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Shared Documents\IT - ERD\MSB-May 2016\"/>
    </mc:Choice>
  </mc:AlternateContent>
  <bookViews>
    <workbookView xWindow="120" yWindow="15" windowWidth="9465" windowHeight="4740" tabRatio="599" firstSheet="12" activeTab="15"/>
  </bookViews>
  <sheets>
    <sheet name="1 " sheetId="47" r:id="rId1"/>
    <sheet name="2" sheetId="1" r:id="rId2"/>
    <sheet name="3a" sheetId="2" r:id="rId3"/>
    <sheet name="3b" sheetId="3" r:id="rId4"/>
    <sheet name="4a-b"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 sheetId="14" r:id="rId15"/>
    <sheet name="15" sheetId="15" r:id="rId16"/>
    <sheet name=" 16 a-b" sheetId="16" r:id="rId17"/>
    <sheet name="17" sheetId="17" r:id="rId18"/>
    <sheet name="18a-b" sheetId="18" r:id="rId19"/>
    <sheet name="19-20a-b" sheetId="19" r:id="rId20"/>
    <sheet name="20c-d" sheetId="20" r:id="rId21"/>
    <sheet name="20e-f" sheetId="21" r:id="rId22"/>
    <sheet name="21a-b-22a" sheetId="22" r:id="rId23"/>
    <sheet name="22b-c-d" sheetId="23" r:id="rId24"/>
    <sheet name="23-24" sheetId="24" r:id="rId25"/>
    <sheet name="25a-b" sheetId="25" r:id="rId26"/>
    <sheet name="26" sheetId="26" r:id="rId27"/>
    <sheet name="27a-b" sheetId="27" r:id="rId28"/>
    <sheet name="28" sheetId="28" r:id="rId29"/>
    <sheet name="29" sheetId="29" r:id="rId30"/>
    <sheet name="30" sheetId="30" r:id="rId31"/>
    <sheet name="31" sheetId="31" r:id="rId32"/>
    <sheet name="32" sheetId="33" r:id="rId33"/>
    <sheet name="33" sheetId="32" r:id="rId34"/>
    <sheet name="34a-b " sheetId="34" r:id="rId35"/>
    <sheet name="35a-b" sheetId="35" r:id="rId36"/>
    <sheet name="35c-35d-35e" sheetId="36" r:id="rId37"/>
    <sheet name="36" sheetId="37" r:id="rId38"/>
    <sheet name="37" sheetId="38" r:id="rId39"/>
    <sheet name="38-39" sheetId="43" r:id="rId40"/>
    <sheet name="40-41" sheetId="44" r:id="rId41"/>
    <sheet name="42-43-44" sheetId="45" r:id="rId42"/>
    <sheet name="45-46" sheetId="46" r:id="rId43"/>
    <sheet name="47" sheetId="39" r:id="rId44"/>
    <sheet name="48a-b" sheetId="49" r:id="rId45"/>
    <sheet name="49a-b" sheetId="50" r:id="rId46"/>
    <sheet name="50" sheetId="48" r:id="rId47"/>
    <sheet name="51" sheetId="51" r:id="rId48"/>
    <sheet name="52a-b" sheetId="40" r:id="rId49"/>
    <sheet name="53a" sheetId="41" r:id="rId50"/>
    <sheet name="53b" sheetId="42"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'[1]Table-1'!#REF!</definedName>
    <definedName name="_xlnm.Database" localSheetId="22">'[2]Table-1'!#REF!</definedName>
    <definedName name="_xlnm.Database" localSheetId="23">'[2]Table-1'!#REF!</definedName>
    <definedName name="_xlnm.Database" localSheetId="24">'[1]Table-1'!#REF!</definedName>
    <definedName name="_xlnm.Database" localSheetId="25">'[2]Table-1'!#REF!</definedName>
    <definedName name="_xlnm.Database" localSheetId="26">'[1]Table-1'!#REF!</definedName>
    <definedName name="_xlnm.Database" localSheetId="27">'[1]Table-1'!#REF!</definedName>
    <definedName name="_xlnm.Database" localSheetId="29">'[1]Table-1'!#REF!</definedName>
    <definedName name="_xlnm.Database" localSheetId="30">'[1]Table-1'!#REF!</definedName>
    <definedName name="_xlnm.Database" localSheetId="31">'[1]Table-1'!#REF!</definedName>
    <definedName name="_xlnm.Database" localSheetId="36">'[1]Table-1'!#REF!</definedName>
    <definedName name="_xlnm.Database" localSheetId="37">'[1]Table-1'!#REF!</definedName>
    <definedName name="_xlnm.Database" localSheetId="38">'[1]Table-1'!#REF!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'[2]Table-1'!#REF!</definedName>
    <definedName name="_xlnm.Database" localSheetId="44">'[1]Table-1'!#REF!</definedName>
    <definedName name="_xlnm.Database" localSheetId="45">'[1]Table-1'!#REF!</definedName>
    <definedName name="_xlnm.Database" localSheetId="5">'[1]Table-1'!#REF!</definedName>
    <definedName name="_xlnm.Database" localSheetId="47">'[1]Table-1'!#REF!</definedName>
    <definedName name="_xlnm.Database" localSheetId="48">'[1]Table-1'!#REF!</definedName>
    <definedName name="_xlnm.Database" localSheetId="49">'[1]Table-1'!#REF!</definedName>
    <definedName name="_xlnm.Database" localSheetId="50">'[1]Table-1'!#REF!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a-b'!$A$1:$BY$67</definedName>
    <definedName name="_xlnm.Print_Area" localSheetId="0">'1 '!$A$1:$P$47</definedName>
    <definedName name="_xlnm.Print_Area" localSheetId="10">'10'!$A$1:$EC$66</definedName>
    <definedName name="_xlnm.Print_Area" localSheetId="11">'11'!$A$1:$BX$48</definedName>
    <definedName name="_xlnm.Print_Area" localSheetId="12">'12'!$A$1:$CA$51</definedName>
    <definedName name="_xlnm.Print_Area" localSheetId="13">'13'!$A$1:$BY$42</definedName>
    <definedName name="_xlnm.Print_Area" localSheetId="15">'15'!$A$1:$X$31</definedName>
    <definedName name="_xlnm.Print_Area" localSheetId="17">'17'!$A$1:$Z$116</definedName>
    <definedName name="_xlnm.Print_Area" localSheetId="18">'18a-b'!$A$1:$O$43</definedName>
    <definedName name="_xlnm.Print_Area" localSheetId="19">'19-20a-b'!$A$1:$I$47</definedName>
    <definedName name="_xlnm.Print_Area" localSheetId="20">'20c-d'!$A$1:$G$31</definedName>
    <definedName name="_xlnm.Print_Area" localSheetId="21">'20e-f'!$A$1:$G$35</definedName>
    <definedName name="_xlnm.Print_Area" localSheetId="22">'21a-b-22a'!$A$1:$O$45</definedName>
    <definedName name="_xlnm.Print_Area" localSheetId="23">'22b-c-d'!$A$1:$F$46</definedName>
    <definedName name="_xlnm.Print_Area" localSheetId="24">'23-24'!$A$1:$I$50</definedName>
    <definedName name="_xlnm.Print_Area" localSheetId="25">'25a-b'!$A$1:$H$209</definedName>
    <definedName name="_xlnm.Print_Area" localSheetId="26">'26'!$A$1:$I$35</definedName>
    <definedName name="_xlnm.Print_Area" localSheetId="27">'27a-b'!$A$1:$L$404</definedName>
    <definedName name="_xlnm.Print_Area" localSheetId="28">'28'!$A$42:$I$360</definedName>
    <definedName name="_xlnm.Print_Area" localSheetId="29">'29'!$A$1:$F$82</definedName>
    <definedName name="_xlnm.Print_Area" localSheetId="30">'30'!$A$1:$EA$64</definedName>
    <definedName name="_xlnm.Print_Area" localSheetId="31">'31'!$A$1:$L$137</definedName>
    <definedName name="_xlnm.Print_Area" localSheetId="32">'32'!$A$1:$G$34</definedName>
    <definedName name="_xlnm.Print_Area" localSheetId="34">'34a-b '!$A$1:$I$261</definedName>
    <definedName name="_xlnm.Print_Area" localSheetId="35">'35a-b'!$A$1:$K$151</definedName>
    <definedName name="_xlnm.Print_Area" localSheetId="36">'35c-35d-35e'!$A$1:$N$166</definedName>
    <definedName name="_xlnm.Print_Area" localSheetId="37">'36'!$A$1:$J$88</definedName>
    <definedName name="_xlnm.Print_Area" localSheetId="38">'37'!$A$1:$G$153</definedName>
    <definedName name="_xlnm.Print_Area" localSheetId="39">'38-39'!$A$1:$L$195</definedName>
    <definedName name="_xlnm.Print_Area" localSheetId="40">'40-41'!$A$1:$FI$41</definedName>
    <definedName name="_xlnm.Print_Area" localSheetId="41">'42-43-44'!$A$1:$H$61</definedName>
    <definedName name="_xlnm.Print_Area" localSheetId="42">'45-46'!$A$1:$K$43</definedName>
    <definedName name="_xlnm.Print_Area" localSheetId="43">'47'!$A$1:$F$23</definedName>
    <definedName name="_xlnm.Print_Area" localSheetId="44">'48a-b'!$A$1:$O$66</definedName>
    <definedName name="_xlnm.Print_Area" localSheetId="45">'49a-b'!$A$1:$P$66</definedName>
    <definedName name="_xlnm.Print_Area" localSheetId="4">'4a-b'!$A$1:$Y$290</definedName>
    <definedName name="_xlnm.Print_Area" localSheetId="5">'5'!$A$1:$H$149</definedName>
    <definedName name="_xlnm.Print_Area" localSheetId="46">'50'!$A$2:$D$17</definedName>
    <definedName name="_xlnm.Print_Area" localSheetId="47">'51'!$A$1:$H$124</definedName>
    <definedName name="_xlnm.Print_Area" localSheetId="48">'52a-b'!$A$1:$AY$40</definedName>
    <definedName name="_xlnm.Print_Area" localSheetId="49">'53a'!$A$1:$G$84</definedName>
    <definedName name="_xlnm.Print_Area" localSheetId="50">'53b'!$A$1:$G$82</definedName>
    <definedName name="_xlnm.Print_Area" localSheetId="6">'6'!$A$1:$EA$143</definedName>
    <definedName name="_xlnm.Print_Area" localSheetId="7">'7'!$A$1:$BZ$65</definedName>
    <definedName name="_xlnm.Print_Area" localSheetId="8">'8'!$A$1:$EC$65</definedName>
    <definedName name="_xlnm.Print_Area" localSheetId="9">'9'!$A$1:$EC$65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Z_18D8CD32_8864_4662_97A6_A9DC62184204_.wvu.Cols" localSheetId="14" hidden="1">'14'!$B:$AM</definedName>
    <definedName name="Z_2EED7BB1_5B09_4FA3_A8E2_BDF07B07F983_.wvu.Cols" localSheetId="14" hidden="1">'14'!$B:$AF</definedName>
    <definedName name="Z_37C0B3FA_6A9F_4AA9_86D5_5C3C21B132D5_.wvu.Cols" localSheetId="14" hidden="1">'14'!$B:$AG</definedName>
    <definedName name="Z_37C0B3FA_6A9F_4AA9_86D5_5C3C21B132D5_.wvu.PrintArea" localSheetId="14" hidden="1">'14'!$A$1:$AR$26</definedName>
    <definedName name="Z_4290ED33_AC36_4438_BB34_BC28E8E334DC_.wvu.Cols" localSheetId="14" hidden="1">'14'!$B:$AG</definedName>
    <definedName name="Z_4290ED33_AC36_4438_BB34_BC28E8E334DC_.wvu.PrintArea" localSheetId="14" hidden="1">'14'!$A$1:$AR$26</definedName>
    <definedName name="Z_5A4DA11A_D85F_4D3D_84C8_FE9DF11992E8_.wvu.Cols" localSheetId="14" hidden="1">'14'!$B:$AG</definedName>
    <definedName name="Z_5A4DA11A_D85F_4D3D_84C8_FE9DF11992E8_.wvu.PrintArea" localSheetId="14" hidden="1">'14'!$A$1:$AR$26</definedName>
    <definedName name="Z_6EF0B571_DB58_49F2_9CB1_0B66558D203B_.wvu.Cols" localSheetId="14" hidden="1">'14'!$B:$AG</definedName>
    <definedName name="Z_6EF0B571_DB58_49F2_9CB1_0B66558D203B_.wvu.PrintArea" localSheetId="14" hidden="1">'14'!$A$1:$AR$26</definedName>
    <definedName name="Z_C45FDDB5_AD31_4573_8BA0_5CCBB2607ECB_.wvu.Cols" localSheetId="14" hidden="1">'14'!$B:$AG</definedName>
    <definedName name="Z_C45FDDB5_AD31_4573_8BA0_5CCBB2607ECB_.wvu.PrintArea" localSheetId="14" hidden="1">'14'!$A$1:$AR$26</definedName>
    <definedName name="Z_DA931E55_E5FC_4829_A4A1_E2F1FD8795A9_.wvu.Cols" localSheetId="14" hidden="1">'14'!$B:$AG</definedName>
    <definedName name="Z_DA931E55_E5FC_4829_A4A1_E2F1FD8795A9_.wvu.PrintArea" localSheetId="14" hidden="1">'14'!$A$1:$AR$26</definedName>
    <definedName name="Z_FE248A6A_5026_4F43_82C8_B1CE482CA81B_.wvu.Cols" localSheetId="14" hidden="1">'14'!$B:$AG</definedName>
    <definedName name="Z_FE248A6A_5026_4F43_82C8_B1CE482CA81B_.wvu.PrintArea" localSheetId="14" hidden="1">'14'!$A$1:$AR$26</definedName>
  </definedNames>
  <calcPr calcId="152511"/>
</workbook>
</file>

<file path=xl/calcChain.xml><?xml version="1.0" encoding="utf-8"?>
<calcChain xmlns="http://schemas.openxmlformats.org/spreadsheetml/2006/main">
  <c r="G119" i="51" l="1"/>
  <c r="G118" i="51"/>
  <c r="G117" i="51"/>
  <c r="G116" i="51"/>
  <c r="G115" i="51"/>
  <c r="F114" i="51"/>
  <c r="E114" i="51"/>
  <c r="D114" i="51"/>
  <c r="C114" i="51"/>
  <c r="G114" i="51" s="1"/>
  <c r="G113" i="51"/>
  <c r="G112" i="51"/>
  <c r="G111" i="51"/>
  <c r="G110" i="51"/>
  <c r="G109" i="51"/>
  <c r="G108" i="51"/>
  <c r="F107" i="51"/>
  <c r="E107" i="51"/>
  <c r="G107" i="51" s="1"/>
  <c r="D107" i="51"/>
  <c r="C107" i="51"/>
  <c r="G106" i="51"/>
  <c r="G105" i="51"/>
  <c r="G104" i="51"/>
  <c r="G103" i="51"/>
  <c r="G102" i="51"/>
  <c r="G101" i="51"/>
  <c r="F100" i="51"/>
  <c r="E100" i="51"/>
  <c r="D100" i="51"/>
  <c r="C100" i="51"/>
  <c r="G100" i="51" s="1"/>
  <c r="F99" i="51"/>
  <c r="E99" i="51"/>
  <c r="D99" i="51"/>
  <c r="G98" i="51"/>
  <c r="G97" i="51"/>
  <c r="G96" i="51"/>
  <c r="G95" i="51"/>
  <c r="G94" i="51"/>
  <c r="F94" i="51"/>
  <c r="F88" i="51" s="1"/>
  <c r="E94" i="51"/>
  <c r="D94" i="51"/>
  <c r="C94" i="51"/>
  <c r="G93" i="51"/>
  <c r="G92" i="51"/>
  <c r="G91" i="51"/>
  <c r="G90" i="51"/>
  <c r="G89" i="51"/>
  <c r="F89" i="51"/>
  <c r="E89" i="51"/>
  <c r="D89" i="51"/>
  <c r="C89" i="51"/>
  <c r="E88" i="51"/>
  <c r="G88" i="51" s="1"/>
  <c r="D88" i="51"/>
  <c r="D82" i="51" s="1"/>
  <c r="D79" i="51" s="1"/>
  <c r="C88" i="51"/>
  <c r="G87" i="51"/>
  <c r="G86" i="51"/>
  <c r="G85" i="51"/>
  <c r="G84" i="51"/>
  <c r="F83" i="51"/>
  <c r="E83" i="51"/>
  <c r="G83" i="51" s="1"/>
  <c r="D83" i="51"/>
  <c r="C83" i="51"/>
  <c r="G81" i="51"/>
  <c r="F80" i="51"/>
  <c r="E80" i="51"/>
  <c r="D80" i="51"/>
  <c r="C80" i="51"/>
  <c r="G80" i="51" s="1"/>
  <c r="G78" i="51"/>
  <c r="G77" i="51"/>
  <c r="F76" i="51"/>
  <c r="F75" i="51" s="1"/>
  <c r="F71" i="51" s="1"/>
  <c r="E76" i="51"/>
  <c r="E75" i="51" s="1"/>
  <c r="E71" i="51" s="1"/>
  <c r="D76" i="51"/>
  <c r="C76" i="51"/>
  <c r="D75" i="51"/>
  <c r="D71" i="51" s="1"/>
  <c r="C75" i="51"/>
  <c r="G74" i="51"/>
  <c r="G73" i="51"/>
  <c r="F72" i="51"/>
  <c r="E72" i="51"/>
  <c r="D72" i="51"/>
  <c r="C72" i="51"/>
  <c r="G72" i="51" s="1"/>
  <c r="G70" i="51"/>
  <c r="F69" i="51"/>
  <c r="E69" i="51"/>
  <c r="D69" i="51"/>
  <c r="D65" i="51" s="1"/>
  <c r="C69" i="51"/>
  <c r="G69" i="51" s="1"/>
  <c r="G68" i="51"/>
  <c r="G67" i="51"/>
  <c r="G66" i="51"/>
  <c r="F65" i="51"/>
  <c r="E65" i="51"/>
  <c r="C65" i="51"/>
  <c r="G64" i="51"/>
  <c r="F63" i="51"/>
  <c r="E63" i="51"/>
  <c r="D63" i="51"/>
  <c r="D59" i="51" s="1"/>
  <c r="D41" i="51" s="1"/>
  <c r="C63" i="51"/>
  <c r="G63" i="51" s="1"/>
  <c r="G62" i="51"/>
  <c r="G61" i="51"/>
  <c r="F61" i="51"/>
  <c r="E61" i="51"/>
  <c r="D61" i="51"/>
  <c r="C61" i="51"/>
  <c r="C59" i="51" s="1"/>
  <c r="G60" i="51"/>
  <c r="F59" i="51"/>
  <c r="E59" i="51"/>
  <c r="G53" i="51"/>
  <c r="E52" i="51"/>
  <c r="D52" i="51"/>
  <c r="C52" i="51"/>
  <c r="G52" i="51" s="1"/>
  <c r="G51" i="51"/>
  <c r="G50" i="51"/>
  <c r="G49" i="51"/>
  <c r="F48" i="51"/>
  <c r="E48" i="51"/>
  <c r="D48" i="51"/>
  <c r="C48" i="51"/>
  <c r="G48" i="51" s="1"/>
  <c r="G47" i="51"/>
  <c r="F46" i="51"/>
  <c r="E46" i="51"/>
  <c r="D46" i="51"/>
  <c r="C46" i="51"/>
  <c r="G46" i="51" s="1"/>
  <c r="G45" i="51"/>
  <c r="G44" i="51"/>
  <c r="F44" i="51"/>
  <c r="F42" i="51" s="1"/>
  <c r="F41" i="51" s="1"/>
  <c r="E44" i="51"/>
  <c r="D44" i="51"/>
  <c r="C44" i="51"/>
  <c r="G43" i="51"/>
  <c r="E42" i="51"/>
  <c r="E41" i="51" s="1"/>
  <c r="D42" i="51"/>
  <c r="G40" i="51"/>
  <c r="G39" i="51"/>
  <c r="F38" i="51"/>
  <c r="E38" i="51"/>
  <c r="D38" i="51"/>
  <c r="C38" i="51"/>
  <c r="G38" i="51" s="1"/>
  <c r="G37" i="51"/>
  <c r="G36" i="51"/>
  <c r="F35" i="51"/>
  <c r="G35" i="51" s="1"/>
  <c r="E35" i="51"/>
  <c r="D35" i="51"/>
  <c r="C35" i="51"/>
  <c r="G34" i="51"/>
  <c r="G33" i="51"/>
  <c r="G32" i="51"/>
  <c r="F31" i="51"/>
  <c r="F30" i="51" s="1"/>
  <c r="E31" i="51"/>
  <c r="D31" i="51"/>
  <c r="C31" i="51"/>
  <c r="E30" i="51"/>
  <c r="D30" i="51"/>
  <c r="C30" i="51"/>
  <c r="G30" i="51" s="1"/>
  <c r="G29" i="51"/>
  <c r="G28" i="51"/>
  <c r="F27" i="51"/>
  <c r="E27" i="51"/>
  <c r="D27" i="51"/>
  <c r="C27" i="51"/>
  <c r="G27" i="51" s="1"/>
  <c r="G26" i="51"/>
  <c r="G25" i="51"/>
  <c r="F24" i="51"/>
  <c r="E24" i="51"/>
  <c r="D24" i="51"/>
  <c r="C24" i="51"/>
  <c r="G24" i="51" s="1"/>
  <c r="G23" i="51"/>
  <c r="G22" i="51"/>
  <c r="G21" i="51"/>
  <c r="F20" i="51"/>
  <c r="E20" i="51"/>
  <c r="E19" i="51" s="1"/>
  <c r="E18" i="51" s="1"/>
  <c r="D20" i="51"/>
  <c r="D19" i="51" s="1"/>
  <c r="D18" i="51" s="1"/>
  <c r="C20" i="51"/>
  <c r="G20" i="51" s="1"/>
  <c r="F19" i="51"/>
  <c r="F18" i="51" s="1"/>
  <c r="G17" i="51"/>
  <c r="G16" i="51"/>
  <c r="G15" i="51"/>
  <c r="F14" i="51"/>
  <c r="E14" i="51"/>
  <c r="D14" i="51"/>
  <c r="C14" i="51"/>
  <c r="G14" i="51" s="1"/>
  <c r="G13" i="51"/>
  <c r="G12" i="51"/>
  <c r="F11" i="51"/>
  <c r="E11" i="51"/>
  <c r="D11" i="51"/>
  <c r="C11" i="51"/>
  <c r="G11" i="51" s="1"/>
  <c r="G10" i="51"/>
  <c r="F10" i="51"/>
  <c r="E10" i="51"/>
  <c r="D10" i="51"/>
  <c r="C10" i="51"/>
  <c r="F9" i="51"/>
  <c r="F8" i="51" s="1"/>
  <c r="F7" i="51" s="1"/>
  <c r="F6" i="51" s="1"/>
  <c r="E9" i="51"/>
  <c r="D9" i="51"/>
  <c r="G9" i="51" s="1"/>
  <c r="C9" i="51"/>
  <c r="E8" i="51"/>
  <c r="C8" i="51"/>
  <c r="L61" i="50"/>
  <c r="K60" i="50"/>
  <c r="G60" i="50"/>
  <c r="E60" i="50"/>
  <c r="K58" i="50"/>
  <c r="G58" i="50"/>
  <c r="E58" i="50"/>
  <c r="L56" i="50"/>
  <c r="L55" i="50" s="1"/>
  <c r="L54" i="50" s="1"/>
  <c r="K55" i="50"/>
  <c r="G55" i="50"/>
  <c r="G54" i="50" s="1"/>
  <c r="F55" i="50"/>
  <c r="F54" i="50" s="1"/>
  <c r="E55" i="50"/>
  <c r="E54" i="50" s="1"/>
  <c r="D55" i="50"/>
  <c r="D54" i="50" s="1"/>
  <c r="K54" i="50"/>
  <c r="J54" i="50"/>
  <c r="C54" i="50"/>
  <c r="L53" i="50"/>
  <c r="L52" i="50" s="1"/>
  <c r="K53" i="50"/>
  <c r="K52" i="50" s="1"/>
  <c r="K51" i="50" s="1"/>
  <c r="K50" i="50" s="1"/>
  <c r="J51" i="50"/>
  <c r="J50" i="50" s="1"/>
  <c r="J40" i="50" s="1"/>
  <c r="C51" i="50"/>
  <c r="G50" i="50"/>
  <c r="F50" i="50"/>
  <c r="E50" i="50"/>
  <c r="D50" i="50"/>
  <c r="L49" i="50"/>
  <c r="K49" i="50"/>
  <c r="K48" i="50"/>
  <c r="L47" i="50"/>
  <c r="K47" i="50"/>
  <c r="K46" i="50"/>
  <c r="L44" i="50"/>
  <c r="K44" i="50"/>
  <c r="L43" i="50"/>
  <c r="K43" i="50"/>
  <c r="K41" i="50" s="1"/>
  <c r="K40" i="50" s="1"/>
  <c r="L41" i="50"/>
  <c r="J41" i="50"/>
  <c r="G41" i="50"/>
  <c r="F41" i="50"/>
  <c r="E41" i="50"/>
  <c r="E40" i="50" s="1"/>
  <c r="D41" i="50"/>
  <c r="C41" i="50"/>
  <c r="C40" i="50" s="1"/>
  <c r="C31" i="50" s="1"/>
  <c r="G40" i="50"/>
  <c r="F40" i="50"/>
  <c r="D40" i="50"/>
  <c r="K39" i="50"/>
  <c r="K38" i="50" s="1"/>
  <c r="L38" i="50"/>
  <c r="F38" i="50"/>
  <c r="E38" i="50"/>
  <c r="L36" i="50"/>
  <c r="L35" i="50"/>
  <c r="K35" i="50"/>
  <c r="K34" i="50" s="1"/>
  <c r="K33" i="50" s="1"/>
  <c r="L34" i="50"/>
  <c r="L33" i="50" s="1"/>
  <c r="L32" i="50" s="1"/>
  <c r="J33" i="50"/>
  <c r="J32" i="50" s="1"/>
  <c r="J31" i="50" s="1"/>
  <c r="F33" i="50"/>
  <c r="F32" i="50" s="1"/>
  <c r="F31" i="50" s="1"/>
  <c r="E33" i="50"/>
  <c r="E32" i="50" s="1"/>
  <c r="E31" i="50" s="1"/>
  <c r="G32" i="50"/>
  <c r="D32" i="50"/>
  <c r="I31" i="50"/>
  <c r="H31" i="50"/>
  <c r="G31" i="50"/>
  <c r="D31" i="50"/>
  <c r="L24" i="50"/>
  <c r="I24" i="50"/>
  <c r="H24" i="50"/>
  <c r="G24" i="50"/>
  <c r="F24" i="50"/>
  <c r="D24" i="50"/>
  <c r="C24" i="50"/>
  <c r="J21" i="50"/>
  <c r="J18" i="50"/>
  <c r="J24" i="50" s="1"/>
  <c r="L16" i="50"/>
  <c r="K16" i="50"/>
  <c r="L15" i="50"/>
  <c r="K15" i="50"/>
  <c r="K14" i="50"/>
  <c r="L13" i="50"/>
  <c r="K13" i="50"/>
  <c r="E13" i="50"/>
  <c r="K12" i="50"/>
  <c r="L11" i="50"/>
  <c r="K11" i="50"/>
  <c r="E11" i="50"/>
  <c r="E24" i="50" s="1"/>
  <c r="K7" i="50"/>
  <c r="E7" i="50"/>
  <c r="K6" i="50"/>
  <c r="K24" i="50" s="1"/>
  <c r="E6" i="50"/>
  <c r="K61" i="49"/>
  <c r="J61" i="49"/>
  <c r="L60" i="49"/>
  <c r="K60" i="49"/>
  <c r="G60" i="49"/>
  <c r="D60" i="49"/>
  <c r="L59" i="49"/>
  <c r="K59" i="49"/>
  <c r="L58" i="49"/>
  <c r="K58" i="49"/>
  <c r="J58" i="49"/>
  <c r="J55" i="49" s="1"/>
  <c r="J52" i="49" s="1"/>
  <c r="J51" i="49" s="1"/>
  <c r="J43" i="49" s="1"/>
  <c r="G58" i="49"/>
  <c r="G55" i="49" s="1"/>
  <c r="F58" i="49"/>
  <c r="F55" i="49" s="1"/>
  <c r="E58" i="49"/>
  <c r="E60" i="49" s="1"/>
  <c r="D58" i="49"/>
  <c r="C58" i="49"/>
  <c r="L57" i="49"/>
  <c r="K57" i="49"/>
  <c r="L56" i="49"/>
  <c r="K56" i="49"/>
  <c r="K55" i="49" s="1"/>
  <c r="K52" i="49" s="1"/>
  <c r="K51" i="49" s="1"/>
  <c r="C56" i="49"/>
  <c r="L55" i="49"/>
  <c r="D55" i="49"/>
  <c r="C55" i="49"/>
  <c r="L54" i="49"/>
  <c r="L53" i="49" s="1"/>
  <c r="L52" i="49" s="1"/>
  <c r="L51" i="49" s="1"/>
  <c r="K54" i="49"/>
  <c r="K53" i="49"/>
  <c r="F53" i="49"/>
  <c r="E53" i="49"/>
  <c r="F51" i="49"/>
  <c r="E51" i="49"/>
  <c r="L50" i="49"/>
  <c r="K50" i="49"/>
  <c r="K48" i="49" s="1"/>
  <c r="L48" i="49"/>
  <c r="J48" i="49"/>
  <c r="F48" i="49"/>
  <c r="E48" i="49"/>
  <c r="L47" i="49"/>
  <c r="K47" i="49"/>
  <c r="L46" i="49"/>
  <c r="L44" i="49" s="1"/>
  <c r="L43" i="49" s="1"/>
  <c r="K46" i="49"/>
  <c r="K44" i="49" s="1"/>
  <c r="L45" i="49"/>
  <c r="K45" i="49"/>
  <c r="J44" i="49"/>
  <c r="G44" i="49"/>
  <c r="F44" i="49"/>
  <c r="E44" i="49"/>
  <c r="E43" i="49" s="1"/>
  <c r="E30" i="49" s="1"/>
  <c r="D44" i="49"/>
  <c r="C44" i="49"/>
  <c r="G43" i="49"/>
  <c r="F43" i="49"/>
  <c r="D43" i="49"/>
  <c r="C43" i="49"/>
  <c r="L42" i="49"/>
  <c r="K42" i="49"/>
  <c r="L41" i="49"/>
  <c r="K41" i="49"/>
  <c r="J41" i="49"/>
  <c r="F41" i="49"/>
  <c r="F31" i="49" s="1"/>
  <c r="F30" i="49" s="1"/>
  <c r="E41" i="49"/>
  <c r="L40" i="49"/>
  <c r="K40" i="49"/>
  <c r="L39" i="49"/>
  <c r="K39" i="49"/>
  <c r="L38" i="49"/>
  <c r="K38" i="49"/>
  <c r="G38" i="49"/>
  <c r="F38" i="49"/>
  <c r="E38" i="49"/>
  <c r="L37" i="49"/>
  <c r="K37" i="49"/>
  <c r="L36" i="49"/>
  <c r="K36" i="49"/>
  <c r="L35" i="49"/>
  <c r="L33" i="49" s="1"/>
  <c r="L32" i="49" s="1"/>
  <c r="L31" i="49" s="1"/>
  <c r="K35" i="49"/>
  <c r="K33" i="49" s="1"/>
  <c r="K32" i="49" s="1"/>
  <c r="K31" i="49" s="1"/>
  <c r="L34" i="49"/>
  <c r="K34" i="49"/>
  <c r="J32" i="49"/>
  <c r="J31" i="49" s="1"/>
  <c r="J30" i="49" s="1"/>
  <c r="G32" i="49"/>
  <c r="G31" i="49" s="1"/>
  <c r="G30" i="49" s="1"/>
  <c r="F32" i="49"/>
  <c r="E32" i="49"/>
  <c r="D32" i="49"/>
  <c r="D31" i="49" s="1"/>
  <c r="D30" i="49" s="1"/>
  <c r="C32" i="49"/>
  <c r="C31" i="49" s="1"/>
  <c r="C30" i="49" s="1"/>
  <c r="E31" i="49"/>
  <c r="I30" i="49"/>
  <c r="H30" i="49"/>
  <c r="K22" i="49"/>
  <c r="J22" i="49"/>
  <c r="I22" i="49"/>
  <c r="H22" i="49"/>
  <c r="G22" i="49"/>
  <c r="F22" i="49"/>
  <c r="E22" i="49"/>
  <c r="D22" i="49"/>
  <c r="C22" i="49"/>
  <c r="K19" i="49"/>
  <c r="K18" i="49"/>
  <c r="K17" i="49"/>
  <c r="L16" i="49"/>
  <c r="K16" i="49"/>
  <c r="L15" i="49"/>
  <c r="K15" i="49"/>
  <c r="L14" i="49"/>
  <c r="K14" i="49"/>
  <c r="G14" i="49"/>
  <c r="K13" i="49"/>
  <c r="L12" i="49"/>
  <c r="K12" i="49"/>
  <c r="K10" i="49"/>
  <c r="K9" i="49"/>
  <c r="L7" i="49"/>
  <c r="L22" i="49" s="1"/>
  <c r="K7" i="49"/>
  <c r="G59" i="51" l="1"/>
  <c r="E7" i="51"/>
  <c r="E6" i="51" s="1"/>
  <c r="G65" i="51"/>
  <c r="G75" i="51"/>
  <c r="F82" i="51"/>
  <c r="F79" i="51" s="1"/>
  <c r="F120" i="51" s="1"/>
  <c r="G31" i="51"/>
  <c r="D8" i="51"/>
  <c r="D7" i="51" s="1"/>
  <c r="D6" i="51" s="1"/>
  <c r="D120" i="51" s="1"/>
  <c r="G76" i="51"/>
  <c r="E82" i="51"/>
  <c r="E79" i="51" s="1"/>
  <c r="C19" i="51"/>
  <c r="C71" i="51"/>
  <c r="G71" i="51" s="1"/>
  <c r="C99" i="51"/>
  <c r="C42" i="51"/>
  <c r="K32" i="50"/>
  <c r="K31" i="50" s="1"/>
  <c r="L51" i="50"/>
  <c r="L50" i="50" s="1"/>
  <c r="L40" i="50" s="1"/>
  <c r="L31" i="50" s="1"/>
  <c r="L30" i="49"/>
  <c r="K43" i="49"/>
  <c r="K30" i="49" s="1"/>
  <c r="F60" i="49"/>
  <c r="E55" i="49"/>
  <c r="N33" i="47"/>
  <c r="M33" i="47"/>
  <c r="L33" i="47"/>
  <c r="K33" i="47"/>
  <c r="J33" i="47"/>
  <c r="I33" i="47"/>
  <c r="H33" i="47"/>
  <c r="G33" i="47"/>
  <c r="F33" i="47"/>
  <c r="E33" i="47"/>
  <c r="N31" i="47"/>
  <c r="M31" i="47"/>
  <c r="L31" i="47"/>
  <c r="K31" i="47"/>
  <c r="J31" i="47"/>
  <c r="I31" i="47"/>
  <c r="H31" i="47"/>
  <c r="G31" i="47"/>
  <c r="F31" i="47"/>
  <c r="E31" i="47"/>
  <c r="N27" i="47"/>
  <c r="M27" i="47"/>
  <c r="L27" i="47"/>
  <c r="K27" i="47"/>
  <c r="J27" i="47"/>
  <c r="I27" i="47"/>
  <c r="H27" i="47"/>
  <c r="G27" i="47"/>
  <c r="F27" i="47"/>
  <c r="E27" i="47"/>
  <c r="G42" i="51" l="1"/>
  <c r="C41" i="51"/>
  <c r="G41" i="51" s="1"/>
  <c r="G19" i="51"/>
  <c r="C18" i="51"/>
  <c r="C82" i="51"/>
  <c r="G99" i="51"/>
  <c r="E120" i="51"/>
  <c r="G8" i="51"/>
  <c r="D54" i="45"/>
  <c r="C54" i="45"/>
  <c r="C46" i="45"/>
  <c r="D46" i="45" s="1"/>
  <c r="C45" i="45"/>
  <c r="D45" i="45" s="1"/>
  <c r="C44" i="45"/>
  <c r="D44" i="45" s="1"/>
  <c r="C43" i="45"/>
  <c r="D43" i="45" s="1"/>
  <c r="C42" i="45"/>
  <c r="D42" i="45" s="1"/>
  <c r="C41" i="45"/>
  <c r="D41" i="45" s="1"/>
  <c r="C40" i="45"/>
  <c r="D40" i="45" s="1"/>
  <c r="C39" i="45"/>
  <c r="D39" i="45" s="1"/>
  <c r="C38" i="45"/>
  <c r="D38" i="45" s="1"/>
  <c r="D21" i="45"/>
  <c r="D20" i="45"/>
  <c r="D19" i="45"/>
  <c r="D18" i="45"/>
  <c r="D17" i="45"/>
  <c r="D16" i="45"/>
  <c r="D15" i="45"/>
  <c r="D14" i="45"/>
  <c r="D13" i="45"/>
  <c r="D12" i="45"/>
  <c r="D11" i="45"/>
  <c r="D10" i="45"/>
  <c r="G82" i="51" l="1"/>
  <c r="C79" i="51"/>
  <c r="G79" i="51" s="1"/>
  <c r="G18" i="51"/>
  <c r="C7" i="51"/>
  <c r="DR25" i="44"/>
  <c r="DQ25" i="44"/>
  <c r="DP25" i="44"/>
  <c r="DO25" i="44"/>
  <c r="DN25" i="44"/>
  <c r="DM25" i="44"/>
  <c r="DL25" i="44"/>
  <c r="DK25" i="44"/>
  <c r="DJ25" i="44"/>
  <c r="DI25" i="44"/>
  <c r="DH25" i="44"/>
  <c r="DG25" i="44"/>
  <c r="DF25" i="44"/>
  <c r="DS4" i="44"/>
  <c r="DT4" i="44" s="1"/>
  <c r="G7" i="51" l="1"/>
  <c r="C6" i="51"/>
  <c r="DU4" i="44"/>
  <c r="DT25" i="44"/>
  <c r="DS25" i="44"/>
  <c r="G6" i="51" l="1"/>
  <c r="C120" i="51"/>
  <c r="G120" i="51" s="1"/>
  <c r="DU25" i="44"/>
  <c r="DV4" i="44"/>
  <c r="DV25" i="44" l="1"/>
  <c r="DW4" i="44"/>
  <c r="DX4" i="44" l="1"/>
  <c r="DW25" i="44"/>
  <c r="DY4" i="44" l="1"/>
  <c r="DX25" i="44"/>
  <c r="DZ4" i="44" l="1"/>
  <c r="DY25" i="44"/>
  <c r="EA4" i="44" l="1"/>
  <c r="DZ25" i="44"/>
  <c r="EB4" i="44" l="1"/>
  <c r="EA25" i="44"/>
  <c r="EC4" i="44" l="1"/>
  <c r="EB25" i="44"/>
  <c r="EC25" i="44" l="1"/>
  <c r="ED4" i="44"/>
  <c r="EE4" i="44" l="1"/>
  <c r="ED25" i="44"/>
  <c r="EF4" i="44" l="1"/>
  <c r="EE25" i="44"/>
  <c r="EF25" i="44" l="1"/>
  <c r="EG4" i="44"/>
  <c r="EG25" i="44" l="1"/>
  <c r="EH4" i="44"/>
  <c r="EI4" i="44" l="1"/>
  <c r="EH25" i="44"/>
  <c r="EJ4" i="44" l="1"/>
  <c r="EI25" i="44"/>
  <c r="EK4" i="44" l="1"/>
  <c r="EJ25" i="44"/>
  <c r="EK25" i="44" l="1"/>
  <c r="EL4" i="44"/>
  <c r="EM4" i="44" l="1"/>
  <c r="EL25" i="44"/>
  <c r="EN4" i="44" l="1"/>
  <c r="EM25" i="44"/>
  <c r="EO4" i="44" l="1"/>
  <c r="EN25" i="44"/>
  <c r="EP4" i="44" l="1"/>
  <c r="EO25" i="44"/>
  <c r="EQ4" i="44" l="1"/>
  <c r="EP25" i="44"/>
  <c r="ER4" i="44" l="1"/>
  <c r="EQ25" i="44"/>
  <c r="ES4" i="44" l="1"/>
  <c r="ER25" i="44"/>
  <c r="ES25" i="44" l="1"/>
  <c r="ET4" i="44"/>
  <c r="EU4" i="44" l="1"/>
  <c r="ET25" i="44"/>
  <c r="EU25" i="44" l="1"/>
  <c r="EV4" i="44"/>
  <c r="EW4" i="44" l="1"/>
  <c r="EV25" i="44"/>
  <c r="EX4" i="44" l="1"/>
  <c r="EW25" i="44"/>
  <c r="EX25" i="44" l="1"/>
  <c r="EY4" i="44"/>
  <c r="EZ4" i="44" l="1"/>
  <c r="EY25" i="44"/>
  <c r="FA4" i="44" l="1"/>
  <c r="EZ25" i="44"/>
  <c r="FA25" i="44" l="1"/>
  <c r="FB4" i="44"/>
  <c r="FC4" i="44" l="1"/>
  <c r="FB25" i="44"/>
  <c r="FD4" i="44" l="1"/>
  <c r="FC25" i="44"/>
  <c r="FD25" i="44" l="1"/>
  <c r="FE4" i="44"/>
  <c r="FF4" i="44" l="1"/>
  <c r="FE25" i="44"/>
  <c r="FG4" i="44" l="1"/>
  <c r="FF25" i="44"/>
  <c r="FH4" i="44" l="1"/>
  <c r="FG25" i="44"/>
  <c r="FI4" i="44" l="1"/>
  <c r="FI25" i="44" s="1"/>
  <c r="FH25" i="44"/>
  <c r="D126" i="43" l="1"/>
  <c r="D122" i="43"/>
  <c r="D118" i="43"/>
  <c r="D117" i="43"/>
  <c r="AW37" i="40" l="1"/>
  <c r="AV37" i="40"/>
  <c r="AW36" i="40"/>
  <c r="AV36" i="40"/>
  <c r="AM36" i="40"/>
  <c r="AW35" i="40"/>
  <c r="AV35" i="40"/>
  <c r="AW32" i="40"/>
  <c r="AV32" i="40"/>
  <c r="AT30" i="40"/>
  <c r="AS30" i="40"/>
  <c r="AR30" i="40"/>
  <c r="AQ30" i="40"/>
  <c r="AP30" i="40"/>
  <c r="AO30" i="40"/>
  <c r="AL30" i="40"/>
  <c r="AK30" i="40"/>
  <c r="AJ30" i="40"/>
  <c r="AI30" i="40"/>
  <c r="AH30" i="40"/>
  <c r="AG30" i="40"/>
  <c r="AF30" i="40"/>
  <c r="AE30" i="40"/>
  <c r="AD30" i="40"/>
  <c r="AC30" i="40"/>
  <c r="AB30" i="40"/>
  <c r="AA30" i="40"/>
  <c r="Z30" i="40"/>
  <c r="Y30" i="40"/>
  <c r="X30" i="40"/>
  <c r="W30" i="40"/>
  <c r="V30" i="40"/>
  <c r="U30" i="40"/>
  <c r="T30" i="40"/>
  <c r="S30" i="40"/>
  <c r="R30" i="40"/>
  <c r="Q30" i="40"/>
  <c r="AV21" i="40"/>
  <c r="AW19" i="40"/>
  <c r="AV19" i="40"/>
  <c r="Z19" i="40"/>
  <c r="AW16" i="40"/>
  <c r="AV16" i="40"/>
  <c r="AZ13" i="40"/>
  <c r="AW13" i="40"/>
  <c r="AV13" i="40"/>
  <c r="AT13" i="40"/>
  <c r="AR13" i="40"/>
  <c r="AQ13" i="40"/>
  <c r="X13" i="40"/>
  <c r="AW12" i="40"/>
  <c r="AV12" i="40"/>
  <c r="AP12" i="40"/>
  <c r="AP13" i="40" s="1"/>
  <c r="Y12" i="40"/>
  <c r="Y13" i="40" s="1"/>
  <c r="X12" i="40"/>
  <c r="AW11" i="40"/>
  <c r="AV11" i="40"/>
  <c r="AW8" i="40"/>
  <c r="AV8" i="40"/>
  <c r="AW7" i="40"/>
  <c r="AV7" i="40"/>
  <c r="AW4" i="40"/>
  <c r="AV4" i="40"/>
  <c r="E18" i="39" l="1"/>
  <c r="C18" i="39"/>
  <c r="B18" i="39"/>
  <c r="H69" i="37" l="1"/>
  <c r="H68" i="37"/>
  <c r="H60" i="37"/>
  <c r="H59" i="37"/>
  <c r="H58" i="37"/>
  <c r="H57" i="37"/>
  <c r="H56" i="37"/>
  <c r="I55" i="37"/>
  <c r="H55" i="37"/>
  <c r="H54" i="37"/>
  <c r="I54" i="37" s="1"/>
  <c r="H53" i="37"/>
  <c r="I53" i="37" s="1"/>
  <c r="H52" i="37"/>
  <c r="I52" i="37" s="1"/>
  <c r="H51" i="37"/>
  <c r="H50" i="37"/>
  <c r="H49" i="37"/>
  <c r="H48" i="37"/>
  <c r="H47" i="37"/>
  <c r="H46" i="37"/>
  <c r="H45" i="37"/>
  <c r="H44" i="37"/>
  <c r="H43" i="37"/>
  <c r="H42" i="37"/>
  <c r="H41" i="37"/>
  <c r="H40" i="37"/>
  <c r="H39" i="37"/>
  <c r="H38" i="37"/>
  <c r="H36" i="37"/>
  <c r="H35" i="37"/>
  <c r="I35" i="37" s="1"/>
  <c r="H34" i="37"/>
  <c r="I34" i="37" s="1"/>
  <c r="E33" i="37"/>
  <c r="H33" i="37" s="1"/>
  <c r="I33" i="37" s="1"/>
  <c r="E32" i="37"/>
  <c r="H32" i="37" s="1"/>
  <c r="I32" i="37" s="1"/>
  <c r="E31" i="37"/>
  <c r="H31" i="37" s="1"/>
  <c r="I31" i="37" s="1"/>
  <c r="E30" i="37"/>
  <c r="H30" i="37" s="1"/>
  <c r="I30" i="37" s="1"/>
  <c r="H29" i="37"/>
  <c r="I29" i="37" s="1"/>
  <c r="E29" i="37"/>
  <c r="E28" i="37"/>
  <c r="H28" i="37" s="1"/>
  <c r="I28" i="37" s="1"/>
  <c r="E27" i="37"/>
  <c r="H27" i="37" s="1"/>
  <c r="I27" i="37" s="1"/>
  <c r="E26" i="37"/>
  <c r="H26" i="37" s="1"/>
  <c r="I26" i="37" s="1"/>
  <c r="E25" i="37"/>
  <c r="H25" i="37" s="1"/>
  <c r="I25" i="37" s="1"/>
  <c r="E24" i="37"/>
  <c r="H24" i="37" s="1"/>
  <c r="I24" i="37" s="1"/>
  <c r="E23" i="37"/>
  <c r="H23" i="37" s="1"/>
  <c r="I23" i="37" s="1"/>
  <c r="E22" i="37"/>
  <c r="H22" i="37" s="1"/>
  <c r="I22" i="37" s="1"/>
  <c r="H21" i="37"/>
  <c r="I21" i="37" s="1"/>
  <c r="H20" i="37"/>
  <c r="I20" i="37" s="1"/>
  <c r="D20" i="37"/>
  <c r="H19" i="37"/>
  <c r="I19" i="37" s="1"/>
  <c r="D19" i="37"/>
  <c r="H18" i="37"/>
  <c r="I18" i="37" s="1"/>
  <c r="I17" i="37"/>
  <c r="I16" i="37"/>
  <c r="I15" i="37"/>
  <c r="I14" i="37"/>
  <c r="H13" i="37"/>
  <c r="I13" i="37" s="1"/>
  <c r="H12" i="37"/>
  <c r="I12" i="37" s="1"/>
  <c r="I10" i="37"/>
  <c r="H9" i="37"/>
  <c r="I9" i="37" s="1"/>
  <c r="H8" i="37"/>
  <c r="I8" i="37" s="1"/>
  <c r="J139" i="36" l="1"/>
  <c r="I139" i="36"/>
  <c r="H139" i="36"/>
  <c r="G139" i="36"/>
  <c r="F139" i="36"/>
  <c r="E139" i="36"/>
  <c r="D139" i="36"/>
  <c r="C139" i="36"/>
  <c r="B139" i="36"/>
  <c r="I17" i="35" l="1"/>
  <c r="H17" i="35"/>
  <c r="F17" i="35"/>
  <c r="E17" i="35"/>
  <c r="D17" i="35"/>
  <c r="C17" i="35"/>
  <c r="B17" i="35"/>
  <c r="D257" i="34" l="1"/>
  <c r="D255" i="34"/>
  <c r="D254" i="34"/>
  <c r="D253" i="34"/>
  <c r="D252" i="34"/>
  <c r="D251" i="34"/>
  <c r="C250" i="34"/>
  <c r="C258" i="34" s="1"/>
  <c r="B250" i="34"/>
  <c r="D250" i="34" s="1"/>
  <c r="D249" i="34"/>
  <c r="D248" i="34"/>
  <c r="D247" i="34"/>
  <c r="D246" i="34"/>
  <c r="D245" i="34"/>
  <c r="D244" i="34"/>
  <c r="D243" i="34"/>
  <c r="D242" i="34"/>
  <c r="D241"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H163" i="34"/>
  <c r="G163" i="34"/>
  <c r="H162" i="34"/>
  <c r="G162" i="34"/>
  <c r="H160" i="34"/>
  <c r="G160" i="34"/>
  <c r="H153" i="34"/>
  <c r="G153" i="34"/>
  <c r="H141" i="34"/>
  <c r="G141" i="34"/>
  <c r="M231" i="27"/>
  <c r="N231" i="27" s="1"/>
  <c r="K231" i="27"/>
  <c r="N15" i="27"/>
  <c r="O15" i="27" s="1"/>
  <c r="L15" i="27"/>
  <c r="B258" i="34" l="1"/>
  <c r="D258" i="34" s="1"/>
  <c r="C28" i="26"/>
  <c r="B28" i="26"/>
  <c r="F15" i="26"/>
  <c r="F14" i="26"/>
  <c r="F13" i="26"/>
  <c r="F12" i="26"/>
  <c r="F11" i="26"/>
  <c r="F28" i="26" s="1"/>
  <c r="C183" i="25" l="1"/>
  <c r="D17" i="25"/>
  <c r="C17" i="25"/>
  <c r="E45" i="24" l="1"/>
  <c r="D45" i="24"/>
  <c r="C45" i="24"/>
  <c r="B45" i="24"/>
  <c r="F44" i="24"/>
  <c r="F39" i="24"/>
  <c r="F38" i="24"/>
  <c r="F37" i="24"/>
  <c r="F36" i="24"/>
  <c r="F35" i="24"/>
  <c r="F34" i="24"/>
  <c r="F33" i="24"/>
  <c r="F32" i="24"/>
  <c r="F31" i="24"/>
  <c r="F30" i="24"/>
  <c r="F29" i="24"/>
  <c r="F28" i="24"/>
  <c r="F27" i="24"/>
  <c r="F26" i="24"/>
  <c r="F25" i="24"/>
  <c r="F24" i="24"/>
  <c r="F45" i="24" s="1"/>
  <c r="F16" i="24"/>
  <c r="F15" i="24"/>
  <c r="F14" i="24"/>
  <c r="F13" i="24"/>
  <c r="F12" i="24"/>
  <c r="F11" i="24"/>
  <c r="F10" i="24"/>
  <c r="F9" i="24"/>
  <c r="F8" i="24"/>
  <c r="F7" i="24"/>
  <c r="F6" i="24"/>
  <c r="F5" i="24"/>
  <c r="F4" i="24"/>
  <c r="O27" i="18" l="1"/>
  <c r="N27" i="18"/>
  <c r="N22" i="18"/>
  <c r="F10" i="18"/>
  <c r="E10" i="18"/>
  <c r="D10" i="18"/>
  <c r="C10" i="18"/>
  <c r="H10" i="18" s="1"/>
  <c r="H9" i="18"/>
  <c r="H8" i="18"/>
  <c r="H7" i="18"/>
  <c r="H6" i="18"/>
  <c r="X112" i="17" l="1"/>
  <c r="J112" i="17"/>
  <c r="Y112" i="17" s="1"/>
  <c r="X111" i="17"/>
  <c r="J111" i="17"/>
  <c r="Y111" i="17" s="1"/>
  <c r="X110" i="17"/>
  <c r="Y110" i="17" s="1"/>
  <c r="J110" i="17"/>
  <c r="J109" i="17"/>
  <c r="J108" i="17"/>
  <c r="X107" i="17"/>
  <c r="J107" i="17"/>
  <c r="Y107" i="17" s="1"/>
  <c r="X106" i="17"/>
  <c r="Y106" i="17" s="1"/>
  <c r="J106" i="17"/>
  <c r="X105" i="17"/>
  <c r="J105" i="17"/>
  <c r="Y105" i="17" s="1"/>
  <c r="X104" i="17"/>
  <c r="J104" i="17"/>
  <c r="Y104" i="17" s="1"/>
  <c r="Y103" i="17"/>
  <c r="X103" i="17"/>
  <c r="J103" i="17"/>
  <c r="X102" i="17"/>
  <c r="J102" i="17"/>
  <c r="Y102" i="17" s="1"/>
  <c r="X101" i="17"/>
  <c r="J101" i="17"/>
  <c r="Y101" i="17" s="1"/>
  <c r="X100" i="17"/>
  <c r="J100" i="17"/>
  <c r="Y100" i="17" s="1"/>
  <c r="J99" i="17"/>
  <c r="Y99" i="17" s="1"/>
  <c r="X98" i="17"/>
  <c r="J98" i="17"/>
  <c r="Y98" i="17" s="1"/>
  <c r="X97" i="17"/>
  <c r="J97" i="17"/>
  <c r="Y97" i="17" s="1"/>
  <c r="X96" i="17"/>
  <c r="J96" i="17"/>
  <c r="Y96" i="17" s="1"/>
  <c r="J95" i="17"/>
  <c r="Y94" i="17"/>
  <c r="X94" i="17"/>
  <c r="J94" i="17"/>
  <c r="X93" i="17"/>
  <c r="J93" i="17"/>
  <c r="Y93" i="17" s="1"/>
  <c r="X92" i="17"/>
  <c r="J92" i="17"/>
  <c r="Y92" i="17" s="1"/>
  <c r="X91" i="17"/>
  <c r="J91" i="17"/>
  <c r="Y91" i="17" s="1"/>
  <c r="X90" i="17"/>
  <c r="J90" i="17"/>
  <c r="Y90" i="17" s="1"/>
  <c r="X89" i="17"/>
  <c r="Y89" i="17" s="1"/>
  <c r="J89" i="17"/>
  <c r="X88" i="17"/>
  <c r="J88" i="17"/>
  <c r="Y88" i="17" s="1"/>
  <c r="X87" i="17"/>
  <c r="J87" i="17"/>
  <c r="Y87" i="17" s="1"/>
  <c r="Y86" i="17"/>
  <c r="X86" i="17"/>
  <c r="J86" i="17"/>
  <c r="X85" i="17"/>
  <c r="J85" i="17"/>
  <c r="Y85" i="17" s="1"/>
  <c r="X84" i="17"/>
  <c r="J84" i="17"/>
  <c r="Y84" i="17" s="1"/>
  <c r="X83" i="17"/>
  <c r="J83" i="17"/>
  <c r="Y83" i="17" s="1"/>
  <c r="X82" i="17"/>
  <c r="J82" i="17"/>
  <c r="Y82" i="17" s="1"/>
  <c r="X81" i="17"/>
  <c r="Y81" i="17" s="1"/>
  <c r="J81" i="17"/>
  <c r="X80" i="17"/>
  <c r="J80" i="17"/>
  <c r="Y80" i="17" s="1"/>
  <c r="X79" i="17"/>
  <c r="J79" i="17"/>
  <c r="Y79" i="17" s="1"/>
  <c r="Y78" i="17"/>
  <c r="X78" i="17"/>
  <c r="J78" i="17"/>
  <c r="X77" i="17"/>
  <c r="J77" i="17"/>
  <c r="Y77" i="17" s="1"/>
  <c r="X76" i="17"/>
  <c r="J76" i="17"/>
  <c r="Y76" i="17" s="1"/>
  <c r="X75" i="17"/>
  <c r="J75" i="17"/>
  <c r="Y75" i="17" s="1"/>
  <c r="X74" i="17"/>
  <c r="J74" i="17"/>
  <c r="Y74" i="17" s="1"/>
  <c r="X73" i="17"/>
  <c r="Y73" i="17" s="1"/>
  <c r="J73" i="17"/>
  <c r="X72" i="17"/>
  <c r="J72" i="17"/>
  <c r="Y72" i="17" s="1"/>
  <c r="X71" i="17"/>
  <c r="J71" i="17"/>
  <c r="Y71" i="17" s="1"/>
  <c r="Y70" i="17"/>
  <c r="X70" i="17"/>
  <c r="J70" i="17"/>
  <c r="X69" i="17"/>
  <c r="J69" i="17"/>
  <c r="Y69" i="17" s="1"/>
  <c r="X68" i="17"/>
  <c r="J68" i="17"/>
  <c r="Y68" i="17" s="1"/>
  <c r="Y66" i="17"/>
  <c r="BY31" i="16" l="1"/>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S31" i="16"/>
  <c r="AR31" i="16"/>
  <c r="AQ31" i="16"/>
  <c r="AP31" i="16"/>
  <c r="AO31" i="16"/>
  <c r="AN31" i="16"/>
  <c r="AM31" i="16"/>
  <c r="AL31" i="16"/>
  <c r="AK31" i="16"/>
  <c r="AJ31" i="16"/>
  <c r="AI31" i="16"/>
  <c r="AH31" i="16"/>
  <c r="AG31" i="16"/>
  <c r="AF31" i="16"/>
  <c r="AE31" i="16"/>
  <c r="AD31" i="16"/>
  <c r="AC31" i="16"/>
  <c r="AB31" i="16"/>
  <c r="AA31" i="16"/>
  <c r="Z31" i="16"/>
  <c r="Y31" i="16"/>
  <c r="W31" i="16"/>
  <c r="V31" i="16"/>
  <c r="U31" i="16"/>
  <c r="T31" i="16"/>
  <c r="S31" i="16"/>
  <c r="R31" i="16"/>
  <c r="Q31" i="16"/>
  <c r="P31" i="16"/>
  <c r="O31" i="16"/>
  <c r="N31" i="16"/>
  <c r="M31" i="16"/>
  <c r="J31" i="16"/>
  <c r="I31" i="16"/>
  <c r="H31" i="16"/>
  <c r="G31" i="16"/>
  <c r="F31" i="16"/>
  <c r="E31" i="16"/>
  <c r="D31" i="16"/>
  <c r="C31" i="16"/>
  <c r="B31" i="16"/>
  <c r="U16" i="15" l="1"/>
  <c r="S16" i="15"/>
  <c r="R16" i="15"/>
  <c r="O16" i="15"/>
  <c r="N16" i="15"/>
  <c r="M16" i="15"/>
  <c r="L16" i="15"/>
  <c r="I16" i="15"/>
  <c r="H16" i="15"/>
  <c r="F16" i="15"/>
  <c r="E16" i="15"/>
  <c r="D16" i="15"/>
  <c r="I14" i="15"/>
  <c r="I20" i="15" s="1"/>
  <c r="I24" i="15" s="1"/>
  <c r="I28" i="15" s="1"/>
  <c r="U10" i="15"/>
  <c r="S10" i="15"/>
  <c r="R10" i="15"/>
  <c r="R14" i="15" s="1"/>
  <c r="R20" i="15" s="1"/>
  <c r="R24" i="15" s="1"/>
  <c r="R28" i="15" s="1"/>
  <c r="O10" i="15"/>
  <c r="N10" i="15"/>
  <c r="M10" i="15"/>
  <c r="L10" i="15"/>
  <c r="I10" i="15"/>
  <c r="H10" i="15"/>
  <c r="F10" i="15"/>
  <c r="E10" i="15"/>
  <c r="D10" i="15"/>
  <c r="U8" i="15"/>
  <c r="U14" i="15" s="1"/>
  <c r="U20" i="15" s="1"/>
  <c r="U24" i="15" s="1"/>
  <c r="U28" i="15" s="1"/>
  <c r="S8" i="15"/>
  <c r="S14" i="15" s="1"/>
  <c r="S20" i="15" s="1"/>
  <c r="S24" i="15" s="1"/>
  <c r="S28" i="15" s="1"/>
  <c r="R8" i="15"/>
  <c r="O8" i="15"/>
  <c r="O14" i="15" s="1"/>
  <c r="O20" i="15" s="1"/>
  <c r="O24" i="15" s="1"/>
  <c r="O28" i="15" s="1"/>
  <c r="N8" i="15"/>
  <c r="N14" i="15" s="1"/>
  <c r="N20" i="15" s="1"/>
  <c r="N24" i="15" s="1"/>
  <c r="N28" i="15" s="1"/>
  <c r="M8" i="15"/>
  <c r="M14" i="15" s="1"/>
  <c r="M20" i="15" s="1"/>
  <c r="M24" i="15" s="1"/>
  <c r="M28" i="15" s="1"/>
  <c r="L8" i="15"/>
  <c r="L14" i="15" s="1"/>
  <c r="L20" i="15" s="1"/>
  <c r="L24" i="15" s="1"/>
  <c r="L28" i="15" s="1"/>
  <c r="J8" i="15"/>
  <c r="I8" i="15"/>
  <c r="H8" i="15"/>
  <c r="H14" i="15" s="1"/>
  <c r="H20" i="15" s="1"/>
  <c r="H24" i="15" s="1"/>
  <c r="H28" i="15" s="1"/>
  <c r="F8" i="15"/>
  <c r="F14" i="15" s="1"/>
  <c r="F20" i="15" s="1"/>
  <c r="F24" i="15" s="1"/>
  <c r="F28" i="15" s="1"/>
  <c r="E8" i="15"/>
  <c r="E14" i="15" s="1"/>
  <c r="E20" i="15" s="1"/>
  <c r="E24" i="15" s="1"/>
  <c r="E28" i="15" s="1"/>
  <c r="D8" i="15"/>
  <c r="D14" i="15" s="1"/>
  <c r="D20" i="15" s="1"/>
  <c r="D24" i="15" s="1"/>
  <c r="D28" i="15" s="1"/>
  <c r="O71" i="13" l="1"/>
  <c r="O70" i="13"/>
  <c r="O69" i="13"/>
  <c r="O68" i="13"/>
  <c r="BY61" i="13"/>
  <c r="BX61" i="13"/>
  <c r="BW61" i="13"/>
  <c r="BV61" i="13"/>
  <c r="BU61" i="13"/>
  <c r="BT61" i="13"/>
  <c r="BS61" i="13"/>
  <c r="BR61" i="13"/>
  <c r="BQ61" i="13"/>
  <c r="BP61" i="13"/>
  <c r="BO61" i="13"/>
  <c r="BN61" i="13"/>
  <c r="BM61" i="13"/>
  <c r="BL61" i="13"/>
  <c r="BK61" i="13"/>
  <c r="BJ61" i="13"/>
  <c r="BI61" i="13"/>
  <c r="BH61" i="13"/>
  <c r="BG61" i="13"/>
  <c r="BF61" i="13"/>
  <c r="CX68" i="10" l="1"/>
  <c r="CW68" i="10"/>
  <c r="CV68" i="10"/>
  <c r="CU68" i="10"/>
  <c r="CT68" i="10"/>
  <c r="CS68" i="10"/>
  <c r="CR68" i="10"/>
  <c r="CQ68" i="10"/>
  <c r="CP68" i="10"/>
  <c r="CO68" i="10"/>
  <c r="CN68" i="10"/>
  <c r="CM68" i="10"/>
  <c r="CL68" i="10"/>
  <c r="CK68" i="10"/>
  <c r="CJ68" i="10"/>
  <c r="CI68" i="10"/>
  <c r="CH68" i="10"/>
  <c r="CG68" i="10"/>
  <c r="CF68" i="10"/>
  <c r="CE68" i="10"/>
  <c r="CD68" i="10"/>
  <c r="CC68"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AI133" i="9" l="1"/>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CX131" i="9"/>
  <c r="CW131" i="9"/>
  <c r="CV131" i="9"/>
  <c r="CU131" i="9"/>
  <c r="CT131" i="9"/>
  <c r="CS131" i="9"/>
  <c r="CR131" i="9"/>
  <c r="CQ131" i="9"/>
  <c r="CP131" i="9"/>
  <c r="CO131"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BO131" i="9"/>
  <c r="BN131" i="9"/>
  <c r="BM131" i="9"/>
  <c r="BL131" i="9"/>
  <c r="BK131" i="9"/>
  <c r="BJ131" i="9"/>
  <c r="BI131" i="9"/>
  <c r="BH131"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H131" i="9"/>
  <c r="AG131" i="9"/>
  <c r="AF131"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D131" i="9"/>
  <c r="C131" i="9"/>
  <c r="DJ33" i="9"/>
  <c r="DB33" i="9"/>
  <c r="DA33" i="9"/>
  <c r="CZ33"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CV68" i="8" l="1"/>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DJ33" i="8"/>
  <c r="BG33" i="7" l="1"/>
  <c r="BF33" i="7"/>
  <c r="BD33" i="7"/>
  <c r="AV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D33" i="7"/>
  <c r="C33" i="7"/>
  <c r="BB25" i="7"/>
  <c r="BB23" i="7"/>
  <c r="BB21" i="7"/>
  <c r="BB19" i="7"/>
  <c r="BB17" i="7"/>
  <c r="BB15" i="7"/>
  <c r="BB13" i="7"/>
  <c r="BB10" i="7"/>
  <c r="BB7" i="7" s="1"/>
  <c r="BB9" i="7"/>
  <c r="BB8" i="7"/>
  <c r="BB5" i="7"/>
  <c r="BB27" i="7" l="1"/>
  <c r="AH142" i="6"/>
  <c r="AM142" i="6" s="1"/>
  <c r="CB140" i="6"/>
  <c r="H139" i="6"/>
  <c r="B139" i="6"/>
  <c r="E104" i="6"/>
  <c r="D104" i="6"/>
  <c r="C104" i="6"/>
  <c r="B104" i="6"/>
  <c r="E93" i="6"/>
  <c r="D93" i="6"/>
  <c r="C93" i="6"/>
  <c r="B93" i="6"/>
  <c r="E83" i="6"/>
  <c r="D83" i="6"/>
  <c r="C83" i="6"/>
  <c r="B83" i="6"/>
  <c r="H79" i="6"/>
  <c r="H69" i="6"/>
  <c r="E69" i="6"/>
  <c r="D69" i="6"/>
  <c r="D139" i="6" s="1"/>
  <c r="C69" i="6"/>
  <c r="B69" i="6"/>
  <c r="DI68" i="6"/>
  <c r="CX68" i="6"/>
  <c r="CT68" i="6"/>
  <c r="CS68" i="6"/>
  <c r="BY68" i="6"/>
  <c r="BX68" i="6"/>
  <c r="BW68" i="6"/>
  <c r="BV68" i="6"/>
  <c r="BU68" i="6"/>
  <c r="BT68" i="6"/>
  <c r="BS68" i="6"/>
  <c r="BR68" i="6"/>
  <c r="BQ68" i="6"/>
  <c r="BP68" i="6"/>
  <c r="BO68" i="6"/>
  <c r="BN68" i="6"/>
  <c r="BM68" i="6"/>
  <c r="BK68" i="6"/>
  <c r="BJ68" i="6"/>
  <c r="BI68" i="6"/>
  <c r="BH68" i="6"/>
  <c r="BG68" i="6"/>
  <c r="BF68" i="6"/>
  <c r="BE68" i="6"/>
  <c r="BD68" i="6"/>
  <c r="BC68" i="6"/>
  <c r="BB68" i="6"/>
  <c r="BA68" i="6"/>
  <c r="AZ68" i="6"/>
  <c r="AY68" i="6"/>
  <c r="AX68" i="6"/>
  <c r="AW68" i="6"/>
  <c r="AV68" i="6"/>
  <c r="AU68" i="6"/>
  <c r="AT68" i="6"/>
  <c r="AS68" i="6"/>
  <c r="AR68" i="6"/>
  <c r="AQ68" i="6"/>
  <c r="AP68" i="6"/>
  <c r="E53" i="6"/>
  <c r="D53" i="6"/>
  <c r="C53" i="6"/>
  <c r="B53" i="6"/>
  <c r="E46" i="6"/>
  <c r="D46" i="6"/>
  <c r="C46" i="6"/>
  <c r="B46" i="6"/>
  <c r="E36" i="6"/>
  <c r="D36" i="6"/>
  <c r="C36" i="6"/>
  <c r="B36" i="6"/>
  <c r="E16" i="6"/>
  <c r="D16" i="6"/>
  <c r="C16" i="6"/>
  <c r="B16" i="6"/>
  <c r="E4" i="6"/>
  <c r="E139" i="6" s="1"/>
  <c r="D4" i="6"/>
  <c r="C4" i="6"/>
  <c r="C139" i="6" s="1"/>
  <c r="B4" i="6"/>
  <c r="J914" i="5" l="1"/>
  <c r="J913" i="5"/>
  <c r="J912" i="5"/>
  <c r="J911" i="5"/>
  <c r="J910" i="5"/>
  <c r="J909" i="5"/>
  <c r="J908" i="5"/>
  <c r="J907" i="5"/>
  <c r="J906" i="5"/>
  <c r="J905" i="5"/>
  <c r="J904" i="5"/>
  <c r="J903" i="5"/>
  <c r="J902" i="5"/>
  <c r="J901" i="5"/>
  <c r="J900" i="5"/>
  <c r="J899" i="5"/>
  <c r="J898" i="5"/>
  <c r="I143" i="5"/>
  <c r="J143" i="5" s="1"/>
  <c r="I141" i="5"/>
  <c r="J141" i="5" s="1"/>
  <c r="I139" i="5"/>
  <c r="J139" i="5" s="1"/>
  <c r="I137" i="5"/>
  <c r="J137" i="5" s="1"/>
  <c r="I136" i="5"/>
  <c r="J136" i="5" s="1"/>
  <c r="I134" i="5"/>
  <c r="J134" i="5" s="1"/>
  <c r="I123" i="5"/>
  <c r="J123" i="5" s="1"/>
  <c r="E156" i="4" l="1"/>
  <c r="G156" i="4" s="1"/>
  <c r="O156" i="4" s="1"/>
  <c r="D156" i="4"/>
  <c r="C156" i="4"/>
  <c r="E155" i="4"/>
  <c r="G155" i="4" s="1"/>
  <c r="O155" i="4" s="1"/>
  <c r="D155" i="4"/>
  <c r="C155" i="4"/>
  <c r="Y84" i="4"/>
  <c r="X84" i="4"/>
  <c r="W84" i="4"/>
  <c r="V84" i="4"/>
  <c r="U84" i="4"/>
  <c r="T84" i="4"/>
  <c r="S84" i="4"/>
  <c r="R84" i="4"/>
  <c r="Q84" i="4"/>
  <c r="P84" i="4"/>
  <c r="O84" i="4"/>
  <c r="N84" i="4"/>
  <c r="M84" i="4"/>
  <c r="L84" i="4"/>
  <c r="K84" i="4"/>
  <c r="J84" i="4"/>
  <c r="I84" i="4"/>
  <c r="H84" i="4"/>
  <c r="G84" i="4"/>
  <c r="F84" i="4"/>
  <c r="E84" i="4"/>
  <c r="D84" i="4"/>
  <c r="C84" i="4"/>
  <c r="B84" i="4"/>
  <c r="X12" i="4"/>
  <c r="T12" i="4"/>
  <c r="R12" i="4"/>
  <c r="O12" i="4"/>
  <c r="K12" i="4"/>
  <c r="E12" i="4"/>
  <c r="R11" i="4"/>
  <c r="T11" i="4" s="1"/>
  <c r="O11" i="4"/>
  <c r="K11" i="4"/>
  <c r="E11" i="4"/>
  <c r="X11" i="4" s="1"/>
  <c r="T10" i="4"/>
  <c r="R10" i="4"/>
  <c r="O10" i="4"/>
  <c r="K10" i="4"/>
  <c r="X10" i="4" s="1"/>
  <c r="E10" i="4"/>
</calcChain>
</file>

<file path=xl/comments1.xml><?xml version="1.0" encoding="utf-8"?>
<comments xmlns="http://schemas.openxmlformats.org/spreadsheetml/2006/main">
  <authors>
    <author>Bindoomatee Hema Gungaram</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<sst xmlns="http://schemas.openxmlformats.org/spreadsheetml/2006/main" count="10431" uniqueCount="4830">
  <si>
    <t>CAPITAL AND RESERVES</t>
  </si>
  <si>
    <t>ASSETS</t>
  </si>
  <si>
    <t>External Assets:</t>
  </si>
  <si>
    <t xml:space="preserve">    Special Drawing Rights</t>
  </si>
  <si>
    <t xml:space="preserve">    Foreign Investments</t>
  </si>
  <si>
    <t>Less:</t>
  </si>
  <si>
    <t>LIABILITIES</t>
  </si>
  <si>
    <t>Notes in Circulation</t>
  </si>
  <si>
    <t>Coin in Circulation</t>
  </si>
  <si>
    <t>Demand Deposits:</t>
  </si>
  <si>
    <t xml:space="preserve">       Government</t>
  </si>
  <si>
    <t xml:space="preserve">       Other Financial Institutions </t>
  </si>
  <si>
    <t xml:space="preserve">       Others</t>
  </si>
  <si>
    <t>Bank of Mauritius Instruments</t>
  </si>
  <si>
    <t xml:space="preserve">    Interest Receivable</t>
  </si>
  <si>
    <t xml:space="preserve">Loans and Advances </t>
  </si>
  <si>
    <t>Property, Plant and Equipment</t>
  </si>
  <si>
    <t xml:space="preserve">    Gold and Foreign Assets</t>
  </si>
  <si>
    <t>Provisions and Other Liabilities</t>
  </si>
  <si>
    <t xml:space="preserve">Rupees        </t>
  </si>
  <si>
    <t>Government Securities</t>
  </si>
  <si>
    <t>Authorised and Paid up Capital</t>
  </si>
  <si>
    <t xml:space="preserve">       Banks</t>
  </si>
  <si>
    <t>Other Assets</t>
  </si>
  <si>
    <t>Source: Accounting and Budgeting Division.</t>
  </si>
  <si>
    <t xml:space="preserve"> </t>
  </si>
  <si>
    <t>Income and Expenditure Account</t>
  </si>
  <si>
    <t>Reserves</t>
  </si>
  <si>
    <t>Table 2: Bank of Mauritius Assets and Liabilities as at end May 2016</t>
  </si>
  <si>
    <t>Table 3a: Consolidated Statement of Assets and Liabilities of Banks as at end- April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</si>
  <si>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</si>
  <si>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</si>
  <si>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</si>
  <si>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</si>
  <si>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</si>
  <si>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</si>
  <si>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</si>
  <si>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</si>
  <si>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</si>
  <si>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</si>
  <si>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</si>
  <si>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</si>
  <si>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</si>
  <si>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</si>
  <si>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</si>
  <si>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</si>
  <si>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</si>
  <si>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</si>
  <si>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</si>
  <si>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</si>
  <si>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</si>
  <si>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</si>
  <si>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</si>
  <si>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</si>
  <si>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</si>
  <si>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</si>
  <si>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</si>
  <si>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</si>
  <si>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</si>
  <si>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</si>
  <si>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</si>
  <si>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</si>
  <si>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</si>
  <si>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</si>
  <si>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</si>
  <si>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</si>
  <si>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</si>
  <si>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</si>
  <si>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</si>
  <si>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</si>
  <si>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</si>
  <si>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</si>
  <si>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end-April 2016</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</si>
  <si>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</si>
  <si>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</si>
  <si>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</si>
  <si>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</si>
  <si>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</si>
  <si>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</si>
  <si>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</si>
  <si>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</si>
  <si>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</si>
  <si>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</si>
  <si>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</si>
  <si>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</si>
  <si>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</si>
  <si>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</si>
  <si>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</si>
  <si>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</si>
  <si>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</si>
  <si>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</si>
  <si>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</si>
  <si>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</si>
  <si>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</si>
  <si>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</si>
  <si>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</si>
  <si>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</si>
  <si>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</si>
  <si>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</si>
  <si>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</si>
  <si>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</si>
  <si>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</si>
  <si>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</si>
  <si>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</si>
  <si>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</si>
  <si>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</si>
  <si>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</si>
  <si>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</si>
  <si>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</si>
  <si>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</si>
  <si>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</si>
  <si>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</si>
  <si>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</si>
  <si>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</si>
  <si>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</si>
  <si>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</si>
  <si>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</si>
  <si>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</si>
  <si>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</si>
  <si>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</si>
  <si>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</si>
  <si>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</si>
  <si>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</si>
  <si>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</si>
  <si>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</si>
  <si>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</si>
  <si>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</si>
  <si>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</si>
  <si>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</si>
  <si>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</si>
  <si>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</si>
  <si>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</si>
  <si>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</si>
  <si>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</si>
  <si>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</si>
  <si>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</si>
  <si>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</si>
  <si>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</si>
  <si>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</si>
  <si>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</si>
  <si>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</si>
  <si>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</si>
  <si>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</si>
  <si>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</si>
  <si>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</si>
  <si>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</si>
  <si>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</si>
  <si>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</si>
  <si>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</si>
  <si>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</si>
  <si>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</si>
  <si>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</si>
  <si>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</si>
  <si>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</si>
  <si>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</si>
  <si>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</si>
  <si>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</si>
  <si>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</si>
  <si>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</si>
  <si>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</si>
  <si>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</si>
  <si>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</si>
  <si>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</si>
  <si>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</si>
  <si>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</si>
  <si>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</si>
  <si>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</si>
  <si>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</si>
  <si>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</si>
  <si>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</si>
  <si>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</si>
  <si>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</si>
  <si>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</si>
  <si>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</si>
  <si>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</si>
  <si>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</si>
  <si>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</si>
  <si>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</si>
  <si>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</si>
  <si>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</si>
  <si>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</si>
  <si>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</si>
  <si>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April 2015  to  April 2016</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</si>
  <si>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</si>
  <si>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</si>
  <si>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</si>
  <si>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</si>
  <si>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</si>
  <si>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</si>
  <si>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</si>
  <si>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</si>
  <si>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</si>
  <si>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</si>
  <si>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</si>
  <si>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</si>
  <si>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</si>
  <si>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</si>
  <si>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</si>
  <si>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</si>
  <si>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</si>
  <si>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</si>
  <si>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</si>
  <si>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</si>
  <si>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</si>
  <si>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</si>
  <si>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</si>
  <si>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</si>
  <si>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</si>
  <si>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</si>
  <si>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</si>
  <si>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</si>
  <si>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</si>
  <si>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</si>
  <si>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</si>
  <si>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</si>
  <si>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</si>
  <si>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</si>
  <si>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</si>
  <si>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</si>
  <si>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</si>
  <si>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</si>
  <si>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</si>
  <si>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</si>
  <si>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</si>
  <si>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</si>
  <si>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</si>
  <si>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</si>
  <si>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</si>
  <si>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</si>
  <si>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</si>
  <si>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</si>
  <si>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</si>
  <si>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</si>
  <si>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</si>
  <si>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</si>
  <si>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</si>
  <si>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</si>
  <si>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</si>
  <si>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</si>
  <si>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</si>
  <si>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April 2015  to April 2016</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</si>
  <si>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</si>
  <si>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</si>
  <si>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</si>
  <si>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</si>
  <si>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</si>
  <si>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</si>
  <si>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</si>
  <si>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</si>
  <si>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</si>
  <si>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</si>
  <si>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</si>
  <si>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</si>
  <si>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</si>
  <si>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</si>
  <si>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</si>
  <si>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</si>
  <si>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</si>
  <si>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</si>
  <si>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</si>
  <si>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</si>
  <si>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April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</si>
  <si>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</si>
  <si>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</si>
  <si>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</si>
  <si>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</si>
  <si>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</si>
  <si>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</si>
  <si>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</si>
  <si>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</si>
  <si>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</si>
  <si>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</si>
  <si>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</si>
  <si>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</si>
  <si>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</si>
  <si>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</si>
  <si>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</si>
  <si>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</si>
  <si>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</si>
  <si>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</si>
  <si>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</si>
  <si>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</si>
  <si>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</si>
  <si>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</si>
  <si>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</si>
  <si>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</si>
  <si>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</si>
  <si>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</si>
  <si>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</si>
  <si>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</si>
  <si>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</si>
  <si>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</si>
  <si>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</si>
  <si>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</si>
  <si>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</si>
  <si>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</si>
  <si>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</si>
  <si>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</si>
  <si>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</si>
  <si>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</si>
  <si>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</si>
  <si>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</si>
  <si>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</si>
  <si>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</si>
  <si>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</si>
  <si>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</si>
  <si>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</si>
  <si>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</si>
  <si>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</si>
  <si>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</si>
  <si>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</si>
  <si>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</si>
  <si>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</si>
  <si>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</si>
  <si>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</si>
  <si>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</si>
  <si>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</si>
  <si>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</si>
  <si>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</si>
  <si>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</si>
  <si>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</si>
  <si>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</si>
  <si>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</si>
  <si>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</si>
  <si>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</si>
  <si>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</si>
  <si>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</si>
  <si>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</si>
  <si>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</si>
  <si>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</si>
  <si>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</si>
  <si>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</si>
  <si>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</si>
  <si>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</si>
  <si>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</si>
  <si>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</si>
  <si>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</si>
  <si>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</si>
  <si>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</si>
  <si>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</si>
  <si>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</si>
  <si>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</si>
  <si>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</si>
  <si>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</si>
  <si>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</si>
  <si>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</si>
  <si>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</si>
  <si>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</si>
  <si>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</si>
  <si>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</si>
  <si>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</si>
  <si>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</si>
  <si>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</si>
  <si>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</si>
  <si>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</si>
  <si>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</si>
  <si>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</si>
  <si>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</si>
  <si>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</si>
  <si>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</si>
  <si>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</si>
  <si>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</si>
  <si>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</si>
  <si>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</si>
  <si>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</si>
  <si>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</si>
  <si>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</si>
  <si>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</si>
  <si>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</si>
  <si>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</si>
  <si>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Rs42,662.4 million at the end of April 2016.</t>
  </si>
  <si>
    <t>Table 6: Banks - Sectorwise Distribution of Credit to the Private Sector: April 2015  to April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</si>
  <si>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</si>
  <si>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</si>
  <si>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</si>
  <si>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</si>
  <si>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</si>
  <si>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</si>
  <si>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</si>
  <si>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</si>
  <si>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</si>
  <si>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</si>
  <si>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</si>
  <si>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</si>
  <si>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</si>
  <si>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</si>
  <si>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</si>
  <si>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</si>
  <si>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</si>
  <si>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</si>
  <si>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</si>
  <si>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</si>
  <si>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</si>
  <si>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</si>
  <si>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</si>
  <si>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</si>
  <si>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</si>
  <si>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</si>
  <si>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</si>
  <si>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April 2015  to April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</si>
  <si>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</si>
  <si>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</si>
  <si>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</si>
  <si>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</si>
  <si>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</si>
  <si>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</si>
  <si>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</si>
  <si>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</si>
  <si>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</si>
  <si>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</si>
  <si>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</si>
  <si>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</si>
  <si>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</si>
  <si>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</si>
  <si>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</si>
  <si>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</si>
  <si>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</si>
  <si>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</si>
  <si>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</si>
  <si>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</si>
  <si>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</si>
  <si>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</si>
  <si>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</si>
  <si>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</si>
  <si>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</si>
  <si>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</si>
  <si>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</si>
  <si>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</si>
  <si>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</si>
  <si>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</si>
  <si>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</si>
  <si>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</si>
  <si>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</si>
  <si>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</si>
  <si>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</si>
  <si>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</si>
  <si>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</si>
  <si>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</si>
  <si>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</si>
  <si>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</si>
  <si>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</si>
  <si>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</si>
  <si>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</si>
  <si>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</si>
  <si>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</si>
  <si>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</si>
  <si>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</si>
  <si>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</si>
  <si>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</si>
  <si>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</si>
  <si>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</si>
  <si>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</si>
  <si>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</si>
  <si>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</si>
  <si>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</si>
  <si>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</si>
  <si>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</si>
  <si>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</si>
  <si>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April 2015 to April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</si>
  <si>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</si>
  <si>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</si>
  <si>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</si>
  <si>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</si>
  <si>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</si>
  <si>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</si>
  <si>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</si>
  <si>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April 2015 to April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</si>
  <si>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</si>
  <si>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</si>
  <si>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</si>
  <si>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</si>
  <si>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April 2015 to April 2016</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</si>
  <si>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</si>
  <si>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</si>
  <si>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</si>
  <si>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</si>
  <si>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April 2015 to April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</si>
  <si>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</si>
  <si>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</si>
  <si>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</si>
  <si>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</si>
  <si>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</si>
  <si>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</si>
  <si>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</si>
  <si>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</si>
  <si>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</si>
  <si>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</si>
  <si>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</si>
  <si>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</si>
  <si>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</si>
  <si>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</si>
  <si>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</si>
  <si>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</si>
  <si>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</si>
  <si>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</si>
  <si>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</si>
  <si>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</si>
  <si>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</si>
  <si>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</si>
  <si>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</si>
  <si>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</si>
  <si>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April 2015 to April 2016</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</si>
  <si>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</si>
  <si>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</si>
  <si>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</si>
  <si>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</si>
  <si>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</si>
  <si>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</si>
  <si>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</si>
  <si>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</si>
  <si>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</si>
  <si>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</si>
  <si>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</si>
  <si>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</si>
  <si>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</si>
  <si>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</si>
  <si>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</si>
  <si>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</si>
  <si>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</si>
  <si>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</si>
  <si>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</si>
  <si>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</si>
  <si>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 (ODC)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</si>
  <si>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</si>
  <si>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</si>
  <si>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April 2015 to April 2016</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</si>
  <si>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</si>
  <si>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</si>
  <si>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</si>
  <si>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</si>
  <si>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</si>
  <si>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</si>
  <si>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</si>
  <si>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</si>
  <si>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</si>
  <si>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</si>
  <si>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</si>
  <si>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</si>
  <si>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</si>
  <si>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</si>
  <si>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</si>
  <si>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</si>
  <si>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</si>
  <si>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</si>
  <si>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</si>
  <si>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April 2015 - March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</si>
  <si>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</si>
  <si>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</si>
  <si>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</si>
  <si>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</si>
  <si>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</si>
  <si>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</si>
  <si>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</si>
  <si>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</si>
  <si>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</si>
  <si>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</si>
  <si>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</si>
  <si>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June 2011 - March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</si>
  <si>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</si>
  <si>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</si>
  <si>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</si>
  <si>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</si>
  <si>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</si>
  <si>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</si>
  <si>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</si>
  <si>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</si>
  <si>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</si>
  <si>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</si>
  <si>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</si>
  <si>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</si>
  <si>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</si>
  <si>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</si>
  <si>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</si>
  <si>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</si>
  <si>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April 2015 to April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</si>
  <si>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</si>
  <si>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</si>
  <si>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</si>
  <si>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</si>
  <si>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</si>
  <si>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</si>
  <si>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</si>
  <si>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</si>
  <si>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</si>
  <si>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</si>
  <si>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</si>
  <si>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</si>
  <si>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</si>
  <si>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</si>
  <si>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</si>
  <si>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6"/>
        <rFont val="Times New Roman"/>
        <family val="1"/>
      </rPr>
      <t xml:space="preserve">1 2 </t>
    </r>
    <r>
      <rPr>
        <b/>
        <sz val="16"/>
        <rFont val="Times New Roman"/>
        <family val="1"/>
      </rPr>
      <t>: April 2015 to April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</si>
  <si>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</si>
  <si>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</si>
  <si>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</si>
  <si>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</si>
  <si>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</si>
  <si>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</si>
  <si>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</si>
  <si>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</si>
  <si>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</si>
  <si>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</si>
  <si>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</si>
  <si>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</si>
  <si>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</si>
  <si>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</si>
  <si>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</si>
  <si>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</si>
  <si>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</si>
  <si>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</si>
  <si>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</si>
  <si>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</si>
  <si>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</si>
  <si>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t xml:space="preserve"> Table 17 : Currency in Circulation: May 2015 to May 2016</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</si>
  <si>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</si>
  <si>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</si>
  <si>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</si>
  <si>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</si>
  <si>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</si>
  <si>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</si>
  <si>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</si>
  <si>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</si>
  <si>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</si>
  <si>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</si>
  <si>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</si>
  <si>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</si>
  <si>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</si>
  <si>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</si>
  <si>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</si>
  <si>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</si>
  <si>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</si>
  <si>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</si>
  <si>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</si>
  <si>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</si>
  <si>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</si>
  <si>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</si>
  <si>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</si>
  <si>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</si>
  <si>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</si>
  <si>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</si>
  <si>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</si>
  <si>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</si>
  <si>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</si>
  <si>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</si>
  <si>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</si>
  <si>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April 2016 and May 2016</t>
  </si>
  <si>
    <t xml:space="preserve">                (Rs million)</t>
  </si>
  <si>
    <t>Auctions held for period</t>
  </si>
  <si>
    <t>02-06 May 2016</t>
  </si>
  <si>
    <t>09-13 May 2016</t>
  </si>
  <si>
    <t>16-20 May 2016</t>
  </si>
  <si>
    <t>23-27 May 2016</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</si>
  <si>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</si>
  <si>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</si>
  <si>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</si>
  <si>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</si>
  <si>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</si>
  <si>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</si>
  <si>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May 2015 to May 2016</t>
  </si>
  <si>
    <t xml:space="preserve">                                                  (Rs million)</t>
  </si>
  <si>
    <t>Amount of Bills put on Tender</t>
  </si>
  <si>
    <t>Total Value of Bids Received</t>
  </si>
  <si>
    <t xml:space="preserve">     91-day</t>
  </si>
  <si>
    <t xml:space="preserve">    182-day</t>
  </si>
  <si>
    <t xml:space="preserve">    273-day</t>
  </si>
  <si>
    <t>-</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</si>
  <si>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</si>
  <si>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</si>
  <si>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</si>
  <si>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</si>
  <si>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</si>
  <si>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</si>
  <si>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</si>
  <si>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</si>
  <si>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May 2016</t>
  </si>
  <si>
    <t>(Per cent per annum)</t>
  </si>
  <si>
    <t>Auctions held on</t>
  </si>
  <si>
    <t>Weighted Yield for :</t>
  </si>
  <si>
    <t xml:space="preserve">91-day </t>
  </si>
  <si>
    <t xml:space="preserve">182-day </t>
  </si>
  <si>
    <t xml:space="preserve">364-day </t>
  </si>
  <si>
    <t>Source: Financial Markets Operations Division.</t>
  </si>
  <si>
    <t>Table 20a: Auctions of  Government of Mauritius Treasury Notes: April 2016 and May 2016</t>
  </si>
  <si>
    <t xml:space="preserve">Amount of Treasury Notes put on Tender </t>
  </si>
  <si>
    <r>
      <t xml:space="preserve">27 April 2016 </t>
    </r>
    <r>
      <rPr>
        <b/>
        <vertAlign val="superscript"/>
        <sz val="11"/>
        <rFont val="Times New Roman"/>
        <family val="1"/>
      </rPr>
      <t xml:space="preserve">1 </t>
    </r>
    <r>
      <rPr>
        <b/>
        <sz val="11"/>
        <rFont val="Times New Roman"/>
        <family val="1"/>
      </rPr>
      <t>- Rs1,300 mn</t>
    </r>
  </si>
  <si>
    <r>
      <t xml:space="preserve">19 May 2016 </t>
    </r>
    <r>
      <rPr>
        <b/>
        <vertAlign val="superscript"/>
        <sz val="11"/>
        <rFont val="Times New Roman"/>
        <family val="1"/>
      </rPr>
      <t xml:space="preserve">2 </t>
    </r>
    <r>
      <rPr>
        <b/>
        <sz val="11"/>
        <rFont val="Times New Roman"/>
        <family val="1"/>
      </rPr>
      <t>- Rs1,400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</si>
  <si>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</si>
  <si>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</si>
  <si>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</si>
  <si>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</si>
  <si>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</si>
  <si>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</si>
  <si>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</si>
  <si>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99.891</t>
  </si>
  <si>
    <t>100.281</t>
  </si>
  <si>
    <t xml:space="preserve">3.59% 3-Year Government of Mauritius Treasury Notes due 19 February 2019 </t>
  </si>
  <si>
    <r>
      <rPr>
        <i/>
        <vertAlign val="superscript"/>
        <sz val="11"/>
        <rFont val="Times New Roman"/>
        <family val="1"/>
      </rPr>
      <t>1</t>
    </r>
    <r>
      <rPr>
        <i/>
        <sz val="11"/>
        <rFont val="Times New Roman"/>
        <family val="1"/>
      </rPr>
      <t xml:space="preserve"> Issue  of 29  April 2016 (Re-Opening)</t>
    </r>
  </si>
  <si>
    <r>
      <rPr>
        <i/>
        <vertAlign val="superscript"/>
        <sz val="11"/>
        <rFont val="Times New Roman"/>
        <family val="1"/>
      </rPr>
      <t>2</t>
    </r>
    <r>
      <rPr>
        <i/>
        <sz val="11"/>
        <rFont val="Times New Roman"/>
        <family val="1"/>
      </rPr>
      <t xml:space="preserve"> Issue  of 24 May 2016 (Re-Opening)</t>
    </r>
  </si>
  <si>
    <t>Table 20b: Auctions of Five-Year Government of Mauritius Bonds: June 2015 to May 2016</t>
  </si>
  <si>
    <t>Auction held on</t>
  </si>
  <si>
    <r>
      <t>02-Jun-15</t>
    </r>
    <r>
      <rPr>
        <b/>
        <vertAlign val="superscript"/>
        <sz val="12"/>
        <rFont val="Times New Roman"/>
        <family val="1"/>
      </rPr>
      <t>1</t>
    </r>
  </si>
  <si>
    <r>
      <t>05-Aug-15</t>
    </r>
    <r>
      <rPr>
        <b/>
        <vertAlign val="superscript"/>
        <sz val="12"/>
        <rFont val="Times New Roman"/>
        <family val="1"/>
      </rPr>
      <t>2</t>
    </r>
  </si>
  <si>
    <r>
      <t>07-Oct-15</t>
    </r>
    <r>
      <rPr>
        <b/>
        <vertAlign val="superscript"/>
        <sz val="12"/>
        <rFont val="Times New Roman"/>
        <family val="1"/>
      </rPr>
      <t>3</t>
    </r>
  </si>
  <si>
    <r>
      <t>02-Dec-15</t>
    </r>
    <r>
      <rPr>
        <b/>
        <vertAlign val="superscript"/>
        <sz val="12"/>
        <rFont val="Times New Roman"/>
        <family val="1"/>
      </rPr>
      <t>4</t>
    </r>
  </si>
  <si>
    <r>
      <t>20-Jan-16</t>
    </r>
    <r>
      <rPr>
        <b/>
        <vertAlign val="superscript"/>
        <sz val="12"/>
        <rFont val="Times New Roman"/>
        <family val="1"/>
      </rPr>
      <t>5</t>
    </r>
  </si>
  <si>
    <r>
      <t>20-Apr-16</t>
    </r>
    <r>
      <rPr>
        <b/>
        <vertAlign val="superscript"/>
        <sz val="12"/>
        <rFont val="Times New Roman"/>
        <family val="1"/>
      </rPr>
      <t>6</t>
    </r>
  </si>
  <si>
    <r>
      <t>18-May-16</t>
    </r>
    <r>
      <rPr>
        <b/>
        <vertAlign val="superscript"/>
        <sz val="12"/>
        <rFont val="Times New Roman"/>
        <family val="1"/>
      </rPr>
      <t>7</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</si>
  <si>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</si>
  <si>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</si>
  <si>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</si>
  <si>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</si>
  <si>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</si>
  <si>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</si>
  <si>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</si>
  <si>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04 June 2015 (New Benchmark)</t>
    </r>
  </si>
  <si>
    <r>
      <t xml:space="preserve">5 </t>
    </r>
    <r>
      <rPr>
        <i/>
        <sz val="11"/>
        <rFont val="Times New Roman"/>
        <family val="1"/>
      </rPr>
      <t>Issue of 22 January 2016 (Re-Opening)</t>
    </r>
  </si>
  <si>
    <r>
      <t xml:space="preserve">2 </t>
    </r>
    <r>
      <rPr>
        <i/>
        <sz val="11"/>
        <rFont val="Times New Roman"/>
        <family val="1"/>
      </rPr>
      <t>Issue of 07 August 2015 (Re-Opening)</t>
    </r>
  </si>
  <si>
    <r>
      <t xml:space="preserve">6 </t>
    </r>
    <r>
      <rPr>
        <i/>
        <sz val="11"/>
        <rFont val="Times New Roman"/>
        <family val="1"/>
      </rPr>
      <t>Issue of 22 April 2016 (Re-Opening)</t>
    </r>
  </si>
  <si>
    <r>
      <t xml:space="preserve">3 </t>
    </r>
    <r>
      <rPr>
        <i/>
        <sz val="11"/>
        <rFont val="Times New Roman"/>
        <family val="1"/>
      </rPr>
      <t>Issue of 09 October 2015 (Re-Opening)</t>
    </r>
  </si>
  <si>
    <r>
      <t xml:space="preserve">7 </t>
    </r>
    <r>
      <rPr>
        <i/>
        <sz val="11"/>
        <rFont val="Times New Roman"/>
        <family val="1"/>
      </rPr>
      <t>Issue of 20 May 2016 (New Benchmark)</t>
    </r>
  </si>
  <si>
    <r>
      <t>4</t>
    </r>
    <r>
      <rPr>
        <i/>
        <sz val="11"/>
        <rFont val="Times New Roman"/>
        <family val="1"/>
      </rPr>
      <t>Issue of 04 December 2015 (New Benchmark)</t>
    </r>
  </si>
  <si>
    <t>Table 20c: Auction of Ten-Year Government of Mauritius Bonds: February 2016 and May 2016</t>
  </si>
  <si>
    <r>
      <t xml:space="preserve">03-February-16 </t>
    </r>
    <r>
      <rPr>
        <b/>
        <vertAlign val="superscript"/>
        <sz val="14"/>
        <rFont val="Times New Roman"/>
        <family val="1"/>
      </rPr>
      <t>1</t>
    </r>
  </si>
  <si>
    <r>
      <t xml:space="preserve">11-May-16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</si>
  <si>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</si>
  <si>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</si>
  <si>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</si>
  <si>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</si>
  <si>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</si>
  <si>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</si>
  <si>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</si>
  <si>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05 February 2016  due 05 February 2026</t>
    </r>
  </si>
  <si>
    <r>
      <t xml:space="preserve">2 </t>
    </r>
    <r>
      <rPr>
        <i/>
        <sz val="12"/>
        <rFont val="Times New Roman"/>
        <family val="1"/>
      </rPr>
      <t>Issue of  13 May 2016  due 13 May 2026</t>
    </r>
  </si>
  <si>
    <t>Table 20d: Auction of Fifteen-Year Government of Mauritius Bonds: July 2015 and November 2015</t>
  </si>
  <si>
    <r>
      <t>15-July-15</t>
    </r>
    <r>
      <rPr>
        <b/>
        <vertAlign val="superscript"/>
        <sz val="14"/>
        <rFont val="Times New Roman"/>
        <family val="1"/>
      </rPr>
      <t xml:space="preserve"> 1</t>
    </r>
  </si>
  <si>
    <r>
      <t>10-November-15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</si>
  <si>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17 July 2015 due 17 July 2030</t>
    </r>
  </si>
  <si>
    <r>
      <rPr>
        <i/>
        <vertAlign val="superscript"/>
        <sz val="12"/>
        <rFont val="Times New Roman"/>
        <family val="1"/>
      </rPr>
      <t>2</t>
    </r>
    <r>
      <rPr>
        <i/>
        <sz val="12"/>
        <rFont val="Times New Roman"/>
        <family val="1"/>
      </rPr>
      <t xml:space="preserve"> Issue of 13 November 2015 due 13 November 2030</t>
    </r>
  </si>
  <si>
    <t>Table 20e: Auction of Fifteen-Year Inflation-Indexed Government of Mauritius Bonds: May 2015 and March 2016</t>
  </si>
  <si>
    <r>
      <t xml:space="preserve">20-May-2015 </t>
    </r>
    <r>
      <rPr>
        <b/>
        <vertAlign val="superscript"/>
        <sz val="14"/>
        <rFont val="Times New Roman"/>
        <family val="1"/>
      </rPr>
      <t>1</t>
    </r>
  </si>
  <si>
    <r>
      <t xml:space="preserve">09-March-2016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</si>
  <si>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</si>
  <si>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</si>
  <si>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</si>
  <si>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22 May 2015 due 22 May 2030</t>
    </r>
  </si>
  <si>
    <r>
      <t xml:space="preserve">2 </t>
    </r>
    <r>
      <rPr>
        <i/>
        <sz val="12"/>
        <rFont val="Times New Roman"/>
        <family val="1"/>
      </rPr>
      <t>Issue of 11 March 2016 due 11 March 2031</t>
    </r>
  </si>
  <si>
    <t>Table 20f: Auction of Twenty-Year Government of Mauritius Bonds: January 2016 and April 2016</t>
  </si>
  <si>
    <r>
      <t xml:space="preserve">13-January-16 </t>
    </r>
    <r>
      <rPr>
        <b/>
        <vertAlign val="superscript"/>
        <sz val="14"/>
        <rFont val="Times New Roman"/>
        <family val="1"/>
      </rPr>
      <t>1</t>
    </r>
  </si>
  <si>
    <r>
      <t xml:space="preserve">13-April-16 </t>
    </r>
    <r>
      <rPr>
        <b/>
        <vertAlign val="superscript"/>
        <sz val="14"/>
        <rFont val="Times New Roman"/>
        <family val="1"/>
      </rPr>
      <t>2</t>
    </r>
  </si>
  <si>
    <r>
      <t xml:space="preserve">1 </t>
    </r>
    <r>
      <rPr>
        <i/>
        <sz val="12"/>
        <rFont val="Times New Roman"/>
        <family val="1"/>
      </rPr>
      <t>Issue of  15 January 2016  due 15 January 2036</t>
    </r>
  </si>
  <si>
    <r>
      <t xml:space="preserve">2 </t>
    </r>
    <r>
      <rPr>
        <i/>
        <sz val="12"/>
        <rFont val="Times New Roman"/>
        <family val="1"/>
      </rPr>
      <t>Issue of  15 April 2016  due 15 April 2036</t>
    </r>
  </si>
  <si>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</si>
  <si>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</si>
  <si>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</si>
  <si>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</si>
  <si>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</si>
  <si>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</si>
  <si>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</si>
  <si>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</si>
  <si>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</si>
  <si>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</si>
  <si>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</si>
  <si>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</si>
  <si>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</si>
  <si>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</si>
  <si>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</si>
  <si>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</si>
  <si>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</si>
  <si>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</si>
  <si>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</si>
  <si>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</si>
  <si>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</si>
  <si>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</si>
  <si>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</si>
  <si>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</si>
  <si>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</si>
  <si>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</si>
  <si>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</si>
  <si>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</si>
  <si>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</si>
  <si>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</si>
  <si>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</si>
  <si>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</si>
  <si>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</si>
  <si>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</si>
  <si>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</si>
  <si>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</si>
  <si>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</si>
  <si>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</si>
  <si>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</si>
  <si>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</si>
  <si>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</si>
  <si>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March 2016 and May 2016</t>
  </si>
  <si>
    <r>
      <t xml:space="preserve">Auction held on 01 March 2016 </t>
    </r>
    <r>
      <rPr>
        <b/>
        <vertAlign val="superscript"/>
        <sz val="14"/>
        <rFont val="Times New Roman"/>
        <family val="1"/>
      </rPr>
      <t>1</t>
    </r>
  </si>
  <si>
    <r>
      <t xml:space="preserve">Auction held on 23 May 2016 </t>
    </r>
    <r>
      <rPr>
        <b/>
        <vertAlign val="superscript"/>
        <sz val="14"/>
        <rFont val="Times New Roman"/>
        <family val="1"/>
      </rPr>
      <t xml:space="preserve">2 </t>
    </r>
  </si>
  <si>
    <t>2Y-BOMN</t>
  </si>
  <si>
    <t>4Y-BOMN</t>
  </si>
  <si>
    <r>
      <t xml:space="preserve"> Amount  of Notes put on Tender </t>
    </r>
    <r>
      <rPr>
        <b/>
        <i/>
        <sz val="12"/>
        <rFont val="Times New Roman"/>
        <family val="1"/>
      </rPr>
      <t>(Rs mn)</t>
    </r>
  </si>
  <si>
    <r>
      <t xml:space="preserve"> Interest Rate</t>
    </r>
    <r>
      <rPr>
        <b/>
        <i/>
        <sz val="12"/>
        <rFont val="Times New Roman"/>
        <family val="1"/>
      </rPr>
      <t xml:space="preserve"> (% p.a.)</t>
    </r>
  </si>
  <si>
    <t>99.141</t>
  </si>
  <si>
    <t>99.558</t>
  </si>
  <si>
    <r>
      <rPr>
        <i/>
        <vertAlign val="superscript"/>
        <sz val="11"/>
        <rFont val="Times New Roman"/>
        <family val="1"/>
      </rPr>
      <t>1</t>
    </r>
    <r>
      <rPr>
        <i/>
        <sz val="11"/>
        <rFont val="Times New Roman"/>
        <family val="1"/>
      </rPr>
      <t xml:space="preserve"> 3.35% 2-Year Bank of Mauritius Notes due 02 March 2018:</t>
    </r>
  </si>
  <si>
    <r>
      <rPr>
        <i/>
        <vertAlign val="superscript"/>
        <sz val="11"/>
        <rFont val="Times New Roman"/>
        <family val="1"/>
      </rPr>
      <t>2</t>
    </r>
    <r>
      <rPr>
        <i/>
        <sz val="11"/>
        <rFont val="Times New Roman"/>
        <family val="1"/>
      </rPr>
      <t xml:space="preserve"> 3.58% 4-Year Bank of Mauritius Notes due 24 May 2020:</t>
    </r>
  </si>
  <si>
    <t xml:space="preserve">  Issue of 02 March 2016 </t>
  </si>
  <si>
    <t xml:space="preserve">  Issue of 24 May 2016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</si>
  <si>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</si>
  <si>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</si>
  <si>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</si>
  <si>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</si>
  <si>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</si>
  <si>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</si>
  <si>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</si>
  <si>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</si>
  <si>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</si>
  <si>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</si>
  <si>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</si>
  <si>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</si>
  <si>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</si>
  <si>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</si>
  <si>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</si>
  <si>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</si>
  <si>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May 2015 to May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</si>
  <si>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</si>
  <si>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</si>
  <si>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</si>
  <si>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</si>
  <si>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</si>
  <si>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</si>
  <si>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May 2016</t>
  </si>
  <si>
    <t>MDLS/GOM Bonds</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</si>
  <si>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</si>
  <si>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</si>
  <si>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</si>
  <si>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</si>
  <si>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</si>
  <si>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</si>
  <si>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</si>
  <si>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</si>
  <si>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</si>
  <si>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</si>
  <si>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</si>
  <si>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</si>
  <si>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</si>
  <si>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</si>
  <si>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</si>
  <si>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</si>
  <si>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</si>
  <si>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</si>
  <si>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</si>
  <si>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</si>
  <si>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</si>
  <si>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 xml:space="preserve">Figures include: </t>
  </si>
  <si>
    <t>(1)  Government of Mauritius Savings Notes and Bonds</t>
  </si>
  <si>
    <t>(2) Government of Mauritius Treasury Bills issued for liquidity management since September 2015</t>
  </si>
  <si>
    <t>Table 25a: Primary Dealers Transactions: May 2016</t>
  </si>
  <si>
    <t>Band</t>
  </si>
  <si>
    <t>Duration</t>
  </si>
  <si>
    <t>Number of</t>
  </si>
  <si>
    <t>Value</t>
  </si>
  <si>
    <t>(No of Days)</t>
  </si>
  <si>
    <t>Up to 30</t>
  </si>
  <si>
    <t>1.00-2.20</t>
  </si>
  <si>
    <t xml:space="preserve">31 to 60 </t>
  </si>
  <si>
    <t>1.25-2.55</t>
  </si>
  <si>
    <t>61 to 90</t>
  </si>
  <si>
    <t>2.15-2.62</t>
  </si>
  <si>
    <t>91 to 135</t>
  </si>
  <si>
    <t>2.20-2.75</t>
  </si>
  <si>
    <t>136 to 180</t>
  </si>
  <si>
    <t xml:space="preserve">181 to 240  </t>
  </si>
  <si>
    <t>1.65-2.97</t>
  </si>
  <si>
    <t xml:space="preserve">241 to 300 </t>
  </si>
  <si>
    <t>301 to 364</t>
  </si>
  <si>
    <t>2.50-3.06</t>
  </si>
  <si>
    <t>365 to 485</t>
  </si>
  <si>
    <t>486 to 606</t>
  </si>
  <si>
    <t>607 to 728</t>
  </si>
  <si>
    <t>1.00-2.79</t>
  </si>
  <si>
    <t>1.00-3.06</t>
  </si>
  <si>
    <t>Table 25b: Primary Dealers Transactions: May 2015 to May 2016</t>
  </si>
  <si>
    <t>02-06 May 16</t>
  </si>
  <si>
    <t>09-13 May 16</t>
  </si>
  <si>
    <t>1.60-3.01</t>
  </si>
  <si>
    <t>16-20 May 16</t>
  </si>
  <si>
    <t>1.85-2.50</t>
  </si>
  <si>
    <t>23-27 May 16</t>
  </si>
  <si>
    <t>1.65-2.71</t>
  </si>
  <si>
    <t>30-31 May 16</t>
  </si>
  <si>
    <t>1.45-2.20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</si>
  <si>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</si>
  <si>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</si>
  <si>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</si>
  <si>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</si>
  <si>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</si>
  <si>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</si>
  <si>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</si>
  <si>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</si>
  <si>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</si>
  <si>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</si>
  <si>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</si>
  <si>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</si>
  <si>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</si>
  <si>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</si>
  <si>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</si>
  <si>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</si>
  <si>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</si>
  <si>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</si>
  <si>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</si>
  <si>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</si>
  <si>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</si>
  <si>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</si>
  <si>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</si>
  <si>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</si>
  <si>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</si>
  <si>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</si>
  <si>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</si>
  <si>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</si>
  <si>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</si>
  <si>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</si>
  <si>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</si>
  <si>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</si>
  <si>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</si>
  <si>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</si>
  <si>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</si>
  <si>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</si>
  <si>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</si>
  <si>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</si>
  <si>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</si>
  <si>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</si>
  <si>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</si>
  <si>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</si>
  <si>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</si>
  <si>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</si>
  <si>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</si>
  <si>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</si>
  <si>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</si>
  <si>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</si>
  <si>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</si>
  <si>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</si>
  <si>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</si>
  <si>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</si>
  <si>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</si>
  <si>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</si>
  <si>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</si>
  <si>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</si>
  <si>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</si>
  <si>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</si>
  <si>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</si>
  <si>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</si>
  <si>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</si>
  <si>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</si>
  <si>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</si>
  <si>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</si>
  <si>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</si>
  <si>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</si>
  <si>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</si>
  <si>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</si>
  <si>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</si>
  <si>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</si>
  <si>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</si>
  <si>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</si>
  <si>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</si>
  <si>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</si>
  <si>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</si>
  <si>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</si>
  <si>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</si>
  <si>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</si>
  <si>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</si>
  <si>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</si>
  <si>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</si>
  <si>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</si>
  <si>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</si>
  <si>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</si>
  <si>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</si>
  <si>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</si>
  <si>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</si>
  <si>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</si>
  <si>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</si>
  <si>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</si>
  <si>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</si>
  <si>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</si>
  <si>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</si>
  <si>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</si>
  <si>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</si>
  <si>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</si>
  <si>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</si>
  <si>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</si>
  <si>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</si>
  <si>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</si>
  <si>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</si>
  <si>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</si>
  <si>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</si>
  <si>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</si>
  <si>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</si>
  <si>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</si>
  <si>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</si>
  <si>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</si>
  <si>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</si>
  <si>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</si>
  <si>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</si>
  <si>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</si>
  <si>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</si>
  <si>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</si>
  <si>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</si>
  <si>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</si>
  <si>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</si>
  <si>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</si>
  <si>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</si>
  <si>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</si>
  <si>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</si>
  <si>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</si>
  <si>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</si>
  <si>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</si>
  <si>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</si>
  <si>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</si>
  <si>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</si>
  <si>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</si>
  <si>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</si>
  <si>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</si>
  <si>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</si>
  <si>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</si>
  <si>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</si>
  <si>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</si>
  <si>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</si>
  <si>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</si>
  <si>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</si>
  <si>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</si>
  <si>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</si>
  <si>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</si>
  <si>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</si>
  <si>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</si>
  <si>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</si>
  <si>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</si>
  <si>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</si>
  <si>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</si>
  <si>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</si>
  <si>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</si>
  <si>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</si>
  <si>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</si>
  <si>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</si>
  <si>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</si>
  <si>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</si>
  <si>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</si>
  <si>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</si>
  <si>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</si>
  <si>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</si>
  <si>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</si>
  <si>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0.75-3.13</t>
  </si>
  <si>
    <t>1.10-3.28</t>
  </si>
  <si>
    <t>1.35-4.20</t>
  </si>
  <si>
    <t>1.50-3.88</t>
  </si>
  <si>
    <t>1.05-3.68</t>
  </si>
  <si>
    <t>1.20-2.90</t>
  </si>
  <si>
    <t>0.75-2.93</t>
  </si>
  <si>
    <t>Note: With effect from 01 April 2016, the number of Primary Dealers has decreased from nine to eight.</t>
  </si>
  <si>
    <t>Table 26: Secondary Market Activity: May 2015 to May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</si>
  <si>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</si>
  <si>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</si>
  <si>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</si>
  <si>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</si>
  <si>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</si>
  <si>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</si>
  <si>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</si>
  <si>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</si>
  <si>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</si>
  <si>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</si>
  <si>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</si>
  <si>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</si>
  <si>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</si>
  <si>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</si>
  <si>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</si>
  <si>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</si>
  <si>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</si>
  <si>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</si>
  <si>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</si>
  <si>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</si>
  <si>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</si>
  <si>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</si>
  <si>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</si>
  <si>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02-06 May</t>
  </si>
  <si>
    <t>09-13 May</t>
  </si>
  <si>
    <t>16-20 May</t>
  </si>
  <si>
    <t>23-27 May</t>
  </si>
  <si>
    <t>30-31 May</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</si>
  <si>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</si>
  <si>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</si>
  <si>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</si>
  <si>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</si>
  <si>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</si>
  <si>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May 2015 to May 2016</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</si>
  <si>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</si>
  <si>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</si>
  <si>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</si>
  <si>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</si>
  <si>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</si>
  <si>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</si>
  <si>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</si>
  <si>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</si>
  <si>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</si>
  <si>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</si>
  <si>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01-05 May</t>
  </si>
  <si>
    <t>1.40-2.00</t>
  </si>
  <si>
    <t>06-12 May</t>
  </si>
  <si>
    <t>1.38-1.45</t>
  </si>
  <si>
    <t>13-19 May</t>
  </si>
  <si>
    <t>20-26 May</t>
  </si>
  <si>
    <t>27-31 May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</si>
  <si>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</si>
  <si>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</si>
  <si>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</si>
  <si>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</si>
  <si>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</si>
  <si>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</si>
  <si>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</si>
  <si>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</si>
  <si>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</si>
  <si>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</si>
  <si>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</si>
  <si>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</si>
  <si>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</si>
  <si>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</si>
  <si>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</si>
  <si>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</si>
  <si>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</si>
  <si>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</si>
  <si>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</si>
  <si>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</si>
  <si>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</si>
  <si>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</si>
  <si>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</si>
  <si>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</si>
  <si>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</si>
  <si>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</si>
  <si>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</si>
  <si>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</si>
  <si>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</si>
  <si>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</si>
  <si>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</si>
  <si>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</si>
  <si>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</si>
  <si>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</si>
  <si>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</si>
  <si>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</si>
  <si>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</si>
  <si>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</si>
  <si>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</si>
  <si>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</si>
  <si>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</si>
  <si>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</si>
  <si>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</si>
  <si>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</si>
  <si>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</si>
  <si>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</si>
  <si>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</si>
  <si>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</si>
  <si>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</si>
  <si>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</si>
  <si>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</si>
  <si>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</si>
  <si>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</si>
  <si>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</si>
  <si>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</si>
  <si>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</si>
  <si>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</si>
  <si>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</si>
  <si>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</si>
  <si>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</si>
  <si>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</si>
  <si>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</si>
  <si>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</si>
  <si>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</si>
  <si>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</si>
  <si>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</si>
  <si>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</si>
  <si>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</si>
  <si>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</si>
  <si>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</si>
  <si>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</si>
  <si>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</si>
  <si>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</si>
  <si>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</si>
  <si>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</si>
  <si>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</si>
  <si>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</si>
  <si>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</si>
  <si>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</si>
  <si>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</si>
  <si>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</si>
  <si>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</si>
  <si>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</si>
  <si>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</si>
  <si>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</si>
  <si>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</si>
  <si>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</si>
  <si>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</si>
  <si>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</si>
  <si>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</si>
  <si>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</si>
  <si>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</si>
  <si>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</si>
  <si>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</si>
  <si>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</si>
  <si>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</si>
  <si>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</si>
  <si>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</si>
  <si>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</si>
  <si>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</si>
  <si>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</si>
  <si>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</si>
  <si>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</si>
  <si>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</si>
  <si>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</si>
  <si>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</si>
  <si>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</si>
  <si>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</si>
  <si>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</si>
  <si>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</si>
  <si>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</si>
  <si>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</si>
  <si>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</si>
  <si>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</si>
  <si>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</si>
  <si>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</si>
  <si>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</si>
  <si>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</si>
  <si>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</si>
  <si>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</si>
  <si>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</si>
  <si>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</si>
  <si>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</si>
  <si>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</si>
  <si>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</si>
  <si>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</si>
  <si>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</si>
  <si>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</si>
  <si>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</si>
  <si>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</si>
  <si>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</si>
  <si>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</si>
  <si>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</si>
  <si>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</si>
  <si>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</si>
  <si>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</si>
  <si>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</si>
  <si>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</si>
  <si>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</si>
  <si>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</si>
  <si>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</si>
  <si>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</si>
  <si>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</si>
  <si>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</si>
  <si>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</si>
  <si>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</si>
  <si>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</si>
  <si>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</si>
  <si>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</si>
  <si>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</si>
  <si>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</si>
  <si>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</si>
  <si>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</si>
  <si>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</si>
  <si>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</si>
  <si>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</si>
  <si>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</si>
  <si>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</si>
  <si>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</si>
  <si>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</si>
  <si>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</si>
  <si>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</si>
  <si>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</si>
  <si>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</si>
  <si>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</si>
  <si>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</si>
  <si>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May 2015 to May 2016</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</si>
  <si>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</si>
  <si>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</si>
  <si>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</si>
  <si>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</si>
  <si>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</si>
  <si>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</si>
  <si>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</si>
  <si>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</si>
  <si>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</si>
  <si>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</si>
  <si>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</si>
  <si>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</si>
  <si>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</si>
  <si>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</si>
  <si>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</si>
  <si>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</si>
  <si>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</si>
  <si>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</si>
  <si>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</si>
  <si>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</si>
  <si>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</si>
  <si>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</si>
  <si>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</si>
  <si>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</si>
  <si>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</si>
  <si>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</si>
  <si>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</si>
  <si>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</si>
  <si>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</si>
  <si>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</si>
  <si>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</si>
  <si>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</si>
  <si>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</si>
  <si>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</si>
  <si>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</si>
  <si>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</si>
  <si>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</si>
  <si>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</si>
  <si>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</si>
  <si>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</si>
  <si>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</si>
  <si>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</si>
  <si>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</si>
  <si>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</si>
  <si>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</si>
  <si>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</si>
  <si>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</si>
  <si>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</si>
  <si>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</si>
  <si>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</si>
  <si>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</si>
  <si>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</si>
  <si>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</si>
  <si>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</si>
  <si>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</si>
  <si>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</si>
  <si>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</si>
  <si>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</si>
  <si>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1.20-1.70</t>
  </si>
  <si>
    <t>1.40-1.55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</si>
  <si>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</si>
  <si>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</si>
  <si>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</si>
  <si>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</si>
  <si>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</si>
  <si>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</si>
  <si>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</si>
  <si>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</si>
  <si>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</si>
  <si>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</si>
  <si>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</si>
  <si>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</si>
  <si>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</si>
  <si>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</si>
  <si>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</si>
  <si>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</si>
  <si>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</si>
  <si>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</si>
  <si>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</si>
  <si>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</si>
  <si>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</si>
  <si>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</si>
  <si>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</si>
  <si>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29 May 2014 to 26 May 2016</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</si>
  <si>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</si>
  <si>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</si>
  <si>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</si>
  <si>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</si>
  <si>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</si>
  <si>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</si>
  <si>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</si>
  <si>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</si>
  <si>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</si>
  <si>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</si>
  <si>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</si>
  <si>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</si>
  <si>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</si>
  <si>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</si>
  <si>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</si>
  <si>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</si>
  <si>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</si>
  <si>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</si>
  <si>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</si>
  <si>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</si>
  <si>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</si>
  <si>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</si>
  <si>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</si>
  <si>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</si>
  <si>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</si>
  <si>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</si>
  <si>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</si>
  <si>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</si>
  <si>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</si>
  <si>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i/>
        <sz val="10"/>
        <rFont val="Times New Roman"/>
        <family val="1"/>
      </rPr>
      <t xml:space="preserve">Note: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</si>
  <si>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May 2016</t>
  </si>
  <si>
    <t>Daily Average</t>
  </si>
  <si>
    <t>(Rs'000)</t>
  </si>
  <si>
    <t xml:space="preserve"> Number  of</t>
  </si>
  <si>
    <t>Cheques</t>
  </si>
  <si>
    <t>Days</t>
  </si>
  <si>
    <t xml:space="preserve"> (Rs'000)</t>
  </si>
  <si>
    <t>Source: Payment Systems Division.</t>
  </si>
  <si>
    <t>Table 30: Principal Interest Rates: April 2015 to April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</si>
  <si>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</si>
  <si>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</si>
  <si>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</si>
  <si>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</si>
  <si>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</si>
  <si>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</si>
  <si>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</si>
  <si>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</si>
  <si>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</si>
  <si>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</si>
  <si>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</si>
  <si>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</si>
  <si>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</si>
  <si>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</si>
  <si>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</si>
  <si>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</si>
  <si>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</si>
  <si>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</si>
  <si>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</si>
  <si>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</si>
  <si>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</si>
  <si>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</si>
  <si>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</si>
  <si>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</si>
  <si>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</si>
  <si>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</si>
  <si>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</si>
  <si>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</si>
  <si>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</si>
  <si>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</si>
  <si>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</si>
  <si>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</si>
  <si>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</si>
  <si>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</si>
  <si>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</si>
  <si>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</si>
  <si>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</si>
  <si>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</si>
  <si>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</si>
  <si>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</si>
  <si>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</si>
  <si>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</si>
  <si>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</si>
  <si>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</si>
  <si>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</si>
  <si>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</si>
  <si>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</si>
  <si>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</si>
  <si>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</si>
  <si>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</si>
  <si>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</si>
  <si>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</si>
  <si>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</si>
  <si>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</si>
  <si>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</si>
  <si>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</si>
  <si>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</si>
  <si>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</si>
  <si>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</si>
  <si>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</si>
  <si>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</si>
  <si>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</si>
  <si>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</si>
  <si>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</si>
  <si>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</si>
  <si>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</si>
  <si>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</si>
  <si>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</si>
  <si>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</si>
  <si>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</si>
  <si>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</si>
  <si>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</si>
  <si>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</si>
  <si>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</si>
  <si>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</si>
  <si>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</si>
  <si>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</si>
  <si>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</si>
  <si>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</si>
  <si>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</si>
  <si>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</si>
  <si>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</si>
  <si>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</si>
  <si>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</si>
  <si>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</si>
  <si>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</si>
  <si>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</si>
  <si>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</si>
  <si>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</si>
  <si>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</si>
  <si>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</si>
  <si>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</si>
  <si>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</si>
  <si>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</si>
  <si>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</si>
  <si>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</si>
  <si>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</si>
  <si>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</si>
  <si>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</si>
  <si>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</si>
  <si>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</si>
  <si>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</si>
  <si>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</si>
  <si>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</si>
  <si>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</si>
  <si>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</si>
  <si>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</si>
  <si>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</si>
  <si>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</si>
  <si>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</si>
  <si>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</si>
  <si>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</si>
  <si>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</si>
  <si>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</si>
  <si>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</si>
  <si>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</si>
  <si>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</si>
  <si>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</si>
  <si>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</si>
  <si>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</si>
  <si>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</si>
  <si>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</si>
  <si>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</si>
  <si>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</si>
  <si>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</si>
  <si>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</si>
  <si>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</si>
  <si>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</si>
  <si>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</si>
  <si>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</si>
  <si>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</si>
  <si>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</si>
  <si>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</si>
  <si>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</si>
  <si>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</si>
  <si>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</si>
  <si>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</si>
  <si>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</si>
  <si>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</si>
  <si>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</si>
  <si>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</si>
  <si>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</si>
  <si>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</si>
  <si>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</si>
  <si>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</si>
  <si>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</si>
  <si>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</si>
  <si>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</si>
  <si>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</si>
  <si>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</si>
  <si>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</si>
  <si>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</si>
  <si>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</si>
  <si>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</si>
  <si>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</si>
  <si>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</si>
  <si>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</si>
  <si>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</si>
  <si>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</si>
  <si>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</si>
  <si>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</si>
  <si>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</si>
  <si>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</si>
  <si>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</si>
  <si>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</si>
  <si>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</si>
  <si>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</si>
  <si>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</si>
  <si>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</si>
  <si>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</si>
  <si>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</si>
  <si>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</si>
  <si>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</si>
  <si>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</si>
  <si>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</si>
  <si>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</si>
  <si>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</si>
  <si>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</si>
  <si>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</si>
  <si>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</si>
  <si>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</si>
  <si>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</si>
  <si>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</si>
  <si>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</si>
  <si>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</si>
  <si>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</si>
  <si>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</si>
  <si>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</si>
  <si>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</si>
  <si>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</si>
  <si>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</si>
  <si>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</si>
  <si>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</si>
  <si>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</si>
  <si>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</si>
  <si>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</si>
  <si>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</si>
  <si>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</si>
  <si>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</si>
  <si>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</si>
  <si>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</si>
  <si>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</si>
  <si>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</si>
  <si>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</si>
  <si>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</si>
  <si>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</si>
  <si>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</si>
  <si>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</si>
  <si>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</si>
  <si>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</si>
  <si>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</si>
  <si>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</si>
  <si>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</si>
  <si>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</si>
  <si>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</si>
  <si>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</si>
  <si>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</si>
  <si>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</si>
  <si>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</si>
  <si>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</si>
  <si>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</si>
  <si>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</si>
  <si>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</si>
  <si>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</si>
  <si>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</si>
  <si>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</si>
  <si>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</si>
  <si>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</si>
  <si>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</si>
  <si>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</si>
  <si>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</si>
  <si>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</si>
  <si>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</si>
  <si>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</si>
  <si>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</si>
  <si>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</si>
  <si>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</si>
  <si>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</si>
  <si>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</si>
  <si>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</si>
  <si>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</si>
  <si>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</si>
  <si>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</si>
  <si>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</si>
  <si>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</si>
  <si>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</si>
  <si>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</si>
  <si>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</si>
  <si>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</si>
  <si>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</si>
  <si>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</si>
  <si>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</si>
  <si>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</si>
  <si>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</si>
  <si>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</si>
  <si>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</si>
  <si>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</si>
  <si>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</si>
  <si>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</si>
  <si>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</si>
  <si>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</si>
  <si>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</si>
  <si>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</si>
  <si>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</si>
  <si>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</si>
  <si>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</si>
  <si>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</si>
  <si>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</si>
  <si>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</si>
  <si>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</si>
  <si>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</si>
  <si>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</si>
  <si>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</si>
  <si>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</si>
  <si>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</si>
  <si>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</si>
  <si>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</si>
  <si>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</si>
  <si>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</si>
  <si>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</si>
  <si>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</si>
  <si>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</si>
  <si>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</si>
  <si>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</si>
  <si>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</si>
  <si>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</si>
  <si>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</si>
  <si>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</si>
  <si>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</si>
  <si>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</si>
  <si>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</si>
  <si>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</si>
  <si>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</si>
  <si>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</si>
  <si>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</si>
  <si>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</si>
  <si>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</si>
  <si>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</si>
  <si>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</si>
  <si>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</si>
  <si>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</si>
  <si>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</si>
  <si>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</si>
  <si>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</si>
  <si>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</si>
  <si>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</si>
  <si>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</si>
  <si>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</si>
  <si>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</si>
  <si>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</si>
  <si>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</si>
  <si>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</si>
  <si>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</si>
  <si>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</si>
  <si>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</si>
  <si>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</si>
  <si>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</si>
  <si>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</si>
  <si>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</si>
  <si>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</si>
  <si>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</si>
  <si>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</si>
  <si>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</si>
  <si>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</si>
  <si>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</si>
  <si>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</si>
  <si>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</si>
  <si>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</si>
  <si>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</si>
  <si>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</si>
  <si>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</si>
  <si>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</si>
  <si>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</si>
  <si>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</si>
  <si>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</si>
  <si>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</si>
  <si>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</si>
  <si>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</si>
  <si>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</si>
  <si>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</si>
  <si>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</si>
  <si>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</si>
  <si>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</si>
  <si>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</si>
  <si>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</si>
  <si>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</si>
  <si>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</si>
  <si>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</si>
  <si>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</si>
  <si>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</si>
  <si>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</si>
  <si>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</si>
  <si>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</si>
  <si>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</si>
  <si>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</si>
  <si>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</si>
  <si>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</si>
  <si>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</si>
  <si>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</si>
  <si>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</si>
  <si>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</si>
  <si>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</si>
  <si>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</si>
  <si>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</si>
  <si>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</si>
  <si>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</si>
  <si>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</si>
  <si>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</si>
  <si>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</si>
  <si>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</si>
  <si>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</si>
  <si>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</si>
  <si>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</si>
  <si>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</si>
  <si>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</si>
  <si>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</si>
  <si>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</si>
  <si>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</si>
  <si>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</si>
  <si>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</si>
  <si>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</si>
  <si>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</si>
  <si>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</si>
  <si>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</si>
  <si>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</si>
  <si>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</si>
  <si>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</si>
  <si>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</si>
  <si>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</si>
  <si>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</si>
  <si>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</si>
  <si>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</si>
  <si>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</si>
  <si>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</si>
  <si>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</si>
  <si>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</si>
  <si>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</si>
  <si>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</si>
  <si>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</si>
  <si>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</si>
  <si>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</si>
  <si>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</si>
  <si>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</si>
  <si>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</si>
  <si>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</si>
  <si>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</si>
  <si>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</si>
  <si>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</si>
  <si>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</si>
  <si>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</si>
  <si>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</si>
  <si>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</si>
  <si>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</si>
  <si>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</si>
  <si>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</si>
  <si>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</si>
  <si>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</si>
  <si>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</si>
  <si>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</si>
  <si>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</si>
  <si>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</si>
  <si>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</si>
  <si>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</si>
  <si>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</si>
  <si>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</si>
  <si>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</si>
  <si>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</si>
  <si>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</si>
  <si>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</si>
  <si>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</si>
  <si>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</si>
  <si>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</si>
  <si>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</si>
  <si>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</si>
  <si>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</si>
  <si>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</si>
  <si>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</si>
  <si>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</si>
  <si>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</si>
  <si>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</si>
  <si>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</si>
  <si>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</si>
  <si>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</si>
  <si>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</si>
  <si>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</si>
  <si>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</si>
  <si>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</si>
  <si>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</si>
  <si>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</si>
  <si>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</si>
  <si>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</si>
  <si>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</si>
  <si>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</si>
  <si>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</si>
  <si>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</si>
  <si>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</si>
  <si>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</si>
  <si>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</si>
  <si>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</si>
  <si>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</si>
  <si>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</si>
  <si>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</si>
  <si>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</si>
  <si>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</si>
  <si>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</si>
  <si>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</si>
  <si>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</si>
  <si>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</si>
  <si>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</si>
  <si>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</si>
  <si>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</si>
  <si>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</si>
  <si>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</si>
  <si>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</si>
  <si>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</si>
  <si>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</si>
  <si>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</si>
  <si>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</si>
  <si>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</si>
  <si>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</si>
  <si>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</si>
  <si>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</si>
  <si>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</si>
  <si>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</si>
  <si>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</si>
  <si>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</si>
  <si>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</si>
  <si>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</si>
  <si>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</si>
  <si>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</si>
  <si>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</si>
  <si>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</si>
  <si>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</si>
  <si>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</si>
  <si>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</si>
  <si>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</si>
  <si>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</si>
  <si>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</si>
  <si>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</si>
  <si>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</si>
  <si>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</si>
  <si>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</si>
  <si>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</si>
  <si>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</si>
  <si>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</si>
  <si>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</si>
  <si>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</si>
  <si>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</si>
  <si>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</si>
  <si>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</si>
  <si>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</si>
  <si>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</si>
  <si>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</si>
  <si>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</si>
  <si>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</si>
  <si>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</si>
  <si>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</si>
  <si>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</si>
  <si>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</si>
  <si>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</si>
  <si>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</si>
  <si>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</si>
  <si>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</si>
  <si>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</si>
  <si>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</si>
  <si>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</si>
  <si>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</si>
  <si>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</si>
  <si>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</si>
  <si>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</si>
  <si>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</si>
  <si>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</si>
  <si>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</si>
  <si>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</si>
  <si>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</si>
  <si>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</si>
  <si>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</si>
  <si>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</si>
  <si>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</si>
  <si>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</si>
  <si>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</si>
  <si>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</si>
  <si>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</si>
  <si>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</si>
  <si>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</si>
  <si>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</si>
  <si>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</si>
  <si>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</si>
  <si>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</si>
  <si>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</si>
  <si>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</si>
  <si>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</si>
  <si>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</si>
  <si>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</si>
  <si>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</si>
  <si>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</si>
  <si>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</si>
  <si>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</si>
  <si>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</si>
  <si>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</si>
  <si>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</si>
  <si>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</si>
  <si>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</si>
  <si>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</si>
  <si>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</si>
  <si>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</si>
  <si>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</si>
  <si>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</si>
  <si>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</si>
  <si>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</si>
  <si>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</si>
  <si>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</si>
  <si>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</si>
  <si>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</si>
  <si>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</si>
  <si>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</si>
  <si>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</si>
  <si>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</si>
  <si>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</si>
  <si>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</si>
  <si>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</si>
  <si>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</si>
  <si>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</si>
  <si>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</si>
  <si>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</si>
  <si>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</si>
  <si>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</si>
  <si>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</si>
  <si>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</si>
  <si>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</si>
  <si>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</si>
  <si>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</si>
  <si>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</si>
  <si>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</si>
  <si>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</si>
  <si>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</si>
  <si>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</si>
  <si>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</si>
  <si>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</si>
  <si>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</si>
  <si>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</si>
  <si>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</si>
  <si>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</si>
  <si>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</si>
  <si>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</si>
  <si>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</si>
  <si>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</si>
  <si>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</si>
  <si>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</si>
  <si>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</si>
  <si>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</si>
  <si>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</si>
  <si>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</si>
  <si>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</si>
  <si>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</si>
  <si>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</si>
  <si>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</si>
  <si>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</si>
  <si>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</si>
  <si>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</si>
  <si>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</si>
  <si>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</si>
  <si>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</si>
  <si>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</si>
  <si>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</si>
  <si>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</si>
  <si>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</si>
  <si>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</si>
  <si>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</si>
  <si>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</si>
  <si>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</si>
  <si>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</si>
  <si>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</si>
  <si>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</si>
  <si>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</si>
  <si>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</si>
  <si>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</si>
  <si>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</si>
  <si>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</si>
  <si>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</si>
  <si>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</si>
  <si>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</si>
  <si>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</si>
  <si>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</si>
  <si>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</si>
  <si>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</si>
  <si>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</si>
  <si>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</si>
  <si>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</si>
  <si>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</si>
  <si>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</si>
  <si>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</si>
  <si>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</si>
  <si>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</si>
  <si>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</si>
  <si>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</si>
  <si>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</si>
  <si>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</si>
  <si>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</si>
  <si>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</si>
  <si>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</si>
  <si>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</si>
  <si>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</si>
  <si>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</si>
  <si>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</si>
  <si>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</si>
  <si>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</si>
  <si>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</si>
  <si>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</si>
  <si>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</si>
  <si>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</si>
  <si>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</si>
  <si>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</si>
  <si>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</si>
  <si>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</si>
  <si>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</si>
  <si>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</si>
  <si>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</si>
  <si>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</si>
  <si>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</si>
  <si>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</si>
  <si>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</si>
  <si>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</si>
  <si>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</si>
  <si>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</si>
  <si>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</si>
  <si>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</si>
  <si>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</si>
  <si>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</si>
  <si>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</si>
  <si>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</si>
  <si>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</si>
  <si>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</si>
  <si>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</si>
  <si>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</si>
  <si>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</si>
  <si>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</si>
  <si>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</si>
  <si>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</si>
  <si>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</si>
  <si>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</si>
  <si>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</si>
  <si>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</si>
  <si>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</si>
  <si>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</si>
  <si>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</si>
  <si>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</si>
  <si>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</si>
  <si>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</si>
  <si>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</si>
  <si>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</si>
  <si>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</si>
  <si>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</si>
  <si>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</si>
  <si>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</si>
  <si>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</si>
  <si>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</si>
  <si>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</si>
  <si>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</si>
  <si>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</si>
  <si>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</si>
  <si>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</si>
  <si>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</si>
  <si>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</si>
  <si>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</si>
  <si>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</si>
  <si>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</si>
  <si>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</si>
  <si>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</si>
  <si>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</si>
  <si>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</si>
  <si>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</si>
  <si>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</si>
  <si>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</si>
  <si>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</si>
  <si>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</si>
  <si>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</si>
  <si>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</si>
  <si>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</si>
  <si>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</si>
  <si>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</si>
  <si>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</si>
  <si>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</si>
  <si>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</si>
  <si>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</si>
  <si>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</si>
  <si>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</si>
  <si>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</si>
  <si>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</si>
  <si>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</si>
  <si>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</si>
  <si>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</si>
  <si>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</si>
  <si>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</si>
  <si>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</si>
  <si>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</si>
  <si>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</si>
  <si>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</si>
  <si>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</si>
  <si>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</si>
  <si>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</si>
  <si>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</si>
  <si>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</si>
  <si>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</si>
  <si>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</si>
  <si>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</si>
  <si>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</si>
  <si>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</si>
  <si>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</si>
  <si>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</si>
  <si>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</si>
  <si>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</si>
  <si>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</si>
  <si>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</si>
  <si>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</si>
  <si>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</si>
  <si>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</si>
  <si>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</si>
  <si>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</si>
  <si>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</si>
  <si>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</si>
  <si>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</si>
  <si>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</si>
  <si>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</si>
  <si>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</si>
  <si>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</si>
  <si>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</si>
  <si>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</si>
  <si>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</si>
  <si>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</si>
  <si>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</si>
  <si>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</si>
  <si>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</si>
  <si>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</si>
  <si>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</si>
  <si>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</si>
  <si>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</si>
  <si>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</si>
  <si>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</si>
  <si>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</si>
  <si>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</si>
  <si>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</si>
  <si>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</si>
  <si>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</si>
  <si>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</si>
  <si>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</si>
  <si>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</si>
  <si>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</si>
  <si>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</si>
  <si>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</si>
  <si>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</si>
  <si>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</si>
  <si>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</si>
  <si>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</si>
  <si>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</si>
  <si>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</si>
  <si>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</si>
  <si>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</si>
  <si>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</si>
  <si>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</si>
  <si>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</si>
  <si>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</si>
  <si>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</si>
  <si>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</si>
  <si>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</si>
  <si>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</si>
  <si>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</si>
  <si>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</si>
  <si>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</si>
  <si>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</si>
  <si>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</si>
  <si>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</si>
  <si>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</si>
  <si>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</si>
  <si>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</si>
  <si>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</si>
  <si>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</si>
  <si>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</si>
  <si>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</si>
  <si>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</si>
  <si>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</si>
  <si>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</si>
  <si>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</si>
  <si>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</si>
  <si>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</si>
  <si>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</si>
  <si>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</si>
  <si>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</si>
  <si>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</si>
  <si>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</si>
  <si>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</si>
  <si>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</si>
  <si>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</si>
  <si>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</si>
  <si>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</si>
  <si>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</si>
  <si>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</si>
  <si>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</si>
  <si>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</si>
  <si>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</si>
  <si>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</si>
  <si>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</si>
  <si>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</si>
  <si>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</si>
  <si>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</si>
  <si>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</si>
  <si>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</si>
  <si>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</si>
  <si>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</si>
  <si>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</si>
  <si>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</si>
  <si>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</si>
  <si>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</si>
  <si>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</si>
  <si>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</si>
  <si>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</si>
  <si>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</si>
  <si>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</si>
  <si>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</si>
  <si>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</si>
  <si>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</si>
  <si>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</si>
  <si>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</si>
  <si>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</si>
  <si>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</si>
  <si>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</si>
  <si>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</si>
  <si>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</si>
  <si>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</si>
  <si>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</si>
  <si>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</si>
  <si>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</si>
  <si>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</si>
  <si>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</si>
  <si>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</si>
  <si>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</si>
  <si>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</si>
  <si>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</si>
  <si>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</si>
  <si>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</si>
  <si>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</si>
  <si>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</si>
  <si>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</si>
  <si>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</si>
  <si>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</si>
  <si>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</si>
  <si>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</si>
  <si>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</si>
  <si>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</si>
  <si>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</si>
  <si>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</si>
  <si>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</si>
  <si>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</si>
  <si>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</si>
  <si>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</si>
  <si>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</si>
  <si>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</si>
  <si>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</si>
  <si>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</si>
  <si>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</si>
  <si>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</si>
  <si>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</si>
  <si>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</si>
  <si>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</si>
  <si>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</si>
  <si>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</si>
  <si>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</si>
  <si>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</si>
  <si>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</si>
  <si>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</si>
  <si>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</si>
  <si>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</si>
  <si>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</si>
  <si>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</si>
  <si>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</si>
  <si>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</si>
  <si>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</si>
  <si>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</si>
  <si>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</si>
  <si>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</si>
  <si>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</si>
  <si>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</si>
  <si>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</si>
  <si>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</si>
  <si>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</si>
  <si>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</si>
  <si>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</si>
  <si>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</si>
  <si>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</si>
  <si>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</si>
  <si>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</si>
  <si>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</si>
  <si>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</si>
  <si>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</si>
  <si>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</si>
  <si>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</si>
  <si>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</si>
  <si>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</si>
  <si>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</si>
  <si>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</si>
  <si>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</si>
  <si>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</si>
  <si>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</si>
  <si>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</si>
  <si>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</si>
  <si>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</si>
  <si>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</si>
  <si>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</si>
  <si>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</si>
  <si>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</si>
  <si>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</si>
  <si>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</si>
  <si>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</si>
  <si>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</si>
  <si>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</si>
  <si>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</si>
  <si>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</si>
  <si>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</si>
  <si>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</si>
  <si>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</si>
  <si>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</si>
  <si>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</si>
  <si>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</si>
  <si>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</si>
  <si>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</si>
  <si>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</si>
  <si>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</si>
  <si>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</si>
  <si>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</si>
  <si>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</si>
  <si>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</si>
  <si>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</si>
  <si>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</si>
  <si>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</si>
  <si>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</si>
  <si>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</si>
  <si>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</si>
  <si>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</si>
  <si>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</si>
  <si>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</si>
  <si>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</si>
  <si>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</si>
  <si>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</si>
  <si>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</si>
  <si>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</si>
  <si>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</si>
  <si>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</si>
  <si>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</si>
  <si>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</si>
  <si>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</si>
  <si>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</si>
  <si>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</si>
  <si>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</si>
  <si>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</si>
  <si>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</si>
  <si>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</si>
  <si>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</si>
  <si>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</si>
  <si>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</si>
  <si>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</si>
  <si>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</si>
  <si>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</si>
  <si>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</si>
  <si>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</si>
  <si>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</si>
  <si>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</si>
  <si>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</si>
  <si>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</si>
  <si>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</si>
  <si>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</si>
  <si>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</si>
  <si>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</si>
  <si>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</si>
  <si>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</si>
  <si>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</si>
  <si>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</si>
  <si>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</si>
  <si>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</si>
  <si>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</si>
  <si>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</si>
  <si>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</si>
  <si>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</si>
  <si>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</si>
  <si>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</si>
  <si>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</si>
  <si>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</si>
  <si>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</si>
  <si>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</si>
  <si>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</si>
  <si>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</si>
  <si>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</si>
  <si>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</si>
  <si>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</si>
  <si>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</si>
  <si>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</si>
  <si>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</si>
  <si>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</si>
  <si>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</si>
  <si>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</si>
  <si>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</si>
  <si>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</si>
  <si>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</si>
  <si>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</si>
  <si>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</si>
  <si>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</si>
  <si>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</si>
  <si>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</si>
  <si>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</si>
  <si>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</si>
  <si>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</si>
  <si>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</si>
  <si>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</si>
  <si>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</si>
  <si>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</si>
  <si>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</si>
  <si>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</si>
  <si>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</si>
  <si>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</si>
  <si>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</si>
  <si>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</si>
  <si>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</si>
  <si>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</si>
  <si>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</si>
  <si>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</si>
  <si>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</si>
  <si>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</si>
  <si>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</si>
  <si>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</si>
  <si>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</si>
  <si>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</si>
  <si>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</si>
  <si>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</si>
  <si>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</si>
  <si>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</si>
  <si>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</si>
  <si>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</si>
  <si>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</si>
  <si>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</si>
  <si>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</si>
  <si>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</si>
  <si>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</si>
  <si>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</si>
  <si>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</si>
  <si>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</si>
  <si>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</si>
  <si>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</si>
  <si>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</si>
  <si>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</si>
  <si>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</si>
  <si>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</si>
  <si>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</si>
  <si>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</si>
  <si>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</si>
  <si>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</si>
  <si>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</si>
  <si>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</si>
  <si>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</si>
  <si>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</si>
  <si>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</si>
  <si>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</si>
  <si>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</si>
  <si>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</si>
  <si>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</si>
  <si>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</si>
  <si>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</si>
  <si>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</si>
  <si>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</si>
  <si>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</si>
  <si>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</si>
  <si>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</si>
  <si>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</si>
  <si>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</si>
  <si>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</si>
  <si>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</si>
  <si>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</si>
  <si>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</si>
  <si>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</si>
  <si>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</si>
  <si>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</si>
  <si>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</si>
  <si>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</si>
  <si>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</si>
  <si>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</si>
  <si>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</si>
  <si>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</si>
  <si>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</si>
  <si>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</si>
  <si>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</si>
  <si>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</si>
  <si>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</si>
  <si>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</si>
  <si>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</si>
  <si>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</si>
  <si>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</si>
  <si>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</si>
  <si>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</si>
  <si>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</si>
  <si>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</si>
  <si>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</si>
  <si>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</si>
  <si>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</si>
  <si>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</si>
  <si>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</si>
  <si>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</si>
  <si>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</si>
  <si>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</si>
  <si>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</si>
  <si>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</si>
  <si>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</si>
  <si>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</si>
  <si>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</si>
  <si>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</si>
  <si>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</si>
  <si>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</si>
  <si>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</si>
  <si>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</si>
  <si>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</si>
  <si>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</si>
  <si>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</si>
  <si>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</si>
  <si>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</si>
  <si>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</si>
  <si>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</si>
  <si>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</si>
  <si>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</si>
  <si>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</si>
  <si>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</si>
  <si>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</si>
  <si>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</si>
  <si>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</si>
  <si>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</si>
  <si>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</si>
  <si>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</si>
  <si>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</si>
  <si>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</si>
  <si>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</si>
  <si>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</si>
  <si>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</si>
  <si>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</si>
  <si>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</si>
  <si>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</si>
  <si>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</si>
  <si>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</si>
  <si>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</si>
  <si>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</si>
  <si>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</si>
  <si>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</si>
  <si>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</si>
  <si>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</si>
  <si>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 xml:space="preserve">        19. Education</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</si>
  <si>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</si>
  <si>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</si>
  <si>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</si>
  <si>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</si>
  <si>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</si>
  <si>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</si>
  <si>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</si>
  <si>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</si>
  <si>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</si>
  <si>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</si>
  <si>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</si>
  <si>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</si>
  <si>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</si>
  <si>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</si>
  <si>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</si>
  <si>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</si>
  <si>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</si>
  <si>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</si>
  <si>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</si>
  <si>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</si>
  <si>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</si>
  <si>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</si>
  <si>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</si>
  <si>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</si>
  <si>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</si>
  <si>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</si>
  <si>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</si>
  <si>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</si>
  <si>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</si>
  <si>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</si>
  <si>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</si>
  <si>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</si>
  <si>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</si>
  <si>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</si>
  <si>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</si>
  <si>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</si>
  <si>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</si>
  <si>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</si>
  <si>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</si>
  <si>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</si>
  <si>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</si>
  <si>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</si>
  <si>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</si>
  <si>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</si>
  <si>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</si>
  <si>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</si>
  <si>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</si>
  <si>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</si>
  <si>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</si>
  <si>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</si>
  <si>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</si>
  <si>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</si>
  <si>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</si>
  <si>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</si>
  <si>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</si>
  <si>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</si>
  <si>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</si>
  <si>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</si>
  <si>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</si>
  <si>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</si>
  <si>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</si>
  <si>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</si>
  <si>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</si>
  <si>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</si>
  <si>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</si>
  <si>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</si>
  <si>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</si>
  <si>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</si>
  <si>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</si>
  <si>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</si>
  <si>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</si>
  <si>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</si>
  <si>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</si>
  <si>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</si>
  <si>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</si>
  <si>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</si>
  <si>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</si>
  <si>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</si>
  <si>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</si>
  <si>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</si>
  <si>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</si>
  <si>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</si>
  <si>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</si>
  <si>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</si>
  <si>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</si>
  <si>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</si>
  <si>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</si>
  <si>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</si>
  <si>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</si>
  <si>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</si>
  <si>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</si>
  <si>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</si>
  <si>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</si>
  <si>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</si>
  <si>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</si>
  <si>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</si>
  <si>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</si>
  <si>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</si>
  <si>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</si>
  <si>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</si>
  <si>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</si>
  <si>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</si>
  <si>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</si>
  <si>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</si>
  <si>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</si>
  <si>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</si>
  <si>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</si>
  <si>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</si>
  <si>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</si>
  <si>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</si>
  <si>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</si>
  <si>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</si>
  <si>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</si>
  <si>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</si>
  <si>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</si>
  <si>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</si>
  <si>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</si>
  <si>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</si>
  <si>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</si>
  <si>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</si>
  <si>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</si>
  <si>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</si>
  <si>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</si>
  <si>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</si>
  <si>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</si>
  <si>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</si>
  <si>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</si>
  <si>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</si>
  <si>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</si>
  <si>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</si>
  <si>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</si>
  <si>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</si>
  <si>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</si>
  <si>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</si>
  <si>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</si>
  <si>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</si>
  <si>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</si>
  <si>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</si>
  <si>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</si>
  <si>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</si>
  <si>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</si>
  <si>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</si>
  <si>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</si>
  <si>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</si>
  <si>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</si>
  <si>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</si>
  <si>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</si>
  <si>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</si>
  <si>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</si>
  <si>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</si>
  <si>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</si>
  <si>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</si>
  <si>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</si>
  <si>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</si>
  <si>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</si>
  <si>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</si>
  <si>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</si>
  <si>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</si>
  <si>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</si>
  <si>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</si>
  <si>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</si>
  <si>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</si>
  <si>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</si>
  <si>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</si>
  <si>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</si>
  <si>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</si>
  <si>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</si>
  <si>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</si>
  <si>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</si>
  <si>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</si>
  <si>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</si>
  <si>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</si>
  <si>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</si>
  <si>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</si>
  <si>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</si>
  <si>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</si>
  <si>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</si>
  <si>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</si>
  <si>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</si>
  <si>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</si>
  <si>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</si>
  <si>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</si>
  <si>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</si>
  <si>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</si>
  <si>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</si>
  <si>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</si>
  <si>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</si>
  <si>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</si>
  <si>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</si>
  <si>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</si>
  <si>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</si>
  <si>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</si>
  <si>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</si>
  <si>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</si>
  <si>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</si>
  <si>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</si>
  <si>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</si>
  <si>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</si>
  <si>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</si>
  <si>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</si>
  <si>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</si>
  <si>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</si>
  <si>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</si>
  <si>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</si>
  <si>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</si>
  <si>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</si>
  <si>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</si>
  <si>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</si>
  <si>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</si>
  <si>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</si>
  <si>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</si>
  <si>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</si>
  <si>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</si>
  <si>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</si>
  <si>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</si>
  <si>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</si>
  <si>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</si>
  <si>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</si>
  <si>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</si>
  <si>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</si>
  <si>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</si>
  <si>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</si>
  <si>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</si>
  <si>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</si>
  <si>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</si>
  <si>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</si>
  <si>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</si>
  <si>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</si>
  <si>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</si>
  <si>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</si>
  <si>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</si>
  <si>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</si>
  <si>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</si>
  <si>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</si>
  <si>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</si>
  <si>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</si>
  <si>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</si>
  <si>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</si>
  <si>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</si>
  <si>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</si>
  <si>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</si>
  <si>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</si>
  <si>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</si>
  <si>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</si>
  <si>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</si>
  <si>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</si>
  <si>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</si>
  <si>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</si>
  <si>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</si>
  <si>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</si>
  <si>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</si>
  <si>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</si>
  <si>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</si>
  <si>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</si>
  <si>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</si>
  <si>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</si>
  <si>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</si>
  <si>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</si>
  <si>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</si>
  <si>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</si>
  <si>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</si>
  <si>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</si>
  <si>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</si>
  <si>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</si>
  <si>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</si>
  <si>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</si>
  <si>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</si>
  <si>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</si>
  <si>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</si>
  <si>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</si>
  <si>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</si>
  <si>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</si>
  <si>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</si>
  <si>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</si>
  <si>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</si>
  <si>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</si>
  <si>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</si>
  <si>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</si>
  <si>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</si>
  <si>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</si>
  <si>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</si>
  <si>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</si>
  <si>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</si>
  <si>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</si>
  <si>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</si>
  <si>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</si>
  <si>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</si>
  <si>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</si>
  <si>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</si>
  <si>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</si>
  <si>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</si>
  <si>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</si>
  <si>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</si>
  <si>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</si>
  <si>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</si>
  <si>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</si>
  <si>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</si>
  <si>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</si>
  <si>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</si>
  <si>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</si>
  <si>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</si>
  <si>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</si>
  <si>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</si>
  <si>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</si>
  <si>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</si>
  <si>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</si>
  <si>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</si>
  <si>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</si>
  <si>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</si>
  <si>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</si>
  <si>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</si>
  <si>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</si>
  <si>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</si>
  <si>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</si>
  <si>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</si>
  <si>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</si>
  <si>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</si>
  <si>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</si>
  <si>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</si>
  <si>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</si>
  <si>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</si>
  <si>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</si>
  <si>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</si>
  <si>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</si>
  <si>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</si>
  <si>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</si>
  <si>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</si>
  <si>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</si>
  <si>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</si>
  <si>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</si>
  <si>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</si>
  <si>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</si>
  <si>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</si>
  <si>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</si>
  <si>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</si>
  <si>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</si>
  <si>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</si>
  <si>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</si>
  <si>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</si>
  <si>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</si>
  <si>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</si>
  <si>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</si>
  <si>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</si>
  <si>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</si>
  <si>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</si>
  <si>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</si>
  <si>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</si>
  <si>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</si>
  <si>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</si>
  <si>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</si>
  <si>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</si>
  <si>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</si>
  <si>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</si>
  <si>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</si>
  <si>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</si>
  <si>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</si>
  <si>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</si>
  <si>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</si>
  <si>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</si>
  <si>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</si>
  <si>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</si>
  <si>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</si>
  <si>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</si>
  <si>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</si>
  <si>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</si>
  <si>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</si>
  <si>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</si>
  <si>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</si>
  <si>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</si>
  <si>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</si>
  <si>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</si>
  <si>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</si>
  <si>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</si>
  <si>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</si>
  <si>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</si>
  <si>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</si>
  <si>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</si>
  <si>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</si>
  <si>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</si>
  <si>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</si>
  <si>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</si>
  <si>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</si>
  <si>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</si>
  <si>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</si>
  <si>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</si>
  <si>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</si>
  <si>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</si>
  <si>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</si>
  <si>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</si>
  <si>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</si>
  <si>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</si>
  <si>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</si>
  <si>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</si>
  <si>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</si>
  <si>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</si>
  <si>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</si>
  <si>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</si>
  <si>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</si>
  <si>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</si>
  <si>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</si>
  <si>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</si>
  <si>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</si>
  <si>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</si>
  <si>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</si>
  <si>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</si>
  <si>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</si>
  <si>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</si>
  <si>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</si>
  <si>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</si>
  <si>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</si>
  <si>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</si>
  <si>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</si>
  <si>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</si>
  <si>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</si>
  <si>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</si>
  <si>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</si>
  <si>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</si>
  <si>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</si>
  <si>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</si>
  <si>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</si>
  <si>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</si>
  <si>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</si>
  <si>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</si>
  <si>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</si>
  <si>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</si>
  <si>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</si>
  <si>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</si>
  <si>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</si>
  <si>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</si>
  <si>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</si>
  <si>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</si>
  <si>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</si>
  <si>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</si>
  <si>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</si>
  <si>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</si>
  <si>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</si>
  <si>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</si>
  <si>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</si>
  <si>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</si>
  <si>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</si>
  <si>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</si>
  <si>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</si>
  <si>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</si>
  <si>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</si>
  <si>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</si>
  <si>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</si>
  <si>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</si>
  <si>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</si>
  <si>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</si>
  <si>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</si>
  <si>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</si>
  <si>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</si>
  <si>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</si>
  <si>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</si>
  <si>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</si>
  <si>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</si>
  <si>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</si>
  <si>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</si>
  <si>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</si>
  <si>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</si>
  <si>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</si>
  <si>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</si>
  <si>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</si>
  <si>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</si>
  <si>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</si>
  <si>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</si>
  <si>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</si>
  <si>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</si>
  <si>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</si>
  <si>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</si>
  <si>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</si>
  <si>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</si>
  <si>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</si>
  <si>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</si>
  <si>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</si>
  <si>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</si>
  <si>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</si>
  <si>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</si>
  <si>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</si>
  <si>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</si>
  <si>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</si>
  <si>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</si>
  <si>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</si>
  <si>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</si>
  <si>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</si>
  <si>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</si>
  <si>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</si>
  <si>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</si>
  <si>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</si>
  <si>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</si>
  <si>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</si>
  <si>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</si>
  <si>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</si>
  <si>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</si>
  <si>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</si>
  <si>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</si>
  <si>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</si>
  <si>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</si>
  <si>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</si>
  <si>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</si>
  <si>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</si>
  <si>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</si>
  <si>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</si>
  <si>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</si>
  <si>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</si>
  <si>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</si>
  <si>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</si>
  <si>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</si>
  <si>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</si>
  <si>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</si>
  <si>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</si>
  <si>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</si>
  <si>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</si>
  <si>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</si>
  <si>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</si>
  <si>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</si>
  <si>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</si>
  <si>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</si>
  <si>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</si>
  <si>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</si>
  <si>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</si>
  <si>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</si>
  <si>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</si>
  <si>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</si>
  <si>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</si>
  <si>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</si>
  <si>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</si>
  <si>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</si>
  <si>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</si>
  <si>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</si>
  <si>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</si>
  <si>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</si>
  <si>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</si>
  <si>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</si>
  <si>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</si>
  <si>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</si>
  <si>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</si>
  <si>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</si>
  <si>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</si>
  <si>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</si>
  <si>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</si>
  <si>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</si>
  <si>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</si>
  <si>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</si>
  <si>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</si>
  <si>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</si>
  <si>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</si>
  <si>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</si>
  <si>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</si>
  <si>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</si>
  <si>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</si>
  <si>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</si>
  <si>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</si>
  <si>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</si>
  <si>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</si>
  <si>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</si>
  <si>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</si>
  <si>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</si>
  <si>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</si>
  <si>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</si>
  <si>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</si>
  <si>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</si>
  <si>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</si>
  <si>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</si>
  <si>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</si>
  <si>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</si>
  <si>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</si>
  <si>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</si>
  <si>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</si>
  <si>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</si>
  <si>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</si>
  <si>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</si>
  <si>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</si>
  <si>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</si>
  <si>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</si>
  <si>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</si>
  <si>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</si>
  <si>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</si>
  <si>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</si>
  <si>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</si>
  <si>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</si>
  <si>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</si>
  <si>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</si>
  <si>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</si>
  <si>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</si>
  <si>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</si>
  <si>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</si>
  <si>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</si>
  <si>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</si>
  <si>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</si>
  <si>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</si>
  <si>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</si>
  <si>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</si>
  <si>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</si>
  <si>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</si>
  <si>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</si>
  <si>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</si>
  <si>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</si>
  <si>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</si>
  <si>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</si>
  <si>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</si>
  <si>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</si>
  <si>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</si>
  <si>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</si>
  <si>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</si>
  <si>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</si>
  <si>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</si>
  <si>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</si>
  <si>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</si>
  <si>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</si>
  <si>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</si>
  <si>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</si>
  <si>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</si>
  <si>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</si>
  <si>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</si>
  <si>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</si>
  <si>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</si>
  <si>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</si>
  <si>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</si>
  <si>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</si>
  <si>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</si>
  <si>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</si>
  <si>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</si>
  <si>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</si>
  <si>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</si>
  <si>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</si>
  <si>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</si>
  <si>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</si>
  <si>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</si>
  <si>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</si>
  <si>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</si>
  <si>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</si>
  <si>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</si>
  <si>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</si>
  <si>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</si>
  <si>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</si>
  <si>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</si>
  <si>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</si>
  <si>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</si>
  <si>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</si>
  <si>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</si>
  <si>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</si>
  <si>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</si>
  <si>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</si>
  <si>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</si>
  <si>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</si>
  <si>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</si>
  <si>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</si>
  <si>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</si>
  <si>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</si>
  <si>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</si>
  <si>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</si>
  <si>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</si>
  <si>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</si>
  <si>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</si>
  <si>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</si>
  <si>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</si>
  <si>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</si>
  <si>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</si>
  <si>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</si>
  <si>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</si>
  <si>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</si>
  <si>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</si>
  <si>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</si>
  <si>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</si>
  <si>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</si>
  <si>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</si>
  <si>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</si>
  <si>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</si>
  <si>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</si>
  <si>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</si>
  <si>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</si>
  <si>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</si>
  <si>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</si>
  <si>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</si>
  <si>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</si>
  <si>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</si>
  <si>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</si>
  <si>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</si>
  <si>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</si>
  <si>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</si>
  <si>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</si>
  <si>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</si>
  <si>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</si>
  <si>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</si>
  <si>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</si>
  <si>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</si>
  <si>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</si>
  <si>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</si>
  <si>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</si>
  <si>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</si>
  <si>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</si>
  <si>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</si>
  <si>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</si>
  <si>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</si>
  <si>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</si>
  <si>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</si>
  <si>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</si>
  <si>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</si>
  <si>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</si>
  <si>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</si>
  <si>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</si>
  <si>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</si>
  <si>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</si>
  <si>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</si>
  <si>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</si>
  <si>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</si>
  <si>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</si>
  <si>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</si>
  <si>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</si>
  <si>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</si>
  <si>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</si>
  <si>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</si>
  <si>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</si>
  <si>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</si>
  <si>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</si>
  <si>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</si>
  <si>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</si>
  <si>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</si>
  <si>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</si>
  <si>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</si>
  <si>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</si>
  <si>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</si>
  <si>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</si>
  <si>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</si>
  <si>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</si>
  <si>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</si>
  <si>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</si>
  <si>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</si>
  <si>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</si>
  <si>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</si>
  <si>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</si>
  <si>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</si>
  <si>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</si>
  <si>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</si>
  <si>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</si>
  <si>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</si>
  <si>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</si>
  <si>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</si>
  <si>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</si>
  <si>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</si>
  <si>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</si>
  <si>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</si>
  <si>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</si>
  <si>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</si>
  <si>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</si>
  <si>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</si>
  <si>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</si>
  <si>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</si>
  <si>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</si>
  <si>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</si>
  <si>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</si>
  <si>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</si>
  <si>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</si>
  <si>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</si>
  <si>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</si>
  <si>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</si>
  <si>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</si>
  <si>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</si>
  <si>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</si>
  <si>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</si>
  <si>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</si>
  <si>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</si>
  <si>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</si>
  <si>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</si>
  <si>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</si>
  <si>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</si>
  <si>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</si>
  <si>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</si>
  <si>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</si>
  <si>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</si>
  <si>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</si>
  <si>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</si>
  <si>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</si>
  <si>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</si>
  <si>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</si>
  <si>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</si>
  <si>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</si>
  <si>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</si>
  <si>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</si>
  <si>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</si>
  <si>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</si>
  <si>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</si>
  <si>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</si>
  <si>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</si>
  <si>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</si>
  <si>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</si>
  <si>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</si>
  <si>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</si>
  <si>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</si>
  <si>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</si>
  <si>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</si>
  <si>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</si>
  <si>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</si>
  <si>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</si>
  <si>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</si>
  <si>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</si>
  <si>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</si>
  <si>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</si>
  <si>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</si>
  <si>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</si>
  <si>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</si>
  <si>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</si>
  <si>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</si>
  <si>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</si>
  <si>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</si>
  <si>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</si>
  <si>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</si>
  <si>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</si>
  <si>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</si>
  <si>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</si>
  <si>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</si>
  <si>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</si>
  <si>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</si>
  <si>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</si>
  <si>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</si>
  <si>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</si>
  <si>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</si>
  <si>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</si>
  <si>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</si>
  <si>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</si>
  <si>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</si>
  <si>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</si>
  <si>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</si>
  <si>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</si>
  <si>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</si>
  <si>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</si>
  <si>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</si>
  <si>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</si>
  <si>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</si>
  <si>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</si>
  <si>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</si>
  <si>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</si>
  <si>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</si>
  <si>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</si>
  <si>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</si>
  <si>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</si>
  <si>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</si>
  <si>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Other Interest Rates: April 2013 to April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</si>
  <si>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</si>
  <si>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</si>
  <si>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</si>
  <si>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</si>
  <si>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</si>
  <si>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</si>
  <si>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</si>
  <si>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</si>
  <si>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</si>
  <si>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</si>
  <si>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</si>
  <si>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</si>
  <si>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</si>
  <si>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</si>
  <si>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</si>
  <si>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</si>
  <si>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</si>
  <si>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</si>
  <si>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</si>
  <si>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</si>
  <si>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</si>
  <si>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</si>
  <si>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</si>
  <si>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</si>
  <si>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</si>
  <si>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</si>
  <si>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</si>
  <si>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</si>
  <si>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</si>
  <si>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</si>
  <si>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</si>
  <si>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</si>
  <si>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</si>
  <si>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</si>
  <si>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</si>
  <si>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</si>
  <si>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</si>
  <si>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</si>
  <si>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</si>
  <si>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</si>
  <si>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</si>
  <si>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</si>
  <si>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</si>
  <si>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</si>
  <si>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</si>
  <si>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</si>
  <si>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</si>
  <si>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</si>
  <si>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</si>
  <si>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</si>
  <si>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</si>
  <si>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</si>
  <si>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</si>
  <si>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</si>
  <si>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</si>
  <si>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</si>
  <si>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</si>
  <si>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</si>
  <si>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</si>
  <si>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</si>
  <si>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</si>
  <si>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</si>
  <si>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</si>
  <si>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</si>
  <si>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</si>
  <si>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</si>
  <si>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</si>
  <si>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</si>
  <si>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</si>
  <si>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</si>
  <si>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</si>
  <si>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</si>
  <si>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</si>
  <si>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</si>
  <si>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</si>
  <si>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</si>
  <si>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</si>
  <si>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</si>
  <si>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</si>
  <si>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</si>
  <si>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</si>
  <si>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</si>
  <si>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</si>
  <si>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</si>
  <si>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</si>
  <si>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</si>
  <si>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</si>
  <si>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</si>
  <si>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</si>
  <si>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</si>
  <si>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</si>
  <si>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</si>
  <si>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</si>
  <si>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</si>
  <si>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</si>
  <si>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</si>
  <si>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</si>
  <si>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</si>
  <si>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 Effective 1 July 2014, Bank of Mauritius has discontinued the publication of the Bank Rate.</t>
  </si>
  <si>
    <t>`</t>
  </si>
  <si>
    <t>Table 33: Sectorwise Distribution of Credit to Non Residents: March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</si>
  <si>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</si>
  <si>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</si>
  <si>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</si>
  <si>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</si>
  <si>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</si>
  <si>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</si>
  <si>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</si>
  <si>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r>
      <t>Table 32: Maturity Pattern of  Banks' Foreign Currency  Deposits</t>
    </r>
    <r>
      <rPr>
        <b/>
        <vertAlign val="superscript"/>
        <sz val="12"/>
        <rFont val="Times New Roman"/>
        <family val="1"/>
      </rPr>
      <t>1</t>
    </r>
    <r>
      <rPr>
        <b/>
        <sz val="12"/>
        <rFont val="Times New Roman"/>
        <family val="1"/>
      </rPr>
      <t>: March 2016</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</si>
  <si>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</si>
  <si>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</si>
  <si>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</si>
  <si>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</si>
  <si>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</si>
  <si>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</si>
  <si>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</si>
  <si>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</si>
  <si>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</si>
  <si>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</si>
  <si>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</si>
  <si>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</si>
  <si>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</si>
  <si>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</si>
  <si>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</si>
  <si>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</si>
  <si>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</si>
  <si>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</si>
  <si>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</si>
  <si>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</si>
  <si>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</si>
  <si>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</si>
  <si>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</si>
  <si>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</si>
  <si>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</si>
  <si>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</si>
  <si>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34a: Transactions on the Stock Exchange of Mauritius: May 2015 to May 2016</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</si>
  <si>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</si>
  <si>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</si>
  <si>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</si>
  <si>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</si>
  <si>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</si>
  <si>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</si>
  <si>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</si>
  <si>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</si>
  <si>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</si>
  <si>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</si>
  <si>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</si>
  <si>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</si>
  <si>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</si>
  <si>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</si>
  <si>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May 2015 to May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</si>
  <si>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</si>
  <si>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</si>
  <si>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</si>
  <si>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</si>
  <si>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</si>
  <si>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</si>
  <si>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</si>
  <si>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</si>
  <si>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</si>
  <si>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</si>
  <si>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</si>
  <si>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</si>
  <si>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</si>
  <si>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</si>
  <si>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</si>
  <si>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</si>
  <si>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</si>
  <si>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</si>
  <si>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</si>
  <si>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</si>
  <si>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</si>
  <si>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</si>
  <si>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</si>
  <si>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</si>
  <si>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</si>
  <si>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</si>
  <si>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</si>
  <si>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</si>
  <si>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</si>
  <si>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</si>
  <si>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</si>
  <si>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</si>
  <si>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</si>
  <si>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May 2016</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</si>
  <si>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</si>
  <si>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</si>
  <si>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</si>
  <si>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</si>
  <si>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</si>
  <si>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</si>
  <si>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</si>
  <si>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</si>
  <si>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</si>
  <si>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</si>
  <si>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</si>
  <si>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</si>
  <si>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</si>
  <si>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</si>
  <si>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</si>
  <si>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</si>
  <si>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</si>
  <si>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</si>
  <si>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</si>
  <si>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</si>
  <si>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t>
    </r>
  </si>
  <si>
    <r>
      <t>+0.8</t>
    </r>
    <r>
      <rPr>
        <vertAlign val="superscript"/>
        <sz val="10"/>
        <rFont val="Arial"/>
        <family val="2"/>
      </rPr>
      <t xml:space="preserve"> 2</t>
    </r>
  </si>
  <si>
    <t>Headline Inflation Rate</t>
  </si>
  <si>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</si>
  <si>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</si>
  <si>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</si>
  <si>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</si>
  <si>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</si>
  <si>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</si>
  <si>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+0.8</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</si>
  <si>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</si>
  <si>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</si>
  <si>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May 2016.</t>
    </r>
  </si>
  <si>
    <r>
      <rPr>
        <i/>
        <vertAlign val="superscript"/>
        <sz val="9"/>
        <rFont val="Arial"/>
        <family val="2"/>
      </rPr>
      <t xml:space="preserve">3 </t>
    </r>
    <r>
      <rPr>
        <i/>
        <sz val="9"/>
        <rFont val="Arial"/>
        <family val="2"/>
      </rPr>
      <t>Headline Inflation Rate for the twelve-month period ended May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</si>
  <si>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</si>
  <si>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</si>
  <si>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</si>
  <si>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</si>
  <si>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</si>
  <si>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May 2016</t>
    </r>
    <r>
      <rPr>
        <b/>
        <vertAlign val="superscript"/>
        <sz val="11"/>
        <rFont val="Arial"/>
        <family val="2"/>
      </rPr>
      <t xml:space="preserve">1 </t>
    </r>
  </si>
  <si>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</si>
  <si>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</si>
  <si>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</si>
  <si>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</si>
  <si>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</si>
  <si>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</si>
  <si>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</si>
  <si>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</si>
  <si>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</si>
  <si>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</si>
  <si>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May 2016</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</si>
  <si>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</si>
  <si>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</si>
  <si>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</si>
  <si>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</si>
  <si>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</si>
  <si>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</si>
  <si>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</si>
  <si>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</si>
  <si>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</si>
  <si>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</si>
  <si>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May 2016</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</si>
  <si>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</si>
  <si>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</si>
  <si>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</si>
  <si>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</si>
  <si>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</si>
  <si>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</si>
  <si>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</si>
  <si>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</si>
  <si>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</si>
  <si>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</si>
  <si>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May 2015 to May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</si>
  <si>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</si>
  <si>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</si>
  <si>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</si>
  <si>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</si>
  <si>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</si>
  <si>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</si>
  <si>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</si>
  <si>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</si>
  <si>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</si>
  <si>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</si>
  <si>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May 2015 to May 2016</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</si>
  <si>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</si>
  <si>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</si>
  <si>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</si>
  <si>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</si>
  <si>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</si>
  <si>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</si>
  <si>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</si>
  <si>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</si>
  <si>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</si>
  <si>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</si>
  <si>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</si>
  <si>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</si>
  <si>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</si>
  <si>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</si>
  <si>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</si>
  <si>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</si>
  <si>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</si>
  <si>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</si>
  <si>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</si>
  <si>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</si>
  <si>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</si>
  <si>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</si>
  <si>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</si>
  <si>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</si>
  <si>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</si>
  <si>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</si>
  <si>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</si>
  <si>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</si>
  <si>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</si>
  <si>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</si>
  <si>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</si>
  <si>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</si>
  <si>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</si>
  <si>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</si>
  <si>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</si>
  <si>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</si>
  <si>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</si>
  <si>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</si>
  <si>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</si>
  <si>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</si>
  <si>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</si>
  <si>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</si>
  <si>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</si>
  <si>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</si>
  <si>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</si>
  <si>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</si>
  <si>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</si>
  <si>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</si>
  <si>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0"/>
        <rFont val="MS Sans Serif"/>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</si>
  <si>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</si>
  <si>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</si>
  <si>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</si>
  <si>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</si>
  <si>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</si>
  <si>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</si>
  <si>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</si>
  <si>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</si>
  <si>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0"/>
        <rFont val="Arial"/>
        <family val="2"/>
      </rPr>
      <t xml:space="preserve"> </t>
    </r>
  </si>
  <si>
    <t xml:space="preserve">Feb-16 </t>
  </si>
  <si>
    <t xml:space="preserve">Apr-16 </t>
  </si>
  <si>
    <r>
      <t xml:space="preserve">May-16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</si>
  <si>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</si>
  <si>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</si>
  <si>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The Import Cover as from January 2015 has been recast based on imports of goods (f.o.b.) and non-factor services for calendar year 2015.</t>
  </si>
  <si>
    <t>Table 37: Transactions on the Interbank Foreign Exchange Market:</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</si>
  <si>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</si>
  <si>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</si>
  <si>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</si>
  <si>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</si>
  <si>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</si>
  <si>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</si>
  <si>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</si>
  <si>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</si>
  <si>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</si>
  <si>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</si>
  <si>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</si>
  <si>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</si>
  <si>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</si>
  <si>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</si>
  <si>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</si>
  <si>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34.9550-35.3100</t>
  </si>
  <si>
    <t>35.1300-35.1675</t>
  </si>
  <si>
    <t>35.1650-35.3475</t>
  </si>
  <si>
    <t>35.3575-35.4150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</si>
  <si>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</si>
  <si>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</si>
  <si>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</si>
  <si>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</si>
  <si>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</si>
  <si>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</si>
  <si>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</si>
  <si>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</si>
  <si>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</si>
  <si>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</si>
  <si>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</si>
  <si>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</si>
  <si>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</si>
  <si>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</si>
  <si>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</si>
  <si>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</si>
  <si>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</si>
  <si>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</si>
  <si>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</si>
  <si>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</si>
  <si>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</si>
  <si>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</si>
  <si>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</si>
  <si>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</si>
  <si>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</si>
  <si>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</si>
  <si>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</si>
  <si>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</si>
  <si>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</si>
  <si>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</si>
  <si>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</si>
  <si>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</si>
  <si>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</si>
  <si>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</si>
  <si>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</si>
  <si>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</si>
  <si>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</si>
  <si>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</si>
  <si>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</si>
  <si>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</si>
  <si>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</si>
  <si>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</si>
  <si>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</si>
  <si>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</si>
  <si>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</si>
  <si>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</si>
  <si>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</si>
  <si>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</si>
  <si>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</si>
  <si>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</si>
  <si>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</si>
  <si>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</si>
  <si>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</si>
  <si>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</si>
  <si>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</si>
  <si>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</si>
  <si>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</si>
  <si>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</si>
  <si>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</si>
  <si>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</si>
  <si>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</si>
  <si>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</si>
  <si>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</si>
  <si>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</si>
  <si>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</si>
  <si>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</si>
  <si>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</si>
  <si>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</si>
  <si>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</si>
  <si>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</si>
  <si>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</si>
  <si>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</si>
  <si>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</si>
  <si>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</si>
  <si>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</si>
  <si>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</si>
  <si>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</si>
  <si>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</si>
  <si>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</si>
  <si>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</si>
  <si>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</si>
  <si>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</si>
  <si>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</si>
  <si>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</si>
  <si>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</si>
  <si>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</si>
  <si>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</si>
  <si>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</si>
  <si>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</si>
  <si>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</si>
  <si>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</si>
  <si>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</si>
  <si>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</si>
  <si>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</si>
  <si>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</si>
  <si>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</si>
  <si>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</si>
  <si>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</si>
  <si>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</si>
  <si>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</si>
  <si>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</si>
  <si>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</si>
  <si>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</si>
  <si>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</si>
  <si>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</si>
  <si>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</si>
  <si>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</si>
  <si>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</si>
  <si>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</si>
  <si>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</si>
  <si>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</si>
  <si>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</si>
  <si>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</si>
  <si>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</si>
  <si>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</si>
  <si>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</si>
  <si>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</si>
  <si>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</si>
  <si>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</si>
  <si>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</si>
  <si>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</si>
  <si>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</si>
  <si>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</si>
  <si>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</si>
  <si>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</si>
  <si>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</si>
  <si>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</si>
  <si>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</si>
  <si>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</si>
  <si>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</si>
  <si>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</si>
  <si>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</si>
  <si>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</si>
  <si>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</si>
  <si>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</si>
  <si>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</si>
  <si>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</si>
  <si>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</si>
  <si>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</si>
  <si>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</si>
  <si>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</si>
  <si>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</si>
  <si>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</si>
  <si>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</si>
  <si>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</si>
  <si>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</si>
  <si>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</si>
  <si>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</si>
  <si>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</si>
  <si>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</si>
  <si>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</si>
  <si>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</si>
  <si>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</si>
  <si>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</si>
  <si>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</si>
  <si>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</si>
  <si>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</si>
  <si>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</si>
  <si>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</si>
  <si>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</si>
  <si>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</si>
  <si>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</si>
  <si>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</si>
  <si>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</si>
  <si>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</si>
  <si>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</si>
  <si>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</si>
  <si>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</si>
  <si>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</si>
  <si>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</si>
  <si>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</si>
  <si>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</si>
  <si>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</si>
  <si>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</si>
  <si>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</si>
  <si>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</si>
  <si>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</si>
  <si>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</si>
  <si>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</si>
  <si>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</si>
  <si>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</si>
  <si>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</si>
  <si>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</si>
  <si>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</si>
  <si>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</si>
  <si>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</si>
  <si>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</si>
  <si>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</si>
  <si>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</si>
  <si>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</si>
  <si>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</si>
  <si>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</si>
  <si>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</si>
  <si>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</si>
  <si>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</si>
  <si>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</si>
  <si>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</si>
  <si>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</si>
  <si>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</si>
  <si>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</si>
  <si>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</si>
  <si>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</si>
  <si>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</si>
  <si>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</si>
  <si>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</si>
  <si>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</si>
  <si>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</si>
  <si>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</si>
  <si>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</si>
  <si>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</si>
  <si>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</si>
  <si>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</si>
  <si>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</si>
  <si>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</si>
  <si>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Table 47: Tourist Arrivals and Tourism Earnings: January 2015 to May 2016</t>
  </si>
  <si>
    <r>
      <t>Tourist Arrivals</t>
    </r>
    <r>
      <rPr>
        <b/>
        <sz val="10"/>
        <rFont val="Arial"/>
        <family val="2"/>
      </rPr>
      <t xml:space="preserve">* </t>
    </r>
  </si>
  <si>
    <t>Tourism Earnings ^</t>
  </si>
  <si>
    <t xml:space="preserve">(Rs million) </t>
  </si>
  <si>
    <t xml:space="preserve"> Total</t>
  </si>
  <si>
    <t>* Source: Statistics Mauritius.</t>
  </si>
  <si>
    <t>^ Source: Research and Economic Analysis Department, Bank of Mauritius.</t>
  </si>
  <si>
    <t>^ Gross tourism earnings are estimated from banking records as well as returns submitted by Money-changers and Foreign exchange dealers.</t>
  </si>
  <si>
    <t>Table 52a: Electronic Banking Transactions: April 2015 - April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</si>
  <si>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</si>
  <si>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</si>
  <si>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</si>
  <si>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</si>
  <si>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</si>
  <si>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</si>
  <si>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</si>
  <si>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</si>
  <si>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</si>
  <si>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</si>
  <si>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</si>
  <si>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</si>
  <si>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</si>
  <si>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</si>
  <si>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</si>
  <si>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Table 52b: Internet Banking Transactions: April 2015 - April 2016</t>
  </si>
  <si>
    <t>Number of Customers</t>
  </si>
  <si>
    <t>Number of Transactions</t>
  </si>
  <si>
    <t>Value of Transactions: (Rs mn)</t>
  </si>
  <si>
    <t xml:space="preserve">Average Value of Transactions** (Rs mn) </t>
  </si>
  <si>
    <t>**Average monthly transactions from the start of the calendar year.</t>
  </si>
  <si>
    <t>Table 53a: Mauritius Automated Clearing and Settlement System (MACSS)*</t>
  </si>
  <si>
    <t xml:space="preserve">                   Rupee Transactions: January 2013 to May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</si>
  <si>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</si>
  <si>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</si>
  <si>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</si>
  <si>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</si>
  <si>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</si>
  <si>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May 2016 </t>
    </r>
    <r>
      <rPr>
        <sz val="12"/>
        <rFont val="Times New Roman"/>
        <family val="1"/>
      </rPr>
      <t>(in foreign currency)</t>
    </r>
  </si>
  <si>
    <t>US Dollar</t>
  </si>
  <si>
    <t>Pound Sterling</t>
  </si>
  <si>
    <t>Swiss Franc</t>
  </si>
  <si>
    <t>South African Rand</t>
  </si>
  <si>
    <t>Jan-11*</t>
  </si>
  <si>
    <t>Mar-12*</t>
  </si>
  <si>
    <t>* As from March 2012, transactions in Swiss Franc and South African Rand are also settled via the MACSS.</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</si>
  <si>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</si>
  <si>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May 2015 to May 2016</t>
  </si>
  <si>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</si>
  <si>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</si>
  <si>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</si>
  <si>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</si>
  <si>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</si>
  <si>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</si>
  <si>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</si>
  <si>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</si>
  <si>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</si>
  <si>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</si>
  <si>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</si>
  <si>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</si>
  <si>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</si>
  <si>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</si>
  <si>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</si>
  <si>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</si>
  <si>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</si>
  <si>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</si>
  <si>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</si>
  <si>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</si>
  <si>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</si>
  <si>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</si>
  <si>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</si>
  <si>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</si>
  <si>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</si>
  <si>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</si>
  <si>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</si>
  <si>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</si>
  <si>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</si>
  <si>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</si>
  <si>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</si>
  <si>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</si>
  <si>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</si>
  <si>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</si>
  <si>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</si>
  <si>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</si>
  <si>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</si>
  <si>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</si>
  <si>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</si>
  <si>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</si>
  <si>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</si>
  <si>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</si>
  <si>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</si>
  <si>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</si>
  <si>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</si>
  <si>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</si>
  <si>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</si>
  <si>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</si>
  <si>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</si>
  <si>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</si>
  <si>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</si>
  <si>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</si>
  <si>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</si>
  <si>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</si>
  <si>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</si>
  <si>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</si>
  <si>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</si>
  <si>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</si>
  <si>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</si>
  <si>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</si>
  <si>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</si>
  <si>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</si>
  <si>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</si>
  <si>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</si>
  <si>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</si>
  <si>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</si>
  <si>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</si>
  <si>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</si>
  <si>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</si>
  <si>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</si>
  <si>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</si>
  <si>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</si>
  <si>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</si>
  <si>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</si>
  <si>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</si>
  <si>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</si>
  <si>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</si>
  <si>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</si>
  <si>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</si>
  <si>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</si>
  <si>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</si>
  <si>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</si>
  <si>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</si>
  <si>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</si>
  <si>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</si>
  <si>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</si>
  <si>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</si>
  <si>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</si>
  <si>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</si>
  <si>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</si>
  <si>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</si>
  <si>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</si>
  <si>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</si>
  <si>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</si>
  <si>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</si>
  <si>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</si>
  <si>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</si>
  <si>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</si>
  <si>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</si>
  <si>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</si>
  <si>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</si>
  <si>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</si>
  <si>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</si>
  <si>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</si>
  <si>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</si>
  <si>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</si>
  <si>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</si>
  <si>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</si>
  <si>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</si>
  <si>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</si>
  <si>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</si>
  <si>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</si>
  <si>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</si>
  <si>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</si>
  <si>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</si>
  <si>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</si>
  <si>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</si>
  <si>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</si>
  <si>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</si>
  <si>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</si>
  <si>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</si>
  <si>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</si>
  <si>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</si>
  <si>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</si>
  <si>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</si>
  <si>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</si>
  <si>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</si>
  <si>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</si>
  <si>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</si>
  <si>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</si>
  <si>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</si>
  <si>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</si>
  <si>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</si>
  <si>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</si>
  <si>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</si>
  <si>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</si>
  <si>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</si>
  <si>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</si>
  <si>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</si>
  <si>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</si>
  <si>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</si>
  <si>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</si>
  <si>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</si>
  <si>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</si>
  <si>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</si>
  <si>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</si>
  <si>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</si>
  <si>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</si>
  <si>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</si>
  <si>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</si>
  <si>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</si>
  <si>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</si>
  <si>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</si>
  <si>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</si>
  <si>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</si>
  <si>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</si>
  <si>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</si>
  <si>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</si>
  <si>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</si>
  <si>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</si>
  <si>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</si>
  <si>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</si>
  <si>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</si>
  <si>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</si>
  <si>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</si>
  <si>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</si>
  <si>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</si>
  <si>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</si>
  <si>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</si>
  <si>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</si>
  <si>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</si>
  <si>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</si>
  <si>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</si>
  <si>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</si>
  <si>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</si>
  <si>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</si>
  <si>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</si>
  <si>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</si>
  <si>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</si>
  <si>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</si>
  <si>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</si>
  <si>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</si>
  <si>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</si>
  <si>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</si>
  <si>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</si>
  <si>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</si>
  <si>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</si>
  <si>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</si>
  <si>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</si>
  <si>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</si>
  <si>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</si>
  <si>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</si>
  <si>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</si>
  <si>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</si>
  <si>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</si>
  <si>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</si>
  <si>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</si>
  <si>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</si>
  <si>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</si>
  <si>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</si>
  <si>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</si>
  <si>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</si>
  <si>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</si>
  <si>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</si>
  <si>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</si>
  <si>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</si>
  <si>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</si>
  <si>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</si>
  <si>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</si>
  <si>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</si>
  <si>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</si>
  <si>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</si>
  <si>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</si>
  <si>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</si>
  <si>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</si>
  <si>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</si>
  <si>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</si>
  <si>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</si>
  <si>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</si>
  <si>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</si>
  <si>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</si>
  <si>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</si>
  <si>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</si>
  <si>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</si>
  <si>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</si>
  <si>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</si>
  <si>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</si>
  <si>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</si>
  <si>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</si>
  <si>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</si>
  <si>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</si>
  <si>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</si>
  <si>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</si>
  <si>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</si>
  <si>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</si>
  <si>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</si>
  <si>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</si>
  <si>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</si>
  <si>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</si>
  <si>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</si>
  <si>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Rs/USD</t>
  </si>
  <si>
    <t>Rs/EUR</t>
  </si>
  <si>
    <t>Rs/GBP</t>
  </si>
  <si>
    <t>(End of Period)</t>
  </si>
  <si>
    <t>(Period Average)</t>
  </si>
  <si>
    <r>
      <t>1</t>
    </r>
    <r>
      <rPr>
        <i/>
        <sz val="11"/>
        <rFont val="Times New Roman"/>
        <family val="1"/>
      </rPr>
      <t xml:space="preserve"> Calculated on spot transactions of USD30,000 and above, or equivalent, conducted by banks</t>
    </r>
  </si>
  <si>
    <r>
      <t xml:space="preserve">  and forex dealers.Effective 25 June 2015,</t>
    </r>
    <r>
      <rPr>
        <i/>
        <vertAlign val="superscript"/>
        <sz val="11"/>
        <rFont val="Times New Roman"/>
        <family val="1"/>
      </rPr>
      <t>1</t>
    </r>
    <r>
      <rPr>
        <i/>
        <sz val="11"/>
        <rFont val="Times New Roman"/>
        <family val="1"/>
      </rPr>
      <t xml:space="preserve"> Calculated on spot transactions of USD20,000 and above, or equivalent.</t>
    </r>
  </si>
  <si>
    <t>Table 40: Exchange Rate of the Rupee (End of Period):  May 2015 to May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</si>
  <si>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</si>
  <si>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</si>
  <si>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</si>
  <si>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</si>
  <si>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</si>
  <si>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</si>
  <si>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</si>
  <si>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</si>
  <si>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</si>
  <si>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</si>
  <si>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</si>
  <si>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</si>
  <si>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</si>
  <si>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</si>
  <si>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May 2015 to May 2016</t>
  </si>
  <si>
    <t xml:space="preserve">Table 42: Exchange Rate of the Rupee vis-à-vis Major Trading Partner Currencies: </t>
  </si>
  <si>
    <t xml:space="preserve">               May 2015 to May 2016</t>
  </si>
  <si>
    <t>Average for</t>
  </si>
  <si>
    <t>Appreciation/</t>
  </si>
  <si>
    <t>12 Months</t>
  </si>
  <si>
    <t>(Depreciation)</t>
  </si>
  <si>
    <t>ended May 2015</t>
  </si>
  <si>
    <t>ended May 2016</t>
  </si>
  <si>
    <t>of Rupee</t>
  </si>
  <si>
    <t>between [1] &amp; [2]</t>
  </si>
  <si>
    <t>[1]</t>
  </si>
  <si>
    <t>[2]</t>
  </si>
  <si>
    <t>Per cent</t>
  </si>
  <si>
    <t>Hong Kong dollar</t>
  </si>
  <si>
    <t>Notes: (i)   [1] is calculated on the basis of the daily average exchange rates for the period June 2014 to May 2015.</t>
  </si>
  <si>
    <t xml:space="preserve">                   [2] is calculated on the basis of the daily average exchange rates for the period June 2015 to May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</si>
  <si>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</si>
  <si>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</si>
  <si>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</si>
  <si>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</si>
  <si>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May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</si>
  <si>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</si>
  <si>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</si>
  <si>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</si>
  <si>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</si>
  <si>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</si>
  <si>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</si>
  <si>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</si>
  <si>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</si>
  <si>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</si>
  <si>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April 2016 and May 2016</t>
  </si>
  <si>
    <t>Low</t>
  </si>
  <si>
    <t>High</t>
  </si>
  <si>
    <t xml:space="preserve"> Period Average</t>
  </si>
  <si>
    <t>USD / YEN</t>
  </si>
  <si>
    <t>111.22/25</t>
  </si>
  <si>
    <t>105.93/98</t>
  </si>
  <si>
    <t>108.83/87</t>
  </si>
  <si>
    <t>109.61/65</t>
  </si>
  <si>
    <t>EUR / USD</t>
  </si>
  <si>
    <t>1.1102/06</t>
  </si>
  <si>
    <t>1.1529/33</t>
  </si>
  <si>
    <t>1.1304/07</t>
  </si>
  <si>
    <t>1.1335/38</t>
  </si>
  <si>
    <t>GBP / USD</t>
  </si>
  <si>
    <t>1.4358/64</t>
  </si>
  <si>
    <t>1.4715/20</t>
  </si>
  <si>
    <t>1.4530/35</t>
  </si>
  <si>
    <t>1.4309/13</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</si>
  <si>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</si>
  <si>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2014 to May 2016</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</si>
  <si>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</si>
  <si>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</si>
  <si>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</si>
  <si>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</si>
  <si>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</si>
  <si>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</si>
  <si>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</si>
  <si>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</si>
  <si>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</si>
  <si>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</si>
  <si>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</si>
  <si>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</si>
  <si>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</si>
  <si>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</si>
  <si>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</si>
  <si>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</si>
  <si>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</si>
  <si>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</si>
  <si>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</si>
  <si>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</si>
  <si>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</si>
  <si>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</si>
  <si>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</si>
  <si>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</si>
  <si>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</si>
  <si>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</si>
  <si>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</si>
  <si>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</si>
  <si>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</si>
  <si>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</si>
  <si>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</si>
  <si>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</si>
  <si>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1.6737/41</t>
  </si>
  <si>
    <t>1.4935/39</t>
  </si>
  <si>
    <t>102.52/55</t>
  </si>
  <si>
    <t>119.48/51</t>
  </si>
  <si>
    <t>1.3738/40</t>
  </si>
  <si>
    <t>1.1164/66</t>
  </si>
  <si>
    <t>1.6850/53</t>
  </si>
  <si>
    <t>1.5476/81</t>
  </si>
  <si>
    <t>101.79/82</t>
  </si>
  <si>
    <t>120.72/75</t>
  </si>
  <si>
    <t>1.3597/99</t>
  </si>
  <si>
    <t>1.1214/17</t>
  </si>
  <si>
    <t>1.6900/04</t>
  </si>
  <si>
    <t>1.5559/64</t>
  </si>
  <si>
    <t>102.04/06</t>
  </si>
  <si>
    <t>123.59/62</t>
  </si>
  <si>
    <t>1.3553/55</t>
  </si>
  <si>
    <t>1.1002/04</t>
  </si>
  <si>
    <t>1.7088/92</t>
  </si>
  <si>
    <t>1.5561/65</t>
  </si>
  <si>
    <t>101.67/69</t>
  </si>
  <si>
    <t>123.27/30</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</si>
  <si>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</si>
  <si>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</si>
  <si>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</si>
  <si>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</si>
  <si>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</si>
  <si>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</si>
  <si>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</si>
  <si>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</si>
  <si>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</si>
  <si>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</si>
  <si>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</si>
  <si>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</si>
  <si>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</si>
  <si>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</si>
  <si>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</si>
  <si>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</si>
  <si>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</si>
  <si>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</si>
  <si>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</si>
  <si>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</si>
  <si>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</si>
  <si>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</si>
  <si>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</si>
  <si>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</si>
  <si>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</si>
  <si>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</si>
  <si>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</si>
  <si>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</si>
  <si>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</si>
  <si>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</si>
  <si>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2014 to May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</si>
  <si>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</si>
  <si>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</si>
  <si>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</si>
  <si>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</si>
  <si>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</si>
  <si>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</si>
  <si>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</si>
  <si>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</si>
  <si>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1: Selected Economic Indicators: 2005 to 2015</t>
  </si>
  <si>
    <t>Unit</t>
  </si>
  <si>
    <r>
      <t xml:space="preserve">1. Population-Republic of Mauritius </t>
    </r>
    <r>
      <rPr>
        <b/>
        <vertAlign val="superscript"/>
        <sz val="12"/>
        <rFont val="Times New Roman"/>
        <family val="1"/>
      </rPr>
      <t>1</t>
    </r>
  </si>
  <si>
    <t>Mid-year</t>
  </si>
  <si>
    <r>
      <t xml:space="preserve">1,262,605 </t>
    </r>
    <r>
      <rPr>
        <vertAlign val="superscript"/>
        <sz val="11"/>
        <rFont val="Times New Roman"/>
        <family val="1"/>
      </rPr>
      <t>3</t>
    </r>
  </si>
  <si>
    <t>2. Tourist Arrivals*</t>
  </si>
  <si>
    <t>Calendar Year</t>
  </si>
  <si>
    <t>964,642</t>
  </si>
  <si>
    <t>965,441</t>
  </si>
  <si>
    <t>993,106</t>
  </si>
  <si>
    <t xml:space="preserve">1,038,968 </t>
  </si>
  <si>
    <t>1,151,723</t>
  </si>
  <si>
    <t>3. Tourism Earnings</t>
  </si>
  <si>
    <t>42,717</t>
  </si>
  <si>
    <t>44,378</t>
  </si>
  <si>
    <t xml:space="preserve">40,557 </t>
  </si>
  <si>
    <t xml:space="preserve">44,304 </t>
  </si>
  <si>
    <r>
      <t>4. Real GDP Growth Rate*</t>
    </r>
    <r>
      <rPr>
        <b/>
        <vertAlign val="superscript"/>
        <sz val="12"/>
        <rFont val="Times New Roman"/>
        <family val="1"/>
      </rPr>
      <t xml:space="preserve"> 5</t>
    </r>
  </si>
  <si>
    <t>3.2</t>
  </si>
  <si>
    <r>
      <t>3.1</t>
    </r>
    <r>
      <rPr>
        <vertAlign val="superscript"/>
        <sz val="11"/>
        <rFont val="Times New Roman"/>
        <family val="1"/>
      </rPr>
      <t>2</t>
    </r>
  </si>
  <si>
    <r>
      <t xml:space="preserve">5. Gross Domestic Product (at market prices)* </t>
    </r>
    <r>
      <rPr>
        <b/>
        <vertAlign val="superscript"/>
        <sz val="12"/>
        <rFont val="Times New Roman"/>
        <family val="1"/>
      </rPr>
      <t>5</t>
    </r>
  </si>
  <si>
    <t>366,325</t>
  </si>
  <si>
    <t>386,229</t>
  </si>
  <si>
    <r>
      <t>403,536</t>
    </r>
    <r>
      <rPr>
        <vertAlign val="superscript"/>
        <sz val="11"/>
        <rFont val="Times New Roman"/>
        <family val="1"/>
      </rPr>
      <t>2</t>
    </r>
  </si>
  <si>
    <r>
      <t xml:space="preserve">6. Gross National Income (at market prices)* </t>
    </r>
    <r>
      <rPr>
        <b/>
        <vertAlign val="superscript"/>
        <sz val="12"/>
        <rFont val="Times New Roman"/>
        <family val="1"/>
      </rPr>
      <t>5</t>
    </r>
  </si>
  <si>
    <r>
      <t>345,063^</t>
    </r>
    <r>
      <rPr>
        <vertAlign val="superscript"/>
        <sz val="11"/>
        <rFont val="Times New Roman"/>
        <family val="1"/>
      </rPr>
      <t xml:space="preserve"> </t>
    </r>
  </si>
  <si>
    <t>370,403^</t>
  </si>
  <si>
    <r>
      <t>380,757^</t>
    </r>
    <r>
      <rPr>
        <vertAlign val="superscript"/>
        <sz val="11"/>
        <rFont val="Times New Roman"/>
        <family val="1"/>
      </rPr>
      <t xml:space="preserve"> </t>
    </r>
  </si>
  <si>
    <r>
      <t>399,606^</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</si>
  <si>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</si>
  <si>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</si>
  <si>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274,406^ </t>
  </si>
  <si>
    <t>294,008^</t>
  </si>
  <si>
    <t>301,899^</t>
  </si>
  <si>
    <r>
      <t>316,425^</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</si>
  <si>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</si>
  <si>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</si>
  <si>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</si>
  <si>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</si>
  <si>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</si>
  <si>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</si>
  <si>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7.9</t>
    </r>
    <r>
      <rPr>
        <vertAlign val="superscript"/>
        <sz val="11"/>
        <rFont val="Times New Roman"/>
        <family val="1"/>
      </rPr>
      <t>3</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</si>
  <si>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</si>
  <si>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</si>
  <si>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</si>
  <si>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</si>
  <si>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</si>
  <si>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</si>
  <si>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</si>
  <si>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</si>
  <si>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</si>
  <si>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</si>
  <si>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-20,315</t>
    </r>
    <r>
      <rPr>
        <vertAlign val="superscript"/>
        <sz val="11"/>
        <rFont val="Times New Roman"/>
        <family val="1"/>
      </rPr>
      <t xml:space="preserve"> 2</t>
    </r>
  </si>
  <si>
    <r>
      <t>-23,083</t>
    </r>
    <r>
      <rPr>
        <vertAlign val="superscript"/>
        <sz val="11"/>
        <rFont val="Times New Roman"/>
        <family val="1"/>
      </rPr>
      <t xml:space="preserve"> 2</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</si>
  <si>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</si>
  <si>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</si>
  <si>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</si>
  <si>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</si>
  <si>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</si>
  <si>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</si>
  <si>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</si>
  <si>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</si>
  <si>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-21,824</t>
    </r>
    <r>
      <rPr>
        <vertAlign val="superscript"/>
        <sz val="11"/>
        <rFont val="Times New Roman"/>
        <family val="1"/>
      </rPr>
      <t xml:space="preserve"> 2</t>
    </r>
  </si>
  <si>
    <r>
      <t>-19,704</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</si>
  <si>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</si>
  <si>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</si>
  <si>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</si>
  <si>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</si>
  <si>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</si>
  <si>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</si>
  <si>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</si>
  <si>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</si>
  <si>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t>+15,105</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</si>
  <si>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</si>
  <si>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</si>
  <si>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</si>
  <si>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</si>
  <si>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</si>
  <si>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</si>
  <si>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</si>
  <si>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</si>
  <si>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152,902</t>
  </si>
  <si>
    <t>16. Total Imports (c.i.f.)*</t>
  </si>
  <si>
    <t>134,882</t>
  </si>
  <si>
    <t xml:space="preserve">147,815 </t>
  </si>
  <si>
    <t xml:space="preserve">160,996 </t>
  </si>
  <si>
    <t xml:space="preserve">165,594 </t>
  </si>
  <si>
    <r>
      <t>172,038</t>
    </r>
    <r>
      <rPr>
        <vertAlign val="superscript"/>
        <sz val="11"/>
        <rFont val="Times New Roman"/>
        <family val="1"/>
      </rPr>
      <t>2</t>
    </r>
  </si>
  <si>
    <r>
      <t>168,077</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</si>
  <si>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</si>
  <si>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</si>
  <si>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</si>
  <si>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t xml:space="preserve">79,658 </t>
  </si>
  <si>
    <t xml:space="preserve">88,048 </t>
  </si>
  <si>
    <r>
      <t>94,776</t>
    </r>
    <r>
      <rPr>
        <vertAlign val="superscript"/>
        <sz val="11"/>
        <rFont val="Times New Roman"/>
        <family val="1"/>
      </rPr>
      <t>2</t>
    </r>
  </si>
  <si>
    <r>
      <t>94,108</t>
    </r>
    <r>
      <rPr>
        <vertAlign val="superscript"/>
        <sz val="11"/>
        <rFont val="Times New Roman"/>
        <family val="1"/>
      </rPr>
      <t>3</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</si>
  <si>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</si>
  <si>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</si>
  <si>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</si>
  <si>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</si>
  <si>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</si>
  <si>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</si>
  <si>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</si>
  <si>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</si>
  <si>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</si>
  <si>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</si>
  <si>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</si>
  <si>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n.a.</t>
  </si>
  <si>
    <t>19. External Debt: Budgetary Central Government</t>
  </si>
  <si>
    <t>#</t>
  </si>
  <si>
    <t>47,162</t>
  </si>
  <si>
    <r>
      <t>54,676</t>
    </r>
    <r>
      <rPr>
        <vertAlign val="superscript"/>
        <sz val="11"/>
        <rFont val="Times New Roman"/>
        <family val="1"/>
      </rPr>
      <t>2</t>
    </r>
  </si>
  <si>
    <t>20. Ratio of BCG External Debt to GDP at market prices**</t>
  </si>
  <si>
    <t>21. Internal Debt: Budgetary Central Government</t>
  </si>
  <si>
    <t>149,960</t>
  </si>
  <si>
    <r>
      <t>181,649</t>
    </r>
    <r>
      <rPr>
        <vertAlign val="superscript"/>
        <sz val="11"/>
        <rFont val="Times New Roman"/>
        <family val="1"/>
      </rPr>
      <t>2</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</si>
  <si>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</si>
  <si>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</si>
  <si>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</si>
  <si>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</si>
  <si>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</si>
  <si>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</si>
  <si>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</si>
  <si>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</si>
  <si>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</si>
  <si>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</si>
  <si>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</si>
  <si>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</si>
  <si>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</si>
  <si>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</si>
  <si>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</si>
  <si>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</si>
  <si>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</si>
  <si>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</si>
  <si>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</si>
  <si>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</si>
  <si>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</si>
  <si>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</si>
  <si>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</si>
  <si>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</si>
  <si>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</si>
  <si>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</si>
  <si>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</si>
  <si>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</si>
  <si>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</si>
  <si>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</si>
  <si>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India</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</si>
  <si>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</si>
  <si>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</si>
  <si>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</si>
  <si>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</si>
  <si>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</si>
  <si>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</si>
  <si>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</si>
  <si>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</si>
  <si>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</si>
  <si>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</si>
  <si>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</si>
  <si>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</si>
  <si>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</si>
  <si>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</si>
  <si>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Table 48a: Direct Investment in Mauritius by Sector: Annual 2010 - 2014 and First Three Quarters of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</si>
  <si>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</si>
  <si>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</si>
  <si>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</si>
  <si>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</si>
  <si>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</si>
  <si>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</si>
  <si>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</si>
  <si>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</si>
  <si>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</si>
  <si>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</si>
  <si>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</si>
  <si>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</si>
  <si>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</si>
  <si>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</si>
  <si>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</si>
  <si>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</si>
  <si>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</si>
  <si>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</si>
  <si>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</si>
  <si>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</si>
  <si>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</si>
  <si>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</si>
  <si>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</si>
  <si>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</si>
  <si>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</si>
  <si>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</si>
  <si>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</si>
  <si>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</si>
  <si>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</si>
  <si>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</si>
  <si>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</si>
  <si>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</si>
  <si>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</si>
  <si>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</si>
  <si>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</si>
  <si>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</si>
  <si>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</si>
  <si>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</si>
  <si>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</si>
  <si>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</si>
  <si>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</si>
  <si>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</si>
  <si>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</si>
  <si>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</si>
  <si>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</si>
  <si>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Three Quarters of 2015 (Excluding GBC1s)</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</si>
  <si>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</si>
  <si>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</si>
  <si>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</si>
  <si>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</si>
  <si>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</si>
  <si>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</si>
  <si>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</si>
  <si>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</si>
  <si>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</si>
  <si>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</si>
  <si>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</si>
  <si>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</si>
  <si>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</si>
  <si>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</si>
  <si>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</si>
  <si>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</si>
  <si>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</si>
  <si>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</si>
  <si>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</si>
  <si>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</si>
  <si>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</si>
  <si>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</si>
  <si>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</si>
  <si>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</si>
  <si>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</si>
  <si>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</si>
  <si>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</si>
  <si>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</si>
  <si>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</si>
  <si>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</si>
  <si>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</si>
  <si>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</si>
  <si>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</si>
  <si>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</si>
  <si>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</si>
  <si>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</si>
  <si>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1</t>
    </r>
    <r>
      <rPr>
        <i/>
        <sz val="9"/>
        <rFont val="Arial"/>
        <family val="2"/>
      </rPr>
      <t xml:space="preserve"> Data on direct investment flows for 2011 to 2013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</si>
  <si>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</si>
  <si>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Source: Research and Economic Analysis Department</t>
  </si>
  <si>
    <t>Table 49a: Direct Investment Abroad by Sector: Annual 2010 - 2014 and First Three Quarters of 2015</t>
  </si>
  <si>
    <t>2009</t>
  </si>
  <si>
    <r>
      <t>2011</t>
    </r>
    <r>
      <rPr>
        <vertAlign val="superscript"/>
        <sz val="10"/>
        <rFont val="Arial"/>
        <family val="2"/>
      </rPr>
      <t xml:space="preserve"> 1</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</si>
  <si>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</si>
  <si>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</si>
  <si>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</si>
  <si>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</si>
  <si>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</si>
  <si>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</si>
  <si>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</si>
  <si>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</si>
  <si>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</si>
  <si>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</si>
  <si>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</si>
  <si>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</si>
  <si>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</si>
  <si>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</si>
  <si>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</si>
  <si>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</si>
  <si>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</si>
  <si>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</si>
  <si>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</si>
  <si>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</si>
  <si>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</si>
  <si>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</si>
  <si>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</si>
  <si>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</si>
  <si>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</si>
  <si>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</si>
  <si>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</si>
  <si>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</si>
  <si>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</si>
  <si>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</si>
  <si>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</si>
  <si>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</si>
  <si>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</si>
  <si>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</si>
  <si>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Table 51: Balance of Payments - Calendar Year 2015 and First Quarter 2016</t>
  </si>
  <si>
    <r>
      <t xml:space="preserve">2015 </t>
    </r>
    <r>
      <rPr>
        <b/>
        <vertAlign val="superscript"/>
        <sz val="18"/>
        <rFont val="Segoe UI"/>
        <family val="2"/>
      </rPr>
      <t>1</t>
    </r>
  </si>
  <si>
    <r>
      <t xml:space="preserve">2016 </t>
    </r>
    <r>
      <rPr>
        <b/>
        <vertAlign val="superscript"/>
        <sz val="18"/>
        <rFont val="Segoe UI"/>
        <family val="2"/>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</si>
  <si>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</si>
  <si>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</si>
  <si>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</si>
  <si>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</si>
  <si>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</si>
  <si>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</si>
  <si>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</si>
  <si>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</si>
  <si>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</si>
  <si>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</si>
  <si>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</si>
  <si>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</si>
  <si>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</si>
  <si>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</si>
  <si>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</si>
  <si>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</si>
  <si>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</si>
  <si>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</si>
  <si>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</si>
  <si>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</si>
  <si>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</si>
  <si>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</si>
  <si>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</si>
  <si>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</si>
  <si>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</si>
  <si>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</si>
  <si>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</si>
  <si>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</si>
  <si>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</si>
  <si>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</si>
  <si>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</si>
  <si>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</si>
  <si>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</si>
  <si>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</si>
  <si>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</si>
  <si>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</si>
  <si>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</si>
  <si>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</si>
  <si>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</si>
  <si>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</si>
  <si>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</si>
  <si>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</si>
  <si>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</si>
  <si>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</si>
  <si>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</si>
  <si>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</si>
  <si>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</si>
  <si>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</si>
  <si>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</si>
  <si>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</si>
  <si>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</si>
  <si>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</si>
  <si>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</si>
  <si>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</si>
  <si>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</si>
  <si>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</si>
  <si>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</si>
  <si>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</si>
  <si>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</si>
  <si>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</si>
  <si>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</si>
  <si>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</si>
  <si>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</si>
  <si>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</si>
  <si>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</si>
  <si>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</si>
  <si>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</si>
  <si>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</si>
  <si>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</si>
  <si>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</si>
  <si>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</si>
  <si>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</si>
  <si>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</si>
  <si>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</si>
  <si>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</si>
  <si>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6"/>
        <rFont val="Segoe UI"/>
        <family val="2"/>
      </rPr>
      <t>1</t>
    </r>
    <r>
      <rPr>
        <i/>
        <sz val="16"/>
        <rFont val="Segoe UI"/>
        <family val="2"/>
      </rPr>
      <t xml:space="preserve"> Partially Revised Estimates.                                   </t>
    </r>
    <r>
      <rPr>
        <i/>
        <vertAlign val="superscript"/>
        <sz val="16"/>
        <rFont val="Segoe UI"/>
        <family val="2"/>
      </rPr>
      <t xml:space="preserve"> 2</t>
    </r>
    <r>
      <rPr>
        <i/>
        <sz val="16"/>
        <rFont val="Segoe UI"/>
        <family val="2"/>
      </rPr>
      <t xml:space="preserve"> Preliminary Estimates.</t>
    </r>
  </si>
  <si>
    <t>Source : Research and Economic Analysis Department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</si>
</sst>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1" formatCode="_(* #,##0_);_(* \(#,##0\);_(* &quot;-&quot;_);_(@_)"/>
    <numFmt numFmtId="43" formatCode="_(* #,##0.00_);_(* \(#,##0.00\);_(* &quot;-&quot;??_);_(@_)"/>
    <numFmt numFmtId="164" formatCode="_-* #,##0.00_-;\-* #,##0.00_-;_-* &quot;-&quot;??_-;_-@_-"/>
    <numFmt numFmtId="165" formatCode="mmmm\ yyyy"/>
    <numFmt numFmtId="166" formatCode="_(* #,##0_);_(* \(#,##0\);_(* &quot;-&quot;??_);_(@_)"/>
    <numFmt numFmtId="167" formatCode="d\-mmmm\-yyyy"/>
    <numFmt numFmtId="168" formatCode="#,##0.0"/>
    <numFmt numFmtId="169" formatCode="mmmm\-yy"/>
    <numFmt numFmtId="170" formatCode="0.0"/>
    <numFmt numFmtId="171" formatCode="0000"/>
    <numFmt numFmtId="172" formatCode="#,##0.000"/>
    <numFmt numFmtId="173" formatCode="#,##0.0,,"/>
    <numFmt numFmtId="174" formatCode="_(* #,##0.0_);_(* \(#,##0.0\);_(* &quot;-&quot;??_);_(@_)"/>
    <numFmt numFmtId="175" formatCode="0.0%"/>
    <numFmt numFmtId="176" formatCode="[$-409]mmm\-yy;@"/>
    <numFmt numFmtId="177" formatCode="#,##0.0_);\(#,##0.0\)"/>
    <numFmt numFmtId="178" formatCode="0."/>
    <numFmt numFmtId="179" formatCode="0.0."/>
    <numFmt numFmtId="180" formatCode="#,##0;\(#,##0\)"/>
    <numFmt numFmtId="181" formatCode="_ * #,##0.0_ ;_ * \-#,##0.0_ ;_ * &quot;-&quot;_ ;_ @_ "/>
    <numFmt numFmtId="182" formatCode="#,##0.0;\(#,##0.0\)"/>
    <numFmt numFmtId="183" formatCode="#,##0.0\ ;\(#,##0.0\)"/>
    <numFmt numFmtId="184" formatCode="#,##0.0_);[Red]\(#,##0.0\)"/>
    <numFmt numFmtId="185" formatCode="#,##0.000_);[Red]\(#,##0.000\)"/>
    <numFmt numFmtId="186" formatCode="#,##0.0;[Red]\-#,##0.0"/>
    <numFmt numFmtId="187" formatCode="[$-409]d\-mmm\-yy;@"/>
    <numFmt numFmtId="188" formatCode="[$-409]dd\-mmm\-yy;@"/>
    <numFmt numFmtId="189" formatCode="0.000"/>
    <numFmt numFmtId="190" formatCode="#,##0_ ;[Red]\-#,##0\ "/>
    <numFmt numFmtId="191" formatCode="[$-409]mmmm\-yy;@"/>
    <numFmt numFmtId="192" formatCode="dd\ mmmm"/>
    <numFmt numFmtId="193" formatCode="d\ mmm"/>
    <numFmt numFmtId="194" formatCode="00000"/>
    <numFmt numFmtId="195" formatCode="dd\-mmmm"/>
    <numFmt numFmtId="196" formatCode="mmm\ "/>
    <numFmt numFmtId="197" formatCode="\(0\)"/>
    <numFmt numFmtId="198" formatCode="&quot;+&quot;#,##0.0"/>
    <numFmt numFmtId="199" formatCode="dd/mmmm"/>
    <numFmt numFmtId="200" formatCode="0.0000"/>
    <numFmt numFmtId="201" formatCode="[$-409]d\-mmm;@"/>
    <numFmt numFmtId="202" formatCode="0.00000"/>
    <numFmt numFmtId="203" formatCode="_-* #,##0_-;\-* #,##0_-;_-* &quot;-&quot;??_-;_-@_-"/>
    <numFmt numFmtId="204" formatCode="#,##0.0000"/>
    <numFmt numFmtId="205" formatCode="0.0_);\(0.0\)"/>
    <numFmt numFmtId="206" formatCode="[$-409]mmmmm;@"/>
    <numFmt numFmtId="207" formatCode="#,##0.0_ ;\-#,##0.0\ "/>
    <numFmt numFmtId="208" formatCode="_-* #,##0.0_-;\-* #,##0.0_-;_-* &quot;-&quot;??_-;_-@_-"/>
    <numFmt numFmtId="209" formatCode="\+#,##0"/>
    <numFmt numFmtId="210" formatCode="#,##0.00_ ;\-#,##0.00\ "/>
    <numFmt numFmtId="211" formatCode="#\ ###\ ##0;\-#\ ###;&quot;-&quot;"/>
  </numFmts>
  <fonts count="2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i/>
      <sz val="10"/>
      <name val="MS Sans Serif"/>
      <family val="2"/>
    </font>
    <font>
      <sz val="10"/>
      <name val="MS Sans Serif"/>
      <family val="2"/>
    </font>
    <font>
      <b/>
      <sz val="11"/>
      <name val="Arial"/>
      <family val="2"/>
    </font>
    <font>
      <sz val="11"/>
      <name val="Arial"/>
      <family val="2"/>
    </font>
    <font>
      <sz val="11"/>
      <name val="MS Sans Serif"/>
      <family val="2"/>
    </font>
    <font>
      <b/>
      <sz val="11"/>
      <name val="MS Sans Serif"/>
      <family val="2"/>
    </font>
    <font>
      <b/>
      <sz val="9"/>
      <name val="Arial"/>
      <family val="2"/>
    </font>
    <font>
      <sz val="9"/>
      <name val="Arial"/>
      <family val="2"/>
    </font>
    <font>
      <b/>
      <u/>
      <sz val="9"/>
      <name val="Arial"/>
      <family val="2"/>
    </font>
    <font>
      <u/>
      <sz val="9"/>
      <name val="Arial"/>
      <family val="2"/>
    </font>
    <font>
      <sz val="11"/>
      <name val="Times New Roman"/>
      <family val="1"/>
    </font>
    <font>
      <i/>
      <sz val="9"/>
      <name val="Arial"/>
      <family val="2"/>
    </font>
    <font>
      <b/>
      <sz val="10"/>
      <name val="Arial"/>
      <family val="2"/>
    </font>
    <font>
      <b/>
      <sz val="14"/>
      <name val="Arial"/>
      <family val="2"/>
    </font>
    <font>
      <b/>
      <sz val="14"/>
      <name val="Times New Roman"/>
      <family val="1"/>
    </font>
    <font>
      <sz val="12"/>
      <name val="Times New Roman"/>
      <family val="1"/>
    </font>
    <font>
      <sz val="14"/>
      <name val="Arial"/>
      <family val="2"/>
    </font>
    <font>
      <sz val="14"/>
      <name val="Times New Roman"/>
      <family val="1"/>
    </font>
    <font>
      <b/>
      <u/>
      <sz val="11"/>
      <name val="Arial"/>
      <family val="2"/>
    </font>
    <font>
      <sz val="10"/>
      <name val="Arial"/>
      <family val="2"/>
    </font>
    <font>
      <b/>
      <i/>
      <sz val="10"/>
      <name val="Arial"/>
      <family val="2"/>
    </font>
    <font>
      <i/>
      <sz val="10"/>
      <name val="Arial"/>
      <family val="2"/>
    </font>
    <font>
      <sz val="10"/>
      <name val="Times New Roman"/>
      <family val="1"/>
    </font>
    <font>
      <sz val="10"/>
      <name val="Arial"/>
    </font>
    <font>
      <b/>
      <sz val="13.5"/>
      <name val="Times New Roman"/>
      <family val="1"/>
    </font>
    <font>
      <b/>
      <sz val="10"/>
      <name val="Times New Roman"/>
      <family val="1"/>
    </font>
    <font>
      <i/>
      <sz val="10"/>
      <name val="Times New Roman"/>
      <family val="1"/>
    </font>
    <font>
      <b/>
      <sz val="12"/>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sz val="11"/>
      <color rgb="FFFF0000"/>
      <name val="Calibri"/>
      <family val="2"/>
      <scheme val="minor"/>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3"/>
      <name val="Times New Roman"/>
      <family val="1"/>
    </font>
    <font>
      <sz val="9"/>
      <name val="Times New Roman"/>
      <family val="1"/>
    </font>
    <font>
      <i/>
      <sz val="9"/>
      <name val="Times New Roman"/>
      <family val="1"/>
    </font>
    <font>
      <b/>
      <sz val="9"/>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i/>
      <sz val="12"/>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sz val="13"/>
      <name val="Times New Roman"/>
      <family val="1"/>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0"/>
      <name val="Times New Roman"/>
      <family val="1"/>
    </font>
    <font>
      <b/>
      <i/>
      <sz val="12"/>
      <name val="Times New Roman"/>
      <family val="1"/>
    </font>
    <font>
      <b/>
      <i/>
      <sz val="13.5"/>
      <name val="Times New Roman"/>
      <family val="1"/>
    </font>
    <font>
      <sz val="11"/>
      <color indexed="8"/>
      <name val="Times New Roman"/>
      <family val="1"/>
    </font>
    <font>
      <b/>
      <sz val="11"/>
      <color indexed="8"/>
      <name val="Times New Roman"/>
      <family val="1"/>
    </font>
    <font>
      <sz val="8"/>
      <name val="Times New Roman"/>
      <family val="1"/>
    </font>
    <font>
      <b/>
      <i/>
      <sz val="11"/>
      <name val="Times New Roman"/>
      <family val="1"/>
    </font>
    <font>
      <sz val="11"/>
      <color indexed="9"/>
      <name val="Times New Roman"/>
      <family val="1"/>
    </font>
    <font>
      <i/>
      <sz val="10.5"/>
      <name val="Times New Roman"/>
      <family val="1"/>
    </font>
    <font>
      <sz val="10.5"/>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sz val="11"/>
      <color indexed="8"/>
      <name val="Calibri"/>
      <family val="2"/>
    </font>
    <font>
      <i/>
      <vertAlign val="superscript"/>
      <sz val="16"/>
      <name val="Times New Roman"/>
      <family val="1"/>
    </font>
    <font>
      <b/>
      <sz val="13"/>
      <name val="Arial"/>
      <family val="2"/>
    </font>
    <font>
      <sz val="13"/>
      <name val="Arial"/>
      <family val="2"/>
    </font>
    <font>
      <b/>
      <vertAlign val="superscript"/>
      <sz val="10"/>
      <name val="Arial"/>
      <family val="2"/>
    </font>
    <font>
      <i/>
      <sz val="8"/>
      <name val="Arial"/>
      <family val="2"/>
    </font>
    <font>
      <sz val="8"/>
      <name val="Arial"/>
      <family val="2"/>
    </font>
    <font>
      <i/>
      <vertAlign val="superscript"/>
      <sz val="10"/>
      <name val="Times New Roman"/>
      <family val="1"/>
    </font>
    <font>
      <sz val="10"/>
      <color indexed="10"/>
      <name val="Arial"/>
      <family val="2"/>
    </font>
    <font>
      <b/>
      <sz val="11"/>
      <color indexed="54"/>
      <name val="Times New Roman"/>
      <family val="1"/>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5"/>
      <color indexed="54"/>
      <name val="Times New Roman"/>
      <family val="1"/>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b/>
      <sz val="10"/>
      <color rgb="FFFF0000"/>
      <name val="Arial"/>
      <family val="2"/>
    </font>
    <font>
      <i/>
      <vertAlign val="superscript"/>
      <sz val="8.5"/>
      <name val="Arial"/>
      <family val="2"/>
    </font>
    <font>
      <sz val="8.5"/>
      <name val="Arial"/>
      <family val="2"/>
    </font>
    <font>
      <sz val="11"/>
      <name val="Calibri"/>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0"/>
      <color indexed="18"/>
      <name val="Arial"/>
      <family val="2"/>
    </font>
    <font>
      <sz val="10"/>
      <color indexed="18"/>
      <name val="Arial Narrow"/>
      <family val="2"/>
    </font>
    <font>
      <b/>
      <sz val="10"/>
      <color indexed="8"/>
      <name val="Arial"/>
      <family val="2"/>
    </font>
    <font>
      <sz val="18"/>
      <name val="Arial"/>
      <family val="2"/>
    </font>
    <font>
      <sz val="18"/>
      <color rgb="FFFF0000"/>
      <name val="Arial"/>
      <family val="2"/>
    </font>
    <font>
      <sz val="10"/>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
      <name val="Calibri"/>
      <family val="2"/>
      <scheme val="minor"/>
    </font>
    <font>
      <sz val="10"/>
      <color indexed="8"/>
      <name val="Arial"/>
      <family val="2"/>
    </font>
    <font>
      <sz val="11.5"/>
      <color indexed="8"/>
      <name val="Times New Roman"/>
      <family val="1"/>
    </font>
    <font>
      <sz val="11.5"/>
      <name val="Times New Roman"/>
      <family val="1"/>
    </font>
    <font>
      <sz val="11.5"/>
      <color theme="1"/>
      <name val="Times New Roman"/>
      <family val="1"/>
    </font>
    <font>
      <b/>
      <sz val="11"/>
      <color indexed="41"/>
      <name val="Times New Roman"/>
      <family val="1"/>
    </font>
    <font>
      <b/>
      <sz val="12"/>
      <color indexed="41"/>
      <name val="Times New Roman"/>
      <family val="1"/>
    </font>
    <font>
      <sz val="14"/>
      <color indexed="8"/>
      <name val="Times New Roman"/>
      <family val="1"/>
    </font>
    <font>
      <b/>
      <sz val="12"/>
      <color indexed="8"/>
      <name val="Times New Roman"/>
      <family val="1"/>
    </font>
    <font>
      <b/>
      <sz val="11"/>
      <color indexed="8"/>
      <name val="Calibri"/>
      <family val="2"/>
    </font>
    <font>
      <i/>
      <sz val="11"/>
      <color indexed="8"/>
      <name val="Arial"/>
      <family val="2"/>
    </font>
    <font>
      <i/>
      <sz val="10"/>
      <color indexed="8"/>
      <name val="Arial"/>
      <family val="2"/>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9"/>
      <name val="MS Sans Serif"/>
      <family val="2"/>
    </font>
    <font>
      <sz val="14"/>
      <color theme="1"/>
      <name val="Times New Roman"/>
      <family val="1"/>
    </font>
    <font>
      <b/>
      <vertAlign val="superscript"/>
      <sz val="10"/>
      <color indexed="18"/>
      <name val="Arial"/>
      <family val="2"/>
    </font>
    <font>
      <i/>
      <vertAlign val="superscript"/>
      <sz val="9"/>
      <color indexed="18"/>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sz val="8"/>
      <color indexed="10"/>
      <name val="Arial"/>
      <family val="2"/>
    </font>
    <font>
      <b/>
      <sz val="8"/>
      <name val="Arial"/>
      <family val="2"/>
    </font>
    <font>
      <b/>
      <sz val="20"/>
      <name val="Segoe UI"/>
      <family val="2"/>
    </font>
    <font>
      <sz val="10"/>
      <name val="Segoe UI"/>
      <family val="2"/>
    </font>
    <font>
      <b/>
      <i/>
      <sz val="14"/>
      <name val="Segoe UI"/>
      <family val="2"/>
    </font>
    <font>
      <i/>
      <sz val="15"/>
      <name val="Segoe UI"/>
      <family val="2"/>
    </font>
    <font>
      <i/>
      <sz val="18"/>
      <name val="Segoe UI"/>
      <family val="2"/>
    </font>
    <font>
      <b/>
      <sz val="14"/>
      <name val="Segoe UI"/>
      <family val="2"/>
    </font>
    <font>
      <sz val="15"/>
      <name val="Segoe UI"/>
      <family val="2"/>
    </font>
    <font>
      <b/>
      <sz val="18"/>
      <name val="Segoe UI"/>
      <family val="2"/>
    </font>
    <font>
      <b/>
      <vertAlign val="superscript"/>
      <sz val="18"/>
      <name val="Segoe UI"/>
      <family val="2"/>
    </font>
    <font>
      <sz val="16"/>
      <name val="Segoe UI"/>
      <family val="2"/>
    </font>
    <font>
      <b/>
      <sz val="15"/>
      <name val="Segoe UI"/>
      <family val="2"/>
    </font>
    <font>
      <sz val="18"/>
      <name val="Segoe UI"/>
      <family val="2"/>
    </font>
    <font>
      <sz val="14"/>
      <name val="Segoe UI"/>
      <family val="2"/>
    </font>
    <font>
      <i/>
      <sz val="14"/>
      <name val="Segoe UI"/>
      <family val="2"/>
    </font>
    <font>
      <b/>
      <i/>
      <sz val="16"/>
      <name val="Segoe UI"/>
      <family val="2"/>
    </font>
    <font>
      <i/>
      <sz val="16"/>
      <name val="Segoe UI"/>
      <family val="2"/>
    </font>
    <font>
      <i/>
      <vertAlign val="superscript"/>
      <sz val="16"/>
      <name val="Segoe UI"/>
      <family val="2"/>
    </font>
  </fonts>
  <fills count="35">
    <fill>
      <patternFill patternType="none"/>
    </fill>
    <fill>
      <patternFill patternType="gray125"/>
    </fill>
    <fill>
      <patternFill patternType="solid">
        <fgColor indexed="22"/>
        <bgColor indexed="64"/>
      </patternFill>
    </fill>
    <fill>
      <patternFill patternType="mediumGray">
        <fgColor indexed="22"/>
        <bgColor theme="0" tint="-0.14999847407452621"/>
      </patternFill>
    </fill>
    <fill>
      <patternFill patternType="solid">
        <fgColor theme="0" tint="-0.14999847407452621"/>
        <bgColor indexed="64"/>
      </patternFill>
    </fill>
    <fill>
      <patternFill patternType="solid">
        <fgColor theme="0"/>
        <bgColor indexed="64"/>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fgColor indexed="22"/>
        <bgColor indexed="9"/>
      </patternFill>
    </fill>
    <fill>
      <patternFill patternType="gray125">
        <bgColor theme="0"/>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s>
  <borders count="302">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double">
        <color indexed="64"/>
      </right>
      <top/>
      <bottom/>
      <diagonal/>
    </border>
    <border>
      <left style="thin">
        <color indexed="64"/>
      </left>
      <right/>
      <top/>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ck">
        <color indexed="8"/>
      </left>
      <right style="medium">
        <color indexed="8"/>
      </right>
      <top style="thick">
        <color indexed="8"/>
      </top>
      <bottom style="thin">
        <color indexed="8"/>
      </bottom>
      <diagonal/>
    </border>
    <border>
      <left/>
      <right/>
      <top style="thick">
        <color indexed="8"/>
      </top>
      <bottom style="thin">
        <color indexed="8"/>
      </bottom>
      <diagonal/>
    </border>
    <border>
      <left style="medium">
        <color indexed="8"/>
      </left>
      <right style="medium">
        <color indexed="8"/>
      </right>
      <top style="thick">
        <color indexed="8"/>
      </top>
      <bottom style="thin">
        <color indexed="8"/>
      </bottom>
      <diagonal/>
    </border>
    <border>
      <left style="medium">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right/>
      <top style="medium">
        <color auto="1"/>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bottom/>
      <diagonal/>
    </border>
    <border>
      <left style="medium">
        <color indexed="64"/>
      </left>
      <right/>
      <top style="thin">
        <color indexed="64"/>
      </top>
      <bottom/>
      <diagonal/>
    </border>
  </borders>
  <cellStyleXfs count="63">
    <xf numFmtId="0" fontId="0" fillId="0" borderId="0"/>
    <xf numFmtId="40" fontId="5" fillId="0" borderId="0" applyFont="0" applyFill="0" applyBorder="0" applyAlignment="0" applyProtection="0"/>
    <xf numFmtId="164" fontId="27" fillId="0" borderId="0" applyFont="0" applyFill="0" applyBorder="0" applyAlignment="0" applyProtection="0"/>
    <xf numFmtId="0" fontId="27" fillId="0" borderId="0"/>
    <xf numFmtId="0" fontId="23" fillId="0" borderId="0"/>
    <xf numFmtId="164" fontId="23" fillId="0" borderId="0" applyFont="0" applyFill="0" applyBorder="0" applyAlignment="0" applyProtection="0"/>
    <xf numFmtId="0" fontId="5" fillId="0" borderId="0"/>
    <xf numFmtId="43" fontId="23" fillId="0" borderId="0" applyFont="0" applyFill="0" applyBorder="0" applyAlignment="0" applyProtection="0"/>
    <xf numFmtId="0" fontId="3" fillId="0" borderId="0"/>
    <xf numFmtId="0" fontId="23" fillId="0" borderId="0"/>
    <xf numFmtId="0" fontId="26" fillId="0" borderId="0"/>
    <xf numFmtId="9" fontId="23" fillId="0" borderId="0" applyFont="0" applyFill="0" applyBorder="0" applyAlignment="0" applyProtection="0"/>
    <xf numFmtId="0" fontId="23" fillId="0" borderId="0"/>
    <xf numFmtId="0" fontId="23" fillId="0" borderId="0"/>
    <xf numFmtId="0" fontId="23" fillId="0" borderId="0"/>
    <xf numFmtId="0" fontId="5" fillId="0" borderId="0"/>
    <xf numFmtId="0" fontId="23" fillId="0" borderId="0"/>
    <xf numFmtId="0" fontId="5" fillId="0" borderId="0"/>
    <xf numFmtId="0" fontId="23" fillId="0" borderId="0"/>
    <xf numFmtId="43" fontId="23" fillId="0" borderId="0" applyFont="0" applyFill="0" applyBorder="0" applyAlignment="0" applyProtection="0"/>
    <xf numFmtId="40" fontId="5" fillId="0" borderId="0" applyFont="0" applyFill="0" applyBorder="0" applyAlignment="0" applyProtection="0"/>
    <xf numFmtId="43" fontId="23" fillId="0" borderId="0" applyFont="0" applyFill="0" applyBorder="0" applyAlignment="0" applyProtection="0"/>
    <xf numFmtId="0" fontId="3" fillId="0" borderId="0"/>
    <xf numFmtId="0" fontId="23" fillId="0" borderId="0"/>
    <xf numFmtId="43" fontId="119" fillId="0" borderId="0" applyFont="0" applyFill="0" applyBorder="0" applyAlignment="0" applyProtection="0"/>
    <xf numFmtId="0" fontId="23" fillId="0" borderId="0"/>
    <xf numFmtId="0" fontId="5" fillId="0" borderId="0"/>
    <xf numFmtId="40" fontId="5" fillId="0" borderId="0" applyFont="0" applyFill="0" applyBorder="0" applyAlignment="0" applyProtection="0"/>
    <xf numFmtId="0" fontId="5" fillId="0" borderId="0"/>
    <xf numFmtId="0" fontId="5" fillId="0" borderId="0"/>
    <xf numFmtId="164" fontId="2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149" fillId="0" borderId="0"/>
    <xf numFmtId="0" fontId="19" fillId="0" borderId="0"/>
    <xf numFmtId="0" fontId="19" fillId="0" borderId="0"/>
    <xf numFmtId="9" fontId="19" fillId="0" borderId="0" applyFont="0" applyFill="0" applyBorder="0" applyAlignment="0" applyProtection="0"/>
    <xf numFmtId="0" fontId="19" fillId="0" borderId="0"/>
    <xf numFmtId="43" fontId="23" fillId="0" borderId="0" applyFont="0" applyFill="0" applyBorder="0" applyAlignment="0" applyProtection="0"/>
    <xf numFmtId="0" fontId="27" fillId="0" borderId="0"/>
    <xf numFmtId="0" fontId="23" fillId="0" borderId="0"/>
    <xf numFmtId="0" fontId="3" fillId="0" borderId="0"/>
    <xf numFmtId="164" fontId="3" fillId="0" borderId="0" applyFont="0" applyFill="0" applyBorder="0" applyAlignment="0" applyProtection="0"/>
    <xf numFmtId="0" fontId="3" fillId="0" borderId="0"/>
    <xf numFmtId="43" fontId="119" fillId="0" borderId="0" applyFont="0" applyFill="0" applyBorder="0" applyAlignment="0" applyProtection="0"/>
    <xf numFmtId="0" fontId="2" fillId="0" borderId="0"/>
    <xf numFmtId="0" fontId="2" fillId="0" borderId="0"/>
    <xf numFmtId="0" fontId="2" fillId="0" borderId="0"/>
    <xf numFmtId="0" fontId="23" fillId="0" borderId="0"/>
    <xf numFmtId="43" fontId="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0" fontId="23" fillId="0" borderId="0"/>
    <xf numFmtId="164" fontId="23" fillId="0" borderId="0" applyFont="0" applyFill="0" applyBorder="0" applyAlignment="0" applyProtection="0"/>
    <xf numFmtId="0" fontId="23" fillId="0" borderId="0"/>
    <xf numFmtId="9" fontId="2" fillId="0" borderId="0" applyFont="0" applyFill="0" applyBorder="0" applyAlignment="0" applyProtection="0"/>
    <xf numFmtId="0" fontId="2" fillId="0" borderId="0"/>
    <xf numFmtId="0" fontId="1" fillId="0" borderId="0"/>
    <xf numFmtId="164" fontId="23" fillId="0" borderId="0" applyFont="0" applyFill="0" applyBorder="0" applyAlignment="0" applyProtection="0"/>
    <xf numFmtId="164" fontId="23" fillId="0" borderId="0" applyFont="0" applyFill="0" applyBorder="0" applyAlignment="0" applyProtection="0"/>
    <xf numFmtId="0" fontId="23" fillId="0" borderId="0"/>
  </cellStyleXfs>
  <cellXfs count="3527">
    <xf numFmtId="0" fontId="0" fillId="0" borderId="0" xfId="0"/>
    <xf numFmtId="0" fontId="6" fillId="0" borderId="0" xfId="0" applyFont="1" applyAlignment="1">
      <alignment horizontal="center"/>
    </xf>
    <xf numFmtId="0" fontId="7" fillId="0" borderId="0" xfId="0" applyFont="1"/>
    <xf numFmtId="0" fontId="8" fillId="0" borderId="0" xfId="0" applyFont="1"/>
    <xf numFmtId="39" fontId="8" fillId="0" borderId="0" xfId="0" applyNumberFormat="1" applyFont="1"/>
    <xf numFmtId="0" fontId="12" fillId="0" borderId="0" xfId="0" applyFont="1" applyBorder="1" applyAlignment="1">
      <alignment horizontal="left"/>
    </xf>
    <xf numFmtId="0" fontId="12" fillId="0" borderId="0" xfId="0" applyFont="1" applyBorder="1"/>
    <xf numFmtId="0" fontId="11" fillId="0" borderId="0" xfId="0" applyFont="1" applyBorder="1"/>
    <xf numFmtId="40" fontId="0" fillId="0" borderId="0" xfId="1" applyFont="1"/>
    <xf numFmtId="39" fontId="9" fillId="0" borderId="0" xfId="0" applyNumberFormat="1" applyFont="1"/>
    <xf numFmtId="0" fontId="0" fillId="0" borderId="0" xfId="0" applyBorder="1"/>
    <xf numFmtId="3" fontId="11" fillId="0" borderId="1" xfId="0" applyNumberFormat="1" applyFont="1" applyBorder="1"/>
    <xf numFmtId="3" fontId="11" fillId="0" borderId="2" xfId="0" applyNumberFormat="1" applyFont="1" applyBorder="1"/>
    <xf numFmtId="3" fontId="11" fillId="0" borderId="3" xfId="0" applyNumberFormat="1" applyFont="1" applyBorder="1"/>
    <xf numFmtId="3" fontId="11" fillId="0" borderId="4" xfId="0" applyNumberFormat="1" applyFont="1" applyBorder="1"/>
    <xf numFmtId="3" fontId="11" fillId="0" borderId="5" xfId="0" applyNumberFormat="1" applyFont="1" applyBorder="1"/>
    <xf numFmtId="3" fontId="11" fillId="0" borderId="0" xfId="0" applyNumberFormat="1" applyFont="1" applyBorder="1"/>
    <xf numFmtId="3" fontId="11" fillId="0" borderId="0" xfId="0" applyNumberFormat="1" applyFont="1" applyBorder="1" applyAlignment="1">
      <alignment horizontal="right"/>
    </xf>
    <xf numFmtId="0" fontId="15" fillId="0" borderId="0" xfId="0" applyFont="1" applyBorder="1"/>
    <xf numFmtId="0" fontId="4" fillId="0" borderId="0" xfId="0" applyFont="1"/>
    <xf numFmtId="0" fontId="16" fillId="0" borderId="0" xfId="0" applyFont="1" applyBorder="1"/>
    <xf numFmtId="40" fontId="0" fillId="0" borderId="6" xfId="1" applyFont="1" applyBorder="1"/>
    <xf numFmtId="0" fontId="7" fillId="2" borderId="7" xfId="0" applyFont="1" applyFill="1" applyBorder="1"/>
    <xf numFmtId="0" fontId="7" fillId="0" borderId="7" xfId="0" applyFont="1" applyBorder="1"/>
    <xf numFmtId="0" fontId="0" fillId="0" borderId="6" xfId="0" applyBorder="1"/>
    <xf numFmtId="40" fontId="0" fillId="0" borderId="6" xfId="0" applyNumberFormat="1" applyBorder="1"/>
    <xf numFmtId="0" fontId="10" fillId="0" borderId="0" xfId="0" applyFont="1" applyBorder="1"/>
    <xf numFmtId="39" fontId="11" fillId="0" borderId="0" xfId="0" applyNumberFormat="1" applyFont="1" applyBorder="1"/>
    <xf numFmtId="0" fontId="7" fillId="0" borderId="0" xfId="0" applyFont="1" applyBorder="1"/>
    <xf numFmtId="0" fontId="10" fillId="2" borderId="8" xfId="0" applyFont="1" applyFill="1" applyBorder="1"/>
    <xf numFmtId="0" fontId="10" fillId="2" borderId="9" xfId="0" applyFont="1" applyFill="1" applyBorder="1" applyAlignment="1">
      <alignment horizontal="center"/>
    </xf>
    <xf numFmtId="165" fontId="12" fillId="2" borderId="9" xfId="0" applyNumberFormat="1" applyFont="1" applyFill="1" applyBorder="1" applyAlignment="1">
      <alignment horizontal="center"/>
    </xf>
    <xf numFmtId="0" fontId="11" fillId="2" borderId="9" xfId="0" applyFont="1" applyFill="1" applyBorder="1" applyAlignment="1">
      <alignment horizontal="center"/>
    </xf>
    <xf numFmtId="0" fontId="7" fillId="2" borderId="10" xfId="0" applyFont="1" applyFill="1" applyBorder="1"/>
    <xf numFmtId="0" fontId="10" fillId="2" borderId="6" xfId="0" applyFont="1" applyFill="1" applyBorder="1"/>
    <xf numFmtId="0" fontId="11" fillId="2" borderId="0" xfId="0" applyFont="1" applyFill="1" applyBorder="1"/>
    <xf numFmtId="4" fontId="10" fillId="2" borderId="0" xfId="0" applyNumberFormat="1" applyFont="1" applyFill="1" applyBorder="1" applyAlignment="1">
      <alignment horizontal="right"/>
    </xf>
    <xf numFmtId="4" fontId="11" fillId="0" borderId="0" xfId="0" applyNumberFormat="1" applyFont="1" applyBorder="1"/>
    <xf numFmtId="0" fontId="11" fillId="2" borderId="6" xfId="0" applyFont="1" applyFill="1" applyBorder="1"/>
    <xf numFmtId="3" fontId="10" fillId="0" borderId="0" xfId="0" applyNumberFormat="1" applyFont="1" applyBorder="1" applyAlignment="1">
      <alignment horizontal="center"/>
    </xf>
    <xf numFmtId="0" fontId="14" fillId="0" borderId="0" xfId="0" applyFont="1" applyBorder="1"/>
    <xf numFmtId="0" fontId="14" fillId="2" borderId="6" xfId="0" applyFont="1" applyFill="1" applyBorder="1"/>
    <xf numFmtId="0" fontId="12" fillId="2" borderId="6" xfId="0" applyFont="1" applyFill="1" applyBorder="1"/>
    <xf numFmtId="0" fontId="10" fillId="0" borderId="0" xfId="0" applyFont="1" applyBorder="1" applyAlignment="1">
      <alignment horizontal="center"/>
    </xf>
    <xf numFmtId="3" fontId="15" fillId="0" borderId="0" xfId="0" applyNumberFormat="1" applyFont="1" applyBorder="1"/>
    <xf numFmtId="0" fontId="13" fillId="2" borderId="6" xfId="0" applyFont="1" applyFill="1" applyBorder="1"/>
    <xf numFmtId="0" fontId="11" fillId="2" borderId="11" xfId="0" applyFont="1" applyFill="1" applyBorder="1"/>
    <xf numFmtId="0" fontId="11" fillId="0" borderId="12" xfId="0" applyFont="1" applyBorder="1"/>
    <xf numFmtId="39" fontId="11" fillId="0" borderId="12" xfId="0" applyNumberFormat="1" applyFont="1" applyBorder="1"/>
    <xf numFmtId="0" fontId="7" fillId="0" borderId="13" xfId="0" applyFont="1" applyBorder="1"/>
    <xf numFmtId="0" fontId="10" fillId="2" borderId="0" xfId="0" applyFont="1" applyFill="1" applyBorder="1" applyAlignment="1">
      <alignment horizontal="center"/>
    </xf>
    <xf numFmtId="165" fontId="12" fillId="2" borderId="0" xfId="0" applyNumberFormat="1" applyFont="1" applyFill="1" applyBorder="1" applyAlignment="1">
      <alignment horizontal="center"/>
    </xf>
    <xf numFmtId="0" fontId="11" fillId="2" borderId="0" xfId="0" applyFont="1" applyFill="1" applyBorder="1" applyAlignment="1">
      <alignment horizontal="center"/>
    </xf>
    <xf numFmtId="3" fontId="11" fillId="0" borderId="0" xfId="0" applyNumberFormat="1" applyFont="1" applyBorder="1" applyAlignment="1"/>
    <xf numFmtId="3" fontId="11" fillId="0" borderId="1" xfId="0" applyNumberFormat="1" applyFont="1" applyBorder="1" applyAlignment="1"/>
    <xf numFmtId="3" fontId="11" fillId="0" borderId="14" xfId="0" applyNumberFormat="1" applyFont="1" applyBorder="1" applyAlignment="1"/>
    <xf numFmtId="166" fontId="11" fillId="0" borderId="0" xfId="1" applyNumberFormat="1" applyFont="1" applyBorder="1" applyAlignment="1">
      <alignment horizontal="center"/>
    </xf>
    <xf numFmtId="0" fontId="12" fillId="0" borderId="0" xfId="0" applyFont="1" applyBorder="1" applyAlignment="1">
      <alignment horizontal="center"/>
    </xf>
    <xf numFmtId="3" fontId="0" fillId="0" borderId="0" xfId="0" applyNumberFormat="1"/>
    <xf numFmtId="165" fontId="10" fillId="2" borderId="0" xfId="0" applyNumberFormat="1" applyFont="1" applyFill="1" applyBorder="1" applyAlignment="1">
      <alignment horizontal="center"/>
    </xf>
    <xf numFmtId="40" fontId="8" fillId="0" borderId="0" xfId="1" applyFont="1"/>
    <xf numFmtId="0" fontId="6" fillId="0" borderId="0" xfId="0" applyFont="1"/>
    <xf numFmtId="38" fontId="16" fillId="0" borderId="0" xfId="1" applyNumberFormat="1" applyFont="1"/>
    <xf numFmtId="0" fontId="17" fillId="0" borderId="0" xfId="0" applyFont="1"/>
    <xf numFmtId="0" fontId="18" fillId="0" borderId="0" xfId="0" applyFont="1"/>
    <xf numFmtId="0" fontId="19" fillId="0" borderId="0" xfId="0" applyFont="1"/>
    <xf numFmtId="0" fontId="20" fillId="0" borderId="0" xfId="0" applyFont="1" applyBorder="1"/>
    <xf numFmtId="38" fontId="20" fillId="0" borderId="0" xfId="1" applyNumberFormat="1" applyFont="1" applyBorder="1"/>
    <xf numFmtId="0" fontId="21" fillId="0" borderId="0" xfId="0" applyFont="1"/>
    <xf numFmtId="0" fontId="20" fillId="3" borderId="15" xfId="0" applyFont="1" applyFill="1" applyBorder="1"/>
    <xf numFmtId="165" fontId="22" fillId="3" borderId="16" xfId="1" applyNumberFormat="1" applyFont="1" applyFill="1" applyBorder="1" applyAlignment="1">
      <alignment horizontal="center"/>
    </xf>
    <xf numFmtId="165" fontId="22" fillId="3" borderId="17" xfId="0" applyNumberFormat="1" applyFont="1" applyFill="1" applyBorder="1" applyAlignment="1">
      <alignment horizontal="center"/>
    </xf>
    <xf numFmtId="0" fontId="21" fillId="0" borderId="0" xfId="0" applyFont="1" applyBorder="1"/>
    <xf numFmtId="0" fontId="20" fillId="3" borderId="18" xfId="0" applyFont="1" applyFill="1" applyBorder="1"/>
    <xf numFmtId="38" fontId="6" fillId="3" borderId="0" xfId="1" applyNumberFormat="1" applyFont="1" applyFill="1" applyAlignment="1">
      <alignment horizontal="center"/>
    </xf>
    <xf numFmtId="0" fontId="6" fillId="3" borderId="19" xfId="0" applyFont="1" applyFill="1" applyBorder="1" applyAlignment="1">
      <alignment horizontal="center"/>
    </xf>
    <xf numFmtId="0" fontId="6" fillId="3" borderId="18" xfId="0" applyFont="1" applyFill="1" applyBorder="1"/>
    <xf numFmtId="38" fontId="20" fillId="0" borderId="0" xfId="1" applyNumberFormat="1" applyFont="1"/>
    <xf numFmtId="0" fontId="20" fillId="0" borderId="19" xfId="0" applyFont="1" applyBorder="1"/>
    <xf numFmtId="0" fontId="6" fillId="3" borderId="18" xfId="0" applyFont="1" applyFill="1" applyBorder="1" applyAlignment="1">
      <alignment horizontal="left"/>
    </xf>
    <xf numFmtId="0" fontId="23" fillId="3" borderId="18" xfId="0" applyFont="1" applyFill="1" applyBorder="1"/>
    <xf numFmtId="38" fontId="23" fillId="0" borderId="0" xfId="1" applyNumberFormat="1" applyFont="1"/>
    <xf numFmtId="37" fontId="20" fillId="0" borderId="19" xfId="0" applyNumberFormat="1" applyFont="1" applyBorder="1"/>
    <xf numFmtId="38" fontId="19" fillId="0" borderId="0" xfId="0" applyNumberFormat="1" applyFont="1"/>
    <xf numFmtId="38" fontId="23" fillId="0" borderId="0" xfId="1" applyNumberFormat="1" applyFont="1" applyBorder="1"/>
    <xf numFmtId="38" fontId="23" fillId="0" borderId="3" xfId="1" applyNumberFormat="1" applyFont="1" applyBorder="1"/>
    <xf numFmtId="38" fontId="23" fillId="0" borderId="4" xfId="1" applyNumberFormat="1" applyFont="1" applyBorder="1"/>
    <xf numFmtId="38" fontId="23" fillId="0" borderId="5" xfId="1" applyNumberFormat="1" applyFont="1" applyBorder="1"/>
    <xf numFmtId="38" fontId="23" fillId="0" borderId="1" xfId="1" applyNumberFormat="1" applyFont="1" applyBorder="1"/>
    <xf numFmtId="0" fontId="24" fillId="3" borderId="18" xfId="0" applyFont="1" applyFill="1" applyBorder="1"/>
    <xf numFmtId="0" fontId="16" fillId="3" borderId="18" xfId="0" applyFont="1" applyFill="1" applyBorder="1"/>
    <xf numFmtId="38" fontId="23" fillId="0" borderId="20" xfId="1" applyNumberFormat="1" applyFont="1" applyBorder="1"/>
    <xf numFmtId="38" fontId="16" fillId="0" borderId="21" xfId="1" applyNumberFormat="1" applyFont="1" applyBorder="1"/>
    <xf numFmtId="38" fontId="16" fillId="0" borderId="0" xfId="1" applyNumberFormat="1" applyFont="1" applyBorder="1"/>
    <xf numFmtId="37" fontId="17" fillId="0" borderId="19" xfId="0" applyNumberFormat="1" applyFont="1" applyBorder="1"/>
    <xf numFmtId="167" fontId="23" fillId="3" borderId="18" xfId="0" applyNumberFormat="1" applyFont="1" applyFill="1" applyBorder="1" applyAlignment="1">
      <alignment horizontal="left"/>
    </xf>
    <xf numFmtId="0" fontId="20" fillId="3" borderId="22" xfId="0" applyFont="1" applyFill="1" applyBorder="1"/>
    <xf numFmtId="38" fontId="20" fillId="0" borderId="23" xfId="1" applyNumberFormat="1" applyFont="1" applyBorder="1"/>
    <xf numFmtId="37" fontId="20" fillId="0" borderId="24" xfId="0" applyNumberFormat="1" applyFont="1" applyBorder="1"/>
    <xf numFmtId="0" fontId="21" fillId="4" borderId="0" xfId="0" applyFont="1" applyFill="1"/>
    <xf numFmtId="38" fontId="21" fillId="0" borderId="0" xfId="1" applyNumberFormat="1" applyFont="1"/>
    <xf numFmtId="0" fontId="25" fillId="0" borderId="0" xfId="0" applyFont="1"/>
    <xf numFmtId="38" fontId="26" fillId="0" borderId="0" xfId="1" applyNumberFormat="1" applyFont="1"/>
    <xf numFmtId="0" fontId="28" fillId="5" borderId="0" xfId="3" applyFont="1" applyFill="1" applyBorder="1" applyAlignment="1" applyProtection="1">
      <alignment horizontal="left"/>
    </xf>
    <xf numFmtId="0" fontId="26" fillId="5" borderId="0" xfId="3" applyFont="1" applyFill="1" applyAlignment="1" applyProtection="1">
      <alignment horizontal="centerContinuous"/>
    </xf>
    <xf numFmtId="0" fontId="19" fillId="5" borderId="0" xfId="3" applyFont="1" applyFill="1" applyBorder="1" applyAlignment="1" applyProtection="1">
      <alignment horizontal="centerContinuous"/>
    </xf>
    <xf numFmtId="0" fontId="23" fillId="0" borderId="0" xfId="3" applyFont="1"/>
    <xf numFmtId="0" fontId="29" fillId="5" borderId="0" xfId="3" applyFont="1" applyFill="1" applyAlignment="1">
      <alignment horizontal="left"/>
    </xf>
    <xf numFmtId="0" fontId="30" fillId="5" borderId="0" xfId="3" applyFont="1" applyFill="1"/>
    <xf numFmtId="0" fontId="26" fillId="5" borderId="0" xfId="3" applyFont="1" applyFill="1"/>
    <xf numFmtId="0" fontId="25" fillId="5" borderId="0" xfId="3" applyFont="1" applyFill="1" applyBorder="1" applyAlignment="1" applyProtection="1">
      <alignment horizontal="center"/>
    </xf>
    <xf numFmtId="0" fontId="31" fillId="6" borderId="15" xfId="3" applyFont="1" applyFill="1" applyBorder="1" applyAlignment="1" applyProtection="1">
      <alignment horizontal="centerContinuous" wrapText="1"/>
    </xf>
    <xf numFmtId="17" fontId="25" fillId="6" borderId="16" xfId="3" applyNumberFormat="1" applyFont="1" applyFill="1" applyBorder="1" applyAlignment="1">
      <alignment horizontal="centerContinuous"/>
    </xf>
    <xf numFmtId="17" fontId="23" fillId="6" borderId="16" xfId="3" applyNumberFormat="1" applyFont="1" applyFill="1" applyBorder="1" applyAlignment="1">
      <alignment horizontal="centerContinuous"/>
    </xf>
    <xf numFmtId="0" fontId="11" fillId="6" borderId="17" xfId="3" applyFont="1" applyFill="1" applyBorder="1" applyAlignment="1" applyProtection="1">
      <alignment horizontal="centerContinuous"/>
    </xf>
    <xf numFmtId="0" fontId="11" fillId="0" borderId="0" xfId="3" applyFont="1" applyFill="1" applyBorder="1" applyProtection="1"/>
    <xf numFmtId="0" fontId="11" fillId="6" borderId="18" xfId="3" applyFont="1" applyFill="1" applyBorder="1" applyProtection="1"/>
    <xf numFmtId="0" fontId="15" fillId="5" borderId="0" xfId="3" applyFont="1" applyFill="1" applyBorder="1" applyProtection="1"/>
    <xf numFmtId="0" fontId="11" fillId="5" borderId="0" xfId="3" applyFont="1" applyFill="1" applyBorder="1" applyProtection="1"/>
    <xf numFmtId="0" fontId="11" fillId="5" borderId="19" xfId="3" applyFont="1" applyFill="1" applyBorder="1" applyProtection="1"/>
    <xf numFmtId="0" fontId="16" fillId="6" borderId="18" xfId="3" applyFont="1" applyFill="1" applyBorder="1" applyProtection="1"/>
    <xf numFmtId="0" fontId="24" fillId="5" borderId="0" xfId="3" applyFont="1" applyFill="1" applyBorder="1" applyProtection="1"/>
    <xf numFmtId="0" fontId="23" fillId="5" borderId="0" xfId="3" applyFont="1" applyFill="1" applyBorder="1" applyProtection="1"/>
    <xf numFmtId="168" fontId="16" fillId="5" borderId="19" xfId="3" applyNumberFormat="1" applyFont="1" applyFill="1" applyBorder="1" applyProtection="1"/>
    <xf numFmtId="38" fontId="10" fillId="0" borderId="0" xfId="3" applyNumberFormat="1" applyFont="1" applyFill="1" applyBorder="1" applyProtection="1"/>
    <xf numFmtId="168" fontId="11" fillId="0" borderId="0" xfId="3" applyNumberFormat="1" applyFont="1" applyFill="1" applyBorder="1" applyProtection="1"/>
    <xf numFmtId="0" fontId="23" fillId="6" borderId="18" xfId="3" applyFont="1" applyFill="1" applyBorder="1" applyProtection="1"/>
    <xf numFmtId="38" fontId="25" fillId="5" borderId="0" xfId="3" applyNumberFormat="1" applyFont="1" applyFill="1" applyBorder="1" applyProtection="1"/>
    <xf numFmtId="168" fontId="23" fillId="5" borderId="0" xfId="3" applyNumberFormat="1" applyFont="1" applyFill="1" applyBorder="1" applyProtection="1"/>
    <xf numFmtId="0" fontId="16" fillId="5" borderId="19" xfId="3" applyFont="1" applyFill="1" applyBorder="1" applyProtection="1"/>
    <xf numFmtId="168" fontId="25" fillId="5" borderId="0" xfId="3" applyNumberFormat="1" applyFont="1" applyFill="1" applyBorder="1" applyProtection="1"/>
    <xf numFmtId="38" fontId="23" fillId="5" borderId="0" xfId="3" applyNumberFormat="1" applyFont="1" applyFill="1" applyBorder="1" applyProtection="1"/>
    <xf numFmtId="0" fontId="25" fillId="5" borderId="0" xfId="3" applyFont="1" applyFill="1" applyBorder="1" applyProtection="1"/>
    <xf numFmtId="38" fontId="16" fillId="5" borderId="19" xfId="3" applyNumberFormat="1" applyFont="1" applyFill="1" applyBorder="1" applyProtection="1"/>
    <xf numFmtId="0" fontId="25" fillId="6" borderId="18" xfId="3" applyFont="1" applyFill="1" applyBorder="1" applyProtection="1"/>
    <xf numFmtId="0" fontId="10" fillId="0" borderId="0" xfId="3" applyFont="1" applyFill="1" applyBorder="1" applyProtection="1"/>
    <xf numFmtId="38" fontId="11" fillId="0" borderId="0" xfId="3" applyNumberFormat="1" applyFont="1" applyFill="1" applyBorder="1" applyProtection="1"/>
    <xf numFmtId="0" fontId="23" fillId="0" borderId="0" xfId="3" applyFont="1" applyFill="1" applyBorder="1" applyProtection="1"/>
    <xf numFmtId="0" fontId="23" fillId="5" borderId="0" xfId="3" applyFont="1" applyFill="1"/>
    <xf numFmtId="168" fontId="23" fillId="0" borderId="0" xfId="3" applyNumberFormat="1" applyFont="1" applyFill="1" applyBorder="1" applyProtection="1"/>
    <xf numFmtId="38" fontId="23" fillId="0" borderId="0" xfId="3" applyNumberFormat="1" applyFont="1" applyFill="1" applyBorder="1" applyProtection="1"/>
    <xf numFmtId="0" fontId="25" fillId="5" borderId="0" xfId="3" applyFont="1" applyFill="1" applyBorder="1"/>
    <xf numFmtId="0" fontId="23" fillId="5" borderId="0" xfId="3" applyFont="1" applyFill="1" applyBorder="1"/>
    <xf numFmtId="0" fontId="23" fillId="6" borderId="22" xfId="3" applyFont="1" applyFill="1" applyBorder="1"/>
    <xf numFmtId="0" fontId="25" fillId="5" borderId="23" xfId="3" applyFont="1" applyFill="1" applyBorder="1"/>
    <xf numFmtId="0" fontId="23" fillId="5" borderId="23" xfId="3" applyFont="1" applyFill="1" applyBorder="1"/>
    <xf numFmtId="0" fontId="16" fillId="5" borderId="24" xfId="3" applyFont="1" applyFill="1" applyBorder="1"/>
    <xf numFmtId="0" fontId="16" fillId="5" borderId="0" xfId="3" applyFont="1" applyFill="1" applyBorder="1"/>
    <xf numFmtId="0" fontId="25" fillId="5" borderId="0" xfId="3" applyFont="1" applyFill="1"/>
    <xf numFmtId="0" fontId="16" fillId="5" borderId="0" xfId="3" applyFont="1" applyFill="1"/>
    <xf numFmtId="0" fontId="16" fillId="6" borderId="15" xfId="3" applyFont="1" applyFill="1" applyBorder="1" applyAlignment="1" applyProtection="1">
      <alignment horizontal="centerContinuous" wrapText="1"/>
    </xf>
    <xf numFmtId="0" fontId="25" fillId="6" borderId="16" xfId="3" applyFont="1" applyFill="1" applyBorder="1" applyAlignment="1" applyProtection="1">
      <alignment horizontal="centerContinuous" wrapText="1"/>
    </xf>
    <xf numFmtId="0" fontId="23" fillId="6" borderId="16" xfId="3" applyFont="1" applyFill="1" applyBorder="1" applyAlignment="1" applyProtection="1">
      <alignment horizontal="centerContinuous" wrapText="1"/>
    </xf>
    <xf numFmtId="169" fontId="33" fillId="6" borderId="17" xfId="3" applyNumberFormat="1" applyFont="1" applyFill="1" applyBorder="1" applyAlignment="1">
      <alignment horizontal="centerContinuous"/>
    </xf>
    <xf numFmtId="38" fontId="25" fillId="5" borderId="0" xfId="2" applyNumberFormat="1" applyFont="1" applyFill="1" applyBorder="1" applyProtection="1"/>
    <xf numFmtId="38" fontId="23" fillId="5" borderId="0" xfId="2" applyNumberFormat="1" applyFont="1" applyFill="1" applyBorder="1" applyProtection="1"/>
    <xf numFmtId="0" fontId="23" fillId="6" borderId="18" xfId="3" applyFont="1" applyFill="1" applyBorder="1"/>
    <xf numFmtId="0" fontId="16" fillId="5" borderId="0" xfId="3" applyFont="1" applyFill="1" applyBorder="1" applyProtection="1"/>
    <xf numFmtId="168" fontId="23" fillId="0" borderId="0" xfId="3" applyNumberFormat="1" applyFont="1"/>
    <xf numFmtId="0" fontId="24" fillId="5" borderId="19" xfId="3" applyFont="1" applyFill="1" applyBorder="1" applyProtection="1"/>
    <xf numFmtId="168" fontId="24" fillId="5" borderId="19" xfId="3" applyNumberFormat="1" applyFont="1" applyFill="1" applyBorder="1" applyProtection="1"/>
    <xf numFmtId="170" fontId="23" fillId="5" borderId="0" xfId="3" applyNumberFormat="1" applyFont="1" applyFill="1" applyBorder="1" applyProtection="1"/>
    <xf numFmtId="170" fontId="25" fillId="5" borderId="0" xfId="3" applyNumberFormat="1" applyFont="1" applyFill="1" applyBorder="1" applyProtection="1"/>
    <xf numFmtId="38" fontId="34" fillId="5" borderId="19" xfId="3" applyNumberFormat="1" applyFont="1" applyFill="1" applyBorder="1" applyProtection="1"/>
    <xf numFmtId="0" fontId="23" fillId="6" borderId="22" xfId="3" applyFont="1" applyFill="1" applyBorder="1" applyProtection="1"/>
    <xf numFmtId="0" fontId="25" fillId="5" borderId="23" xfId="3" applyFont="1" applyFill="1" applyBorder="1" applyProtection="1"/>
    <xf numFmtId="0" fontId="23" fillId="5" borderId="23" xfId="3" applyFont="1" applyFill="1" applyBorder="1" applyProtection="1"/>
    <xf numFmtId="38" fontId="16" fillId="5" borderId="24" xfId="3" applyNumberFormat="1" applyFont="1" applyFill="1" applyBorder="1" applyProtection="1"/>
    <xf numFmtId="0" fontId="15" fillId="5" borderId="0" xfId="3" applyFont="1" applyFill="1"/>
    <xf numFmtId="0" fontId="15" fillId="0" borderId="0" xfId="3" applyFont="1"/>
    <xf numFmtId="168" fontId="16" fillId="0" borderId="0" xfId="3" applyNumberFormat="1" applyFont="1"/>
    <xf numFmtId="0" fontId="16" fillId="0" borderId="0" xfId="3" applyFont="1"/>
    <xf numFmtId="0" fontId="14" fillId="5" borderId="0" xfId="4" applyFont="1" applyFill="1"/>
    <xf numFmtId="0" fontId="37" fillId="5" borderId="0" xfId="4" applyFont="1" applyFill="1"/>
    <xf numFmtId="0" fontId="38" fillId="5" borderId="0" xfId="4" applyFont="1" applyFill="1" applyAlignment="1">
      <alignment horizontal="right"/>
    </xf>
    <xf numFmtId="0" fontId="39" fillId="3" borderId="25" xfId="4" applyFont="1" applyFill="1" applyBorder="1" applyAlignment="1">
      <alignment horizontal="center"/>
    </xf>
    <xf numFmtId="0" fontId="37" fillId="3" borderId="26" xfId="4" applyFont="1" applyFill="1" applyBorder="1" applyAlignment="1">
      <alignment horizontal="centerContinuous"/>
    </xf>
    <xf numFmtId="0" fontId="14" fillId="3" borderId="16" xfId="4" applyFont="1" applyFill="1" applyBorder="1" applyAlignment="1">
      <alignment horizontal="centerContinuous"/>
    </xf>
    <xf numFmtId="0" fontId="14" fillId="3" borderId="27" xfId="4" applyFont="1" applyFill="1" applyBorder="1" applyAlignment="1">
      <alignment horizontal="centerContinuous"/>
    </xf>
    <xf numFmtId="0" fontId="37" fillId="3" borderId="16" xfId="4" applyFont="1" applyFill="1" applyBorder="1" applyAlignment="1">
      <alignment horizontal="centerContinuous"/>
    </xf>
    <xf numFmtId="0" fontId="37" fillId="3" borderId="27" xfId="4" applyFont="1" applyFill="1" applyBorder="1" applyAlignment="1">
      <alignment horizontal="centerContinuous"/>
    </xf>
    <xf numFmtId="0" fontId="37" fillId="3" borderId="28" xfId="4" applyFont="1" applyFill="1" applyBorder="1" applyAlignment="1">
      <alignment horizontal="centerContinuous"/>
    </xf>
    <xf numFmtId="0" fontId="37" fillId="3" borderId="16" xfId="4" applyFont="1" applyFill="1" applyBorder="1" applyAlignment="1">
      <alignment horizontal="center" vertical="center"/>
    </xf>
    <xf numFmtId="0" fontId="37" fillId="3" borderId="29" xfId="4" applyFont="1" applyFill="1" applyBorder="1" applyAlignment="1">
      <alignment horizontal="center"/>
    </xf>
    <xf numFmtId="0" fontId="37" fillId="3" borderId="17" xfId="4" applyFont="1" applyFill="1" applyBorder="1" applyAlignment="1">
      <alignment horizontal="center"/>
    </xf>
    <xf numFmtId="0" fontId="39" fillId="3" borderId="30" xfId="4" applyFont="1" applyFill="1" applyBorder="1" applyAlignment="1">
      <alignment horizontal="center"/>
    </xf>
    <xf numFmtId="0" fontId="39" fillId="7" borderId="31" xfId="4" applyFont="1" applyFill="1" applyBorder="1" applyAlignment="1">
      <alignment horizontal="center"/>
    </xf>
    <xf numFmtId="0" fontId="39" fillId="7" borderId="32" xfId="4" applyFont="1" applyFill="1" applyBorder="1" applyAlignment="1">
      <alignment horizontal="center"/>
    </xf>
    <xf numFmtId="0" fontId="39" fillId="7" borderId="10" xfId="4" applyFont="1" applyFill="1" applyBorder="1" applyAlignment="1">
      <alignment horizontal="center"/>
    </xf>
    <xf numFmtId="0" fontId="39" fillId="7" borderId="33" xfId="4" applyFont="1" applyFill="1" applyBorder="1" applyAlignment="1">
      <alignment horizontal="center"/>
    </xf>
    <xf numFmtId="0" fontId="39" fillId="7" borderId="34" xfId="4" applyFont="1" applyFill="1" applyBorder="1" applyAlignment="1">
      <alignment horizontal="center"/>
    </xf>
    <xf numFmtId="0" fontId="39" fillId="3" borderId="35" xfId="4" applyFont="1" applyFill="1" applyBorder="1" applyAlignment="1">
      <alignment horizontal="centerContinuous"/>
    </xf>
    <xf numFmtId="0" fontId="39" fillId="3" borderId="0" xfId="4" applyFont="1" applyFill="1" applyBorder="1" applyAlignment="1">
      <alignment horizontal="center" vertical="center"/>
    </xf>
    <xf numFmtId="0" fontId="39" fillId="3" borderId="36" xfId="4" applyFont="1" applyFill="1" applyBorder="1" applyAlignment="1">
      <alignment horizontal="center"/>
    </xf>
    <xf numFmtId="0" fontId="39" fillId="3" borderId="19" xfId="4" applyFont="1" applyFill="1" applyBorder="1" applyAlignment="1">
      <alignment horizontal="center"/>
    </xf>
    <xf numFmtId="0" fontId="39" fillId="7" borderId="37" xfId="4" applyFont="1" applyFill="1" applyBorder="1" applyAlignment="1">
      <alignment horizontal="center"/>
    </xf>
    <xf numFmtId="0" fontId="39" fillId="7" borderId="4" xfId="4" applyFont="1" applyFill="1" applyBorder="1" applyAlignment="1">
      <alignment horizontal="center"/>
    </xf>
    <xf numFmtId="0" fontId="19" fillId="7" borderId="0" xfId="4" applyFont="1" applyFill="1"/>
    <xf numFmtId="0" fontId="39" fillId="7" borderId="38" xfId="4" applyFont="1" applyFill="1" applyBorder="1" applyAlignment="1">
      <alignment horizontal="center"/>
    </xf>
    <xf numFmtId="0" fontId="39" fillId="7" borderId="7" xfId="4" applyFont="1" applyFill="1" applyBorder="1" applyAlignment="1">
      <alignment horizontal="center"/>
    </xf>
    <xf numFmtId="0" fontId="39" fillId="3" borderId="0" xfId="4" applyFont="1" applyFill="1" applyBorder="1" applyAlignment="1">
      <alignment horizontal="center"/>
    </xf>
    <xf numFmtId="0" fontId="39" fillId="3" borderId="39" xfId="4" applyFont="1" applyFill="1" applyBorder="1" applyAlignment="1">
      <alignment horizontal="center"/>
    </xf>
    <xf numFmtId="0" fontId="39" fillId="7" borderId="40" xfId="4" applyFont="1" applyFill="1" applyBorder="1" applyAlignment="1">
      <alignment horizontal="center"/>
    </xf>
    <xf numFmtId="0" fontId="39" fillId="7" borderId="5" xfId="4" applyFont="1" applyFill="1" applyBorder="1" applyAlignment="1">
      <alignment horizontal="center"/>
    </xf>
    <xf numFmtId="0" fontId="39" fillId="7" borderId="41" xfId="4" applyFont="1" applyFill="1" applyBorder="1" applyAlignment="1">
      <alignment horizontal="center"/>
    </xf>
    <xf numFmtId="0" fontId="39" fillId="7" borderId="42" xfId="4" applyFont="1" applyFill="1" applyBorder="1" applyAlignment="1">
      <alignment horizontal="center"/>
    </xf>
    <xf numFmtId="0" fontId="39" fillId="3" borderId="43" xfId="4" applyFont="1" applyFill="1" applyBorder="1" applyAlignment="1">
      <alignment horizontal="centerContinuous"/>
    </xf>
    <xf numFmtId="0" fontId="39" fillId="3" borderId="40" xfId="4" applyFont="1" applyFill="1" applyBorder="1" applyAlignment="1">
      <alignment horizontal="center"/>
    </xf>
    <xf numFmtId="0" fontId="39" fillId="3" borderId="44" xfId="4" applyFont="1" applyFill="1" applyBorder="1" applyAlignment="1">
      <alignment horizontal="center"/>
    </xf>
    <xf numFmtId="0" fontId="39" fillId="3" borderId="45" xfId="4" applyFont="1" applyFill="1" applyBorder="1" applyAlignment="1">
      <alignment horizontal="center"/>
    </xf>
    <xf numFmtId="171" fontId="39" fillId="3" borderId="30" xfId="4" applyNumberFormat="1" applyFont="1" applyFill="1" applyBorder="1" applyAlignment="1" applyProtection="1">
      <alignment horizontal="left"/>
      <protection locked="0" hidden="1"/>
    </xf>
    <xf numFmtId="168" fontId="14" fillId="5" borderId="37" xfId="4" applyNumberFormat="1" applyFont="1" applyFill="1" applyBorder="1"/>
    <xf numFmtId="168" fontId="14" fillId="5" borderId="4" xfId="4" applyNumberFormat="1" applyFont="1" applyFill="1" applyBorder="1"/>
    <xf numFmtId="168" fontId="37" fillId="5" borderId="7" xfId="4" applyNumberFormat="1" applyFont="1" applyFill="1" applyBorder="1"/>
    <xf numFmtId="168" fontId="14" fillId="5" borderId="38" xfId="4" applyNumberFormat="1" applyFont="1" applyFill="1" applyBorder="1"/>
    <xf numFmtId="168" fontId="37" fillId="5" borderId="35" xfId="4" applyNumberFormat="1" applyFont="1" applyFill="1" applyBorder="1"/>
    <xf numFmtId="168" fontId="14" fillId="5" borderId="36" xfId="4" applyNumberFormat="1" applyFont="1" applyFill="1" applyBorder="1"/>
    <xf numFmtId="168" fontId="37" fillId="5" borderId="19" xfId="4" applyNumberFormat="1" applyFont="1" applyFill="1" applyBorder="1"/>
    <xf numFmtId="168" fontId="14" fillId="5" borderId="30" xfId="4" applyNumberFormat="1" applyFont="1" applyFill="1" applyBorder="1"/>
    <xf numFmtId="168" fontId="14" fillId="5" borderId="0" xfId="4" applyNumberFormat="1" applyFont="1" applyFill="1"/>
    <xf numFmtId="17" fontId="39" fillId="3" borderId="30" xfId="4" applyNumberFormat="1" applyFont="1" applyFill="1" applyBorder="1" applyAlignment="1" applyProtection="1">
      <alignment horizontal="left"/>
      <protection locked="0" hidden="1"/>
    </xf>
    <xf numFmtId="168" fontId="14" fillId="5" borderId="37" xfId="5" applyNumberFormat="1" applyFont="1" applyFill="1" applyBorder="1" applyAlignment="1">
      <alignment horizontal="right"/>
    </xf>
    <xf numFmtId="168" fontId="37" fillId="5" borderId="7" xfId="4" applyNumberFormat="1" applyFont="1" applyFill="1" applyBorder="1" applyAlignment="1">
      <alignment horizontal="right"/>
    </xf>
    <xf numFmtId="168" fontId="37" fillId="5" borderId="35" xfId="4" applyNumberFormat="1" applyFont="1" applyFill="1" applyBorder="1" applyAlignment="1">
      <alignment horizontal="right"/>
    </xf>
    <xf numFmtId="168" fontId="14" fillId="5" borderId="0" xfId="4" applyNumberFormat="1" applyFont="1" applyFill="1" applyBorder="1"/>
    <xf numFmtId="168" fontId="42" fillId="5" borderId="0" xfId="4" applyNumberFormat="1" applyFont="1" applyFill="1"/>
    <xf numFmtId="172" fontId="43" fillId="5" borderId="0" xfId="4" applyNumberFormat="1" applyFont="1" applyFill="1" applyBorder="1"/>
    <xf numFmtId="168" fontId="37" fillId="5" borderId="0" xfId="4" applyNumberFormat="1" applyFont="1" applyFill="1" applyBorder="1"/>
    <xf numFmtId="17" fontId="39" fillId="3" borderId="30" xfId="4" quotePrefix="1" applyNumberFormat="1" applyFont="1" applyFill="1" applyBorder="1" applyAlignment="1" applyProtection="1">
      <alignment horizontal="left"/>
      <protection locked="0" hidden="1"/>
    </xf>
    <xf numFmtId="168" fontId="14" fillId="0" borderId="37" xfId="4" applyNumberFormat="1" applyFont="1" applyFill="1" applyBorder="1"/>
    <xf numFmtId="168" fontId="37" fillId="0" borderId="7" xfId="4" applyNumberFormat="1" applyFont="1" applyFill="1" applyBorder="1"/>
    <xf numFmtId="168" fontId="14" fillId="0" borderId="37" xfId="5" applyNumberFormat="1" applyFont="1" applyFill="1" applyBorder="1" applyAlignment="1">
      <alignment horizontal="right"/>
    </xf>
    <xf numFmtId="168" fontId="37" fillId="0" borderId="7" xfId="4" applyNumberFormat="1" applyFont="1" applyFill="1" applyBorder="1" applyAlignment="1">
      <alignment horizontal="right"/>
    </xf>
    <xf numFmtId="168" fontId="37" fillId="0" borderId="35" xfId="4" applyNumberFormat="1" applyFont="1" applyFill="1" applyBorder="1" applyAlignment="1">
      <alignment horizontal="right"/>
    </xf>
    <xf numFmtId="168" fontId="14" fillId="0" borderId="36" xfId="4" applyNumberFormat="1" applyFont="1" applyFill="1" applyBorder="1"/>
    <xf numFmtId="168" fontId="37" fillId="0" borderId="19" xfId="4" applyNumberFormat="1" applyFont="1" applyFill="1" applyBorder="1"/>
    <xf numFmtId="168" fontId="14" fillId="0" borderId="30" xfId="4" applyNumberFormat="1" applyFont="1" applyFill="1" applyBorder="1"/>
    <xf numFmtId="168" fontId="19" fillId="0" borderId="37" xfId="4" applyNumberFormat="1" applyFont="1" applyFill="1" applyBorder="1"/>
    <xf numFmtId="168" fontId="39" fillId="0" borderId="7" xfId="4" applyNumberFormat="1" applyFont="1" applyFill="1" applyBorder="1"/>
    <xf numFmtId="168" fontId="19" fillId="0" borderId="37" xfId="5" applyNumberFormat="1" applyFont="1" applyFill="1" applyBorder="1" applyAlignment="1">
      <alignment horizontal="right"/>
    </xf>
    <xf numFmtId="168" fontId="39" fillId="0" borderId="7" xfId="4" applyNumberFormat="1" applyFont="1" applyFill="1" applyBorder="1" applyAlignment="1">
      <alignment horizontal="right"/>
    </xf>
    <xf numFmtId="168" fontId="39" fillId="0" borderId="35" xfId="4" applyNumberFormat="1" applyFont="1" applyFill="1" applyBorder="1" applyAlignment="1">
      <alignment horizontal="right"/>
    </xf>
    <xf numFmtId="168" fontId="19" fillId="0" borderId="36" xfId="4" applyNumberFormat="1" applyFont="1" applyFill="1" applyBorder="1"/>
    <xf numFmtId="168" fontId="39" fillId="0" borderId="19" xfId="4" applyNumberFormat="1" applyFont="1" applyFill="1" applyBorder="1"/>
    <xf numFmtId="168" fontId="19" fillId="0" borderId="30" xfId="4" applyNumberFormat="1" applyFont="1" applyFill="1" applyBorder="1"/>
    <xf numFmtId="172" fontId="14" fillId="5" borderId="0" xfId="4" applyNumberFormat="1" applyFont="1" applyFill="1"/>
    <xf numFmtId="17" fontId="37" fillId="3" borderId="46" xfId="4" applyNumberFormat="1" applyFont="1" applyFill="1" applyBorder="1" applyAlignment="1" applyProtection="1">
      <alignment horizontal="left"/>
      <protection locked="0" hidden="1"/>
    </xf>
    <xf numFmtId="168" fontId="14" fillId="5" borderId="47" xfId="4" applyNumberFormat="1" applyFont="1" applyFill="1" applyBorder="1"/>
    <xf numFmtId="168" fontId="14" fillId="5" borderId="48" xfId="4" applyNumberFormat="1" applyFont="1" applyFill="1" applyBorder="1"/>
    <xf numFmtId="168" fontId="14" fillId="5" borderId="49" xfId="4" applyNumberFormat="1" applyFont="1" applyFill="1" applyBorder="1"/>
    <xf numFmtId="168" fontId="14" fillId="5" borderId="50" xfId="4" applyNumberFormat="1" applyFont="1" applyFill="1" applyBorder="1"/>
    <xf numFmtId="168" fontId="14" fillId="5" borderId="51" xfId="4" applyNumberFormat="1" applyFont="1" applyFill="1" applyBorder="1"/>
    <xf numFmtId="168" fontId="14" fillId="5" borderId="52" xfId="4" applyNumberFormat="1" applyFont="1" applyFill="1" applyBorder="1"/>
    <xf numFmtId="168" fontId="14" fillId="5" borderId="24" xfId="4" applyNumberFormat="1" applyFont="1" applyFill="1" applyBorder="1"/>
    <xf numFmtId="168" fontId="14" fillId="5" borderId="46" xfId="4" applyNumberFormat="1" applyFont="1" applyFill="1" applyBorder="1"/>
    <xf numFmtId="0" fontId="44" fillId="5" borderId="0" xfId="4" applyFont="1" applyFill="1"/>
    <xf numFmtId="0" fontId="44" fillId="8" borderId="0" xfId="4" applyFont="1" applyFill="1" applyBorder="1" applyProtection="1"/>
    <xf numFmtId="10" fontId="14" fillId="5" borderId="0" xfId="4" applyNumberFormat="1" applyFont="1" applyFill="1"/>
    <xf numFmtId="173" fontId="14" fillId="5" borderId="0" xfId="4" applyNumberFormat="1" applyFont="1" applyFill="1"/>
    <xf numFmtId="0" fontId="45" fillId="5" borderId="0" xfId="4" applyFont="1" applyFill="1" applyBorder="1"/>
    <xf numFmtId="0" fontId="45" fillId="5" borderId="0" xfId="4" applyFont="1" applyFill="1"/>
    <xf numFmtId="168" fontId="45" fillId="5" borderId="0" xfId="4" applyNumberFormat="1" applyFont="1" applyFill="1"/>
    <xf numFmtId="168" fontId="14" fillId="5" borderId="0" xfId="5" applyNumberFormat="1" applyFont="1" applyFill="1"/>
    <xf numFmtId="4" fontId="14" fillId="5" borderId="0" xfId="4" applyNumberFormat="1" applyFont="1" applyFill="1"/>
    <xf numFmtId="0" fontId="14" fillId="5" borderId="0" xfId="4" applyFont="1" applyFill="1" applyAlignment="1">
      <alignment horizontal="right"/>
    </xf>
    <xf numFmtId="0" fontId="37" fillId="9" borderId="27" xfId="4" applyFont="1" applyFill="1" applyBorder="1" applyAlignment="1">
      <alignment horizontal="center"/>
    </xf>
    <xf numFmtId="0" fontId="37" fillId="3" borderId="28" xfId="4" applyFont="1" applyFill="1" applyBorder="1" applyAlignment="1">
      <alignment horizontal="center"/>
    </xf>
    <xf numFmtId="0" fontId="37" fillId="3" borderId="54" xfId="4" applyFont="1" applyFill="1" applyBorder="1" applyAlignment="1">
      <alignment horizontal="center"/>
    </xf>
    <xf numFmtId="0" fontId="37" fillId="3" borderId="27" xfId="4" applyFont="1" applyFill="1" applyBorder="1" applyAlignment="1">
      <alignment horizontal="center"/>
    </xf>
    <xf numFmtId="0" fontId="37" fillId="9" borderId="7" xfId="4" applyFont="1" applyFill="1" applyBorder="1" applyAlignment="1">
      <alignment horizontal="center"/>
    </xf>
    <xf numFmtId="0" fontId="37" fillId="7" borderId="33" xfId="4" applyFont="1" applyFill="1" applyBorder="1" applyAlignment="1">
      <alignment horizontal="center"/>
    </xf>
    <xf numFmtId="0" fontId="37" fillId="7" borderId="32" xfId="4" applyFont="1" applyFill="1" applyBorder="1" applyAlignment="1">
      <alignment horizontal="center"/>
    </xf>
    <xf numFmtId="0" fontId="37" fillId="7" borderId="10" xfId="4" applyFont="1" applyFill="1" applyBorder="1" applyAlignment="1">
      <alignment horizontal="center"/>
    </xf>
    <xf numFmtId="0" fontId="37" fillId="3" borderId="35" xfId="4" applyFont="1" applyFill="1" applyBorder="1" applyAlignment="1">
      <alignment horizontal="center"/>
    </xf>
    <xf numFmtId="0" fontId="37" fillId="3" borderId="55" xfId="4" applyFont="1" applyFill="1" applyBorder="1" applyAlignment="1">
      <alignment horizontal="center"/>
    </xf>
    <xf numFmtId="0" fontId="37" fillId="3" borderId="7" xfId="4" applyFont="1" applyFill="1" applyBorder="1" applyAlignment="1">
      <alignment horizontal="center"/>
    </xf>
    <xf numFmtId="0" fontId="37" fillId="7" borderId="38" xfId="4" applyFont="1" applyFill="1" applyBorder="1" applyAlignment="1">
      <alignment horizontal="center"/>
    </xf>
    <xf numFmtId="0" fontId="37" fillId="7" borderId="4" xfId="4" applyFont="1" applyFill="1" applyBorder="1" applyAlignment="1">
      <alignment horizontal="center"/>
    </xf>
    <xf numFmtId="0" fontId="37" fillId="7" borderId="7" xfId="4" applyFont="1" applyFill="1" applyBorder="1" applyAlignment="1">
      <alignment horizontal="center"/>
    </xf>
    <xf numFmtId="0" fontId="37" fillId="9" borderId="41" xfId="4" applyFont="1" applyFill="1" applyBorder="1" applyAlignment="1">
      <alignment horizontal="center"/>
    </xf>
    <xf numFmtId="0" fontId="37" fillId="7" borderId="40" xfId="4" applyFont="1" applyFill="1" applyBorder="1" applyAlignment="1">
      <alignment horizontal="center"/>
    </xf>
    <xf numFmtId="0" fontId="37" fillId="7" borderId="5" xfId="4" applyFont="1" applyFill="1" applyBorder="1" applyAlignment="1">
      <alignment horizontal="center"/>
    </xf>
    <xf numFmtId="0" fontId="37" fillId="7" borderId="41" xfId="4" applyFont="1" applyFill="1" applyBorder="1" applyAlignment="1">
      <alignment horizontal="center"/>
    </xf>
    <xf numFmtId="0" fontId="37" fillId="3" borderId="43" xfId="4" applyFont="1" applyFill="1" applyBorder="1" applyAlignment="1">
      <alignment horizontal="center"/>
    </xf>
    <xf numFmtId="0" fontId="37" fillId="7" borderId="42" xfId="4" applyFont="1" applyFill="1" applyBorder="1" applyAlignment="1">
      <alignment horizontal="center"/>
    </xf>
    <xf numFmtId="0" fontId="37" fillId="3" borderId="56" xfId="4" applyFont="1" applyFill="1" applyBorder="1" applyAlignment="1">
      <alignment horizontal="center"/>
    </xf>
    <xf numFmtId="0" fontId="37" fillId="3" borderId="41" xfId="4" applyFont="1" applyFill="1" applyBorder="1" applyAlignment="1">
      <alignment horizontal="center"/>
    </xf>
    <xf numFmtId="0" fontId="37" fillId="6" borderId="41" xfId="4" applyFont="1" applyFill="1" applyBorder="1" applyAlignment="1">
      <alignment horizontal="center"/>
    </xf>
    <xf numFmtId="0" fontId="37" fillId="10" borderId="40" xfId="4" applyFont="1" applyFill="1" applyBorder="1" applyAlignment="1">
      <alignment horizontal="center"/>
    </xf>
    <xf numFmtId="0" fontId="37" fillId="10" borderId="5" xfId="4" applyFont="1" applyFill="1" applyBorder="1" applyAlignment="1">
      <alignment horizontal="center"/>
    </xf>
    <xf numFmtId="0" fontId="37" fillId="10" borderId="41" xfId="4" applyFont="1" applyFill="1" applyBorder="1" applyAlignment="1">
      <alignment horizontal="center"/>
    </xf>
    <xf numFmtId="0" fontId="37" fillId="6" borderId="43" xfId="4" applyFont="1" applyFill="1" applyBorder="1" applyAlignment="1">
      <alignment horizontal="center"/>
    </xf>
    <xf numFmtId="0" fontId="37" fillId="10" borderId="42" xfId="4" applyFont="1" applyFill="1" applyBorder="1" applyAlignment="1">
      <alignment horizontal="center"/>
    </xf>
    <xf numFmtId="0" fontId="37" fillId="6" borderId="56" xfId="4" applyFont="1" applyFill="1" applyBorder="1" applyAlignment="1">
      <alignment horizontal="center"/>
    </xf>
    <xf numFmtId="168" fontId="14" fillId="5" borderId="7" xfId="4" applyNumberFormat="1" applyFont="1" applyFill="1" applyBorder="1"/>
    <xf numFmtId="168" fontId="14" fillId="5" borderId="35" xfId="4" applyNumberFormat="1" applyFont="1" applyFill="1" applyBorder="1"/>
    <xf numFmtId="168" fontId="37" fillId="5" borderId="55" xfId="4" applyNumberFormat="1" applyFont="1" applyFill="1" applyBorder="1"/>
    <xf numFmtId="168" fontId="14" fillId="5" borderId="55" xfId="4" applyNumberFormat="1" applyFont="1" applyFill="1" applyBorder="1"/>
    <xf numFmtId="168" fontId="14" fillId="5" borderId="7" xfId="4" applyNumberFormat="1" applyFont="1" applyFill="1" applyBorder="1" applyAlignment="1">
      <alignment horizontal="right"/>
    </xf>
    <xf numFmtId="168" fontId="37" fillId="5" borderId="55" xfId="4" applyNumberFormat="1" applyFont="1" applyFill="1" applyBorder="1" applyAlignment="1">
      <alignment horizontal="right"/>
    </xf>
    <xf numFmtId="168" fontId="39" fillId="5" borderId="7" xfId="4" applyNumberFormat="1" applyFont="1" applyFill="1" applyBorder="1"/>
    <xf numFmtId="168" fontId="19" fillId="5" borderId="37" xfId="4" applyNumberFormat="1" applyFont="1" applyFill="1" applyBorder="1"/>
    <xf numFmtId="168" fontId="19" fillId="5" borderId="4" xfId="4" applyNumberFormat="1" applyFont="1" applyFill="1" applyBorder="1"/>
    <xf numFmtId="168" fontId="19" fillId="5" borderId="7" xfId="4" applyNumberFormat="1" applyFont="1" applyFill="1" applyBorder="1"/>
    <xf numFmtId="168" fontId="19" fillId="5" borderId="7" xfId="4" applyNumberFormat="1" applyFont="1" applyFill="1" applyBorder="1" applyAlignment="1">
      <alignment horizontal="right"/>
    </xf>
    <xf numFmtId="168" fontId="19" fillId="5" borderId="38" xfId="4" applyNumberFormat="1" applyFont="1" applyFill="1" applyBorder="1"/>
    <xf numFmtId="168" fontId="19" fillId="5" borderId="35" xfId="4" applyNumberFormat="1" applyFont="1" applyFill="1" applyBorder="1"/>
    <xf numFmtId="168" fontId="19" fillId="5" borderId="0" xfId="4" applyNumberFormat="1" applyFont="1" applyFill="1"/>
    <xf numFmtId="168" fontId="39" fillId="5" borderId="55" xfId="4" applyNumberFormat="1" applyFont="1" applyFill="1" applyBorder="1" applyAlignment="1">
      <alignment horizontal="right"/>
    </xf>
    <xf numFmtId="168" fontId="19" fillId="5" borderId="55" xfId="4" applyNumberFormat="1" applyFont="1" applyFill="1" applyBorder="1"/>
    <xf numFmtId="168" fontId="19" fillId="0" borderId="4" xfId="4" applyNumberFormat="1" applyFont="1" applyFill="1" applyBorder="1"/>
    <xf numFmtId="168" fontId="19" fillId="0" borderId="7" xfId="4" applyNumberFormat="1" applyFont="1" applyFill="1" applyBorder="1"/>
    <xf numFmtId="168" fontId="19" fillId="0" borderId="7" xfId="4" applyNumberFormat="1" applyFont="1" applyFill="1" applyBorder="1" applyAlignment="1">
      <alignment horizontal="right"/>
    </xf>
    <xf numFmtId="168" fontId="19" fillId="0" borderId="38" xfId="4" applyNumberFormat="1" applyFont="1" applyFill="1" applyBorder="1"/>
    <xf numFmtId="168" fontId="19" fillId="0" borderId="35" xfId="4" applyNumberFormat="1" applyFont="1" applyFill="1" applyBorder="1"/>
    <xf numFmtId="168" fontId="19" fillId="0" borderId="0" xfId="4" applyNumberFormat="1" applyFont="1" applyFill="1"/>
    <xf numFmtId="168" fontId="39" fillId="0" borderId="55" xfId="4" applyNumberFormat="1" applyFont="1" applyFill="1" applyBorder="1" applyAlignment="1">
      <alignment horizontal="right"/>
    </xf>
    <xf numFmtId="168" fontId="19" fillId="0" borderId="55" xfId="4" applyNumberFormat="1" applyFont="1" applyFill="1" applyBorder="1"/>
    <xf numFmtId="168" fontId="39" fillId="0" borderId="57" xfId="4" applyNumberFormat="1" applyFont="1" applyFill="1" applyBorder="1"/>
    <xf numFmtId="168" fontId="19" fillId="0" borderId="0" xfId="4" applyNumberFormat="1" applyFont="1" applyFill="1" applyBorder="1"/>
    <xf numFmtId="0" fontId="14" fillId="5" borderId="23" xfId="4" applyFont="1" applyFill="1" applyBorder="1"/>
    <xf numFmtId="17" fontId="39" fillId="3" borderId="46" xfId="4" applyNumberFormat="1" applyFont="1" applyFill="1" applyBorder="1" applyAlignment="1" applyProtection="1">
      <alignment horizontal="left"/>
      <protection locked="0" hidden="1"/>
    </xf>
    <xf numFmtId="168" fontId="39" fillId="0" borderId="49" xfId="4" applyNumberFormat="1" applyFont="1" applyFill="1" applyBorder="1"/>
    <xf numFmtId="168" fontId="19" fillId="0" borderId="47" xfId="4" applyNumberFormat="1" applyFont="1" applyFill="1" applyBorder="1"/>
    <xf numFmtId="168" fontId="19" fillId="0" borderId="48" xfId="4" applyNumberFormat="1" applyFont="1" applyFill="1" applyBorder="1"/>
    <xf numFmtId="168" fontId="19" fillId="0" borderId="49" xfId="4" applyNumberFormat="1" applyFont="1" applyFill="1" applyBorder="1"/>
    <xf numFmtId="168" fontId="19" fillId="0" borderId="49" xfId="4" applyNumberFormat="1" applyFont="1" applyFill="1" applyBorder="1" applyAlignment="1">
      <alignment horizontal="right"/>
    </xf>
    <xf numFmtId="168" fontId="19" fillId="0" borderId="50" xfId="4" applyNumberFormat="1" applyFont="1" applyFill="1" applyBorder="1"/>
    <xf numFmtId="168" fontId="19" fillId="0" borderId="51" xfId="4" applyNumberFormat="1" applyFont="1" applyFill="1" applyBorder="1"/>
    <xf numFmtId="168" fontId="19" fillId="0" borderId="23" xfId="4" applyNumberFormat="1" applyFont="1" applyFill="1" applyBorder="1"/>
    <xf numFmtId="168" fontId="39" fillId="0" borderId="58" xfId="4" applyNumberFormat="1" applyFont="1" applyFill="1" applyBorder="1" applyAlignment="1">
      <alignment horizontal="right"/>
    </xf>
    <xf numFmtId="168" fontId="19" fillId="0" borderId="58" xfId="4" applyNumberFormat="1" applyFont="1" applyFill="1" applyBorder="1"/>
    <xf numFmtId="0" fontId="44" fillId="5" borderId="0" xfId="4" applyFont="1" applyFill="1" applyAlignment="1">
      <alignment horizontal="left"/>
    </xf>
    <xf numFmtId="3" fontId="45" fillId="5" borderId="0" xfId="4" applyNumberFormat="1" applyFont="1" applyFill="1"/>
    <xf numFmtId="3" fontId="14" fillId="5" borderId="0" xfId="4" applyNumberFormat="1" applyFont="1" applyFill="1" applyBorder="1"/>
    <xf numFmtId="168" fontId="45" fillId="5" borderId="0" xfId="4" applyNumberFormat="1" applyFont="1" applyFill="1" applyBorder="1"/>
    <xf numFmtId="2" fontId="45" fillId="5" borderId="0" xfId="4" applyNumberFormat="1" applyFont="1" applyFill="1"/>
    <xf numFmtId="170" fontId="45" fillId="5" borderId="0" xfId="4" applyNumberFormat="1" applyFont="1" applyFill="1"/>
    <xf numFmtId="0" fontId="47" fillId="5" borderId="0" xfId="4" applyFont="1" applyFill="1" applyBorder="1"/>
    <xf numFmtId="0" fontId="26" fillId="5" borderId="0" xfId="4" applyFont="1" applyFill="1"/>
    <xf numFmtId="168" fontId="47" fillId="5" borderId="0" xfId="4" applyNumberFormat="1" applyFont="1" applyFill="1" applyBorder="1"/>
    <xf numFmtId="0" fontId="48" fillId="5" borderId="0" xfId="4" applyFont="1" applyFill="1" applyBorder="1" applyAlignment="1">
      <alignment horizontal="right"/>
    </xf>
    <xf numFmtId="3" fontId="49" fillId="3" borderId="25" xfId="4" applyNumberFormat="1" applyFont="1" applyFill="1" applyBorder="1" applyAlignment="1">
      <alignment horizontal="center"/>
    </xf>
    <xf numFmtId="0" fontId="49" fillId="3" borderId="30" xfId="4" applyFont="1" applyFill="1" applyBorder="1" applyAlignment="1">
      <alignment horizontal="center"/>
    </xf>
    <xf numFmtId="3" fontId="49" fillId="3" borderId="46" xfId="4" applyNumberFormat="1" applyFont="1" applyFill="1" applyBorder="1" applyAlignment="1">
      <alignment horizontal="center"/>
    </xf>
    <xf numFmtId="3" fontId="47" fillId="7" borderId="30" xfId="4" applyNumberFormat="1" applyFont="1" applyFill="1" applyBorder="1"/>
    <xf numFmtId="0" fontId="47" fillId="5" borderId="18" xfId="4" applyFont="1" applyFill="1" applyBorder="1"/>
    <xf numFmtId="0" fontId="47" fillId="5" borderId="28" xfId="4" applyFont="1" applyFill="1" applyBorder="1"/>
    <xf numFmtId="3" fontId="47" fillId="11" borderId="30" xfId="4" applyNumberFormat="1" applyFont="1" applyFill="1" applyBorder="1"/>
    <xf numFmtId="3" fontId="29" fillId="7" borderId="30" xfId="6" applyNumberFormat="1" applyFont="1" applyFill="1" applyBorder="1" applyProtection="1">
      <protection hidden="1"/>
    </xf>
    <xf numFmtId="168" fontId="29" fillId="5" borderId="18" xfId="4" applyNumberFormat="1" applyFont="1" applyFill="1" applyBorder="1"/>
    <xf numFmtId="168" fontId="29" fillId="5" borderId="35" xfId="4" applyNumberFormat="1" applyFont="1" applyFill="1" applyBorder="1"/>
    <xf numFmtId="3" fontId="29" fillId="11" borderId="30" xfId="6" applyNumberFormat="1" applyFont="1" applyFill="1" applyBorder="1" applyProtection="1">
      <protection hidden="1"/>
    </xf>
    <xf numFmtId="168" fontId="26" fillId="5" borderId="0" xfId="4" applyNumberFormat="1" applyFont="1" applyFill="1"/>
    <xf numFmtId="3" fontId="30" fillId="7" borderId="30" xfId="6" applyNumberFormat="1" applyFont="1" applyFill="1" applyBorder="1" applyProtection="1">
      <protection hidden="1"/>
    </xf>
    <xf numFmtId="3" fontId="30" fillId="11" borderId="30" xfId="6" applyNumberFormat="1" applyFont="1" applyFill="1" applyBorder="1" applyProtection="1">
      <protection hidden="1"/>
    </xf>
    <xf numFmtId="3" fontId="26" fillId="7" borderId="30" xfId="6" applyNumberFormat="1" applyFont="1" applyFill="1" applyBorder="1" applyProtection="1">
      <protection hidden="1"/>
    </xf>
    <xf numFmtId="168" fontId="26" fillId="5" borderId="18" xfId="4" applyNumberFormat="1" applyFont="1" applyFill="1" applyBorder="1"/>
    <xf numFmtId="168" fontId="26" fillId="5" borderId="35" xfId="4" applyNumberFormat="1" applyFont="1" applyFill="1" applyBorder="1"/>
    <xf numFmtId="3" fontId="26" fillId="11" borderId="30" xfId="6" applyNumberFormat="1" applyFont="1" applyFill="1" applyBorder="1" applyProtection="1">
      <protection hidden="1"/>
    </xf>
    <xf numFmtId="168" fontId="26" fillId="5" borderId="6" xfId="4" applyNumberFormat="1" applyFont="1" applyFill="1" applyBorder="1"/>
    <xf numFmtId="3" fontId="26" fillId="7" borderId="46" xfId="6" applyNumberFormat="1" applyFont="1" applyFill="1" applyBorder="1" applyProtection="1">
      <protection hidden="1"/>
    </xf>
    <xf numFmtId="168" fontId="26" fillId="5" borderId="59" xfId="4" applyNumberFormat="1" applyFont="1" applyFill="1" applyBorder="1"/>
    <xf numFmtId="168" fontId="26" fillId="5" borderId="51" xfId="4" applyNumberFormat="1" applyFont="1" applyFill="1" applyBorder="1"/>
    <xf numFmtId="3" fontId="26" fillId="11" borderId="46" xfId="6" applyNumberFormat="1" applyFont="1" applyFill="1" applyBorder="1" applyProtection="1">
      <protection hidden="1"/>
    </xf>
    <xf numFmtId="3" fontId="30" fillId="0" borderId="0" xfId="6" applyNumberFormat="1" applyFont="1" applyFill="1" applyBorder="1" applyProtection="1">
      <protection hidden="1"/>
    </xf>
    <xf numFmtId="168" fontId="26" fillId="5" borderId="0" xfId="4" applyNumberFormat="1" applyFont="1" applyFill="1" applyBorder="1"/>
    <xf numFmtId="168" fontId="29" fillId="5" borderId="0" xfId="4" applyNumberFormat="1" applyFont="1" applyFill="1" applyBorder="1"/>
    <xf numFmtId="0" fontId="26" fillId="5" borderId="0" xfId="4" applyFont="1" applyFill="1" applyBorder="1"/>
    <xf numFmtId="3" fontId="30" fillId="0" borderId="23" xfId="6" applyNumberFormat="1" applyFont="1" applyFill="1" applyBorder="1" applyProtection="1">
      <protection hidden="1"/>
    </xf>
    <xf numFmtId="168" fontId="26" fillId="5" borderId="23" xfId="4" applyNumberFormat="1" applyFont="1" applyFill="1" applyBorder="1"/>
    <xf numFmtId="0" fontId="30" fillId="5" borderId="23" xfId="4" applyFont="1" applyFill="1" applyBorder="1" applyAlignment="1">
      <alignment horizontal="center"/>
    </xf>
    <xf numFmtId="3" fontId="29" fillId="3" borderId="25" xfId="4" applyNumberFormat="1" applyFont="1" applyFill="1" applyBorder="1" applyAlignment="1">
      <alignment horizontal="center"/>
    </xf>
    <xf numFmtId="0" fontId="29" fillId="11" borderId="60" xfId="4" applyFont="1" applyFill="1" applyBorder="1" applyAlignment="1">
      <alignment horizontal="center"/>
    </xf>
    <xf numFmtId="0" fontId="29" fillId="11" borderId="28" xfId="4" applyFont="1" applyFill="1" applyBorder="1" applyAlignment="1">
      <alignment horizontal="center"/>
    </xf>
    <xf numFmtId="0" fontId="29" fillId="11" borderId="17" xfId="4" applyFont="1" applyFill="1" applyBorder="1" applyAlignment="1">
      <alignment horizontal="center"/>
    </xf>
    <xf numFmtId="0" fontId="29" fillId="3" borderId="30" xfId="4" applyFont="1" applyFill="1" applyBorder="1" applyAlignment="1">
      <alignment horizontal="center"/>
    </xf>
    <xf numFmtId="0" fontId="29" fillId="11" borderId="57" xfId="4" applyFont="1" applyFill="1" applyBorder="1" applyAlignment="1">
      <alignment horizontal="center"/>
    </xf>
    <xf numFmtId="0" fontId="29" fillId="11" borderId="35" xfId="4" applyFont="1" applyFill="1" applyBorder="1" applyAlignment="1">
      <alignment horizontal="center"/>
    </xf>
    <xf numFmtId="0" fontId="29" fillId="11" borderId="19" xfId="4" applyFont="1" applyFill="1" applyBorder="1" applyAlignment="1">
      <alignment horizontal="center"/>
    </xf>
    <xf numFmtId="3" fontId="29" fillId="3" borderId="46" xfId="4" applyNumberFormat="1" applyFont="1" applyFill="1" applyBorder="1" applyAlignment="1">
      <alignment horizontal="center"/>
    </xf>
    <xf numFmtId="0" fontId="29" fillId="11" borderId="61" xfId="4" applyFont="1" applyFill="1" applyBorder="1" applyAlignment="1">
      <alignment horizontal="center"/>
    </xf>
    <xf numFmtId="0" fontId="29" fillId="11" borderId="51" xfId="4" applyFont="1" applyFill="1" applyBorder="1" applyAlignment="1">
      <alignment horizontal="center"/>
    </xf>
    <xf numFmtId="0" fontId="29" fillId="11" borderId="24" xfId="4" applyFont="1" applyFill="1" applyBorder="1" applyAlignment="1">
      <alignment horizontal="center"/>
    </xf>
    <xf numFmtId="0" fontId="29" fillId="5" borderId="60" xfId="4" applyFont="1" applyFill="1" applyBorder="1" applyAlignment="1">
      <alignment horizontal="center"/>
    </xf>
    <xf numFmtId="0" fontId="29" fillId="5" borderId="28" xfId="4" applyFont="1" applyFill="1" applyBorder="1" applyAlignment="1">
      <alignment horizontal="center"/>
    </xf>
    <xf numFmtId="3" fontId="26" fillId="11" borderId="30" xfId="4" applyNumberFormat="1" applyFont="1" applyFill="1" applyBorder="1"/>
    <xf numFmtId="168" fontId="29" fillId="5" borderId="57" xfId="4" applyNumberFormat="1" applyFont="1" applyFill="1" applyBorder="1"/>
    <xf numFmtId="168" fontId="26" fillId="5" borderId="57" xfId="4" applyNumberFormat="1" applyFont="1" applyFill="1" applyBorder="1"/>
    <xf numFmtId="3" fontId="29" fillId="11" borderId="30" xfId="4" applyNumberFormat="1" applyFont="1" applyFill="1" applyBorder="1"/>
    <xf numFmtId="3" fontId="26" fillId="7" borderId="30" xfId="4" applyNumberFormat="1" applyFont="1" applyFill="1" applyBorder="1"/>
    <xf numFmtId="0" fontId="51" fillId="5" borderId="0" xfId="4" applyFont="1" applyFill="1" applyBorder="1"/>
    <xf numFmtId="168" fontId="52" fillId="5" borderId="0" xfId="4" applyNumberFormat="1" applyFont="1" applyFill="1" applyBorder="1"/>
    <xf numFmtId="0" fontId="48" fillId="5" borderId="0" xfId="4" applyFont="1" applyFill="1" applyBorder="1"/>
    <xf numFmtId="0" fontId="30" fillId="5" borderId="0" xfId="4" applyFont="1" applyFill="1"/>
    <xf numFmtId="0" fontId="53" fillId="5" borderId="0" xfId="4" applyFont="1" applyFill="1"/>
    <xf numFmtId="0" fontId="18" fillId="5" borderId="0" xfId="4" applyFont="1" applyFill="1"/>
    <xf numFmtId="0" fontId="45" fillId="5" borderId="0" xfId="4" applyFont="1" applyFill="1" applyBorder="1" applyAlignment="1">
      <alignment horizontal="center"/>
    </xf>
    <xf numFmtId="0" fontId="45" fillId="5" borderId="0" xfId="4" applyFont="1" applyFill="1" applyAlignment="1">
      <alignment horizontal="right"/>
    </xf>
    <xf numFmtId="0" fontId="45" fillId="5" borderId="23" xfId="4" applyFont="1" applyFill="1" applyBorder="1" applyAlignment="1"/>
    <xf numFmtId="0" fontId="45" fillId="5" borderId="23" xfId="4" applyFont="1" applyFill="1" applyBorder="1" applyAlignment="1">
      <alignment horizontal="right"/>
    </xf>
    <xf numFmtId="3" fontId="39" fillId="3" borderId="62" xfId="4" applyNumberFormat="1" applyFont="1" applyFill="1" applyBorder="1" applyAlignment="1">
      <alignment horizontal="center"/>
    </xf>
    <xf numFmtId="17" fontId="39" fillId="12" borderId="63" xfId="4" applyNumberFormat="1" applyFont="1" applyFill="1" applyBorder="1" applyAlignment="1">
      <alignment horizontal="center"/>
    </xf>
    <xf numFmtId="17" fontId="39" fillId="12" borderId="64" xfId="4" applyNumberFormat="1" applyFont="1" applyFill="1" applyBorder="1" applyAlignment="1">
      <alignment horizontal="center"/>
    </xf>
    <xf numFmtId="17" fontId="39" fillId="12" borderId="65" xfId="4" applyNumberFormat="1" applyFont="1" applyFill="1" applyBorder="1" applyAlignment="1">
      <alignment horizontal="center"/>
    </xf>
    <xf numFmtId="17" fontId="39" fillId="12" borderId="66" xfId="4" applyNumberFormat="1" applyFont="1" applyFill="1" applyBorder="1" applyAlignment="1">
      <alignment horizontal="center"/>
    </xf>
    <xf numFmtId="17" fontId="39" fillId="12" borderId="67" xfId="4" applyNumberFormat="1" applyFont="1" applyFill="1" applyBorder="1" applyAlignment="1">
      <alignment horizontal="center"/>
    </xf>
    <xf numFmtId="17" fontId="39" fillId="12" borderId="62" xfId="4" applyNumberFormat="1" applyFont="1" applyFill="1" applyBorder="1" applyAlignment="1">
      <alignment horizontal="center"/>
    </xf>
    <xf numFmtId="17" fontId="39" fillId="12" borderId="62" xfId="4" quotePrefix="1" applyNumberFormat="1" applyFont="1" applyFill="1" applyBorder="1" applyAlignment="1">
      <alignment horizontal="center"/>
    </xf>
    <xf numFmtId="17" fontId="39" fillId="12" borderId="68" xfId="4" quotePrefix="1" applyNumberFormat="1" applyFont="1" applyFill="1" applyBorder="1" applyAlignment="1">
      <alignment horizontal="center"/>
    </xf>
    <xf numFmtId="3" fontId="37" fillId="7" borderId="30" xfId="6" applyNumberFormat="1" applyFont="1" applyFill="1" applyBorder="1" applyProtection="1">
      <protection hidden="1"/>
    </xf>
    <xf numFmtId="168" fontId="37" fillId="5" borderId="57" xfId="4" applyNumberFormat="1" applyFont="1" applyFill="1" applyBorder="1"/>
    <xf numFmtId="168" fontId="37" fillId="5" borderId="28" xfId="4" applyNumberFormat="1" applyFont="1" applyFill="1" applyBorder="1"/>
    <xf numFmtId="168" fontId="37" fillId="5" borderId="16" xfId="4" applyNumberFormat="1" applyFont="1" applyFill="1" applyBorder="1"/>
    <xf numFmtId="168" fontId="37" fillId="5" borderId="30" xfId="4" applyNumberFormat="1" applyFont="1" applyFill="1" applyBorder="1"/>
    <xf numFmtId="168" fontId="37" fillId="5" borderId="25" xfId="4" applyNumberFormat="1" applyFont="1" applyFill="1" applyBorder="1"/>
    <xf numFmtId="174" fontId="37" fillId="5" borderId="25" xfId="7" applyNumberFormat="1" applyFont="1" applyFill="1" applyBorder="1"/>
    <xf numFmtId="3" fontId="14" fillId="7" borderId="30" xfId="6" applyNumberFormat="1" applyFont="1" applyFill="1" applyBorder="1" applyProtection="1">
      <protection hidden="1"/>
    </xf>
    <xf numFmtId="168" fontId="14" fillId="5" borderId="57" xfId="4" applyNumberFormat="1" applyFont="1" applyFill="1" applyBorder="1"/>
    <xf numFmtId="168" fontId="14" fillId="5" borderId="19" xfId="4" applyNumberFormat="1" applyFont="1" applyFill="1" applyBorder="1"/>
    <xf numFmtId="170" fontId="37" fillId="5" borderId="30" xfId="4" applyNumberFormat="1" applyFont="1" applyFill="1" applyBorder="1"/>
    <xf numFmtId="174" fontId="14" fillId="5" borderId="30" xfId="7" applyNumberFormat="1" applyFont="1" applyFill="1" applyBorder="1"/>
    <xf numFmtId="168" fontId="37" fillId="5" borderId="30" xfId="4" applyNumberFormat="1" applyFont="1" applyFill="1" applyBorder="1" applyAlignment="1">
      <alignment horizontal="right"/>
    </xf>
    <xf numFmtId="174" fontId="37" fillId="5" borderId="30" xfId="7" applyNumberFormat="1" applyFont="1" applyFill="1" applyBorder="1"/>
    <xf numFmtId="3" fontId="14" fillId="7" borderId="46" xfId="6" applyNumberFormat="1" applyFont="1" applyFill="1" applyBorder="1" applyProtection="1">
      <protection hidden="1"/>
    </xf>
    <xf numFmtId="168" fontId="14" fillId="5" borderId="61" xfId="4" applyNumberFormat="1" applyFont="1" applyFill="1" applyBorder="1"/>
    <xf numFmtId="0" fontId="14" fillId="5" borderId="51" xfId="4" applyFont="1" applyFill="1" applyBorder="1"/>
    <xf numFmtId="168" fontId="14" fillId="5" borderId="23" xfId="4" applyNumberFormat="1" applyFont="1" applyFill="1" applyBorder="1"/>
    <xf numFmtId="0" fontId="14" fillId="5" borderId="46" xfId="4" applyFont="1" applyFill="1" applyBorder="1"/>
    <xf numFmtId="170" fontId="37" fillId="5" borderId="46" xfId="4" applyNumberFormat="1" applyFont="1" applyFill="1" applyBorder="1"/>
    <xf numFmtId="0" fontId="14" fillId="5" borderId="16" xfId="4" applyFont="1" applyFill="1" applyBorder="1"/>
    <xf numFmtId="0" fontId="14" fillId="5" borderId="0" xfId="4" applyFont="1" applyFill="1" applyBorder="1"/>
    <xf numFmtId="170" fontId="14" fillId="5" borderId="0" xfId="4" applyNumberFormat="1" applyFont="1" applyFill="1" applyBorder="1"/>
    <xf numFmtId="0" fontId="3" fillId="0" borderId="0" xfId="8"/>
    <xf numFmtId="3" fontId="37" fillId="3" borderId="62" xfId="4" applyNumberFormat="1" applyFont="1" applyFill="1" applyBorder="1" applyAlignment="1">
      <alignment horizontal="center"/>
    </xf>
    <xf numFmtId="17" fontId="37" fillId="13" borderId="63" xfId="4" applyNumberFormat="1" applyFont="1" applyFill="1" applyBorder="1" applyAlignment="1">
      <alignment horizontal="center"/>
    </xf>
    <xf numFmtId="17" fontId="37" fillId="13" borderId="65" xfId="4" applyNumberFormat="1" applyFont="1" applyFill="1" applyBorder="1" applyAlignment="1">
      <alignment horizontal="center"/>
    </xf>
    <xf numFmtId="17" fontId="37" fillId="13" borderId="66" xfId="4" applyNumberFormat="1" applyFont="1" applyFill="1" applyBorder="1" applyAlignment="1">
      <alignment horizontal="center"/>
    </xf>
    <xf numFmtId="17" fontId="37" fillId="13" borderId="67" xfId="4" applyNumberFormat="1" applyFont="1" applyFill="1" applyBorder="1" applyAlignment="1">
      <alignment horizontal="center"/>
    </xf>
    <xf numFmtId="17" fontId="37" fillId="13" borderId="62" xfId="4" applyNumberFormat="1" applyFont="1" applyFill="1" applyBorder="1" applyAlignment="1">
      <alignment horizontal="center"/>
    </xf>
    <xf numFmtId="17" fontId="37" fillId="13" borderId="62" xfId="4" quotePrefix="1" applyNumberFormat="1" applyFont="1" applyFill="1" applyBorder="1" applyAlignment="1">
      <alignment horizontal="center"/>
    </xf>
    <xf numFmtId="17" fontId="37" fillId="13" borderId="68" xfId="4" quotePrefix="1" applyNumberFormat="1" applyFont="1" applyFill="1" applyBorder="1" applyAlignment="1">
      <alignment horizontal="center"/>
    </xf>
    <xf numFmtId="168" fontId="37" fillId="5" borderId="15" xfId="4" applyNumberFormat="1" applyFont="1" applyFill="1" applyBorder="1"/>
    <xf numFmtId="168" fontId="37" fillId="5" borderId="18" xfId="4" applyNumberFormat="1" applyFont="1" applyFill="1" applyBorder="1"/>
    <xf numFmtId="168" fontId="14" fillId="5" borderId="18" xfId="4" applyNumberFormat="1" applyFont="1" applyFill="1" applyBorder="1"/>
    <xf numFmtId="168" fontId="37" fillId="5" borderId="18" xfId="4" applyNumberFormat="1" applyFont="1" applyFill="1" applyBorder="1" applyAlignment="1">
      <alignment horizontal="right"/>
    </xf>
    <xf numFmtId="3" fontId="37" fillId="7" borderId="46" xfId="6" applyNumberFormat="1" applyFont="1" applyFill="1" applyBorder="1" applyAlignment="1" applyProtection="1">
      <alignment vertical="center"/>
      <protection hidden="1"/>
    </xf>
    <xf numFmtId="168" fontId="37" fillId="5" borderId="61" xfId="4" applyNumberFormat="1" applyFont="1" applyFill="1" applyBorder="1"/>
    <xf numFmtId="168" fontId="37" fillId="5" borderId="51" xfId="4" applyNumberFormat="1" applyFont="1" applyFill="1" applyBorder="1"/>
    <xf numFmtId="168" fontId="37" fillId="5" borderId="23" xfId="4" applyNumberFormat="1" applyFont="1" applyFill="1" applyBorder="1"/>
    <xf numFmtId="168" fontId="37" fillId="5" borderId="24" xfId="4" applyNumberFormat="1" applyFont="1" applyFill="1" applyBorder="1"/>
    <xf numFmtId="168" fontId="37" fillId="5" borderId="58" xfId="4" applyNumberFormat="1" applyFont="1" applyFill="1" applyBorder="1"/>
    <xf numFmtId="168" fontId="37" fillId="5" borderId="46" xfId="4" applyNumberFormat="1" applyFont="1" applyFill="1" applyBorder="1"/>
    <xf numFmtId="3" fontId="37" fillId="11" borderId="46" xfId="6" applyNumberFormat="1" applyFont="1" applyFill="1" applyBorder="1" applyAlignment="1" applyProtection="1">
      <alignment vertical="center"/>
      <protection hidden="1"/>
    </xf>
    <xf numFmtId="168" fontId="37" fillId="5" borderId="62" xfId="4" applyNumberFormat="1" applyFont="1" applyFill="1" applyBorder="1"/>
    <xf numFmtId="168" fontId="37" fillId="5" borderId="68" xfId="4" applyNumberFormat="1" applyFont="1" applyFill="1" applyBorder="1"/>
    <xf numFmtId="168" fontId="54" fillId="5" borderId="16" xfId="4" applyNumberFormat="1" applyFont="1" applyFill="1" applyBorder="1"/>
    <xf numFmtId="170" fontId="14" fillId="5" borderId="0" xfId="4" applyNumberFormat="1" applyFont="1" applyFill="1"/>
    <xf numFmtId="0" fontId="18" fillId="5" borderId="0" xfId="9" applyFont="1" applyFill="1" applyBorder="1" applyAlignment="1"/>
    <xf numFmtId="0" fontId="21" fillId="5" borderId="0" xfId="9" applyFont="1" applyFill="1" applyBorder="1" applyAlignment="1"/>
    <xf numFmtId="0" fontId="21" fillId="5" borderId="0" xfId="4" applyFont="1" applyFill="1"/>
    <xf numFmtId="0" fontId="14" fillId="14" borderId="0" xfId="4" applyFont="1" applyFill="1" applyBorder="1"/>
    <xf numFmtId="0" fontId="25" fillId="5" borderId="0" xfId="4" applyFont="1" applyFill="1" applyAlignment="1">
      <alignment horizontal="right"/>
    </xf>
    <xf numFmtId="0" fontId="39" fillId="7" borderId="69" xfId="10" applyFont="1" applyFill="1" applyBorder="1" applyAlignment="1">
      <alignment horizontal="center"/>
    </xf>
    <xf numFmtId="0" fontId="39" fillId="7" borderId="70" xfId="10" applyFont="1" applyFill="1" applyBorder="1" applyAlignment="1">
      <alignment horizontal="center"/>
    </xf>
    <xf numFmtId="17" fontId="39" fillId="7" borderId="71" xfId="4" applyNumberFormat="1" applyFont="1" applyFill="1" applyBorder="1" applyAlignment="1">
      <alignment horizontal="center"/>
    </xf>
    <xf numFmtId="17" fontId="39" fillId="7" borderId="69" xfId="4" applyNumberFormat="1" applyFont="1" applyFill="1" applyBorder="1" applyAlignment="1">
      <alignment horizontal="center"/>
    </xf>
    <xf numFmtId="17" fontId="39" fillId="7" borderId="72" xfId="4" applyNumberFormat="1" applyFont="1" applyFill="1" applyBorder="1" applyAlignment="1">
      <alignment horizontal="center"/>
    </xf>
    <xf numFmtId="17" fontId="39" fillId="7" borderId="70" xfId="4" applyNumberFormat="1" applyFont="1" applyFill="1" applyBorder="1" applyAlignment="1">
      <alignment horizontal="center"/>
    </xf>
    <xf numFmtId="17" fontId="39" fillId="7" borderId="73" xfId="4" applyNumberFormat="1" applyFont="1" applyFill="1" applyBorder="1" applyAlignment="1">
      <alignment horizontal="center"/>
    </xf>
    <xf numFmtId="0" fontId="19" fillId="7" borderId="74" xfId="4" applyFont="1" applyFill="1" applyBorder="1"/>
    <xf numFmtId="0" fontId="19" fillId="7" borderId="75" xfId="4" applyFont="1" applyFill="1" applyBorder="1"/>
    <xf numFmtId="0" fontId="19" fillId="5" borderId="76" xfId="4" applyFont="1" applyFill="1" applyBorder="1"/>
    <xf numFmtId="0" fontId="19" fillId="5" borderId="77" xfId="4" applyFont="1" applyFill="1" applyBorder="1"/>
    <xf numFmtId="0" fontId="19" fillId="5" borderId="78" xfId="4" applyFont="1" applyFill="1" applyBorder="1"/>
    <xf numFmtId="0" fontId="19" fillId="5" borderId="79" xfId="4" applyFont="1" applyFill="1" applyBorder="1"/>
    <xf numFmtId="0" fontId="19" fillId="5" borderId="80" xfId="4" applyFont="1" applyFill="1" applyBorder="1"/>
    <xf numFmtId="0" fontId="39" fillId="7" borderId="74" xfId="10" applyFont="1" applyFill="1" applyBorder="1"/>
    <xf numFmtId="0" fontId="39" fillId="7" borderId="75" xfId="10" applyFont="1" applyFill="1" applyBorder="1"/>
    <xf numFmtId="168" fontId="39" fillId="5" borderId="81" xfId="4" applyNumberFormat="1" applyFont="1" applyFill="1" applyBorder="1"/>
    <xf numFmtId="168" fontId="39" fillId="5" borderId="80" xfId="4" applyNumberFormat="1" applyFont="1" applyFill="1" applyBorder="1"/>
    <xf numFmtId="0" fontId="19" fillId="7" borderId="74" xfId="10" applyFont="1" applyFill="1" applyBorder="1"/>
    <xf numFmtId="0" fontId="19" fillId="7" borderId="75" xfId="10" applyFont="1" applyFill="1" applyBorder="1"/>
    <xf numFmtId="0" fontId="19" fillId="5" borderId="81" xfId="10" applyFont="1" applyFill="1" applyBorder="1"/>
    <xf numFmtId="168" fontId="19" fillId="5" borderId="81" xfId="4" applyNumberFormat="1" applyFont="1" applyFill="1" applyBorder="1"/>
    <xf numFmtId="168" fontId="19" fillId="5" borderId="80" xfId="4" applyNumberFormat="1" applyFont="1" applyFill="1" applyBorder="1"/>
    <xf numFmtId="0" fontId="19" fillId="7" borderId="75" xfId="10" applyFont="1" applyFill="1" applyBorder="1" applyAlignment="1">
      <alignment horizontal="left" indent="2"/>
    </xf>
    <xf numFmtId="0" fontId="39" fillId="7" borderId="82" xfId="10" applyFont="1" applyFill="1" applyBorder="1"/>
    <xf numFmtId="0" fontId="39" fillId="7" borderId="83" xfId="10" applyFont="1" applyFill="1" applyBorder="1"/>
    <xf numFmtId="168" fontId="39" fillId="5" borderId="84" xfId="4" applyNumberFormat="1" applyFont="1" applyFill="1" applyBorder="1"/>
    <xf numFmtId="168" fontId="39" fillId="5" borderId="82" xfId="4" applyNumberFormat="1" applyFont="1" applyFill="1" applyBorder="1"/>
    <xf numFmtId="168" fontId="39" fillId="5" borderId="85" xfId="4" applyNumberFormat="1" applyFont="1" applyFill="1" applyBorder="1"/>
    <xf numFmtId="168" fontId="39" fillId="5" borderId="83" xfId="4" applyNumberFormat="1" applyFont="1" applyFill="1" applyBorder="1"/>
    <xf numFmtId="168" fontId="39" fillId="5" borderId="86" xfId="4" applyNumberFormat="1" applyFont="1" applyFill="1" applyBorder="1"/>
    <xf numFmtId="0" fontId="19" fillId="5" borderId="0" xfId="4" applyFont="1" applyFill="1"/>
    <xf numFmtId="17" fontId="39" fillId="11" borderId="71" xfId="4" applyNumberFormat="1" applyFont="1" applyFill="1" applyBorder="1" applyAlignment="1">
      <alignment horizontal="center"/>
    </xf>
    <xf numFmtId="17" fontId="39" fillId="11" borderId="69" xfId="4" applyNumberFormat="1" applyFont="1" applyFill="1" applyBorder="1" applyAlignment="1">
      <alignment horizontal="center"/>
    </xf>
    <xf numFmtId="17" fontId="39" fillId="11" borderId="72" xfId="4" applyNumberFormat="1" applyFont="1" applyFill="1" applyBorder="1" applyAlignment="1">
      <alignment horizontal="center"/>
    </xf>
    <xf numFmtId="17" fontId="39" fillId="11" borderId="70" xfId="4" applyNumberFormat="1" applyFont="1" applyFill="1" applyBorder="1" applyAlignment="1">
      <alignment horizontal="center"/>
    </xf>
    <xf numFmtId="17" fontId="39" fillId="11" borderId="73" xfId="4" applyNumberFormat="1" applyFont="1" applyFill="1" applyBorder="1" applyAlignment="1">
      <alignment horizontal="center"/>
    </xf>
    <xf numFmtId="0" fontId="19" fillId="7" borderId="75" xfId="10" applyFont="1" applyFill="1" applyBorder="1" applyAlignment="1">
      <alignment horizontal="center"/>
    </xf>
    <xf numFmtId="168" fontId="19" fillId="5" borderId="74" xfId="4" applyNumberFormat="1" applyFont="1" applyFill="1" applyBorder="1"/>
    <xf numFmtId="168" fontId="19" fillId="5" borderId="87" xfId="4" applyNumberFormat="1" applyFont="1" applyFill="1" applyBorder="1"/>
    <xf numFmtId="168" fontId="19" fillId="5" borderId="75" xfId="4" applyNumberFormat="1" applyFont="1" applyFill="1" applyBorder="1"/>
    <xf numFmtId="0" fontId="19" fillId="7" borderId="75" xfId="10" applyFont="1" applyFill="1" applyBorder="1" applyAlignment="1">
      <alignment horizontal="left" indent="1"/>
    </xf>
    <xf numFmtId="0" fontId="19" fillId="7" borderId="82" xfId="4" applyFont="1" applyFill="1" applyBorder="1"/>
    <xf numFmtId="0" fontId="19" fillId="7" borderId="83" xfId="4" applyFont="1" applyFill="1" applyBorder="1"/>
    <xf numFmtId="0" fontId="19" fillId="5" borderId="84" xfId="4" applyFont="1" applyFill="1" applyBorder="1"/>
    <xf numFmtId="0" fontId="19" fillId="5" borderId="82" xfId="4" applyFont="1" applyFill="1" applyBorder="1"/>
    <xf numFmtId="0" fontId="19" fillId="5" borderId="85" xfId="4" applyFont="1" applyFill="1" applyBorder="1"/>
    <xf numFmtId="0" fontId="19" fillId="5" borderId="83" xfId="4" applyFont="1" applyFill="1" applyBorder="1"/>
    <xf numFmtId="0" fontId="19" fillId="5" borderId="86" xfId="4" applyFont="1" applyFill="1" applyBorder="1"/>
    <xf numFmtId="0" fontId="56" fillId="5" borderId="0" xfId="4" applyFont="1" applyFill="1"/>
    <xf numFmtId="0" fontId="58" fillId="5" borderId="0" xfId="4" applyFont="1" applyFill="1" applyBorder="1"/>
    <xf numFmtId="0" fontId="59" fillId="5" borderId="0" xfId="4" applyFont="1" applyFill="1"/>
    <xf numFmtId="0" fontId="57" fillId="5" borderId="0" xfId="4" applyFont="1" applyFill="1"/>
    <xf numFmtId="0" fontId="14" fillId="5" borderId="0" xfId="9" applyFont="1" applyFill="1" applyBorder="1" applyAlignment="1"/>
    <xf numFmtId="0" fontId="14" fillId="5" borderId="0" xfId="9" applyFont="1" applyFill="1" applyBorder="1"/>
    <xf numFmtId="0" fontId="60" fillId="5" borderId="0" xfId="4" applyFont="1" applyFill="1"/>
    <xf numFmtId="0" fontId="37" fillId="14" borderId="0" xfId="9" applyFont="1" applyFill="1" applyBorder="1" applyAlignment="1"/>
    <xf numFmtId="0" fontId="14" fillId="14" borderId="0" xfId="9" applyFont="1" applyFill="1" applyBorder="1" applyAlignment="1"/>
    <xf numFmtId="0" fontId="14" fillId="14" borderId="0" xfId="9" applyFont="1" applyFill="1" applyBorder="1"/>
    <xf numFmtId="0" fontId="45" fillId="5" borderId="88" xfId="4" applyFont="1" applyFill="1" applyBorder="1" applyAlignment="1">
      <alignment horizontal="center"/>
    </xf>
    <xf numFmtId="0" fontId="45" fillId="5" borderId="88" xfId="4" applyFont="1" applyFill="1" applyBorder="1" applyAlignment="1"/>
    <xf numFmtId="0" fontId="25" fillId="5" borderId="0" xfId="4" applyFont="1" applyFill="1" applyBorder="1" applyAlignment="1">
      <alignment horizontal="right"/>
    </xf>
    <xf numFmtId="17" fontId="39" fillId="7" borderId="89" xfId="4" applyNumberFormat="1" applyFont="1" applyFill="1" applyBorder="1" applyAlignment="1">
      <alignment horizontal="center"/>
    </xf>
    <xf numFmtId="17" fontId="39" fillId="7" borderId="90" xfId="4" applyNumberFormat="1" applyFont="1" applyFill="1" applyBorder="1" applyAlignment="1">
      <alignment horizontal="center"/>
    </xf>
    <xf numFmtId="0" fontId="19" fillId="5" borderId="87" xfId="4" applyFont="1" applyFill="1" applyBorder="1"/>
    <xf numFmtId="0" fontId="19" fillId="5" borderId="0" xfId="4" applyFont="1" applyFill="1" applyBorder="1"/>
    <xf numFmtId="0" fontId="19" fillId="5" borderId="91" xfId="4" applyFont="1" applyFill="1" applyBorder="1"/>
    <xf numFmtId="0" fontId="61" fillId="5" borderId="87" xfId="4" applyFont="1" applyFill="1" applyBorder="1"/>
    <xf numFmtId="0" fontId="61" fillId="5" borderId="92" xfId="4" applyFont="1" applyFill="1" applyBorder="1"/>
    <xf numFmtId="0" fontId="61" fillId="5" borderId="81" xfId="4" applyFont="1" applyFill="1" applyBorder="1"/>
    <xf numFmtId="168" fontId="39" fillId="5" borderId="87" xfId="4" applyNumberFormat="1" applyFont="1" applyFill="1" applyBorder="1"/>
    <xf numFmtId="168" fontId="39" fillId="5" borderId="0" xfId="4" applyNumberFormat="1" applyFont="1" applyFill="1" applyBorder="1"/>
    <xf numFmtId="168" fontId="39" fillId="5" borderId="91" xfId="4" applyNumberFormat="1" applyFont="1" applyFill="1" applyBorder="1"/>
    <xf numFmtId="168" fontId="39" fillId="5" borderId="93" xfId="4" applyNumberFormat="1" applyFont="1" applyFill="1" applyBorder="1"/>
    <xf numFmtId="0" fontId="19" fillId="5" borderId="87" xfId="10" applyFont="1" applyFill="1" applyBorder="1"/>
    <xf numFmtId="0" fontId="19" fillId="5" borderId="0" xfId="10" applyFont="1" applyFill="1" applyBorder="1"/>
    <xf numFmtId="0" fontId="19" fillId="5" borderId="91" xfId="10" applyFont="1" applyFill="1" applyBorder="1"/>
    <xf numFmtId="0" fontId="19" fillId="5" borderId="93" xfId="10" applyFont="1" applyFill="1" applyBorder="1"/>
    <xf numFmtId="168" fontId="19" fillId="5" borderId="0" xfId="4" applyNumberFormat="1" applyFont="1" applyFill="1" applyBorder="1"/>
    <xf numFmtId="168" fontId="19" fillId="5" borderId="91" xfId="4" applyNumberFormat="1" applyFont="1" applyFill="1" applyBorder="1"/>
    <xf numFmtId="168" fontId="19" fillId="5" borderId="93" xfId="4" applyNumberFormat="1" applyFont="1" applyFill="1" applyBorder="1"/>
    <xf numFmtId="175" fontId="39" fillId="5" borderId="85" xfId="11" applyNumberFormat="1" applyFont="1" applyFill="1" applyBorder="1"/>
    <xf numFmtId="175" fontId="39" fillId="5" borderId="88" xfId="11" applyNumberFormat="1" applyFont="1" applyFill="1" applyBorder="1"/>
    <xf numFmtId="175" fontId="39" fillId="5" borderId="94" xfId="11" applyNumberFormat="1" applyFont="1" applyFill="1" applyBorder="1"/>
    <xf numFmtId="175" fontId="39" fillId="5" borderId="95" xfId="11" applyNumberFormat="1" applyFont="1" applyFill="1" applyBorder="1"/>
    <xf numFmtId="175" fontId="39" fillId="5" borderId="84" xfId="11" applyNumberFormat="1" applyFont="1" applyFill="1" applyBorder="1"/>
    <xf numFmtId="0" fontId="19" fillId="15" borderId="0" xfId="4" applyFont="1" applyFill="1"/>
    <xf numFmtId="0" fontId="19" fillId="14" borderId="0" xfId="4" applyFont="1" applyFill="1"/>
    <xf numFmtId="0" fontId="19" fillId="14" borderId="91" xfId="4" applyFont="1" applyFill="1" applyBorder="1"/>
    <xf numFmtId="0" fontId="19" fillId="14" borderId="0" xfId="4" applyFont="1" applyFill="1" applyBorder="1"/>
    <xf numFmtId="0" fontId="62" fillId="14" borderId="0" xfId="4" applyFont="1" applyFill="1" applyBorder="1" applyAlignment="1">
      <alignment horizontal="center"/>
    </xf>
    <xf numFmtId="0" fontId="62" fillId="14" borderId="88" xfId="4" applyFont="1" applyFill="1" applyBorder="1" applyAlignment="1">
      <alignment horizontal="center"/>
    </xf>
    <xf numFmtId="0" fontId="62" fillId="5" borderId="0" xfId="4" applyFont="1" applyFill="1" applyBorder="1" applyAlignment="1">
      <alignment horizontal="center"/>
    </xf>
    <xf numFmtId="17" fontId="39" fillId="11" borderId="89" xfId="4" applyNumberFormat="1" applyFont="1" applyFill="1" applyBorder="1" applyAlignment="1">
      <alignment horizontal="center"/>
    </xf>
    <xf numFmtId="17" fontId="39" fillId="11" borderId="90" xfId="4" applyNumberFormat="1" applyFont="1" applyFill="1" applyBorder="1" applyAlignment="1">
      <alignment horizontal="center"/>
    </xf>
    <xf numFmtId="168" fontId="19" fillId="5" borderId="96" xfId="4" applyNumberFormat="1" applyFont="1" applyFill="1" applyBorder="1"/>
    <xf numFmtId="168" fontId="19" fillId="5" borderId="78" xfId="4" applyNumberFormat="1" applyFont="1" applyFill="1" applyBorder="1"/>
    <xf numFmtId="168" fontId="39" fillId="5" borderId="74" xfId="4" applyNumberFormat="1" applyFont="1" applyFill="1" applyBorder="1"/>
    <xf numFmtId="168" fontId="19" fillId="5" borderId="87" xfId="10" applyNumberFormat="1" applyFont="1" applyFill="1" applyBorder="1"/>
    <xf numFmtId="168" fontId="19" fillId="5" borderId="0" xfId="10" applyNumberFormat="1" applyFont="1" applyFill="1" applyBorder="1"/>
    <xf numFmtId="168" fontId="19" fillId="5" borderId="91" xfId="10" applyNumberFormat="1" applyFont="1" applyFill="1" applyBorder="1"/>
    <xf numFmtId="168" fontId="19" fillId="5" borderId="81" xfId="10" applyNumberFormat="1" applyFont="1" applyFill="1" applyBorder="1"/>
    <xf numFmtId="168" fontId="19" fillId="5" borderId="74" xfId="10" applyNumberFormat="1" applyFont="1" applyFill="1" applyBorder="1"/>
    <xf numFmtId="0" fontId="19" fillId="5" borderId="88" xfId="4" applyFont="1" applyFill="1" applyBorder="1"/>
    <xf numFmtId="0" fontId="19" fillId="5" borderId="94" xfId="4" applyFont="1" applyFill="1" applyBorder="1"/>
    <xf numFmtId="168" fontId="63" fillId="5" borderId="0" xfId="4" applyNumberFormat="1" applyFont="1" applyFill="1"/>
    <xf numFmtId="0" fontId="21" fillId="5" borderId="0" xfId="9" applyFont="1" applyFill="1" applyBorder="1"/>
    <xf numFmtId="0" fontId="64" fillId="5" borderId="0" xfId="4" applyFont="1" applyFill="1"/>
    <xf numFmtId="0" fontId="45" fillId="5" borderId="0" xfId="4" applyFont="1" applyFill="1" applyAlignment="1">
      <alignment horizontal="center"/>
    </xf>
    <xf numFmtId="0" fontId="65" fillId="5" borderId="0" xfId="4" applyFont="1" applyFill="1"/>
    <xf numFmtId="0" fontId="66" fillId="5" borderId="0" xfId="4" applyFont="1" applyFill="1" applyAlignment="1">
      <alignment horizontal="right"/>
    </xf>
    <xf numFmtId="0" fontId="14" fillId="7" borderId="74" xfId="4" applyFont="1" applyFill="1" applyBorder="1"/>
    <xf numFmtId="0" fontId="14" fillId="7" borderId="75" xfId="4" applyFont="1" applyFill="1" applyBorder="1"/>
    <xf numFmtId="0" fontId="14" fillId="5" borderId="87" xfId="4" applyFont="1" applyFill="1" applyBorder="1"/>
    <xf numFmtId="0" fontId="14" fillId="5" borderId="91" xfId="4" applyFont="1" applyFill="1" applyBorder="1"/>
    <xf numFmtId="0" fontId="14" fillId="5" borderId="78" xfId="4" applyFont="1" applyFill="1" applyBorder="1"/>
    <xf numFmtId="0" fontId="60" fillId="5" borderId="78" xfId="4" applyFont="1" applyFill="1" applyBorder="1"/>
    <xf numFmtId="0" fontId="60" fillId="5" borderId="97" xfId="4" applyFont="1" applyFill="1" applyBorder="1"/>
    <xf numFmtId="0" fontId="61" fillId="5" borderId="0" xfId="4" applyFont="1" applyFill="1"/>
    <xf numFmtId="0" fontId="62" fillId="14" borderId="91" xfId="4" applyFont="1" applyFill="1" applyBorder="1" applyAlignment="1">
      <alignment horizontal="center"/>
    </xf>
    <xf numFmtId="0" fontId="60" fillId="5" borderId="0" xfId="4" applyFont="1" applyFill="1" applyBorder="1"/>
    <xf numFmtId="0" fontId="14" fillId="5" borderId="0" xfId="4" applyFont="1" applyFill="1" applyAlignment="1">
      <alignment horizontal="center"/>
    </xf>
    <xf numFmtId="0" fontId="65" fillId="5" borderId="0" xfId="4" applyFont="1" applyFill="1" applyAlignment="1">
      <alignment horizontal="center"/>
    </xf>
    <xf numFmtId="0" fontId="60" fillId="5" borderId="87" xfId="4" applyFont="1" applyFill="1" applyBorder="1"/>
    <xf numFmtId="0" fontId="37" fillId="7" borderId="74" xfId="10" applyFont="1" applyFill="1" applyBorder="1"/>
    <xf numFmtId="0" fontId="14" fillId="7" borderId="74" xfId="10" applyFont="1" applyFill="1" applyBorder="1"/>
    <xf numFmtId="0" fontId="37" fillId="7" borderId="82" xfId="10" applyFont="1" applyFill="1" applyBorder="1"/>
    <xf numFmtId="0" fontId="14" fillId="15" borderId="0" xfId="4" applyFont="1" applyFill="1"/>
    <xf numFmtId="0" fontId="37" fillId="7" borderId="69" xfId="10" applyFont="1" applyFill="1" applyBorder="1" applyAlignment="1">
      <alignment horizontal="center"/>
    </xf>
    <xf numFmtId="0" fontId="14" fillId="7" borderId="82" xfId="4" applyFont="1" applyFill="1" applyBorder="1"/>
    <xf numFmtId="0" fontId="67" fillId="5" borderId="0" xfId="4" applyFont="1" applyFill="1"/>
    <xf numFmtId="168" fontId="60" fillId="5" borderId="0" xfId="4" applyNumberFormat="1" applyFont="1" applyFill="1"/>
    <xf numFmtId="0" fontId="18" fillId="5" borderId="0" xfId="12" applyFont="1" applyFill="1" applyBorder="1" applyAlignment="1"/>
    <xf numFmtId="0" fontId="68" fillId="5" borderId="0" xfId="4" applyFont="1" applyFill="1"/>
    <xf numFmtId="0" fontId="29" fillId="14" borderId="0" xfId="12" applyFont="1" applyFill="1" applyBorder="1" applyAlignment="1"/>
    <xf numFmtId="0" fontId="26" fillId="14" borderId="0" xfId="4" applyFont="1" applyFill="1" applyBorder="1" applyAlignment="1"/>
    <xf numFmtId="0" fontId="30" fillId="5" borderId="88" xfId="4" applyFont="1" applyFill="1" applyBorder="1" applyAlignment="1">
      <alignment horizontal="right"/>
    </xf>
    <xf numFmtId="0" fontId="68" fillId="5" borderId="0" xfId="4" applyFont="1" applyFill="1" applyAlignment="1">
      <alignment horizontal="right"/>
    </xf>
    <xf numFmtId="0" fontId="69" fillId="5" borderId="0" xfId="4" applyFont="1" applyFill="1" applyAlignment="1">
      <alignment horizontal="right"/>
    </xf>
    <xf numFmtId="0" fontId="53" fillId="5" borderId="0" xfId="4" applyFont="1" applyFill="1" applyAlignment="1">
      <alignment horizontal="right"/>
    </xf>
    <xf numFmtId="0" fontId="59" fillId="5" borderId="0" xfId="4" applyFont="1" applyFill="1" applyAlignment="1">
      <alignment horizontal="right"/>
    </xf>
    <xf numFmtId="0" fontId="39" fillId="7" borderId="76" xfId="4" applyFont="1" applyFill="1" applyBorder="1" applyAlignment="1">
      <alignment horizontal="center"/>
    </xf>
    <xf numFmtId="0" fontId="26" fillId="7" borderId="80" xfId="4" applyFont="1" applyFill="1" applyBorder="1" applyAlignment="1">
      <alignment horizontal="center"/>
    </xf>
    <xf numFmtId="0" fontId="68" fillId="5" borderId="80" xfId="4" applyFont="1" applyFill="1" applyBorder="1"/>
    <xf numFmtId="0" fontId="68" fillId="5" borderId="74" xfId="4" applyFont="1" applyFill="1" applyBorder="1"/>
    <xf numFmtId="0" fontId="68" fillId="5" borderId="87" xfId="4" applyFont="1" applyFill="1" applyBorder="1"/>
    <xf numFmtId="0" fontId="60" fillId="5" borderId="81" xfId="4" applyFont="1" applyFill="1" applyBorder="1"/>
    <xf numFmtId="0" fontId="37" fillId="7" borderId="80" xfId="4" applyFont="1" applyFill="1" applyBorder="1"/>
    <xf numFmtId="168" fontId="29" fillId="5" borderId="80" xfId="4" applyNumberFormat="1" applyFont="1" applyFill="1" applyBorder="1"/>
    <xf numFmtId="168" fontId="29" fillId="5" borderId="74" xfId="4" applyNumberFormat="1" applyFont="1" applyFill="1" applyBorder="1"/>
    <xf numFmtId="168" fontId="29" fillId="5" borderId="87" xfId="4" applyNumberFormat="1" applyFont="1" applyFill="1" applyBorder="1"/>
    <xf numFmtId="168" fontId="37" fillId="5" borderId="87" xfId="4" applyNumberFormat="1" applyFont="1" applyFill="1" applyBorder="1"/>
    <xf numFmtId="168" fontId="37" fillId="5" borderId="81" xfId="4" applyNumberFormat="1" applyFont="1" applyFill="1" applyBorder="1"/>
    <xf numFmtId="0" fontId="14" fillId="7" borderId="80" xfId="4" applyFont="1" applyFill="1" applyBorder="1"/>
    <xf numFmtId="168" fontId="26" fillId="5" borderId="80" xfId="4" applyNumberFormat="1" applyFont="1" applyFill="1" applyBorder="1"/>
    <xf numFmtId="168" fontId="26" fillId="5" borderId="74" xfId="4" applyNumberFormat="1" applyFont="1" applyFill="1" applyBorder="1"/>
    <xf numFmtId="168" fontId="26" fillId="5" borderId="87" xfId="4" applyNumberFormat="1" applyFont="1" applyFill="1" applyBorder="1"/>
    <xf numFmtId="168" fontId="14" fillId="5" borderId="87" xfId="4" applyNumberFormat="1" applyFont="1" applyFill="1" applyBorder="1"/>
    <xf numFmtId="168" fontId="14" fillId="5" borderId="81" xfId="4" applyNumberFormat="1" applyFont="1" applyFill="1" applyBorder="1"/>
    <xf numFmtId="0" fontId="14" fillId="7" borderId="80" xfId="4" applyFont="1" applyFill="1" applyBorder="1" applyAlignment="1"/>
    <xf numFmtId="168" fontId="26" fillId="5" borderId="80" xfId="4" applyNumberFormat="1" applyFont="1" applyFill="1" applyBorder="1" applyAlignment="1"/>
    <xf numFmtId="168" fontId="26" fillId="5" borderId="74" xfId="4" applyNumberFormat="1" applyFont="1" applyFill="1" applyBorder="1" applyAlignment="1"/>
    <xf numFmtId="168" fontId="26" fillId="5" borderId="87" xfId="4" applyNumberFormat="1" applyFont="1" applyFill="1" applyBorder="1" applyAlignment="1"/>
    <xf numFmtId="168" fontId="14" fillId="5" borderId="87" xfId="4" applyNumberFormat="1" applyFont="1" applyFill="1" applyBorder="1" applyAlignment="1"/>
    <xf numFmtId="168" fontId="14" fillId="5" borderId="81" xfId="4" applyNumberFormat="1" applyFont="1" applyFill="1" applyBorder="1" applyAlignment="1"/>
    <xf numFmtId="0" fontId="29" fillId="5" borderId="80" xfId="4" applyFont="1" applyFill="1" applyBorder="1"/>
    <xf numFmtId="0" fontId="29" fillId="5" borderId="74" xfId="4" applyFont="1" applyFill="1" applyBorder="1"/>
    <xf numFmtId="0" fontId="29" fillId="5" borderId="87" xfId="4" applyFont="1" applyFill="1" applyBorder="1"/>
    <xf numFmtId="0" fontId="37" fillId="5" borderId="87" xfId="4" applyFont="1" applyFill="1" applyBorder="1"/>
    <xf numFmtId="0" fontId="37" fillId="5" borderId="81" xfId="4" applyFont="1" applyFill="1" applyBorder="1"/>
    <xf numFmtId="0" fontId="70" fillId="5" borderId="0" xfId="4" applyFont="1" applyFill="1"/>
    <xf numFmtId="0" fontId="37" fillId="7" borderId="80" xfId="4" applyFont="1" applyFill="1" applyBorder="1" applyAlignment="1">
      <alignment wrapText="1"/>
    </xf>
    <xf numFmtId="168" fontId="29" fillId="5" borderId="80" xfId="4" applyNumberFormat="1" applyFont="1" applyFill="1" applyBorder="1" applyAlignment="1">
      <alignment vertical="center"/>
    </xf>
    <xf numFmtId="168" fontId="29" fillId="5" borderId="74" xfId="4" applyNumberFormat="1" applyFont="1" applyFill="1" applyBorder="1" applyAlignment="1">
      <alignment vertical="center"/>
    </xf>
    <xf numFmtId="168" fontId="29" fillId="5" borderId="87" xfId="4" applyNumberFormat="1" applyFont="1" applyFill="1" applyBorder="1" applyAlignment="1">
      <alignment vertical="center"/>
    </xf>
    <xf numFmtId="168" fontId="37" fillId="5" borderId="87" xfId="4" applyNumberFormat="1" applyFont="1" applyFill="1" applyBorder="1" applyAlignment="1">
      <alignment vertical="center"/>
    </xf>
    <xf numFmtId="168" fontId="37" fillId="5" borderId="81" xfId="4" applyNumberFormat="1" applyFont="1" applyFill="1" applyBorder="1" applyAlignment="1">
      <alignment vertical="center"/>
    </xf>
    <xf numFmtId="0" fontId="26" fillId="7" borderId="86" xfId="4" applyFont="1" applyFill="1" applyBorder="1" applyAlignment="1"/>
    <xf numFmtId="0" fontId="68" fillId="5" borderId="86" xfId="4" applyFont="1" applyFill="1" applyBorder="1"/>
    <xf numFmtId="0" fontId="68" fillId="5" borderId="82" xfId="4" applyFont="1" applyFill="1" applyBorder="1"/>
    <xf numFmtId="0" fontId="68" fillId="5" borderId="85" xfId="4" applyFont="1" applyFill="1" applyBorder="1"/>
    <xf numFmtId="0" fontId="68" fillId="5" borderId="84" xfId="4" applyFont="1" applyFill="1" applyBorder="1"/>
    <xf numFmtId="168" fontId="68" fillId="5" borderId="0" xfId="4" applyNumberFormat="1" applyFont="1" applyFill="1"/>
    <xf numFmtId="0" fontId="71" fillId="5" borderId="0" xfId="4" applyFont="1" applyFill="1" applyBorder="1"/>
    <xf numFmtId="0" fontId="72" fillId="5" borderId="0" xfId="4" applyFont="1" applyFill="1" applyBorder="1"/>
    <xf numFmtId="0" fontId="73" fillId="5" borderId="0" xfId="4" applyFont="1" applyFill="1"/>
    <xf numFmtId="0" fontId="30" fillId="5" borderId="0" xfId="4" applyFont="1" applyFill="1" applyBorder="1"/>
    <xf numFmtId="0" fontId="72" fillId="5" borderId="0" xfId="4" applyFont="1" applyFill="1"/>
    <xf numFmtId="0" fontId="74" fillId="5" borderId="0" xfId="12" applyFont="1" applyFill="1" applyBorder="1" applyAlignment="1">
      <alignment vertical="center"/>
    </xf>
    <xf numFmtId="0" fontId="76" fillId="5" borderId="0" xfId="13" applyFont="1" applyFill="1" applyBorder="1" applyAlignment="1">
      <alignment vertical="center"/>
    </xf>
    <xf numFmtId="0" fontId="77" fillId="5" borderId="0" xfId="13" applyFont="1" applyFill="1" applyBorder="1" applyAlignment="1">
      <alignment vertical="center"/>
    </xf>
    <xf numFmtId="0" fontId="78" fillId="5" borderId="0" xfId="13" applyFont="1" applyFill="1" applyBorder="1" applyAlignment="1">
      <alignment vertical="center"/>
    </xf>
    <xf numFmtId="0" fontId="68" fillId="5" borderId="0" xfId="13" applyFont="1" applyFill="1" applyBorder="1" applyAlignment="1">
      <alignment vertical="center"/>
    </xf>
    <xf numFmtId="0" fontId="26" fillId="5" borderId="0" xfId="13" applyFont="1" applyFill="1" applyBorder="1" applyAlignment="1">
      <alignment horizontal="left" vertical="center"/>
    </xf>
    <xf numFmtId="0" fontId="48" fillId="5" borderId="0" xfId="13" applyFont="1" applyFill="1" applyBorder="1" applyAlignment="1">
      <alignment vertical="center"/>
    </xf>
    <xf numFmtId="0" fontId="38" fillId="5" borderId="0" xfId="13" applyFont="1" applyFill="1" applyBorder="1" applyAlignment="1">
      <alignment horizontal="right" vertical="center"/>
    </xf>
    <xf numFmtId="0" fontId="79" fillId="7" borderId="73" xfId="13" applyFont="1" applyFill="1" applyBorder="1" applyAlignment="1">
      <alignment horizontal="center" vertical="center"/>
    </xf>
    <xf numFmtId="17" fontId="80" fillId="7" borderId="72" xfId="13" applyNumberFormat="1" applyFont="1" applyFill="1" applyBorder="1" applyAlignment="1">
      <alignment horizontal="center" vertical="center"/>
    </xf>
    <xf numFmtId="17" fontId="80" fillId="7" borderId="70" xfId="13" applyNumberFormat="1" applyFont="1" applyFill="1" applyBorder="1" applyAlignment="1">
      <alignment horizontal="center" vertical="center"/>
    </xf>
    <xf numFmtId="17" fontId="80" fillId="7" borderId="89" xfId="13" applyNumberFormat="1" applyFont="1" applyFill="1" applyBorder="1" applyAlignment="1">
      <alignment horizontal="center" vertical="center"/>
    </xf>
    <xf numFmtId="17" fontId="80" fillId="7" borderId="90" xfId="13" applyNumberFormat="1" applyFont="1" applyFill="1" applyBorder="1" applyAlignment="1">
      <alignment horizontal="center" vertical="center"/>
    </xf>
    <xf numFmtId="17" fontId="80" fillId="7" borderId="71" xfId="13" applyNumberFormat="1" applyFont="1" applyFill="1" applyBorder="1" applyAlignment="1">
      <alignment horizontal="center" vertical="center"/>
    </xf>
    <xf numFmtId="17" fontId="80" fillId="7" borderId="73" xfId="13" applyNumberFormat="1" applyFont="1" applyFill="1" applyBorder="1" applyAlignment="1">
      <alignment horizontal="center" vertical="center"/>
    </xf>
    <xf numFmtId="17" fontId="80" fillId="7" borderId="73" xfId="13" quotePrefix="1" applyNumberFormat="1" applyFont="1" applyFill="1" applyBorder="1" applyAlignment="1">
      <alignment horizontal="center" vertical="center"/>
    </xf>
    <xf numFmtId="17" fontId="80" fillId="7" borderId="69" xfId="13" applyNumberFormat="1" applyFont="1" applyFill="1" applyBorder="1" applyAlignment="1">
      <alignment horizontal="center" vertical="center"/>
    </xf>
    <xf numFmtId="0" fontId="37" fillId="7" borderId="80" xfId="13" applyFont="1" applyFill="1" applyBorder="1" applyAlignment="1">
      <alignment horizontal="center" vertical="center"/>
    </xf>
    <xf numFmtId="0" fontId="68" fillId="5" borderId="87" xfId="13" applyFont="1" applyFill="1" applyBorder="1" applyAlignment="1">
      <alignment vertical="center"/>
    </xf>
    <xf numFmtId="0" fontId="68" fillId="5" borderId="78" xfId="13" applyFont="1" applyFill="1" applyBorder="1" applyAlignment="1">
      <alignment vertical="center"/>
    </xf>
    <xf numFmtId="0" fontId="68" fillId="5" borderId="91" xfId="13" applyFont="1" applyFill="1" applyBorder="1" applyAlignment="1">
      <alignment vertical="center"/>
    </xf>
    <xf numFmtId="0" fontId="60" fillId="5" borderId="87" xfId="13" applyFont="1" applyFill="1" applyBorder="1" applyAlignment="1">
      <alignment vertical="center"/>
    </xf>
    <xf numFmtId="0" fontId="60" fillId="5" borderId="0" xfId="13" applyFont="1" applyFill="1" applyBorder="1" applyAlignment="1">
      <alignment vertical="center"/>
    </xf>
    <xf numFmtId="0" fontId="60" fillId="5" borderId="81" xfId="13" applyFont="1" applyFill="1" applyBorder="1" applyAlignment="1">
      <alignment vertical="center"/>
    </xf>
    <xf numFmtId="0" fontId="60" fillId="5" borderId="80" xfId="13" applyFont="1" applyFill="1" applyBorder="1" applyAlignment="1">
      <alignment vertical="center"/>
    </xf>
    <xf numFmtId="0" fontId="18" fillId="7" borderId="80" xfId="13" applyFont="1" applyFill="1" applyBorder="1" applyAlignment="1">
      <alignment vertical="center"/>
    </xf>
    <xf numFmtId="168" fontId="18" fillId="5" borderId="87" xfId="13" applyNumberFormat="1" applyFont="1" applyFill="1" applyBorder="1" applyAlignment="1">
      <alignment vertical="center"/>
    </xf>
    <xf numFmtId="168" fontId="18" fillId="5" borderId="91" xfId="13" applyNumberFormat="1" applyFont="1" applyFill="1" applyBorder="1" applyAlignment="1">
      <alignment vertical="center"/>
    </xf>
    <xf numFmtId="168" fontId="18" fillId="5" borderId="0" xfId="13" applyNumberFormat="1" applyFont="1" applyFill="1" applyBorder="1" applyAlignment="1">
      <alignment vertical="center"/>
    </xf>
    <xf numFmtId="168" fontId="18" fillId="5" borderId="81" xfId="13" applyNumberFormat="1" applyFont="1" applyFill="1" applyBorder="1" applyAlignment="1">
      <alignment vertical="center"/>
    </xf>
    <xf numFmtId="168" fontId="18" fillId="5" borderId="80" xfId="13" applyNumberFormat="1" applyFont="1" applyFill="1" applyBorder="1" applyAlignment="1">
      <alignment vertical="center"/>
    </xf>
    <xf numFmtId="0" fontId="21" fillId="7" borderId="80" xfId="13" applyFont="1" applyFill="1" applyBorder="1" applyAlignment="1">
      <alignment vertical="center"/>
    </xf>
    <xf numFmtId="168" fontId="21" fillId="5" borderId="87" xfId="13" applyNumberFormat="1" applyFont="1" applyFill="1" applyBorder="1" applyAlignment="1">
      <alignment vertical="center"/>
    </xf>
    <xf numFmtId="168" fontId="21" fillId="5" borderId="91" xfId="13" applyNumberFormat="1" applyFont="1" applyFill="1" applyBorder="1" applyAlignment="1">
      <alignment vertical="center"/>
    </xf>
    <xf numFmtId="168" fontId="21" fillId="5" borderId="0" xfId="13" applyNumberFormat="1" applyFont="1" applyFill="1" applyBorder="1" applyAlignment="1">
      <alignment vertical="center"/>
    </xf>
    <xf numFmtId="168" fontId="21" fillId="5" borderId="81" xfId="13" applyNumberFormat="1" applyFont="1" applyFill="1" applyBorder="1" applyAlignment="1">
      <alignment vertical="center"/>
    </xf>
    <xf numFmtId="168" fontId="21" fillId="5" borderId="80" xfId="13" applyNumberFormat="1" applyFont="1" applyFill="1" applyBorder="1" applyAlignment="1">
      <alignment vertical="center"/>
    </xf>
    <xf numFmtId="168" fontId="21" fillId="7" borderId="80" xfId="13" applyNumberFormat="1" applyFont="1" applyFill="1" applyBorder="1" applyAlignment="1">
      <alignment vertical="center"/>
    </xf>
    <xf numFmtId="0" fontId="21" fillId="7" borderId="80" xfId="13" applyFont="1" applyFill="1" applyBorder="1" applyAlignment="1">
      <alignment horizontal="left" vertical="center"/>
    </xf>
    <xf numFmtId="0" fontId="18" fillId="7" borderId="80" xfId="13" applyFont="1" applyFill="1" applyBorder="1" applyAlignment="1">
      <alignment horizontal="center" vertical="center"/>
    </xf>
    <xf numFmtId="0" fontId="82" fillId="7" borderId="80" xfId="13" applyFont="1" applyFill="1" applyBorder="1" applyAlignment="1">
      <alignment vertical="center"/>
    </xf>
    <xf numFmtId="0" fontId="46" fillId="7" borderId="86" xfId="13" applyFont="1" applyFill="1" applyBorder="1" applyAlignment="1">
      <alignment vertical="center"/>
    </xf>
    <xf numFmtId="0" fontId="68" fillId="5" borderId="85" xfId="13" applyFont="1" applyFill="1" applyBorder="1" applyAlignment="1">
      <alignment vertical="center"/>
    </xf>
    <xf numFmtId="0" fontId="68" fillId="5" borderId="94" xfId="13" applyFont="1" applyFill="1" applyBorder="1" applyAlignment="1">
      <alignment vertical="center"/>
    </xf>
    <xf numFmtId="0" fontId="68" fillId="5" borderId="88" xfId="13" applyFont="1" applyFill="1" applyBorder="1" applyAlignment="1">
      <alignment vertical="center"/>
    </xf>
    <xf numFmtId="0" fontId="68" fillId="5" borderId="84" xfId="13" applyFont="1" applyFill="1" applyBorder="1" applyAlignment="1">
      <alignment vertical="center"/>
    </xf>
    <xf numFmtId="0" fontId="68" fillId="5" borderId="86" xfId="13" applyFont="1" applyFill="1" applyBorder="1" applyAlignment="1">
      <alignment vertical="center"/>
    </xf>
    <xf numFmtId="0" fontId="83" fillId="5" borderId="0" xfId="13" applyFont="1" applyFill="1" applyAlignment="1">
      <alignment vertical="center"/>
    </xf>
    <xf numFmtId="0" fontId="67" fillId="5" borderId="0" xfId="13" applyFont="1" applyFill="1" applyAlignment="1">
      <alignment vertical="center"/>
    </xf>
    <xf numFmtId="0" fontId="57" fillId="5" borderId="0" xfId="13" applyFont="1" applyFill="1" applyAlignment="1">
      <alignment vertical="center"/>
    </xf>
    <xf numFmtId="0" fontId="45" fillId="5" borderId="0" xfId="13" applyFont="1" applyFill="1" applyBorder="1" applyAlignment="1">
      <alignment vertical="center"/>
    </xf>
    <xf numFmtId="0" fontId="14" fillId="5" borderId="0" xfId="13" applyFont="1" applyFill="1"/>
    <xf numFmtId="168" fontId="14" fillId="5" borderId="0" xfId="13" applyNumberFormat="1" applyFont="1" applyFill="1"/>
    <xf numFmtId="0" fontId="14" fillId="0" borderId="0" xfId="13" applyFont="1"/>
    <xf numFmtId="0" fontId="26" fillId="0" borderId="0" xfId="13" applyFont="1"/>
    <xf numFmtId="0" fontId="45" fillId="5" borderId="0" xfId="13" applyFont="1" applyFill="1" applyBorder="1"/>
    <xf numFmtId="168" fontId="68" fillId="5" borderId="0" xfId="13" applyNumberFormat="1" applyFont="1" applyFill="1" applyBorder="1" applyAlignment="1">
      <alignment vertical="center"/>
    </xf>
    <xf numFmtId="0" fontId="57" fillId="5" borderId="0" xfId="13" applyFont="1" applyFill="1" applyBorder="1"/>
    <xf numFmtId="0" fontId="80" fillId="5" borderId="0" xfId="12" applyFont="1" applyFill="1" applyBorder="1" applyAlignment="1">
      <alignment vertical="center"/>
    </xf>
    <xf numFmtId="0" fontId="86" fillId="5" borderId="0" xfId="13" applyFont="1" applyFill="1" applyBorder="1" applyAlignment="1">
      <alignment vertical="center"/>
    </xf>
    <xf numFmtId="0" fontId="87" fillId="5" borderId="0" xfId="13" applyFont="1" applyFill="1" applyBorder="1" applyAlignment="1">
      <alignment vertical="center"/>
    </xf>
    <xf numFmtId="0" fontId="23" fillId="5" borderId="0" xfId="13" applyFont="1" applyFill="1" applyAlignment="1">
      <alignment vertical="center"/>
    </xf>
    <xf numFmtId="168" fontId="86" fillId="5" borderId="0" xfId="13" applyNumberFormat="1" applyFont="1" applyFill="1" applyBorder="1" applyAlignment="1">
      <alignment vertical="center"/>
    </xf>
    <xf numFmtId="0" fontId="16" fillId="14" borderId="0" xfId="13" applyFont="1" applyFill="1" applyBorder="1" applyAlignment="1">
      <alignment horizontal="center" vertical="center"/>
    </xf>
    <xf numFmtId="0" fontId="15" fillId="5" borderId="0" xfId="13" applyFont="1" applyFill="1" applyBorder="1" applyAlignment="1">
      <alignment vertical="center"/>
    </xf>
    <xf numFmtId="0" fontId="23" fillId="5" borderId="0" xfId="13" applyFont="1" applyFill="1" applyBorder="1" applyAlignment="1">
      <alignment vertical="center"/>
    </xf>
    <xf numFmtId="0" fontId="25" fillId="5" borderId="0" xfId="13" applyFont="1" applyFill="1" applyBorder="1" applyAlignment="1">
      <alignment horizontal="right" vertical="center"/>
    </xf>
    <xf numFmtId="0" fontId="88" fillId="7" borderId="73" xfId="13" applyFont="1" applyFill="1" applyBorder="1" applyAlignment="1">
      <alignment horizontal="center" vertical="center"/>
    </xf>
    <xf numFmtId="17" fontId="88" fillId="7" borderId="72" xfId="13" applyNumberFormat="1" applyFont="1" applyFill="1" applyBorder="1" applyAlignment="1">
      <alignment horizontal="center" vertical="center"/>
    </xf>
    <xf numFmtId="17" fontId="88" fillId="7" borderId="89" xfId="13" applyNumberFormat="1" applyFont="1" applyFill="1" applyBorder="1" applyAlignment="1">
      <alignment horizontal="center" vertical="center"/>
    </xf>
    <xf numFmtId="17" fontId="88" fillId="7" borderId="71" xfId="13" applyNumberFormat="1" applyFont="1" applyFill="1" applyBorder="1" applyAlignment="1">
      <alignment horizontal="center" vertical="center"/>
    </xf>
    <xf numFmtId="17" fontId="88" fillId="7" borderId="71" xfId="13" quotePrefix="1" applyNumberFormat="1" applyFont="1" applyFill="1" applyBorder="1" applyAlignment="1">
      <alignment horizontal="center" vertical="center"/>
    </xf>
    <xf numFmtId="0" fontId="23" fillId="7" borderId="80" xfId="13" applyFont="1" applyFill="1" applyBorder="1" applyAlignment="1">
      <alignment vertical="center"/>
    </xf>
    <xf numFmtId="0" fontId="86" fillId="5" borderId="87" xfId="13" applyFont="1" applyFill="1" applyBorder="1" applyAlignment="1">
      <alignment vertical="center"/>
    </xf>
    <xf numFmtId="0" fontId="86" fillId="5" borderId="81" xfId="13" applyFont="1" applyFill="1" applyBorder="1" applyAlignment="1">
      <alignment vertical="center"/>
    </xf>
    <xf numFmtId="0" fontId="88" fillId="7" borderId="80" xfId="13" applyFont="1" applyFill="1" applyBorder="1" applyAlignment="1">
      <alignment vertical="center"/>
    </xf>
    <xf numFmtId="168" fontId="88" fillId="5" borderId="87" xfId="13" applyNumberFormat="1" applyFont="1" applyFill="1" applyBorder="1" applyAlignment="1">
      <alignment vertical="center"/>
    </xf>
    <xf numFmtId="168" fontId="88" fillId="5" borderId="0" xfId="13" applyNumberFormat="1" applyFont="1" applyFill="1" applyBorder="1" applyAlignment="1">
      <alignment vertical="center"/>
    </xf>
    <xf numFmtId="168" fontId="88" fillId="5" borderId="81" xfId="13" applyNumberFormat="1" applyFont="1" applyFill="1" applyBorder="1" applyAlignment="1">
      <alignment vertical="center"/>
    </xf>
    <xf numFmtId="0" fontId="46" fillId="7" borderId="80" xfId="13" applyFont="1" applyFill="1" applyBorder="1" applyAlignment="1">
      <alignment vertical="center"/>
    </xf>
    <xf numFmtId="168" fontId="46" fillId="5" borderId="87" xfId="13" applyNumberFormat="1" applyFont="1" applyFill="1" applyBorder="1" applyAlignment="1">
      <alignment vertical="center"/>
    </xf>
    <xf numFmtId="168" fontId="46" fillId="5" borderId="0" xfId="13" applyNumberFormat="1" applyFont="1" applyFill="1" applyBorder="1" applyAlignment="1">
      <alignment vertical="center"/>
    </xf>
    <xf numFmtId="168" fontId="46" fillId="5" borderId="81" xfId="13" applyNumberFormat="1" applyFont="1" applyFill="1" applyBorder="1" applyAlignment="1">
      <alignment vertical="center"/>
    </xf>
    <xf numFmtId="168" fontId="88" fillId="0" borderId="87" xfId="13" applyNumberFormat="1" applyFont="1" applyFill="1" applyBorder="1" applyAlignment="1">
      <alignment vertical="center"/>
    </xf>
    <xf numFmtId="168" fontId="88" fillId="0" borderId="0" xfId="13" applyNumberFormat="1" applyFont="1" applyFill="1" applyBorder="1" applyAlignment="1">
      <alignment vertical="center"/>
    </xf>
    <xf numFmtId="168" fontId="88" fillId="0" borderId="81" xfId="13" applyNumberFormat="1" applyFont="1" applyFill="1" applyBorder="1" applyAlignment="1">
      <alignment vertical="center"/>
    </xf>
    <xf numFmtId="0" fontId="14" fillId="7" borderId="86" xfId="13" applyFont="1" applyFill="1" applyBorder="1" applyAlignment="1">
      <alignment vertical="center"/>
    </xf>
    <xf numFmtId="0" fontId="60" fillId="5" borderId="85" xfId="13" applyFont="1" applyFill="1" applyBorder="1" applyAlignment="1">
      <alignment vertical="center"/>
    </xf>
    <xf numFmtId="0" fontId="60" fillId="5" borderId="88" xfId="13" applyFont="1" applyFill="1" applyBorder="1" applyAlignment="1">
      <alignment vertical="center"/>
    </xf>
    <xf numFmtId="0" fontId="60" fillId="5" borderId="84" xfId="13" applyFont="1" applyFill="1" applyBorder="1" applyAlignment="1">
      <alignment vertical="center"/>
    </xf>
    <xf numFmtId="0" fontId="90" fillId="5" borderId="0" xfId="13" applyFont="1" applyFill="1" applyAlignment="1">
      <alignment vertical="center"/>
    </xf>
    <xf numFmtId="0" fontId="57" fillId="5" borderId="0" xfId="13" applyFont="1" applyFill="1" applyBorder="1" applyAlignment="1"/>
    <xf numFmtId="168" fontId="60" fillId="5" borderId="0" xfId="13" applyNumberFormat="1" applyFont="1" applyFill="1"/>
    <xf numFmtId="0" fontId="60" fillId="5" borderId="0" xfId="13" applyFont="1" applyFill="1"/>
    <xf numFmtId="168" fontId="60" fillId="5" borderId="0" xfId="13" applyNumberFormat="1" applyFont="1" applyFill="1" applyBorder="1" applyAlignment="1">
      <alignment vertical="center"/>
    </xf>
    <xf numFmtId="170" fontId="86" fillId="5" borderId="0" xfId="13" applyNumberFormat="1" applyFont="1" applyFill="1" applyBorder="1" applyAlignment="1">
      <alignment vertical="center"/>
    </xf>
    <xf numFmtId="0" fontId="31" fillId="0" borderId="0" xfId="3" applyFont="1" applyBorder="1"/>
    <xf numFmtId="0" fontId="27" fillId="0" borderId="0" xfId="3"/>
    <xf numFmtId="0" fontId="25" fillId="0" borderId="0" xfId="3" applyFont="1" applyAlignment="1">
      <alignment horizontal="right"/>
    </xf>
    <xf numFmtId="174" fontId="25" fillId="0" borderId="0" xfId="7" applyNumberFormat="1" applyFont="1" applyBorder="1" applyAlignment="1">
      <alignment horizontal="right"/>
    </xf>
    <xf numFmtId="0" fontId="31" fillId="2" borderId="98" xfId="3" applyFont="1" applyFill="1" applyBorder="1" applyAlignment="1">
      <alignment horizontal="center"/>
    </xf>
    <xf numFmtId="17" fontId="31" fillId="2" borderId="98" xfId="3" applyNumberFormat="1" applyFont="1" applyFill="1" applyBorder="1" applyAlignment="1">
      <alignment horizontal="center"/>
    </xf>
    <xf numFmtId="0" fontId="92" fillId="2" borderId="4" xfId="3" applyFont="1" applyFill="1" applyBorder="1"/>
    <xf numFmtId="174" fontId="92" fillId="0" borderId="4" xfId="7" applyNumberFormat="1" applyFont="1" applyBorder="1" applyAlignment="1">
      <alignment horizontal="center"/>
    </xf>
    <xf numFmtId="174" fontId="92" fillId="0" borderId="4" xfId="7" applyNumberFormat="1" applyFont="1" applyFill="1" applyBorder="1" applyAlignment="1">
      <alignment horizontal="center"/>
    </xf>
    <xf numFmtId="0" fontId="31" fillId="2" borderId="98" xfId="3" applyFont="1" applyFill="1" applyBorder="1" applyAlignment="1">
      <alignment horizontal="left"/>
    </xf>
    <xf numFmtId="174" fontId="31" fillId="0" borderId="98" xfId="7" applyNumberFormat="1" applyFont="1" applyBorder="1" applyAlignment="1">
      <alignment horizontal="center"/>
    </xf>
    <xf numFmtId="174" fontId="31" fillId="0" borderId="98" xfId="7" applyNumberFormat="1" applyFont="1" applyFill="1" applyBorder="1" applyAlignment="1">
      <alignment horizontal="center"/>
    </xf>
    <xf numFmtId="0" fontId="31" fillId="0" borderId="0" xfId="3" applyFont="1" applyFill="1" applyBorder="1" applyAlignment="1">
      <alignment horizontal="left"/>
    </xf>
    <xf numFmtId="174" fontId="31" fillId="0" borderId="0" xfId="7" applyNumberFormat="1" applyFont="1" applyFill="1" applyBorder="1" applyAlignment="1">
      <alignment horizontal="center"/>
    </xf>
    <xf numFmtId="0" fontId="23" fillId="0" borderId="0" xfId="3" applyFont="1" applyFill="1" applyBorder="1"/>
    <xf numFmtId="0" fontId="92" fillId="0" borderId="0" xfId="3" applyFont="1" applyBorder="1" applyAlignment="1">
      <alignment horizontal="center"/>
    </xf>
    <xf numFmtId="174" fontId="92" fillId="0" borderId="4" xfId="7" applyNumberFormat="1" applyFont="1" applyBorder="1"/>
    <xf numFmtId="0" fontId="93" fillId="2" borderId="4" xfId="3" applyFont="1" applyFill="1" applyBorder="1"/>
    <xf numFmtId="174" fontId="93" fillId="0" borderId="4" xfId="7" applyNumberFormat="1" applyFont="1" applyBorder="1"/>
    <xf numFmtId="0" fontId="92" fillId="0" borderId="0" xfId="3" applyFont="1"/>
    <xf numFmtId="0" fontId="31" fillId="2" borderId="98" xfId="3" applyFont="1" applyFill="1" applyBorder="1"/>
    <xf numFmtId="174" fontId="31" fillId="0" borderId="98" xfId="7" applyNumberFormat="1" applyFont="1" applyBorder="1"/>
    <xf numFmtId="174" fontId="31" fillId="0" borderId="98" xfId="7" applyNumberFormat="1" applyFont="1" applyFill="1" applyBorder="1"/>
    <xf numFmtId="0" fontId="25" fillId="0" borderId="0" xfId="3" applyFont="1" applyFill="1" applyBorder="1" applyAlignment="1">
      <alignment horizontal="left" vertical="top"/>
    </xf>
    <xf numFmtId="0" fontId="23" fillId="0" borderId="0" xfId="3" applyFont="1" applyBorder="1" applyAlignment="1">
      <alignment vertical="top"/>
    </xf>
    <xf numFmtId="0" fontId="25" fillId="0" borderId="0" xfId="3" applyFont="1" applyFill="1" applyBorder="1" applyAlignment="1">
      <alignment vertical="top"/>
    </xf>
    <xf numFmtId="0" fontId="23" fillId="0" borderId="0" xfId="3" applyFont="1" applyBorder="1"/>
    <xf numFmtId="166" fontId="23" fillId="0" borderId="0" xfId="3" applyNumberFormat="1" applyFont="1" applyBorder="1"/>
    <xf numFmtId="175" fontId="23" fillId="0" borderId="0" xfId="11" applyNumberFormat="1" applyFont="1"/>
    <xf numFmtId="0" fontId="37" fillId="5" borderId="0" xfId="13" applyFont="1" applyFill="1"/>
    <xf numFmtId="0" fontId="14" fillId="5" borderId="0" xfId="13" applyFont="1" applyFill="1" applyBorder="1"/>
    <xf numFmtId="0" fontId="45" fillId="5" borderId="0" xfId="13" applyFont="1" applyFill="1" applyBorder="1" applyAlignment="1">
      <alignment horizontal="right"/>
    </xf>
    <xf numFmtId="0" fontId="19" fillId="4" borderId="99" xfId="13" applyFont="1" applyFill="1" applyBorder="1"/>
    <xf numFmtId="17" fontId="39" fillId="4" borderId="100" xfId="13" applyNumberFormat="1" applyFont="1" applyFill="1" applyBorder="1" applyAlignment="1">
      <alignment horizontal="center"/>
    </xf>
    <xf numFmtId="17" fontId="39" fillId="4" borderId="101" xfId="13" applyNumberFormat="1" applyFont="1" applyFill="1" applyBorder="1" applyAlignment="1">
      <alignment horizontal="center"/>
    </xf>
    <xf numFmtId="17" fontId="39" fillId="4" borderId="102" xfId="13" applyNumberFormat="1" applyFont="1" applyFill="1" applyBorder="1" applyAlignment="1">
      <alignment horizontal="center"/>
    </xf>
    <xf numFmtId="0" fontId="14" fillId="4" borderId="35" xfId="13" applyFont="1" applyFill="1" applyBorder="1"/>
    <xf numFmtId="166" fontId="14" fillId="5" borderId="37" xfId="13" applyNumberFormat="1" applyFont="1" applyFill="1" applyBorder="1"/>
    <xf numFmtId="166" fontId="14" fillId="5" borderId="4" xfId="13" applyNumberFormat="1" applyFont="1" applyFill="1" applyBorder="1"/>
    <xf numFmtId="166" fontId="14" fillId="5" borderId="36" xfId="13" applyNumberFormat="1" applyFont="1" applyFill="1" applyBorder="1"/>
    <xf numFmtId="0" fontId="37" fillId="4" borderId="35" xfId="13" applyFont="1" applyFill="1" applyBorder="1"/>
    <xf numFmtId="166" fontId="37" fillId="5" borderId="37" xfId="13" applyNumberFormat="1" applyFont="1" applyFill="1" applyBorder="1"/>
    <xf numFmtId="166" fontId="37" fillId="5" borderId="4" xfId="13" applyNumberFormat="1" applyFont="1" applyFill="1" applyBorder="1"/>
    <xf numFmtId="166" fontId="37" fillId="5" borderId="36" xfId="13" applyNumberFormat="1" applyFont="1" applyFill="1" applyBorder="1"/>
    <xf numFmtId="0" fontId="46" fillId="4" borderId="35" xfId="13" applyFont="1" applyFill="1" applyBorder="1"/>
    <xf numFmtId="174" fontId="14" fillId="5" borderId="36" xfId="13" applyNumberFormat="1" applyFont="1" applyFill="1" applyBorder="1"/>
    <xf numFmtId="0" fontId="37" fillId="4" borderId="103" xfId="13" applyFont="1" applyFill="1" applyBorder="1"/>
    <xf numFmtId="166" fontId="37" fillId="5" borderId="104" xfId="13" applyNumberFormat="1" applyFont="1" applyFill="1" applyBorder="1"/>
    <xf numFmtId="166" fontId="37" fillId="5" borderId="105" xfId="13" applyNumberFormat="1" applyFont="1" applyFill="1" applyBorder="1"/>
    <xf numFmtId="166" fontId="37" fillId="5" borderId="106" xfId="13" applyNumberFormat="1" applyFont="1" applyFill="1" applyBorder="1"/>
    <xf numFmtId="0" fontId="45" fillId="5" borderId="0" xfId="13" applyFont="1" applyFill="1" applyBorder="1" applyAlignment="1">
      <alignment horizontal="left" vertical="top"/>
    </xf>
    <xf numFmtId="0" fontId="74" fillId="5" borderId="0" xfId="14" applyFont="1" applyFill="1" applyAlignment="1">
      <alignment vertical="center"/>
    </xf>
    <xf numFmtId="0" fontId="21" fillId="5" borderId="0" xfId="14" applyFont="1" applyFill="1" applyAlignment="1">
      <alignment vertical="center"/>
    </xf>
    <xf numFmtId="0" fontId="94" fillId="5" borderId="0" xfId="14" applyFont="1" applyFill="1" applyBorder="1" applyAlignment="1">
      <alignment vertical="center"/>
    </xf>
    <xf numFmtId="0" fontId="26" fillId="5" borderId="0" xfId="14" applyFont="1" applyFill="1" applyAlignment="1">
      <alignment vertical="center"/>
    </xf>
    <xf numFmtId="0" fontId="95" fillId="5" borderId="0" xfId="14" applyFont="1" applyFill="1" applyAlignment="1">
      <alignment vertical="center"/>
    </xf>
    <xf numFmtId="0" fontId="30" fillId="5" borderId="0" xfId="14" applyFont="1" applyFill="1" applyAlignment="1">
      <alignment vertical="center"/>
    </xf>
    <xf numFmtId="0" fontId="30" fillId="5" borderId="0" xfId="14" applyFont="1" applyFill="1" applyAlignment="1">
      <alignment horizontal="right" vertical="center"/>
    </xf>
    <xf numFmtId="0" fontId="25" fillId="5" borderId="0" xfId="14" applyFont="1" applyFill="1" applyAlignment="1">
      <alignment horizontal="center" vertical="center"/>
    </xf>
    <xf numFmtId="0" fontId="30" fillId="5" borderId="0" xfId="14" applyFont="1" applyFill="1" applyAlignment="1">
      <alignment horizontal="center" vertical="center"/>
    </xf>
    <xf numFmtId="0" fontId="38" fillId="5" borderId="0" xfId="14" applyFont="1" applyFill="1" applyAlignment="1">
      <alignment horizontal="right" vertical="center"/>
    </xf>
    <xf numFmtId="0" fontId="45" fillId="5" borderId="0" xfId="14" applyFont="1" applyFill="1" applyAlignment="1">
      <alignment vertical="center"/>
    </xf>
    <xf numFmtId="176" fontId="28" fillId="4" borderId="107" xfId="14" applyNumberFormat="1" applyFont="1" applyFill="1" applyBorder="1" applyAlignment="1">
      <alignment horizontal="center" vertical="center"/>
    </xf>
    <xf numFmtId="176" fontId="28" fillId="16" borderId="108" xfId="14" applyNumberFormat="1" applyFont="1" applyFill="1" applyBorder="1" applyAlignment="1">
      <alignment horizontal="center" vertical="center"/>
    </xf>
    <xf numFmtId="176" fontId="28" fillId="16" borderId="109" xfId="14" applyNumberFormat="1" applyFont="1" applyFill="1" applyBorder="1" applyAlignment="1">
      <alignment horizontal="center" vertical="center"/>
    </xf>
    <xf numFmtId="176" fontId="28" fillId="4" borderId="108" xfId="14" applyNumberFormat="1" applyFont="1" applyFill="1" applyBorder="1" applyAlignment="1">
      <alignment horizontal="center" vertical="center"/>
    </xf>
    <xf numFmtId="176" fontId="29" fillId="5" borderId="0" xfId="14" applyNumberFormat="1" applyFont="1" applyFill="1" applyAlignment="1">
      <alignment horizontal="center" vertical="center"/>
    </xf>
    <xf numFmtId="0" fontId="28" fillId="4" borderId="110" xfId="14" applyFont="1" applyFill="1" applyBorder="1" applyAlignment="1">
      <alignment horizontal="center" vertical="center"/>
    </xf>
    <xf numFmtId="0" fontId="26" fillId="16" borderId="111" xfId="14" applyFont="1" applyFill="1" applyBorder="1" applyAlignment="1">
      <alignment vertical="center"/>
    </xf>
    <xf numFmtId="0" fontId="26" fillId="4" borderId="111" xfId="14" applyFont="1" applyFill="1" applyBorder="1" applyAlignment="1">
      <alignment vertical="center"/>
    </xf>
    <xf numFmtId="0" fontId="26" fillId="4" borderId="112" xfId="14" applyFont="1" applyFill="1" applyBorder="1" applyAlignment="1">
      <alignment vertical="center"/>
    </xf>
    <xf numFmtId="0" fontId="26" fillId="5" borderId="113" xfId="14" applyFont="1" applyFill="1" applyBorder="1" applyAlignment="1">
      <alignment vertical="center"/>
    </xf>
    <xf numFmtId="0" fontId="96" fillId="4" borderId="112" xfId="14" applyFont="1" applyFill="1" applyBorder="1" applyAlignment="1">
      <alignment vertical="center"/>
    </xf>
    <xf numFmtId="3" fontId="26" fillId="5" borderId="113" xfId="14" applyNumberFormat="1" applyFont="1" applyFill="1" applyBorder="1" applyAlignment="1">
      <alignment vertical="center"/>
    </xf>
    <xf numFmtId="3" fontId="19" fillId="5" borderId="113" xfId="14" applyNumberFormat="1" applyFont="1" applyFill="1" applyBorder="1" applyAlignment="1">
      <alignment vertical="center"/>
    </xf>
    <xf numFmtId="3" fontId="96" fillId="5" borderId="113" xfId="14" applyNumberFormat="1" applyFont="1" applyFill="1" applyBorder="1" applyAlignment="1">
      <alignment vertical="center"/>
    </xf>
    <xf numFmtId="3" fontId="26" fillId="5" borderId="0" xfId="14" applyNumberFormat="1" applyFont="1" applyFill="1" applyAlignment="1">
      <alignment vertical="center"/>
    </xf>
    <xf numFmtId="0" fontId="97" fillId="4" borderId="112" xfId="14" applyFont="1" applyFill="1" applyBorder="1" applyAlignment="1">
      <alignment vertical="center"/>
    </xf>
    <xf numFmtId="3" fontId="30" fillId="5" borderId="113" xfId="14" applyNumberFormat="1" applyFont="1" applyFill="1" applyBorder="1" applyAlignment="1">
      <alignment vertical="center"/>
    </xf>
    <xf numFmtId="3" fontId="62" fillId="5" borderId="113" xfId="14" applyNumberFormat="1" applyFont="1" applyFill="1" applyBorder="1" applyAlignment="1">
      <alignment vertical="center"/>
    </xf>
    <xf numFmtId="3" fontId="97" fillId="5" borderId="113" xfId="14" applyNumberFormat="1" applyFont="1" applyFill="1" applyBorder="1" applyAlignment="1">
      <alignment vertical="center"/>
    </xf>
    <xf numFmtId="0" fontId="28" fillId="4" borderId="112" xfId="14" applyFont="1" applyFill="1" applyBorder="1" applyAlignment="1">
      <alignment vertical="center"/>
    </xf>
    <xf numFmtId="3" fontId="29" fillId="5" borderId="113" xfId="14" applyNumberFormat="1" applyFont="1" applyFill="1" applyBorder="1" applyAlignment="1">
      <alignment vertical="center"/>
    </xf>
    <xf numFmtId="3" fontId="39" fillId="5" borderId="113" xfId="14" applyNumberFormat="1" applyFont="1" applyFill="1" applyBorder="1" applyAlignment="1">
      <alignment vertical="center"/>
    </xf>
    <xf numFmtId="3" fontId="28" fillId="5" borderId="113" xfId="14" applyNumberFormat="1" applyFont="1" applyFill="1" applyBorder="1" applyAlignment="1">
      <alignment vertical="center"/>
    </xf>
    <xf numFmtId="0" fontId="29" fillId="5" borderId="0" xfId="14" applyFont="1" applyFill="1" applyAlignment="1">
      <alignment vertical="center"/>
    </xf>
    <xf numFmtId="0" fontId="19" fillId="4" borderId="112" xfId="14" applyFont="1" applyFill="1" applyBorder="1" applyAlignment="1">
      <alignment vertical="center"/>
    </xf>
    <xf numFmtId="3" fontId="26" fillId="5" borderId="111" xfId="14" applyNumberFormat="1" applyFont="1" applyFill="1" applyBorder="1" applyAlignment="1">
      <alignment vertical="center"/>
    </xf>
    <xf numFmtId="3" fontId="19" fillId="5" borderId="111" xfId="14" applyNumberFormat="1" applyFont="1" applyFill="1" applyBorder="1" applyAlignment="1">
      <alignment vertical="center"/>
    </xf>
    <xf numFmtId="3" fontId="96" fillId="5" borderId="111" xfId="14" applyNumberFormat="1" applyFont="1" applyFill="1" applyBorder="1" applyAlignment="1">
      <alignment vertical="center"/>
    </xf>
    <xf numFmtId="0" fontId="26" fillId="4" borderId="114" xfId="14" applyFont="1" applyFill="1" applyBorder="1" applyAlignment="1">
      <alignment vertical="center"/>
    </xf>
    <xf numFmtId="0" fontId="26" fillId="5" borderId="115" xfId="14" applyFont="1" applyFill="1" applyBorder="1" applyAlignment="1">
      <alignment vertical="center"/>
    </xf>
    <xf numFmtId="3" fontId="14" fillId="5" borderId="0" xfId="14" applyNumberFormat="1" applyFont="1" applyFill="1" applyAlignment="1">
      <alignment vertical="center"/>
    </xf>
    <xf numFmtId="0" fontId="14" fillId="5" borderId="0" xfId="14" applyFont="1" applyFill="1" applyAlignment="1">
      <alignment vertical="center"/>
    </xf>
    <xf numFmtId="176" fontId="39" fillId="4" borderId="107" xfId="14" applyNumberFormat="1" applyFont="1" applyFill="1" applyBorder="1" applyAlignment="1">
      <alignment horizontal="center" vertical="center"/>
    </xf>
    <xf numFmtId="176" fontId="39" fillId="4" borderId="109" xfId="14" applyNumberFormat="1" applyFont="1" applyFill="1" applyBorder="1" applyAlignment="1">
      <alignment horizontal="center" vertical="center"/>
    </xf>
    <xf numFmtId="176" fontId="39" fillId="4" borderId="116" xfId="14" applyNumberFormat="1" applyFont="1" applyFill="1" applyBorder="1" applyAlignment="1">
      <alignment horizontal="center" vertical="center"/>
    </xf>
    <xf numFmtId="176" fontId="39" fillId="4" borderId="117" xfId="14" applyNumberFormat="1" applyFont="1" applyFill="1" applyBorder="1" applyAlignment="1">
      <alignment horizontal="center" vertical="center"/>
    </xf>
    <xf numFmtId="0" fontId="26" fillId="5" borderId="118" xfId="14" applyFont="1" applyFill="1" applyBorder="1" applyAlignment="1">
      <alignment vertical="center"/>
    </xf>
    <xf numFmtId="3" fontId="26" fillId="5" borderId="119" xfId="14" applyNumberFormat="1" applyFont="1" applyFill="1" applyBorder="1" applyAlignment="1">
      <alignment vertical="center"/>
    </xf>
    <xf numFmtId="3" fontId="26" fillId="5" borderId="113" xfId="14" applyNumberFormat="1" applyFont="1" applyFill="1" applyBorder="1" applyAlignment="1">
      <alignment horizontal="right" vertical="center"/>
    </xf>
    <xf numFmtId="3" fontId="98" fillId="5" borderId="113" xfId="14" applyNumberFormat="1" applyFont="1" applyFill="1" applyBorder="1" applyAlignment="1">
      <alignment vertical="center"/>
    </xf>
    <xf numFmtId="3" fontId="99" fillId="5" borderId="113" xfId="14" applyNumberFormat="1" applyFont="1" applyFill="1" applyBorder="1" applyAlignment="1">
      <alignment vertical="center"/>
    </xf>
    <xf numFmtId="3" fontId="100" fillId="5" borderId="113" xfId="14" applyNumberFormat="1" applyFont="1" applyFill="1" applyBorder="1" applyAlignment="1">
      <alignment vertical="center"/>
    </xf>
    <xf numFmtId="0" fontId="98" fillId="5" borderId="0" xfId="14" applyFont="1" applyFill="1" applyAlignment="1">
      <alignment vertical="center"/>
    </xf>
    <xf numFmtId="3" fontId="96" fillId="0" borderId="113" xfId="14" applyNumberFormat="1" applyFont="1" applyFill="1" applyBorder="1" applyAlignment="1">
      <alignment vertical="center"/>
    </xf>
    <xf numFmtId="3" fontId="98" fillId="5" borderId="0" xfId="14" applyNumberFormat="1" applyFont="1" applyFill="1" applyAlignment="1">
      <alignment vertical="center"/>
    </xf>
    <xf numFmtId="0" fontId="100" fillId="4" borderId="112" xfId="14" applyFont="1" applyFill="1" applyBorder="1" applyAlignment="1">
      <alignment vertical="center"/>
    </xf>
    <xf numFmtId="0" fontId="19" fillId="5" borderId="113" xfId="14" applyFont="1" applyFill="1" applyBorder="1" applyAlignment="1">
      <alignment vertical="center"/>
    </xf>
    <xf numFmtId="0" fontId="26" fillId="5" borderId="120" xfId="14" applyFont="1" applyFill="1" applyBorder="1" applyAlignment="1">
      <alignment vertical="center"/>
    </xf>
    <xf numFmtId="0" fontId="57" fillId="5" borderId="0" xfId="14" applyFont="1" applyFill="1" applyBorder="1" applyAlignment="1"/>
    <xf numFmtId="168" fontId="60" fillId="5" borderId="0" xfId="14" applyNumberFormat="1" applyFont="1" applyFill="1"/>
    <xf numFmtId="0" fontId="60" fillId="5" borderId="0" xfId="14" applyFont="1" applyFill="1"/>
    <xf numFmtId="0" fontId="90" fillId="5" borderId="0" xfId="14" applyFont="1" applyFill="1" applyBorder="1"/>
    <xf numFmtId="0" fontId="18" fillId="5" borderId="0" xfId="13" applyFont="1" applyFill="1" applyAlignment="1" applyProtection="1">
      <alignment horizontal="left" vertical="center"/>
    </xf>
    <xf numFmtId="0" fontId="43" fillId="5" borderId="0" xfId="13" applyFont="1" applyFill="1" applyAlignment="1">
      <alignment vertical="center"/>
    </xf>
    <xf numFmtId="0" fontId="14" fillId="5" borderId="0" xfId="13" applyFont="1" applyFill="1" applyAlignment="1">
      <alignment vertical="center"/>
    </xf>
    <xf numFmtId="4" fontId="14" fillId="5" borderId="0" xfId="13" applyNumberFormat="1" applyFont="1" applyFill="1" applyAlignment="1">
      <alignment vertical="center"/>
    </xf>
    <xf numFmtId="0" fontId="37" fillId="5" borderId="0" xfId="13" applyFont="1" applyFill="1" applyAlignment="1">
      <alignment vertical="center"/>
    </xf>
    <xf numFmtId="0" fontId="14" fillId="5" borderId="0" xfId="13" applyFont="1" applyFill="1" applyAlignment="1">
      <alignment horizontal="center" vertical="center"/>
    </xf>
    <xf numFmtId="0" fontId="45" fillId="5" borderId="0" xfId="13" applyFont="1" applyFill="1" applyAlignment="1">
      <alignment vertical="center"/>
    </xf>
    <xf numFmtId="0" fontId="45" fillId="5" borderId="0" xfId="13" applyFont="1" applyFill="1" applyAlignment="1"/>
    <xf numFmtId="0" fontId="14" fillId="5" borderId="0" xfId="15" applyFont="1" applyFill="1" applyAlignment="1">
      <alignment vertical="center"/>
    </xf>
    <xf numFmtId="0" fontId="37" fillId="3" borderId="25" xfId="13" applyFont="1" applyFill="1" applyBorder="1" applyAlignment="1" applyProtection="1">
      <alignment horizontal="centerContinuous" vertical="center"/>
    </xf>
    <xf numFmtId="0" fontId="37" fillId="3" borderId="27" xfId="13" applyFont="1" applyFill="1" applyBorder="1" applyAlignment="1" applyProtection="1">
      <alignment horizontal="centerContinuous" vertical="center"/>
    </xf>
    <xf numFmtId="0" fontId="37" fillId="3" borderId="17" xfId="13" applyFont="1" applyFill="1" applyBorder="1" applyAlignment="1" applyProtection="1">
      <alignment horizontal="center" vertical="center"/>
    </xf>
    <xf numFmtId="0" fontId="37" fillId="3" borderId="30" xfId="13" applyFont="1" applyFill="1" applyBorder="1" applyAlignment="1" applyProtection="1">
      <alignment horizontal="centerContinuous" vertical="center"/>
    </xf>
    <xf numFmtId="0" fontId="37" fillId="7" borderId="122" xfId="13" applyFont="1" applyFill="1" applyBorder="1" applyAlignment="1" applyProtection="1">
      <alignment horizontal="center" vertical="center"/>
    </xf>
    <xf numFmtId="0" fontId="37" fillId="7" borderId="31" xfId="13" applyFont="1" applyFill="1" applyBorder="1" applyAlignment="1" applyProtection="1">
      <alignment horizontal="center" vertical="center"/>
    </xf>
    <xf numFmtId="4" fontId="37" fillId="7" borderId="31" xfId="13" applyNumberFormat="1" applyFont="1" applyFill="1" applyBorder="1" applyAlignment="1" applyProtection="1">
      <alignment horizontal="center" vertical="center"/>
    </xf>
    <xf numFmtId="0" fontId="37" fillId="7" borderId="34" xfId="13" applyFont="1" applyFill="1" applyBorder="1" applyAlignment="1" applyProtection="1">
      <alignment horizontal="center" vertical="center"/>
    </xf>
    <xf numFmtId="0" fontId="37" fillId="7" borderId="10" xfId="13" applyFont="1" applyFill="1" applyBorder="1" applyAlignment="1" applyProtection="1">
      <alignment horizontal="center" vertical="center"/>
    </xf>
    <xf numFmtId="0" fontId="37" fillId="7" borderId="32" xfId="13" applyFont="1" applyFill="1" applyBorder="1" applyAlignment="1" applyProtection="1">
      <alignment horizontal="center" vertical="center"/>
    </xf>
    <xf numFmtId="0" fontId="37" fillId="3" borderId="19" xfId="13" applyFont="1" applyFill="1" applyBorder="1" applyAlignment="1" applyProtection="1">
      <alignment horizontal="center" vertical="center"/>
    </xf>
    <xf numFmtId="0" fontId="37" fillId="7" borderId="37" xfId="13" applyFont="1" applyFill="1" applyBorder="1" applyAlignment="1" applyProtection="1">
      <alignment horizontal="center" vertical="center"/>
    </xf>
    <xf numFmtId="4" fontId="37" fillId="7" borderId="37" xfId="13" applyNumberFormat="1" applyFont="1" applyFill="1" applyBorder="1" applyAlignment="1" applyProtection="1">
      <alignment horizontal="center" vertical="center"/>
    </xf>
    <xf numFmtId="0" fontId="37" fillId="7" borderId="36" xfId="13" applyFont="1" applyFill="1" applyBorder="1" applyAlignment="1" applyProtection="1">
      <alignment horizontal="center" vertical="center"/>
    </xf>
    <xf numFmtId="0" fontId="37" fillId="7" borderId="7" xfId="13" applyFont="1" applyFill="1" applyBorder="1" applyAlignment="1" applyProtection="1">
      <alignment horizontal="center" vertical="center"/>
    </xf>
    <xf numFmtId="0" fontId="37" fillId="7" borderId="4" xfId="13" applyFont="1" applyFill="1" applyBorder="1" applyAlignment="1" applyProtection="1">
      <alignment horizontal="center" vertical="center"/>
    </xf>
    <xf numFmtId="0" fontId="14" fillId="3" borderId="46" xfId="13" applyFont="1" applyFill="1" applyBorder="1" applyAlignment="1">
      <alignment vertical="center"/>
    </xf>
    <xf numFmtId="0" fontId="37" fillId="7" borderId="47" xfId="13" applyFont="1" applyFill="1" applyBorder="1" applyAlignment="1" applyProtection="1">
      <alignment horizontal="center" vertical="center"/>
    </xf>
    <xf numFmtId="4" fontId="37" fillId="7" borderId="47" xfId="13" applyNumberFormat="1" applyFont="1" applyFill="1" applyBorder="1" applyAlignment="1" applyProtection="1">
      <alignment horizontal="center" vertical="center"/>
    </xf>
    <xf numFmtId="0" fontId="37" fillId="7" borderId="52" xfId="13" applyFont="1" applyFill="1" applyBorder="1" applyAlignment="1" applyProtection="1">
      <alignment horizontal="center" vertical="center"/>
    </xf>
    <xf numFmtId="0" fontId="37" fillId="7" borderId="49" xfId="13" applyFont="1" applyFill="1" applyBorder="1" applyAlignment="1" applyProtection="1">
      <alignment horizontal="center" vertical="center"/>
    </xf>
    <xf numFmtId="0" fontId="37" fillId="7" borderId="48" xfId="13" applyFont="1" applyFill="1" applyBorder="1" applyAlignment="1" applyProtection="1">
      <alignment horizontal="center" vertical="center"/>
    </xf>
    <xf numFmtId="0" fontId="37" fillId="3" borderId="24" xfId="13" applyFont="1" applyFill="1" applyBorder="1" applyAlignment="1">
      <alignment horizontal="center" vertical="center"/>
    </xf>
    <xf numFmtId="0" fontId="37" fillId="3" borderId="30" xfId="13" applyFont="1" applyFill="1" applyBorder="1" applyAlignment="1" applyProtection="1">
      <alignment horizontal="right" vertical="center"/>
      <protection hidden="1"/>
    </xf>
    <xf numFmtId="177" fontId="14" fillId="5" borderId="37" xfId="13" applyNumberFormat="1" applyFont="1" applyFill="1" applyBorder="1" applyAlignment="1" applyProtection="1">
      <alignment horizontal="right" vertical="center"/>
      <protection hidden="1"/>
    </xf>
    <xf numFmtId="0" fontId="14" fillId="5" borderId="37" xfId="13" applyFont="1" applyFill="1" applyBorder="1" applyAlignment="1" applyProtection="1">
      <alignment horizontal="right" vertical="center"/>
      <protection hidden="1"/>
    </xf>
    <xf numFmtId="4" fontId="14" fillId="5" borderId="37" xfId="13" applyNumberFormat="1" applyFont="1" applyFill="1" applyBorder="1" applyAlignment="1" applyProtection="1">
      <alignment horizontal="right" vertical="center"/>
      <protection hidden="1"/>
    </xf>
    <xf numFmtId="0" fontId="14" fillId="5" borderId="36" xfId="13" applyFont="1" applyFill="1" applyBorder="1" applyAlignment="1" applyProtection="1">
      <alignment horizontal="right" vertical="center"/>
      <protection hidden="1"/>
    </xf>
    <xf numFmtId="0" fontId="37" fillId="5" borderId="7" xfId="13" applyFont="1" applyFill="1" applyBorder="1" applyAlignment="1" applyProtection="1">
      <alignment horizontal="right" vertical="center"/>
      <protection hidden="1"/>
    </xf>
    <xf numFmtId="177" fontId="14" fillId="5" borderId="4" xfId="13" applyNumberFormat="1" applyFont="1" applyFill="1" applyBorder="1" applyAlignment="1" applyProtection="1">
      <alignment horizontal="right" vertical="center"/>
      <protection hidden="1"/>
    </xf>
    <xf numFmtId="177" fontId="14" fillId="5" borderId="4" xfId="13" applyNumberFormat="1" applyFont="1" applyFill="1" applyBorder="1" applyAlignment="1" applyProtection="1">
      <alignment horizontal="center" vertical="center"/>
      <protection hidden="1"/>
    </xf>
    <xf numFmtId="0" fontId="14" fillId="5" borderId="4" xfId="13" applyFont="1" applyFill="1" applyBorder="1" applyAlignment="1" applyProtection="1">
      <alignment horizontal="right" vertical="center"/>
      <protection hidden="1"/>
    </xf>
    <xf numFmtId="0" fontId="37" fillId="5" borderId="36" xfId="13" applyFont="1" applyFill="1" applyBorder="1" applyAlignment="1" applyProtection="1">
      <alignment horizontal="right" vertical="center"/>
      <protection hidden="1"/>
    </xf>
    <xf numFmtId="0" fontId="37" fillId="5" borderId="28" xfId="13" applyFont="1" applyFill="1" applyBorder="1" applyAlignment="1" applyProtection="1">
      <alignment horizontal="right" vertical="center"/>
      <protection hidden="1"/>
    </xf>
    <xf numFmtId="17" fontId="37" fillId="3" borderId="30" xfId="13" applyNumberFormat="1" applyFont="1" applyFill="1" applyBorder="1" applyAlignment="1">
      <alignment horizontal="left" vertical="center"/>
    </xf>
    <xf numFmtId="177" fontId="14" fillId="5" borderId="37" xfId="13" applyNumberFormat="1" applyFont="1" applyFill="1" applyBorder="1" applyAlignment="1" applyProtection="1">
      <alignment horizontal="right" vertical="center"/>
    </xf>
    <xf numFmtId="177" fontId="14" fillId="5" borderId="4" xfId="13" applyNumberFormat="1" applyFont="1" applyFill="1" applyBorder="1" applyAlignment="1" applyProtection="1">
      <alignment horizontal="right" vertical="center"/>
    </xf>
    <xf numFmtId="177" fontId="14" fillId="5" borderId="36" xfId="13" applyNumberFormat="1" applyFont="1" applyFill="1" applyBorder="1" applyAlignment="1" applyProtection="1">
      <alignment horizontal="right" vertical="center"/>
    </xf>
    <xf numFmtId="177" fontId="37" fillId="5" borderId="7" xfId="13" applyNumberFormat="1" applyFont="1" applyFill="1" applyBorder="1" applyAlignment="1" applyProtection="1">
      <alignment horizontal="right" vertical="center"/>
    </xf>
    <xf numFmtId="177" fontId="14" fillId="5" borderId="4" xfId="13" applyNumberFormat="1" applyFont="1" applyFill="1" applyBorder="1" applyAlignment="1" applyProtection="1">
      <alignment horizontal="center" vertical="center"/>
    </xf>
    <xf numFmtId="177" fontId="37" fillId="5" borderId="36" xfId="13" applyNumberFormat="1" applyFont="1" applyFill="1" applyBorder="1" applyAlignment="1" applyProtection="1">
      <alignment horizontal="right" vertical="center"/>
    </xf>
    <xf numFmtId="177" fontId="37" fillId="5" borderId="19" xfId="13" applyNumberFormat="1" applyFont="1" applyFill="1" applyBorder="1" applyAlignment="1" applyProtection="1">
      <alignment horizontal="right" vertical="center"/>
    </xf>
    <xf numFmtId="177" fontId="14" fillId="5" borderId="0" xfId="13" applyNumberFormat="1" applyFont="1" applyFill="1" applyAlignment="1">
      <alignment vertical="center"/>
    </xf>
    <xf numFmtId="177" fontId="14" fillId="5" borderId="0" xfId="15" applyNumberFormat="1" applyFont="1" applyFill="1" applyAlignment="1">
      <alignment vertical="center"/>
    </xf>
    <xf numFmtId="177" fontId="101" fillId="5" borderId="37" xfId="13" applyNumberFormat="1" applyFont="1" applyFill="1" applyBorder="1" applyAlignment="1" applyProtection="1">
      <alignment horizontal="right" vertical="center"/>
    </xf>
    <xf numFmtId="177" fontId="101" fillId="5" borderId="4" xfId="13" applyNumberFormat="1" applyFont="1" applyFill="1" applyBorder="1" applyAlignment="1" applyProtection="1">
      <alignment horizontal="right" vertical="center"/>
    </xf>
    <xf numFmtId="177" fontId="101" fillId="5" borderId="36" xfId="13" applyNumberFormat="1" applyFont="1" applyFill="1" applyBorder="1" applyAlignment="1" applyProtection="1">
      <alignment horizontal="right" vertical="center"/>
    </xf>
    <xf numFmtId="177" fontId="102" fillId="5" borderId="7" xfId="13" applyNumberFormat="1" applyFont="1" applyFill="1" applyBorder="1" applyAlignment="1" applyProtection="1">
      <alignment horizontal="right" vertical="center"/>
    </xf>
    <xf numFmtId="177" fontId="101" fillId="5" borderId="4" xfId="13" applyNumberFormat="1" applyFont="1" applyFill="1" applyBorder="1" applyAlignment="1" applyProtection="1">
      <alignment horizontal="center" vertical="center"/>
    </xf>
    <xf numFmtId="177" fontId="102" fillId="5" borderId="36" xfId="13" applyNumberFormat="1" applyFont="1" applyFill="1" applyBorder="1" applyAlignment="1" applyProtection="1">
      <alignment horizontal="right" vertical="center"/>
    </xf>
    <xf numFmtId="177" fontId="102" fillId="5" borderId="19" xfId="13" applyNumberFormat="1" applyFont="1" applyFill="1" applyBorder="1" applyAlignment="1" applyProtection="1">
      <alignment horizontal="right" vertical="center"/>
    </xf>
    <xf numFmtId="170" fontId="14" fillId="5" borderId="4" xfId="15" applyNumberFormat="1" applyFont="1" applyFill="1" applyBorder="1" applyAlignment="1">
      <alignment horizontal="center" vertical="center"/>
    </xf>
    <xf numFmtId="170" fontId="14" fillId="5" borderId="4" xfId="15" applyNumberFormat="1" applyFont="1" applyFill="1" applyBorder="1" applyAlignment="1">
      <alignment vertical="center"/>
    </xf>
    <xf numFmtId="177" fontId="102" fillId="5" borderId="35" xfId="13" applyNumberFormat="1" applyFont="1" applyFill="1" applyBorder="1" applyAlignment="1" applyProtection="1">
      <alignment horizontal="right" vertical="center"/>
    </xf>
    <xf numFmtId="177" fontId="14" fillId="5" borderId="4" xfId="15" applyNumberFormat="1" applyFont="1" applyFill="1" applyBorder="1" applyAlignment="1">
      <alignment horizontal="center" vertical="center"/>
    </xf>
    <xf numFmtId="177" fontId="14" fillId="5" borderId="4" xfId="15" applyNumberFormat="1" applyFont="1" applyFill="1" applyBorder="1" applyAlignment="1">
      <alignment vertical="center"/>
    </xf>
    <xf numFmtId="177" fontId="101" fillId="5" borderId="37" xfId="13" applyNumberFormat="1" applyFont="1" applyFill="1" applyBorder="1" applyAlignment="1" applyProtection="1">
      <alignment horizontal="center" vertical="center"/>
    </xf>
    <xf numFmtId="39" fontId="14" fillId="5" borderId="0" xfId="15" applyNumberFormat="1" applyFont="1" applyFill="1" applyAlignment="1">
      <alignment vertical="center"/>
    </xf>
    <xf numFmtId="1" fontId="37" fillId="5" borderId="0" xfId="15" applyNumberFormat="1" applyFont="1" applyFill="1" applyAlignment="1">
      <alignment vertical="center"/>
    </xf>
    <xf numFmtId="170" fontId="14" fillId="5" borderId="0" xfId="15" applyNumberFormat="1" applyFont="1" applyFill="1" applyAlignment="1">
      <alignment horizontal="center" vertical="center"/>
    </xf>
    <xf numFmtId="17" fontId="37" fillId="3" borderId="123" xfId="13" applyNumberFormat="1" applyFont="1" applyFill="1" applyBorder="1" applyAlignment="1">
      <alignment horizontal="left" vertical="center"/>
    </xf>
    <xf numFmtId="177" fontId="101" fillId="0" borderId="104" xfId="13" applyNumberFormat="1" applyFont="1" applyFill="1" applyBorder="1" applyAlignment="1" applyProtection="1">
      <alignment horizontal="center" vertical="center"/>
    </xf>
    <xf numFmtId="177" fontId="101" fillId="0" borderId="105" xfId="13" applyNumberFormat="1" applyFont="1" applyFill="1" applyBorder="1" applyAlignment="1" applyProtection="1">
      <alignment horizontal="right" vertical="center"/>
    </xf>
    <xf numFmtId="177" fontId="101" fillId="5" borderId="105" xfId="13" applyNumberFormat="1" applyFont="1" applyFill="1" applyBorder="1" applyAlignment="1" applyProtection="1">
      <alignment horizontal="right" vertical="center"/>
    </xf>
    <xf numFmtId="177" fontId="101" fillId="5" borderId="106" xfId="13" applyNumberFormat="1" applyFont="1" applyFill="1" applyBorder="1" applyAlignment="1" applyProtection="1">
      <alignment horizontal="right" vertical="center"/>
    </xf>
    <xf numFmtId="177" fontId="102" fillId="5" borderId="103" xfId="13" applyNumberFormat="1" applyFont="1" applyFill="1" applyBorder="1" applyAlignment="1" applyProtection="1">
      <alignment horizontal="right" vertical="center"/>
    </xf>
    <xf numFmtId="177" fontId="101" fillId="0" borderId="105" xfId="13" applyNumberFormat="1" applyFont="1" applyFill="1" applyBorder="1" applyAlignment="1" applyProtection="1">
      <alignment horizontal="center" vertical="center"/>
    </xf>
    <xf numFmtId="177" fontId="101" fillId="5" borderId="105" xfId="13" applyNumberFormat="1" applyFont="1" applyFill="1" applyBorder="1" applyAlignment="1" applyProtection="1">
      <alignment horizontal="center" vertical="center"/>
    </xf>
    <xf numFmtId="177" fontId="102" fillId="5" borderId="13" xfId="13" applyNumberFormat="1" applyFont="1" applyFill="1" applyBorder="1" applyAlignment="1" applyProtection="1">
      <alignment horizontal="right" vertical="center"/>
    </xf>
    <xf numFmtId="177" fontId="102" fillId="0" borderId="103" xfId="13" applyNumberFormat="1" applyFont="1" applyFill="1" applyBorder="1" applyAlignment="1" applyProtection="1">
      <alignment horizontal="right" vertical="center"/>
    </xf>
    <xf numFmtId="177" fontId="14" fillId="5" borderId="0" xfId="13" applyNumberFormat="1" applyFont="1" applyFill="1" applyBorder="1" applyAlignment="1" applyProtection="1">
      <alignment horizontal="right" vertical="center"/>
    </xf>
    <xf numFmtId="177" fontId="102" fillId="5" borderId="0" xfId="13" applyNumberFormat="1" applyFont="1" applyFill="1" applyBorder="1" applyAlignment="1" applyProtection="1">
      <alignment horizontal="right" vertical="center"/>
    </xf>
    <xf numFmtId="0" fontId="45" fillId="5" borderId="0" xfId="15" applyFont="1" applyFill="1" applyAlignment="1">
      <alignment vertical="center"/>
    </xf>
    <xf numFmtId="2" fontId="14" fillId="5" borderId="0" xfId="15" applyNumberFormat="1" applyFont="1" applyFill="1" applyAlignment="1">
      <alignment vertical="center"/>
    </xf>
    <xf numFmtId="4" fontId="14" fillId="5" borderId="0" xfId="15" applyNumberFormat="1" applyFont="1" applyFill="1" applyAlignment="1">
      <alignment vertical="center"/>
    </xf>
    <xf numFmtId="0" fontId="14" fillId="5" borderId="0" xfId="15" applyFont="1" applyFill="1" applyAlignment="1">
      <alignment horizontal="center" vertical="center"/>
    </xf>
    <xf numFmtId="4" fontId="37" fillId="5" borderId="0" xfId="15" applyNumberFormat="1" applyFont="1" applyFill="1" applyAlignment="1">
      <alignment vertical="center"/>
    </xf>
    <xf numFmtId="168" fontId="14" fillId="5" borderId="0" xfId="15" applyNumberFormat="1" applyFont="1" applyFill="1" applyAlignment="1">
      <alignment vertical="center"/>
    </xf>
    <xf numFmtId="170" fontId="14" fillId="5" borderId="0" xfId="15" applyNumberFormat="1" applyFont="1" applyFill="1" applyAlignment="1">
      <alignment vertical="center"/>
    </xf>
    <xf numFmtId="4" fontId="103" fillId="5" borderId="0" xfId="15" applyNumberFormat="1" applyFont="1" applyFill="1" applyAlignment="1">
      <alignment vertical="center"/>
    </xf>
    <xf numFmtId="2" fontId="37" fillId="5" borderId="0" xfId="15" applyNumberFormat="1" applyFont="1" applyFill="1" applyAlignment="1">
      <alignment vertical="center"/>
    </xf>
    <xf numFmtId="0" fontId="37" fillId="5" borderId="0" xfId="15" applyFont="1" applyFill="1" applyAlignment="1">
      <alignment vertical="center"/>
    </xf>
    <xf numFmtId="17" fontId="14" fillId="5" borderId="0" xfId="15" applyNumberFormat="1" applyFont="1" applyFill="1" applyAlignment="1">
      <alignment vertical="center"/>
    </xf>
    <xf numFmtId="0" fontId="39" fillId="5" borderId="0" xfId="16" applyFont="1" applyFill="1" applyAlignment="1">
      <alignment vertical="center"/>
    </xf>
    <xf numFmtId="0" fontId="37" fillId="5" borderId="0" xfId="16" applyFont="1" applyFill="1" applyAlignment="1">
      <alignment vertical="center"/>
    </xf>
    <xf numFmtId="0" fontId="37" fillId="5" borderId="0" xfId="16" applyFont="1" applyFill="1" applyBorder="1" applyAlignment="1">
      <alignment vertical="center"/>
    </xf>
    <xf numFmtId="0" fontId="14" fillId="5" borderId="0" xfId="16" applyFont="1" applyFill="1" applyAlignment="1">
      <alignment horizontal="centerContinuous" vertical="center"/>
    </xf>
    <xf numFmtId="0" fontId="14" fillId="5" borderId="0" xfId="16" applyFont="1" applyFill="1" applyAlignment="1">
      <alignment vertical="center"/>
    </xf>
    <xf numFmtId="0" fontId="45" fillId="5" borderId="0" xfId="16" applyFont="1" applyFill="1" applyBorder="1" applyAlignment="1">
      <alignment vertical="center"/>
    </xf>
    <xf numFmtId="0" fontId="104" fillId="5" borderId="0" xfId="16" applyFont="1" applyFill="1" applyBorder="1" applyAlignment="1">
      <alignment vertical="center"/>
    </xf>
    <xf numFmtId="0" fontId="45" fillId="5" borderId="0" xfId="16" applyFont="1" applyFill="1" applyAlignment="1">
      <alignment horizontal="centerContinuous" vertical="center"/>
    </xf>
    <xf numFmtId="0" fontId="5" fillId="0" borderId="0" xfId="17"/>
    <xf numFmtId="0" fontId="29" fillId="9" borderId="99" xfId="16" applyFont="1" applyFill="1" applyBorder="1" applyAlignment="1">
      <alignment horizontal="center" vertical="center"/>
    </xf>
    <xf numFmtId="0" fontId="29" fillId="9" borderId="126" xfId="16" applyFont="1" applyFill="1" applyBorder="1" applyAlignment="1">
      <alignment horizontal="center" vertical="center"/>
    </xf>
    <xf numFmtId="3" fontId="14" fillId="5" borderId="0" xfId="16" applyNumberFormat="1" applyFont="1" applyFill="1" applyBorder="1" applyAlignment="1">
      <alignment vertical="center"/>
    </xf>
    <xf numFmtId="0" fontId="14" fillId="9" borderId="11" xfId="16" applyFont="1" applyFill="1" applyBorder="1" applyAlignment="1">
      <alignment vertical="center"/>
    </xf>
    <xf numFmtId="0" fontId="37" fillId="9" borderId="13" xfId="16" applyFont="1" applyFill="1" applyBorder="1" applyAlignment="1">
      <alignment vertical="center"/>
    </xf>
    <xf numFmtId="15" fontId="29" fillId="12" borderId="124" xfId="16" applyNumberFormat="1" applyFont="1" applyFill="1" applyBorder="1" applyAlignment="1">
      <alignment horizontal="center" vertical="center"/>
    </xf>
    <xf numFmtId="17" fontId="29" fillId="12" borderId="127" xfId="16" applyNumberFormat="1" applyFont="1" applyFill="1" applyBorder="1" applyAlignment="1">
      <alignment horizontal="center" vertical="center"/>
    </xf>
    <xf numFmtId="17" fontId="29" fillId="12" borderId="128" xfId="16" applyNumberFormat="1" applyFont="1" applyFill="1" applyBorder="1" applyAlignment="1">
      <alignment horizontal="center" vertical="center"/>
    </xf>
    <xf numFmtId="0" fontId="14" fillId="5" borderId="0" xfId="16" applyFont="1" applyFill="1" applyBorder="1" applyAlignment="1">
      <alignment vertical="center"/>
    </xf>
    <xf numFmtId="0" fontId="14" fillId="9" borderId="6" xfId="16" applyFont="1" applyFill="1" applyBorder="1" applyAlignment="1">
      <alignment vertical="center"/>
    </xf>
    <xf numFmtId="0" fontId="37" fillId="9" borderId="0" xfId="16" applyFont="1" applyFill="1" applyBorder="1" applyAlignment="1">
      <alignment vertical="center"/>
    </xf>
    <xf numFmtId="15" fontId="37" fillId="5" borderId="129" xfId="16" applyNumberFormat="1" applyFont="1" applyFill="1" applyBorder="1" applyAlignment="1">
      <alignment horizontal="center" vertical="center"/>
    </xf>
    <xf numFmtId="15" fontId="37" fillId="5" borderId="8" xfId="16" applyNumberFormat="1" applyFont="1" applyFill="1" applyBorder="1" applyAlignment="1">
      <alignment horizontal="center" vertical="center"/>
    </xf>
    <xf numFmtId="3" fontId="14" fillId="5" borderId="8" xfId="16" applyNumberFormat="1" applyFont="1" applyFill="1" applyBorder="1" applyAlignment="1">
      <alignment vertical="center"/>
    </xf>
    <xf numFmtId="3" fontId="14" fillId="5" borderId="130" xfId="16" applyNumberFormat="1" applyFont="1" applyFill="1" applyBorder="1" applyAlignment="1">
      <alignment vertical="center"/>
    </xf>
    <xf numFmtId="3" fontId="14" fillId="5" borderId="131" xfId="16" applyNumberFormat="1" applyFont="1" applyFill="1" applyBorder="1" applyAlignment="1">
      <alignment vertical="center"/>
    </xf>
    <xf numFmtId="178" fontId="37" fillId="9" borderId="6" xfId="16" applyNumberFormat="1" applyFont="1" applyFill="1" applyBorder="1" applyAlignment="1">
      <alignment horizontal="center" vertical="center"/>
    </xf>
    <xf numFmtId="1" fontId="37" fillId="9" borderId="0" xfId="16" applyNumberFormat="1" applyFont="1" applyFill="1" applyBorder="1" applyAlignment="1">
      <alignment vertical="center"/>
    </xf>
    <xf numFmtId="3" fontId="19" fillId="5" borderId="6" xfId="16" applyNumberFormat="1" applyFont="1" applyFill="1" applyBorder="1" applyAlignment="1">
      <alignment vertical="center"/>
    </xf>
    <xf numFmtId="3" fontId="19" fillId="5" borderId="35" xfId="16" applyNumberFormat="1" applyFont="1" applyFill="1" applyBorder="1" applyAlignment="1">
      <alignment horizontal="right" vertical="center"/>
    </xf>
    <xf numFmtId="3" fontId="19" fillId="5" borderId="132" xfId="16" applyNumberFormat="1" applyFont="1" applyFill="1" applyBorder="1" applyAlignment="1">
      <alignment vertical="center"/>
    </xf>
    <xf numFmtId="3" fontId="19" fillId="5" borderId="131" xfId="16" applyNumberFormat="1" applyFont="1" applyFill="1" applyBorder="1" applyAlignment="1">
      <alignment horizontal="right" vertical="center"/>
    </xf>
    <xf numFmtId="3" fontId="14" fillId="5" borderId="0" xfId="16" applyNumberFormat="1" applyFont="1" applyFill="1" applyBorder="1" applyAlignment="1">
      <alignment horizontal="right" vertical="center"/>
    </xf>
    <xf numFmtId="179" fontId="37" fillId="9" borderId="0" xfId="16" applyNumberFormat="1" applyFont="1" applyFill="1" applyBorder="1" applyAlignment="1">
      <alignment vertical="center"/>
    </xf>
    <xf numFmtId="180" fontId="14" fillId="5" borderId="0" xfId="16" applyNumberFormat="1" applyFont="1" applyFill="1" applyBorder="1" applyAlignment="1">
      <alignment horizontal="right" vertical="center"/>
    </xf>
    <xf numFmtId="181" fontId="19" fillId="5" borderId="6" xfId="16" applyNumberFormat="1" applyFont="1" applyFill="1" applyBorder="1" applyAlignment="1">
      <alignment vertical="center"/>
    </xf>
    <xf numFmtId="168" fontId="19" fillId="5" borderId="35" xfId="16" applyNumberFormat="1" applyFont="1" applyFill="1" applyBorder="1" applyAlignment="1">
      <alignment horizontal="right" vertical="center"/>
    </xf>
    <xf numFmtId="181" fontId="19" fillId="5" borderId="35" xfId="16" applyNumberFormat="1" applyFont="1" applyFill="1" applyBorder="1" applyAlignment="1">
      <alignment horizontal="right" vertical="center"/>
    </xf>
    <xf numFmtId="168" fontId="19" fillId="5" borderId="132" xfId="16" applyNumberFormat="1" applyFont="1" applyFill="1" applyBorder="1" applyAlignment="1">
      <alignment vertical="center"/>
    </xf>
    <xf numFmtId="168" fontId="19" fillId="5" borderId="131" xfId="16" applyNumberFormat="1" applyFont="1" applyFill="1" applyBorder="1" applyAlignment="1">
      <alignment horizontal="right" vertical="center"/>
    </xf>
    <xf numFmtId="182" fontId="19" fillId="5" borderId="6" xfId="16" applyNumberFormat="1" applyFont="1" applyFill="1" applyBorder="1" applyAlignment="1">
      <alignment horizontal="right" vertical="center"/>
    </xf>
    <xf numFmtId="177" fontId="19" fillId="5" borderId="6" xfId="16" applyNumberFormat="1" applyFont="1" applyFill="1" applyBorder="1" applyAlignment="1">
      <alignment horizontal="right" vertical="center"/>
    </xf>
    <xf numFmtId="182" fontId="19" fillId="5" borderId="132" xfId="16" applyNumberFormat="1" applyFont="1" applyFill="1" applyBorder="1" applyAlignment="1">
      <alignment horizontal="right" vertical="center"/>
    </xf>
    <xf numFmtId="183" fontId="19" fillId="5" borderId="131" xfId="16" applyNumberFormat="1" applyFont="1" applyFill="1" applyBorder="1" applyAlignment="1">
      <alignment horizontal="right" vertical="center"/>
    </xf>
    <xf numFmtId="178" fontId="37" fillId="9" borderId="11" xfId="16" applyNumberFormat="1" applyFont="1" applyFill="1" applyBorder="1" applyAlignment="1">
      <alignment horizontal="center" vertical="center"/>
    </xf>
    <xf numFmtId="1" fontId="14" fillId="9" borderId="12" xfId="16" applyNumberFormat="1" applyFont="1" applyFill="1" applyBorder="1" applyAlignment="1">
      <alignment vertical="center"/>
    </xf>
    <xf numFmtId="3" fontId="14" fillId="5" borderId="103" xfId="16" applyNumberFormat="1" applyFont="1" applyFill="1" applyBorder="1" applyAlignment="1">
      <alignment horizontal="right" vertical="center"/>
    </xf>
    <xf numFmtId="3" fontId="14" fillId="5" borderId="11" xfId="16" applyNumberFormat="1" applyFont="1" applyFill="1" applyBorder="1" applyAlignment="1">
      <alignment horizontal="right" vertical="center"/>
    </xf>
    <xf numFmtId="3" fontId="14" fillId="5" borderId="133" xfId="16" applyNumberFormat="1" applyFont="1" applyFill="1" applyBorder="1" applyAlignment="1">
      <alignment horizontal="right" vertical="center"/>
    </xf>
    <xf numFmtId="3" fontId="14" fillId="5" borderId="134" xfId="16" applyNumberFormat="1" applyFont="1" applyFill="1" applyBorder="1" applyAlignment="1">
      <alignment horizontal="right" vertical="center"/>
    </xf>
    <xf numFmtId="3" fontId="105" fillId="5" borderId="0" xfId="16" applyNumberFormat="1" applyFont="1" applyFill="1" applyBorder="1" applyAlignment="1">
      <alignment horizontal="right" vertical="center"/>
    </xf>
    <xf numFmtId="0" fontId="106" fillId="5" borderId="0" xfId="16" applyFont="1" applyFill="1" applyAlignment="1">
      <alignment vertical="center"/>
    </xf>
    <xf numFmtId="0" fontId="107" fillId="5" borderId="0" xfId="16" applyFont="1" applyFill="1" applyAlignment="1">
      <alignment vertical="center"/>
    </xf>
    <xf numFmtId="3" fontId="107" fillId="5" borderId="9" xfId="16" applyNumberFormat="1" applyFont="1" applyFill="1" applyBorder="1" applyAlignment="1">
      <alignment vertical="center"/>
    </xf>
    <xf numFmtId="3" fontId="107" fillId="5" borderId="0" xfId="16" applyNumberFormat="1" applyFont="1" applyFill="1" applyBorder="1" applyAlignment="1">
      <alignment vertical="center"/>
    </xf>
    <xf numFmtId="0" fontId="107" fillId="5" borderId="0" xfId="16" applyFont="1" applyFill="1" applyAlignment="1">
      <alignment horizontal="right" vertical="center"/>
    </xf>
    <xf numFmtId="0" fontId="106" fillId="5" borderId="0" xfId="16" applyFont="1" applyFill="1" applyBorder="1" applyAlignment="1">
      <alignment vertical="center"/>
    </xf>
    <xf numFmtId="0" fontId="14" fillId="17" borderId="8" xfId="16" applyFont="1" applyFill="1" applyBorder="1" applyAlignment="1">
      <alignment horizontal="right" vertical="center"/>
    </xf>
    <xf numFmtId="0" fontId="14" fillId="17" borderId="9" xfId="16" applyFont="1" applyFill="1" applyBorder="1" applyAlignment="1">
      <alignment horizontal="right" vertical="center"/>
    </xf>
    <xf numFmtId="17" fontId="29" fillId="17" borderId="99" xfId="16" applyNumberFormat="1" applyFont="1" applyFill="1" applyBorder="1" applyAlignment="1">
      <alignment horizontal="center" vertical="center"/>
    </xf>
    <xf numFmtId="0" fontId="45" fillId="17" borderId="135" xfId="16" applyFont="1" applyFill="1" applyBorder="1" applyAlignment="1">
      <alignment horizontal="right" vertical="center"/>
    </xf>
    <xf numFmtId="0" fontId="45" fillId="5" borderId="0" xfId="16" applyFont="1" applyFill="1" applyAlignment="1">
      <alignment vertical="center"/>
    </xf>
    <xf numFmtId="0" fontId="14" fillId="17" borderId="6" xfId="16" applyFont="1" applyFill="1" applyBorder="1" applyAlignment="1">
      <alignment horizontal="right" vertical="center"/>
    </xf>
    <xf numFmtId="0" fontId="14" fillId="17" borderId="27" xfId="16" applyFont="1" applyFill="1" applyBorder="1" applyAlignment="1">
      <alignment horizontal="right" vertical="center"/>
    </xf>
    <xf numFmtId="0" fontId="14" fillId="5" borderId="28" xfId="16" applyFont="1" applyFill="1" applyBorder="1" applyAlignment="1">
      <alignment vertical="center"/>
    </xf>
    <xf numFmtId="178" fontId="37" fillId="17" borderId="6" xfId="16" applyNumberFormat="1" applyFont="1" applyFill="1" applyBorder="1" applyAlignment="1">
      <alignment horizontal="center" vertical="center"/>
    </xf>
    <xf numFmtId="0" fontId="37" fillId="17" borderId="7" xfId="16" applyFont="1" applyFill="1" applyBorder="1" applyAlignment="1">
      <alignment vertical="center"/>
    </xf>
    <xf numFmtId="3" fontId="39" fillId="5" borderId="35" xfId="16" applyNumberFormat="1" applyFont="1" applyFill="1" applyBorder="1" applyAlignment="1">
      <alignment horizontal="right" vertical="center"/>
    </xf>
    <xf numFmtId="0" fontId="14" fillId="17" borderId="6" xfId="16" applyFont="1" applyFill="1" applyBorder="1" applyAlignment="1">
      <alignment vertical="center"/>
    </xf>
    <xf numFmtId="0" fontId="19" fillId="5" borderId="35" xfId="16" applyFont="1" applyFill="1" applyBorder="1" applyAlignment="1">
      <alignment horizontal="right" vertical="center"/>
    </xf>
    <xf numFmtId="38" fontId="39" fillId="5" borderId="35" xfId="16" applyNumberFormat="1" applyFont="1" applyFill="1" applyBorder="1" applyAlignment="1">
      <alignment vertical="center"/>
    </xf>
    <xf numFmtId="38" fontId="39" fillId="5" borderId="35" xfId="16" applyNumberFormat="1" applyFont="1" applyFill="1" applyBorder="1" applyAlignment="1">
      <alignment horizontal="right" vertical="center"/>
    </xf>
    <xf numFmtId="0" fontId="37" fillId="17" borderId="7" xfId="16" quotePrefix="1" applyFont="1" applyFill="1" applyBorder="1" applyAlignment="1">
      <alignment horizontal="left" vertical="center"/>
    </xf>
    <xf numFmtId="41" fontId="19" fillId="5" borderId="35" xfId="16" applyNumberFormat="1" applyFont="1" applyFill="1" applyBorder="1" applyAlignment="1">
      <alignment horizontal="right" vertical="center"/>
    </xf>
    <xf numFmtId="184" fontId="19" fillId="5" borderId="35" xfId="16" applyNumberFormat="1" applyFont="1" applyFill="1" applyBorder="1" applyAlignment="1">
      <alignment horizontal="right" vertical="center"/>
    </xf>
    <xf numFmtId="0" fontId="37" fillId="17" borderId="7" xfId="16" applyFont="1" applyFill="1" applyBorder="1" applyAlignment="1">
      <alignment horizontal="left" vertical="center"/>
    </xf>
    <xf numFmtId="0" fontId="14" fillId="5" borderId="35" xfId="16" applyFont="1" applyFill="1" applyBorder="1" applyAlignment="1">
      <alignment vertical="center"/>
    </xf>
    <xf numFmtId="0" fontId="37" fillId="17" borderId="13" xfId="16" applyFont="1" applyFill="1" applyBorder="1" applyAlignment="1">
      <alignment vertical="center"/>
    </xf>
    <xf numFmtId="0" fontId="37" fillId="17" borderId="9" xfId="16" applyFont="1" applyFill="1" applyBorder="1" applyAlignment="1">
      <alignment vertical="center"/>
    </xf>
    <xf numFmtId="0" fontId="19" fillId="5" borderId="35" xfId="16" applyFont="1" applyFill="1" applyBorder="1" applyAlignment="1">
      <alignment vertical="center"/>
    </xf>
    <xf numFmtId="0" fontId="37" fillId="17" borderId="0" xfId="16" quotePrefix="1" applyFont="1" applyFill="1" applyBorder="1" applyAlignment="1">
      <alignment horizontal="left" vertical="center"/>
    </xf>
    <xf numFmtId="2" fontId="19" fillId="5" borderId="35" xfId="16" applyNumberFormat="1" applyFont="1" applyFill="1" applyBorder="1" applyAlignment="1">
      <alignment horizontal="right" vertical="center"/>
    </xf>
    <xf numFmtId="0" fontId="37" fillId="17" borderId="0" xfId="16" applyFont="1" applyFill="1" applyBorder="1" applyAlignment="1">
      <alignment vertical="center"/>
    </xf>
    <xf numFmtId="2" fontId="19" fillId="5" borderId="35" xfId="16" applyNumberFormat="1" applyFont="1" applyFill="1" applyBorder="1" applyAlignment="1">
      <alignment vertical="center"/>
    </xf>
    <xf numFmtId="2" fontId="19" fillId="5" borderId="35" xfId="16" applyNumberFormat="1" applyFont="1" applyFill="1" applyBorder="1" applyAlignment="1">
      <alignment horizontal="right"/>
    </xf>
    <xf numFmtId="0" fontId="14" fillId="17" borderId="11" xfId="16" applyFont="1" applyFill="1" applyBorder="1" applyAlignment="1">
      <alignment vertical="center"/>
    </xf>
    <xf numFmtId="0" fontId="14" fillId="17" borderId="12" xfId="16" applyFont="1" applyFill="1" applyBorder="1" applyAlignment="1">
      <alignment vertical="center"/>
    </xf>
    <xf numFmtId="0" fontId="14" fillId="5" borderId="103" xfId="16" applyFont="1" applyFill="1" applyBorder="1" applyAlignment="1">
      <alignment vertical="center"/>
    </xf>
    <xf numFmtId="0" fontId="106" fillId="5" borderId="9" xfId="16" applyFont="1" applyFill="1" applyBorder="1" applyAlignment="1">
      <alignment vertical="center"/>
    </xf>
    <xf numFmtId="0" fontId="26" fillId="5" borderId="0" xfId="16" applyFont="1" applyFill="1" applyAlignment="1">
      <alignment vertical="center"/>
    </xf>
    <xf numFmtId="0" fontId="14" fillId="5" borderId="138" xfId="16" applyFont="1" applyFill="1" applyBorder="1" applyAlignment="1">
      <alignment vertical="center"/>
    </xf>
    <xf numFmtId="0" fontId="18" fillId="5" borderId="0" xfId="18" applyFont="1" applyFill="1" applyAlignment="1">
      <alignment vertical="top"/>
    </xf>
    <xf numFmtId="0" fontId="14" fillId="5" borderId="0" xfId="18" applyFont="1" applyFill="1" applyBorder="1" applyAlignment="1">
      <alignment vertical="center"/>
    </xf>
    <xf numFmtId="0" fontId="37" fillId="5" borderId="0" xfId="18" applyFont="1" applyFill="1" applyBorder="1" applyAlignment="1">
      <alignment vertical="center"/>
    </xf>
    <xf numFmtId="0" fontId="14" fillId="5" borderId="0" xfId="18" applyFont="1" applyFill="1" applyAlignment="1">
      <alignment vertical="center"/>
    </xf>
    <xf numFmtId="0" fontId="37" fillId="18" borderId="8" xfId="18" applyFont="1" applyFill="1" applyBorder="1" applyAlignment="1">
      <alignment vertical="center"/>
    </xf>
    <xf numFmtId="0" fontId="37" fillId="18" borderId="10" xfId="18" applyFont="1" applyFill="1" applyBorder="1" applyAlignment="1">
      <alignment horizontal="center" vertical="center"/>
    </xf>
    <xf numFmtId="0" fontId="39" fillId="0" borderId="0" xfId="18" applyFont="1" applyFill="1" applyBorder="1" applyAlignment="1">
      <alignment vertical="center"/>
    </xf>
    <xf numFmtId="0" fontId="37" fillId="18" borderId="11" xfId="18" applyFont="1" applyFill="1" applyBorder="1" applyAlignment="1">
      <alignment vertical="center"/>
    </xf>
    <xf numFmtId="0" fontId="37" fillId="18" borderId="13" xfId="18" applyFont="1" applyFill="1" applyBorder="1" applyAlignment="1">
      <alignment vertical="center"/>
    </xf>
    <xf numFmtId="15" fontId="29" fillId="0" borderId="6" xfId="16" applyNumberFormat="1" applyFont="1" applyFill="1" applyBorder="1" applyAlignment="1">
      <alignment horizontal="center" vertical="center"/>
    </xf>
    <xf numFmtId="0" fontId="37" fillId="8" borderId="6" xfId="18" applyFont="1" applyFill="1" applyBorder="1" applyAlignment="1">
      <alignment vertical="center"/>
    </xf>
    <xf numFmtId="0" fontId="37" fillId="8" borderId="0" xfId="18" applyFont="1" applyFill="1" applyBorder="1" applyAlignment="1">
      <alignment vertical="center"/>
    </xf>
    <xf numFmtId="15" fontId="39" fillId="5" borderId="129" xfId="18" applyNumberFormat="1" applyFont="1" applyFill="1" applyBorder="1" applyAlignment="1">
      <alignment vertical="center"/>
    </xf>
    <xf numFmtId="15" fontId="39" fillId="5" borderId="10" xfId="18" applyNumberFormat="1" applyFont="1" applyFill="1" applyBorder="1" applyAlignment="1">
      <alignment vertical="center"/>
    </xf>
    <xf numFmtId="15" fontId="39" fillId="5" borderId="0" xfId="18" applyNumberFormat="1" applyFont="1" applyFill="1" applyBorder="1" applyAlignment="1">
      <alignment vertical="center"/>
    </xf>
    <xf numFmtId="178" fontId="37" fillId="18" borderId="6" xfId="18" applyNumberFormat="1" applyFont="1" applyFill="1" applyBorder="1" applyAlignment="1">
      <alignment horizontal="center" vertical="center"/>
    </xf>
    <xf numFmtId="0" fontId="39" fillId="18" borderId="0" xfId="18" applyFont="1" applyFill="1" applyBorder="1" applyAlignment="1">
      <alignment vertical="center"/>
    </xf>
    <xf numFmtId="15" fontId="39" fillId="5" borderId="35" xfId="18" applyNumberFormat="1" applyFont="1" applyFill="1" applyBorder="1" applyAlignment="1">
      <alignment vertical="center"/>
    </xf>
    <xf numFmtId="15" fontId="39" fillId="5" borderId="7" xfId="18" applyNumberFormat="1" applyFont="1" applyFill="1" applyBorder="1" applyAlignment="1">
      <alignment vertical="center"/>
    </xf>
    <xf numFmtId="0" fontId="37" fillId="18" borderId="6" xfId="18" applyFont="1" applyFill="1" applyBorder="1" applyAlignment="1">
      <alignment vertical="center"/>
    </xf>
    <xf numFmtId="0" fontId="39" fillId="18" borderId="0" xfId="18" applyFont="1" applyFill="1" applyBorder="1" applyAlignment="1">
      <alignment horizontal="left" vertical="center"/>
    </xf>
    <xf numFmtId="2" fontId="19" fillId="5" borderId="35" xfId="18" applyNumberFormat="1" applyFont="1" applyFill="1" applyBorder="1" applyAlignment="1">
      <alignment horizontal="center" vertical="center"/>
    </xf>
    <xf numFmtId="2" fontId="19" fillId="5" borderId="7" xfId="18" applyNumberFormat="1" applyFont="1" applyFill="1" applyBorder="1" applyAlignment="1">
      <alignment horizontal="center" vertical="center"/>
    </xf>
    <xf numFmtId="2" fontId="19" fillId="5" borderId="0" xfId="18" applyNumberFormat="1" applyFont="1" applyFill="1" applyBorder="1" applyAlignment="1">
      <alignment horizontal="center" vertical="center"/>
    </xf>
    <xf numFmtId="0" fontId="37" fillId="18" borderId="11" xfId="18" applyFont="1" applyFill="1" applyBorder="1" applyAlignment="1">
      <alignment horizontal="center" vertical="center"/>
    </xf>
    <xf numFmtId="0" fontId="37" fillId="18" borderId="12" xfId="18" applyFont="1" applyFill="1" applyBorder="1" applyAlignment="1">
      <alignment vertical="center"/>
    </xf>
    <xf numFmtId="3" fontId="14" fillId="5" borderId="103" xfId="18" applyNumberFormat="1" applyFont="1" applyFill="1" applyBorder="1" applyAlignment="1">
      <alignment vertical="center"/>
    </xf>
    <xf numFmtId="3" fontId="14" fillId="5" borderId="13" xfId="18" applyNumberFormat="1" applyFont="1" applyFill="1" applyBorder="1" applyAlignment="1">
      <alignment vertical="center"/>
    </xf>
    <xf numFmtId="3" fontId="14" fillId="5" borderId="0" xfId="18" applyNumberFormat="1" applyFont="1" applyFill="1" applyBorder="1" applyAlignment="1">
      <alignment vertical="center"/>
    </xf>
    <xf numFmtId="0" fontId="45" fillId="5" borderId="0" xfId="18" applyFont="1" applyFill="1" applyAlignment="1">
      <alignment vertical="center"/>
    </xf>
    <xf numFmtId="0" fontId="5" fillId="0" borderId="0" xfId="17" applyBorder="1"/>
    <xf numFmtId="0" fontId="28" fillId="5" borderId="0" xfId="18" applyFont="1" applyFill="1" applyAlignment="1">
      <alignment horizontal="left" vertical="center"/>
    </xf>
    <xf numFmtId="0" fontId="39" fillId="18" borderId="7" xfId="18" applyFont="1" applyFill="1" applyBorder="1" applyAlignment="1">
      <alignment horizontal="left" vertical="center"/>
    </xf>
    <xf numFmtId="0" fontId="39" fillId="18" borderId="7" xfId="18" applyFont="1" applyFill="1" applyBorder="1" applyAlignment="1">
      <alignment vertical="center"/>
    </xf>
    <xf numFmtId="0" fontId="14" fillId="18" borderId="11" xfId="18" applyFont="1" applyFill="1" applyBorder="1" applyAlignment="1">
      <alignment vertical="center"/>
    </xf>
    <xf numFmtId="0" fontId="45" fillId="5" borderId="0" xfId="18" applyFont="1" applyFill="1" applyAlignment="1">
      <alignment horizontal="left" vertical="center"/>
    </xf>
    <xf numFmtId="0" fontId="14" fillId="5" borderId="0" xfId="18" applyFont="1" applyFill="1" applyAlignment="1">
      <alignment horizontal="left" vertical="center"/>
    </xf>
    <xf numFmtId="0" fontId="62" fillId="5" borderId="0" xfId="18" applyFont="1" applyFill="1" applyAlignment="1">
      <alignment vertical="center"/>
    </xf>
    <xf numFmtId="0" fontId="14" fillId="5" borderId="0" xfId="18" applyFont="1" applyFill="1" applyAlignment="1"/>
    <xf numFmtId="0" fontId="18" fillId="5" borderId="0" xfId="18" applyFont="1" applyFill="1" applyAlignment="1">
      <alignment horizontal="left"/>
    </xf>
    <xf numFmtId="0" fontId="14" fillId="15" borderId="8" xfId="18" applyFont="1" applyFill="1" applyBorder="1" applyAlignment="1">
      <alignment horizontal="right" vertical="center"/>
    </xf>
    <xf numFmtId="0" fontId="14" fillId="15" borderId="10" xfId="18" applyFont="1" applyFill="1" applyBorder="1" applyAlignment="1">
      <alignment horizontal="right" vertical="center"/>
    </xf>
    <xf numFmtId="0" fontId="14" fillId="15" borderId="11" xfId="18" applyFont="1" applyFill="1" applyBorder="1" applyAlignment="1">
      <alignment horizontal="right" vertical="center"/>
    </xf>
    <xf numFmtId="0" fontId="14" fillId="15" borderId="13" xfId="18" applyFont="1" applyFill="1" applyBorder="1" applyAlignment="1">
      <alignment horizontal="right" vertical="center"/>
    </xf>
    <xf numFmtId="15" fontId="39" fillId="20" borderId="99" xfId="18" applyNumberFormat="1" applyFont="1" applyFill="1" applyBorder="1" applyAlignment="1">
      <alignment horizontal="center" vertical="center"/>
    </xf>
    <xf numFmtId="178" fontId="37" fillId="15" borderId="6" xfId="18" applyNumberFormat="1" applyFont="1" applyFill="1" applyBorder="1" applyAlignment="1">
      <alignment horizontal="center" vertical="center"/>
    </xf>
    <xf numFmtId="0" fontId="37" fillId="15" borderId="7" xfId="18" applyFont="1" applyFill="1" applyBorder="1" applyAlignment="1">
      <alignment vertical="center"/>
    </xf>
    <xf numFmtId="184" fontId="39" fillId="5" borderId="35" xfId="19" applyNumberFormat="1" applyFont="1" applyFill="1" applyBorder="1" applyAlignment="1">
      <alignment horizontal="center" vertical="center"/>
    </xf>
    <xf numFmtId="40" fontId="39" fillId="5" borderId="7" xfId="19" applyNumberFormat="1" applyFont="1" applyFill="1" applyBorder="1" applyAlignment="1">
      <alignment horizontal="center" vertical="center"/>
    </xf>
    <xf numFmtId="0" fontId="37" fillId="15" borderId="7" xfId="18" applyFont="1" applyFill="1" applyBorder="1" applyAlignment="1">
      <alignment horizontal="left" vertical="center"/>
    </xf>
    <xf numFmtId="40" fontId="39" fillId="5" borderId="35" xfId="19" applyNumberFormat="1" applyFont="1" applyFill="1" applyBorder="1" applyAlignment="1">
      <alignment horizontal="center" vertical="center"/>
    </xf>
    <xf numFmtId="185" fontId="39" fillId="5" borderId="35" xfId="19" applyNumberFormat="1" applyFont="1" applyFill="1" applyBorder="1" applyAlignment="1">
      <alignment horizontal="center" vertical="center"/>
    </xf>
    <xf numFmtId="0" fontId="14" fillId="15" borderId="11" xfId="18" applyFont="1" applyFill="1" applyBorder="1" applyAlignment="1">
      <alignment vertical="center"/>
    </xf>
    <xf numFmtId="0" fontId="37" fillId="15" borderId="13" xfId="18" applyFont="1" applyFill="1" applyBorder="1" applyAlignment="1">
      <alignment vertical="center"/>
    </xf>
    <xf numFmtId="0" fontId="14" fillId="5" borderId="103" xfId="18" applyFont="1" applyFill="1" applyBorder="1" applyAlignment="1">
      <alignment vertical="center"/>
    </xf>
    <xf numFmtId="0" fontId="44" fillId="5" borderId="0" xfId="18" applyFont="1" applyFill="1" applyAlignment="1">
      <alignment horizontal="left" vertical="center"/>
    </xf>
    <xf numFmtId="0" fontId="110" fillId="5" borderId="0" xfId="18" applyFont="1" applyFill="1" applyAlignment="1">
      <alignment horizontal="left" vertical="center"/>
    </xf>
    <xf numFmtId="0" fontId="52" fillId="5" borderId="0" xfId="18" applyFont="1" applyFill="1" applyAlignment="1">
      <alignment horizontal="left" vertical="center"/>
    </xf>
    <xf numFmtId="0" fontId="39" fillId="5" borderId="0" xfId="16" applyFont="1" applyFill="1" applyAlignment="1">
      <alignment horizontal="left" wrapText="1"/>
    </xf>
    <xf numFmtId="0" fontId="21" fillId="15" borderId="8" xfId="16" applyFont="1" applyFill="1" applyBorder="1" applyAlignment="1">
      <alignment horizontal="right" vertical="center"/>
    </xf>
    <xf numFmtId="0" fontId="21" fillId="15" borderId="9" xfId="16" applyFont="1" applyFill="1" applyBorder="1" applyAlignment="1">
      <alignment horizontal="left" vertical="center"/>
    </xf>
    <xf numFmtId="0" fontId="21" fillId="4" borderId="10" xfId="16" applyFont="1" applyFill="1" applyBorder="1" applyAlignment="1">
      <alignment horizontal="left" vertical="center"/>
    </xf>
    <xf numFmtId="0" fontId="21" fillId="15" borderId="11" xfId="16" applyFont="1" applyFill="1" applyBorder="1" applyAlignment="1">
      <alignment horizontal="right" vertical="center"/>
    </xf>
    <xf numFmtId="0" fontId="21" fillId="15" borderId="12" xfId="16" applyFont="1" applyFill="1" applyBorder="1" applyAlignment="1">
      <alignment horizontal="left" vertical="center"/>
    </xf>
    <xf numFmtId="0" fontId="21" fillId="4" borderId="13" xfId="16" applyFont="1" applyFill="1" applyBorder="1" applyAlignment="1">
      <alignment horizontal="left" vertical="center"/>
    </xf>
    <xf numFmtId="178" fontId="18" fillId="15" borderId="6" xfId="16" applyNumberFormat="1" applyFont="1" applyFill="1" applyBorder="1" applyAlignment="1">
      <alignment horizontal="center" vertical="center"/>
    </xf>
    <xf numFmtId="0" fontId="21" fillId="15" borderId="11" xfId="16" applyFont="1" applyFill="1" applyBorder="1" applyAlignment="1">
      <alignment vertical="center"/>
    </xf>
    <xf numFmtId="0" fontId="18" fillId="15" borderId="12" xfId="16" applyFont="1" applyFill="1" applyBorder="1" applyAlignment="1">
      <alignment horizontal="left" vertical="center"/>
    </xf>
    <xf numFmtId="0" fontId="21" fillId="5" borderId="11" xfId="16" applyFont="1" applyFill="1" applyBorder="1" applyAlignment="1">
      <alignment vertical="center"/>
    </xf>
    <xf numFmtId="0" fontId="21" fillId="5" borderId="13" xfId="16" applyFont="1" applyFill="1" applyBorder="1" applyAlignment="1">
      <alignment vertical="center"/>
    </xf>
    <xf numFmtId="0" fontId="21" fillId="5" borderId="0" xfId="16" applyFont="1" applyFill="1" applyAlignment="1">
      <alignment vertical="center"/>
    </xf>
    <xf numFmtId="0" fontId="112" fillId="5" borderId="0" xfId="16" applyFont="1" applyFill="1" applyAlignment="1">
      <alignment horizontal="left" vertical="center"/>
    </xf>
    <xf numFmtId="0" fontId="113" fillId="5" borderId="0" xfId="16" applyFont="1" applyFill="1" applyAlignment="1">
      <alignment horizontal="left" vertical="center"/>
    </xf>
    <xf numFmtId="0" fontId="62" fillId="5" borderId="0" xfId="16" applyFont="1" applyFill="1" applyAlignment="1">
      <alignment vertical="center"/>
    </xf>
    <xf numFmtId="0" fontId="82" fillId="5" borderId="0" xfId="16" applyFont="1" applyFill="1" applyAlignment="1">
      <alignment vertical="center"/>
    </xf>
    <xf numFmtId="3" fontId="21" fillId="5" borderId="0" xfId="16" applyNumberFormat="1" applyFont="1" applyFill="1" applyBorder="1" applyAlignment="1">
      <alignment vertical="center"/>
    </xf>
    <xf numFmtId="0" fontId="14" fillId="5" borderId="0" xfId="16" applyFont="1" applyFill="1"/>
    <xf numFmtId="0" fontId="14" fillId="5" borderId="0" xfId="17" applyFont="1" applyFill="1"/>
    <xf numFmtId="0" fontId="19" fillId="5" borderId="0" xfId="16" applyFont="1" applyFill="1" applyAlignment="1">
      <alignment horizontal="left" vertical="center"/>
    </xf>
    <xf numFmtId="0" fontId="26" fillId="5" borderId="0" xfId="17" applyFont="1" applyFill="1"/>
    <xf numFmtId="0" fontId="21" fillId="5" borderId="0" xfId="17" applyFont="1" applyFill="1"/>
    <xf numFmtId="0" fontId="19" fillId="5" borderId="0" xfId="17" applyFont="1" applyFill="1"/>
    <xf numFmtId="0" fontId="18" fillId="5" borderId="0" xfId="16" applyFont="1" applyFill="1" applyAlignment="1">
      <alignment horizontal="left" wrapText="1"/>
    </xf>
    <xf numFmtId="0" fontId="52" fillId="5" borderId="0" xfId="16" applyFont="1" applyFill="1" applyAlignment="1">
      <alignment horizontal="left" vertical="center"/>
    </xf>
    <xf numFmtId="0" fontId="19" fillId="5" borderId="0" xfId="16" applyFont="1" applyFill="1" applyAlignment="1">
      <alignment vertical="center"/>
    </xf>
    <xf numFmtId="0" fontId="21" fillId="5" borderId="0" xfId="16" applyFont="1" applyFill="1" applyAlignment="1">
      <alignment horizontal="left" vertical="center"/>
    </xf>
    <xf numFmtId="0" fontId="96" fillId="5" borderId="0" xfId="17" applyFont="1" applyFill="1"/>
    <xf numFmtId="0" fontId="95" fillId="5" borderId="0" xfId="22" applyFont="1" applyFill="1" applyAlignment="1">
      <alignment vertical="center"/>
    </xf>
    <xf numFmtId="0" fontId="14" fillId="5" borderId="0" xfId="22" applyFont="1" applyFill="1" applyAlignment="1">
      <alignment vertical="center"/>
    </xf>
    <xf numFmtId="0" fontId="114" fillId="5" borderId="0" xfId="22" applyFont="1" applyFill="1" applyAlignment="1">
      <alignment vertical="center"/>
    </xf>
    <xf numFmtId="0" fontId="58" fillId="5" borderId="0" xfId="22" applyFont="1" applyFill="1" applyAlignment="1">
      <alignment vertical="center"/>
    </xf>
    <xf numFmtId="0" fontId="74" fillId="4" borderId="32" xfId="22" applyFont="1" applyFill="1" applyBorder="1" applyAlignment="1">
      <alignment horizontal="center" vertical="center"/>
    </xf>
    <xf numFmtId="0" fontId="74" fillId="4" borderId="34" xfId="22" applyFont="1" applyFill="1" applyBorder="1" applyAlignment="1">
      <alignment horizontal="center" vertical="center"/>
    </xf>
    <xf numFmtId="0" fontId="115" fillId="4" borderId="105" xfId="22" applyFont="1" applyFill="1" applyBorder="1" applyAlignment="1">
      <alignment horizontal="center" vertical="center"/>
    </xf>
    <xf numFmtId="0" fontId="115" fillId="4" borderId="106" xfId="22" applyFont="1" applyFill="1" applyBorder="1" applyAlignment="1">
      <alignment horizontal="center" vertical="center"/>
    </xf>
    <xf numFmtId="3" fontId="95" fillId="5" borderId="4" xfId="22" applyNumberFormat="1" applyFont="1" applyFill="1" applyBorder="1" applyAlignment="1">
      <alignment horizontal="center" vertical="center"/>
    </xf>
    <xf numFmtId="0" fontId="95" fillId="5" borderId="4" xfId="22" applyFont="1" applyFill="1" applyBorder="1" applyAlignment="1">
      <alignment horizontal="center" vertical="center"/>
    </xf>
    <xf numFmtId="4" fontId="95" fillId="5" borderId="36" xfId="22" applyNumberFormat="1" applyFont="1" applyFill="1" applyBorder="1" applyAlignment="1">
      <alignment horizontal="center" vertical="center"/>
    </xf>
    <xf numFmtId="0" fontId="95" fillId="5" borderId="36" xfId="22" applyFont="1" applyFill="1" applyBorder="1" applyAlignment="1">
      <alignment horizontal="center" vertical="center"/>
    </xf>
    <xf numFmtId="2" fontId="95" fillId="5" borderId="36" xfId="22" applyNumberFormat="1" applyFont="1" applyFill="1" applyBorder="1" applyAlignment="1">
      <alignment horizontal="center" vertical="center"/>
    </xf>
    <xf numFmtId="0" fontId="95" fillId="5" borderId="139" xfId="22" applyFont="1" applyFill="1" applyBorder="1" applyAlignment="1">
      <alignment horizontal="center" vertical="center"/>
    </xf>
    <xf numFmtId="3" fontId="95" fillId="5" borderId="105" xfId="22" applyNumberFormat="1" applyFont="1" applyFill="1" applyBorder="1" applyAlignment="1">
      <alignment horizontal="center" vertical="center"/>
    </xf>
    <xf numFmtId="0" fontId="95" fillId="5" borderId="140" xfId="22" applyFont="1" applyFill="1" applyBorder="1" applyAlignment="1">
      <alignment horizontal="center" vertical="center"/>
    </xf>
    <xf numFmtId="2" fontId="95" fillId="5" borderId="106" xfId="22" applyNumberFormat="1" applyFont="1" applyFill="1" applyBorder="1" applyAlignment="1">
      <alignment horizontal="center" vertical="center"/>
    </xf>
    <xf numFmtId="0" fontId="115" fillId="5" borderId="0" xfId="22" applyFont="1" applyFill="1" applyAlignment="1">
      <alignment vertical="center"/>
    </xf>
    <xf numFmtId="3" fontId="95" fillId="5" borderId="0" xfId="22" applyNumberFormat="1" applyFont="1" applyFill="1" applyBorder="1" applyAlignment="1">
      <alignment vertical="center"/>
    </xf>
    <xf numFmtId="0" fontId="58" fillId="5" borderId="0" xfId="22" applyFont="1" applyFill="1"/>
    <xf numFmtId="0" fontId="95" fillId="5" borderId="0" xfId="23" applyFont="1" applyFill="1" applyAlignment="1">
      <alignment vertical="center"/>
    </xf>
    <xf numFmtId="0" fontId="95" fillId="17" borderId="25" xfId="23" applyFont="1" applyFill="1" applyBorder="1" applyAlignment="1">
      <alignment vertical="center"/>
    </xf>
    <xf numFmtId="0" fontId="74" fillId="17" borderId="16" xfId="23" applyFont="1" applyFill="1" applyBorder="1" applyAlignment="1">
      <alignment horizontal="centerContinuous" vertical="center"/>
    </xf>
    <xf numFmtId="0" fontId="74" fillId="17" borderId="141" xfId="23" applyFont="1" applyFill="1" applyBorder="1" applyAlignment="1">
      <alignment horizontal="centerContinuous" vertical="center"/>
    </xf>
    <xf numFmtId="0" fontId="74" fillId="17" borderId="17" xfId="23" applyFont="1" applyFill="1" applyBorder="1" applyAlignment="1">
      <alignment horizontal="centerContinuous" vertical="center"/>
    </xf>
    <xf numFmtId="0" fontId="95" fillId="17" borderId="30" xfId="23" applyFont="1" applyFill="1" applyBorder="1" applyAlignment="1">
      <alignment vertical="center"/>
    </xf>
    <xf numFmtId="0" fontId="74" fillId="13" borderId="142" xfId="23" applyFont="1" applyFill="1" applyBorder="1" applyAlignment="1">
      <alignment horizontal="center" vertical="center"/>
    </xf>
    <xf numFmtId="0" fontId="74" fillId="13" borderId="129" xfId="23" applyFont="1" applyFill="1" applyBorder="1" applyAlignment="1">
      <alignment horizontal="center" vertical="center"/>
    </xf>
    <xf numFmtId="0" fontId="74" fillId="13" borderId="143" xfId="23" applyFont="1" applyFill="1" applyBorder="1" applyAlignment="1">
      <alignment horizontal="center" vertical="center"/>
    </xf>
    <xf numFmtId="0" fontId="74" fillId="13" borderId="144" xfId="23" applyFont="1" applyFill="1" applyBorder="1" applyAlignment="1">
      <alignment horizontal="center" vertical="center"/>
    </xf>
    <xf numFmtId="0" fontId="74" fillId="13" borderId="145" xfId="23" applyFont="1" applyFill="1" applyBorder="1" applyAlignment="1">
      <alignment horizontal="center" vertical="center"/>
    </xf>
    <xf numFmtId="0" fontId="74" fillId="13" borderId="57" xfId="23" applyFont="1" applyFill="1" applyBorder="1" applyAlignment="1">
      <alignment horizontal="center" vertical="center"/>
    </xf>
    <xf numFmtId="0" fontId="74" fillId="13" borderId="35" xfId="23" applyFont="1" applyFill="1" applyBorder="1" applyAlignment="1">
      <alignment horizontal="center" vertical="center"/>
    </xf>
    <xf numFmtId="0" fontId="74" fillId="13" borderId="138" xfId="23" applyFont="1" applyFill="1" applyBorder="1" applyAlignment="1">
      <alignment horizontal="center" vertical="center"/>
    </xf>
    <xf numFmtId="0" fontId="74" fillId="13" borderId="131" xfId="23" applyFont="1" applyFill="1" applyBorder="1" applyAlignment="1">
      <alignment horizontal="center" vertical="center"/>
    </xf>
    <xf numFmtId="0" fontId="74" fillId="13" borderId="55" xfId="23" applyFont="1" applyFill="1" applyBorder="1" applyAlignment="1">
      <alignment horizontal="center" vertical="center"/>
    </xf>
    <xf numFmtId="0" fontId="95" fillId="13" borderId="146" xfId="23" applyFont="1" applyFill="1" applyBorder="1" applyAlignment="1">
      <alignment horizontal="center" vertical="center"/>
    </xf>
    <xf numFmtId="0" fontId="95" fillId="13" borderId="103" xfId="23" applyFont="1" applyFill="1" applyBorder="1" applyAlignment="1">
      <alignment horizontal="centerContinuous" vertical="center"/>
    </xf>
    <xf numFmtId="0" fontId="95" fillId="13" borderId="103" xfId="23" applyFont="1" applyFill="1" applyBorder="1" applyAlignment="1">
      <alignment horizontal="center" vertical="center"/>
    </xf>
    <xf numFmtId="0" fontId="74" fillId="13" borderId="103" xfId="23" applyFont="1" applyFill="1" applyBorder="1" applyAlignment="1">
      <alignment horizontal="center" vertical="center"/>
    </xf>
    <xf numFmtId="0" fontId="74" fillId="13" borderId="147" xfId="23" applyFont="1" applyFill="1" applyBorder="1" applyAlignment="1">
      <alignment horizontal="center" vertical="center"/>
    </xf>
    <xf numFmtId="0" fontId="74" fillId="13" borderId="134" xfId="23" applyFont="1" applyFill="1" applyBorder="1" applyAlignment="1">
      <alignment horizontal="center" vertical="center"/>
    </xf>
    <xf numFmtId="0" fontId="74" fillId="13" borderId="103" xfId="23" applyFont="1" applyFill="1" applyBorder="1" applyAlignment="1">
      <alignment horizontal="centerContinuous" vertical="center"/>
    </xf>
    <xf numFmtId="0" fontId="74" fillId="13" borderId="148" xfId="23" applyFont="1" applyFill="1" applyBorder="1" applyAlignment="1">
      <alignment horizontal="center" vertical="center"/>
    </xf>
    <xf numFmtId="0" fontId="95" fillId="17" borderId="46" xfId="23" applyFont="1" applyFill="1" applyBorder="1" applyAlignment="1">
      <alignment vertical="center"/>
    </xf>
    <xf numFmtId="0" fontId="115" fillId="21" borderId="149" xfId="23" applyFont="1" applyFill="1" applyBorder="1" applyAlignment="1">
      <alignment vertical="center"/>
    </xf>
    <xf numFmtId="0" fontId="115" fillId="21" borderId="150" xfId="23" applyFont="1" applyFill="1" applyBorder="1" applyAlignment="1">
      <alignment horizontal="centerContinuous" vertical="center"/>
    </xf>
    <xf numFmtId="0" fontId="115" fillId="21" borderId="150" xfId="23" applyFont="1" applyFill="1" applyBorder="1" applyAlignment="1">
      <alignment horizontal="center" vertical="center"/>
    </xf>
    <xf numFmtId="0" fontId="115" fillId="21" borderId="152" xfId="23" applyFont="1" applyFill="1" applyBorder="1" applyAlignment="1">
      <alignment vertical="center"/>
    </xf>
    <xf numFmtId="17" fontId="74" fillId="17" borderId="46" xfId="23" applyNumberFormat="1" applyFont="1" applyFill="1" applyBorder="1" applyAlignment="1">
      <alignment horizontal="left" vertical="center"/>
    </xf>
    <xf numFmtId="0" fontId="95" fillId="5" borderId="61" xfId="23" applyFont="1" applyFill="1" applyBorder="1" applyAlignment="1">
      <alignment horizontal="center" vertical="center"/>
    </xf>
    <xf numFmtId="3" fontId="95" fillId="5" borderId="51" xfId="23" applyNumberFormat="1" applyFont="1" applyFill="1" applyBorder="1" applyAlignment="1">
      <alignment horizontal="center" vertical="center"/>
    </xf>
    <xf numFmtId="1" fontId="95" fillId="5" borderId="51" xfId="23" applyNumberFormat="1" applyFont="1" applyFill="1" applyBorder="1" applyAlignment="1">
      <alignment horizontal="center" vertical="center"/>
    </xf>
    <xf numFmtId="2" fontId="95" fillId="5" borderId="51" xfId="23" applyNumberFormat="1" applyFont="1" applyFill="1" applyBorder="1" applyAlignment="1">
      <alignment horizontal="center" vertical="center"/>
    </xf>
    <xf numFmtId="0" fontId="95" fillId="5" borderId="154" xfId="23" applyFont="1" applyFill="1" applyBorder="1" applyAlignment="1">
      <alignment horizontal="center" vertical="center"/>
    </xf>
    <xf numFmtId="0" fontId="95" fillId="5" borderId="51" xfId="23" applyFont="1" applyFill="1" applyBorder="1" applyAlignment="1">
      <alignment horizontal="center" vertical="center"/>
    </xf>
    <xf numFmtId="2" fontId="95" fillId="5" borderId="58" xfId="23" applyNumberFormat="1" applyFont="1" applyFill="1" applyBorder="1" applyAlignment="1">
      <alignment horizontal="center" vertical="center"/>
    </xf>
    <xf numFmtId="166" fontId="115" fillId="5" borderId="0" xfId="23" applyNumberFormat="1" applyFont="1" applyFill="1" applyAlignment="1">
      <alignment horizontal="left" vertical="center"/>
    </xf>
    <xf numFmtId="0" fontId="115" fillId="5" borderId="0" xfId="23" applyFont="1" applyFill="1" applyAlignment="1">
      <alignment vertical="center"/>
    </xf>
    <xf numFmtId="0" fontId="114" fillId="5" borderId="0" xfId="22" applyFont="1" applyFill="1"/>
    <xf numFmtId="0" fontId="74" fillId="5" borderId="0" xfId="22" applyFont="1" applyFill="1" applyAlignment="1">
      <alignment vertical="center"/>
    </xf>
    <xf numFmtId="0" fontId="18" fillId="5" borderId="0" xfId="22" applyFont="1" applyFill="1" applyAlignment="1">
      <alignment vertical="center"/>
    </xf>
    <xf numFmtId="0" fontId="21" fillId="5" borderId="0" xfId="22" applyFont="1" applyFill="1" applyAlignment="1">
      <alignment horizontal="centerContinuous" vertical="center"/>
    </xf>
    <xf numFmtId="0" fontId="21" fillId="5" borderId="0" xfId="22" applyFont="1" applyFill="1" applyAlignment="1">
      <alignment vertical="center"/>
    </xf>
    <xf numFmtId="0" fontId="18" fillId="18" borderId="8" xfId="18" applyFont="1" applyFill="1" applyBorder="1" applyAlignment="1">
      <alignment vertical="center"/>
    </xf>
    <xf numFmtId="0" fontId="18" fillId="18" borderId="10" xfId="18" applyFont="1" applyFill="1" applyBorder="1" applyAlignment="1">
      <alignment horizontal="center" vertical="center"/>
    </xf>
    <xf numFmtId="0" fontId="18" fillId="18" borderId="6" xfId="18" applyFont="1" applyFill="1" applyBorder="1" applyAlignment="1">
      <alignment vertical="center"/>
    </xf>
    <xf numFmtId="0" fontId="18" fillId="18" borderId="7" xfId="18" applyFont="1" applyFill="1" applyBorder="1" applyAlignment="1">
      <alignment horizontal="center" vertical="center"/>
    </xf>
    <xf numFmtId="0" fontId="18" fillId="18" borderId="6" xfId="18" applyFont="1" applyFill="1" applyBorder="1" applyAlignment="1">
      <alignment horizontal="left" vertical="center"/>
    </xf>
    <xf numFmtId="0" fontId="18" fillId="18" borderId="7" xfId="18" applyFont="1" applyFill="1" applyBorder="1" applyAlignment="1">
      <alignment horizontal="left" vertical="center"/>
    </xf>
    <xf numFmtId="0" fontId="21" fillId="18" borderId="11" xfId="18" applyFont="1" applyFill="1" applyBorder="1" applyAlignment="1">
      <alignment horizontal="left" vertical="center"/>
    </xf>
    <xf numFmtId="0" fontId="18" fillId="18" borderId="13" xfId="18" applyFont="1" applyFill="1" applyBorder="1" applyAlignment="1">
      <alignment vertical="center"/>
    </xf>
    <xf numFmtId="0" fontId="62" fillId="5" borderId="0" xfId="22" applyFont="1" applyFill="1" applyAlignment="1">
      <alignment vertical="center"/>
    </xf>
    <xf numFmtId="0" fontId="110" fillId="5" borderId="0" xfId="22" applyFont="1" applyFill="1" applyBorder="1" applyAlignment="1">
      <alignment horizontal="left" vertical="center"/>
    </xf>
    <xf numFmtId="0" fontId="116" fillId="5" borderId="0" xfId="22" applyFont="1" applyFill="1"/>
    <xf numFmtId="0" fontId="47" fillId="5" borderId="0" xfId="22" applyFont="1" applyFill="1" applyAlignment="1">
      <alignment vertical="center"/>
    </xf>
    <xf numFmtId="0" fontId="26" fillId="5" borderId="0" xfId="22" applyFont="1" applyFill="1" applyAlignment="1">
      <alignment vertical="center"/>
    </xf>
    <xf numFmtId="0" fontId="3" fillId="5" borderId="0" xfId="22" applyFill="1"/>
    <xf numFmtId="0" fontId="3" fillId="5" borderId="0" xfId="22" applyFill="1" applyBorder="1"/>
    <xf numFmtId="0" fontId="45" fillId="5" borderId="0" xfId="22" applyFont="1" applyFill="1" applyAlignment="1">
      <alignment vertical="center"/>
    </xf>
    <xf numFmtId="0" fontId="3" fillId="5" borderId="0" xfId="22" applyFont="1" applyFill="1"/>
    <xf numFmtId="0" fontId="117" fillId="5" borderId="0" xfId="22" applyFont="1" applyFill="1"/>
    <xf numFmtId="0" fontId="118" fillId="5" borderId="0" xfId="22" applyFont="1" applyFill="1"/>
    <xf numFmtId="0" fontId="18" fillId="18" borderId="8" xfId="22" applyFont="1" applyFill="1" applyBorder="1" applyAlignment="1">
      <alignment vertical="center"/>
    </xf>
    <xf numFmtId="0" fontId="18" fillId="18" borderId="10" xfId="22" applyFont="1" applyFill="1" applyBorder="1" applyAlignment="1">
      <alignment vertical="center"/>
    </xf>
    <xf numFmtId="0" fontId="21" fillId="18" borderId="11" xfId="22" applyFont="1" applyFill="1" applyBorder="1" applyAlignment="1">
      <alignment horizontal="right" vertical="center"/>
    </xf>
    <xf numFmtId="0" fontId="21" fillId="18" borderId="13" xfId="22" applyFont="1" applyFill="1" applyBorder="1" applyAlignment="1">
      <alignment horizontal="right" vertical="center"/>
    </xf>
    <xf numFmtId="178" fontId="18" fillId="18" borderId="6" xfId="22" applyNumberFormat="1" applyFont="1" applyFill="1" applyBorder="1" applyAlignment="1">
      <alignment horizontal="center" vertical="center"/>
    </xf>
    <xf numFmtId="0" fontId="18" fillId="18" borderId="7" xfId="22" applyFont="1" applyFill="1" applyBorder="1" applyAlignment="1">
      <alignment horizontal="left" vertical="center"/>
    </xf>
    <xf numFmtId="0" fontId="18" fillId="18" borderId="7" xfId="22" applyFont="1" applyFill="1" applyBorder="1" applyAlignment="1">
      <alignment vertical="center"/>
    </xf>
    <xf numFmtId="0" fontId="21" fillId="18" borderId="11" xfId="22" applyFont="1" applyFill="1" applyBorder="1" applyAlignment="1">
      <alignment vertical="center"/>
    </xf>
    <xf numFmtId="0" fontId="18" fillId="18" borderId="13" xfId="22" applyFont="1" applyFill="1" applyBorder="1" applyAlignment="1">
      <alignment vertical="center"/>
    </xf>
    <xf numFmtId="0" fontId="120" fillId="5" borderId="0" xfId="22" applyFont="1" applyFill="1" applyBorder="1" applyAlignment="1">
      <alignment horizontal="left" vertical="top"/>
    </xf>
    <xf numFmtId="0" fontId="118" fillId="5" borderId="0" xfId="22" applyFont="1" applyFill="1" applyBorder="1"/>
    <xf numFmtId="0" fontId="20" fillId="5" borderId="0" xfId="22" applyFont="1" applyFill="1" applyAlignment="1">
      <alignment horizontal="left" vertical="center"/>
    </xf>
    <xf numFmtId="0" fontId="82" fillId="5" borderId="0" xfId="22" applyFont="1" applyFill="1" applyAlignment="1">
      <alignment vertical="center"/>
    </xf>
    <xf numFmtId="0" fontId="117" fillId="5" borderId="0" xfId="22" applyFont="1" applyFill="1" applyBorder="1"/>
    <xf numFmtId="0" fontId="18" fillId="5" borderId="0" xfId="13" applyFont="1" applyFill="1" applyAlignment="1">
      <alignment vertical="center"/>
    </xf>
    <xf numFmtId="0" fontId="46" fillId="5" borderId="0" xfId="13" applyFont="1" applyFill="1" applyAlignment="1">
      <alignment vertical="center"/>
    </xf>
    <xf numFmtId="0" fontId="26" fillId="5" borderId="0" xfId="13" applyFont="1" applyFill="1" applyAlignment="1">
      <alignment vertical="center"/>
    </xf>
    <xf numFmtId="0" fontId="29" fillId="5" borderId="0" xfId="13" applyFont="1" applyFill="1" applyAlignment="1">
      <alignment vertical="center"/>
    </xf>
    <xf numFmtId="0" fontId="30" fillId="5" borderId="0" xfId="13" applyFont="1" applyFill="1" applyAlignment="1">
      <alignment horizontal="right" vertical="center"/>
    </xf>
    <xf numFmtId="0" fontId="37" fillId="4" borderId="124" xfId="13" applyFont="1" applyFill="1" applyBorder="1" applyAlignment="1">
      <alignment horizontal="center" vertical="center" wrapText="1"/>
    </xf>
    <xf numFmtId="0" fontId="37" fillId="4" borderId="99" xfId="13" applyFont="1" applyFill="1" applyBorder="1" applyAlignment="1">
      <alignment horizontal="center" vertical="center" wrapText="1"/>
    </xf>
    <xf numFmtId="0" fontId="37" fillId="4" borderId="126" xfId="13" applyFont="1" applyFill="1" applyBorder="1" applyAlignment="1">
      <alignment horizontal="center" vertical="center" wrapText="1"/>
    </xf>
    <xf numFmtId="0" fontId="26" fillId="5" borderId="0" xfId="13" applyFont="1" applyFill="1" applyAlignment="1">
      <alignment horizontal="center" vertical="center" wrapText="1"/>
    </xf>
    <xf numFmtId="176" fontId="37" fillId="4" borderId="35" xfId="13" applyNumberFormat="1" applyFont="1" applyFill="1" applyBorder="1" applyAlignment="1">
      <alignment horizontal="center" vertical="center"/>
    </xf>
    <xf numFmtId="3" fontId="14" fillId="5" borderId="35" xfId="13" applyNumberFormat="1" applyFont="1" applyFill="1" applyBorder="1" applyAlignment="1">
      <alignment horizontal="center" vertical="center"/>
    </xf>
    <xf numFmtId="190" fontId="37" fillId="5" borderId="35" xfId="13" applyNumberFormat="1" applyFont="1" applyFill="1" applyBorder="1" applyAlignment="1">
      <alignment horizontal="center" vertical="center"/>
    </xf>
    <xf numFmtId="4" fontId="26" fillId="5" borderId="0" xfId="13" applyNumberFormat="1" applyFont="1" applyFill="1" applyAlignment="1">
      <alignment vertical="center"/>
    </xf>
    <xf numFmtId="176" fontId="37" fillId="4" borderId="103" xfId="13" applyNumberFormat="1" applyFont="1" applyFill="1" applyBorder="1" applyAlignment="1">
      <alignment horizontal="center" vertical="center"/>
    </xf>
    <xf numFmtId="3" fontId="14" fillId="5" borderId="103" xfId="13" applyNumberFormat="1" applyFont="1" applyFill="1" applyBorder="1" applyAlignment="1">
      <alignment horizontal="center" vertical="center"/>
    </xf>
    <xf numFmtId="190" fontId="37" fillId="5" borderId="103" xfId="13" applyNumberFormat="1" applyFont="1" applyFill="1" applyBorder="1" applyAlignment="1">
      <alignment horizontal="center" vertical="center"/>
    </xf>
    <xf numFmtId="0" fontId="30" fillId="5" borderId="0" xfId="13" applyFont="1" applyFill="1" applyAlignment="1">
      <alignment vertical="center"/>
    </xf>
    <xf numFmtId="0" fontId="19" fillId="5" borderId="0" xfId="13" applyFont="1" applyFill="1" applyAlignment="1">
      <alignment vertical="center"/>
    </xf>
    <xf numFmtId="0" fontId="37" fillId="4" borderId="99" xfId="13" applyFont="1" applyFill="1" applyBorder="1" applyAlignment="1">
      <alignment vertical="center"/>
    </xf>
    <xf numFmtId="0" fontId="37" fillId="4" borderId="125" xfId="13" applyFont="1" applyFill="1" applyBorder="1" applyAlignment="1">
      <alignment horizontal="center" vertical="center" wrapText="1"/>
    </xf>
    <xf numFmtId="0" fontId="37" fillId="4" borderId="35" xfId="13" applyFont="1" applyFill="1" applyBorder="1" applyAlignment="1">
      <alignment horizontal="center" vertical="center"/>
    </xf>
    <xf numFmtId="3" fontId="26" fillId="5" borderId="0" xfId="13" applyNumberFormat="1" applyFont="1" applyFill="1" applyAlignment="1">
      <alignment vertical="center"/>
    </xf>
    <xf numFmtId="0" fontId="14" fillId="5" borderId="35" xfId="13" applyFont="1" applyFill="1" applyBorder="1" applyAlignment="1">
      <alignment horizontal="center" vertical="center"/>
    </xf>
    <xf numFmtId="0" fontId="37" fillId="4" borderId="99" xfId="13" applyFont="1" applyFill="1" applyBorder="1" applyAlignment="1">
      <alignment horizontal="center" vertical="center"/>
    </xf>
    <xf numFmtId="3" fontId="37" fillId="4" borderId="99" xfId="13" applyNumberFormat="1" applyFont="1" applyFill="1" applyBorder="1" applyAlignment="1">
      <alignment horizontal="center" vertical="center"/>
    </xf>
    <xf numFmtId="3" fontId="37" fillId="4" borderId="126" xfId="13" applyNumberFormat="1" applyFont="1" applyFill="1" applyBorder="1" applyAlignment="1">
      <alignment horizontal="center" vertical="center"/>
    </xf>
    <xf numFmtId="3" fontId="29" fillId="5" borderId="0" xfId="13" applyNumberFormat="1" applyFont="1" applyFill="1" applyAlignment="1">
      <alignment vertical="center"/>
    </xf>
    <xf numFmtId="0" fontId="39" fillId="5" borderId="0" xfId="16" applyFont="1" applyFill="1" applyBorder="1" applyAlignment="1">
      <alignment horizontal="left"/>
    </xf>
    <xf numFmtId="0" fontId="31" fillId="5" borderId="0" xfId="16" applyFont="1" applyFill="1" applyBorder="1" applyAlignment="1">
      <alignment horizontal="center"/>
    </xf>
    <xf numFmtId="0" fontId="23" fillId="5" borderId="0" xfId="16" applyFont="1" applyFill="1"/>
    <xf numFmtId="0" fontId="23" fillId="5" borderId="0" xfId="16" applyFill="1"/>
    <xf numFmtId="0" fontId="23" fillId="5" borderId="0" xfId="16" applyFont="1" applyFill="1" applyBorder="1"/>
    <xf numFmtId="0" fontId="31" fillId="5" borderId="0" xfId="16" applyFont="1" applyFill="1" applyBorder="1" applyAlignment="1">
      <alignment horizontal="left"/>
    </xf>
    <xf numFmtId="0" fontId="16" fillId="8" borderId="0" xfId="16" applyFont="1" applyFill="1" applyBorder="1" applyAlignment="1">
      <alignment horizontal="center"/>
    </xf>
    <xf numFmtId="0" fontId="39" fillId="4" borderId="129" xfId="16" applyFont="1" applyFill="1" applyBorder="1" applyAlignment="1">
      <alignment horizontal="center"/>
    </xf>
    <xf numFmtId="0" fontId="39" fillId="4" borderId="103" xfId="16" applyFont="1" applyFill="1" applyBorder="1" applyAlignment="1">
      <alignment horizontal="center"/>
    </xf>
    <xf numFmtId="0" fontId="99" fillId="4" borderId="103" xfId="16" applyFont="1" applyFill="1" applyBorder="1" applyAlignment="1">
      <alignment horizontal="center"/>
    </xf>
    <xf numFmtId="0" fontId="19" fillId="4" borderId="35" xfId="16" applyFont="1" applyFill="1" applyBorder="1" applyAlignment="1">
      <alignment horizontal="center"/>
    </xf>
    <xf numFmtId="0" fontId="19" fillId="4" borderId="6" xfId="16" applyFont="1" applyFill="1" applyBorder="1" applyAlignment="1">
      <alignment horizontal="center"/>
    </xf>
    <xf numFmtId="3" fontId="19" fillId="5" borderId="35" xfId="16" applyNumberFormat="1" applyFont="1" applyFill="1" applyBorder="1" applyAlignment="1">
      <alignment horizontal="center"/>
    </xf>
    <xf numFmtId="168" fontId="19" fillId="5" borderId="35" xfId="16" applyNumberFormat="1" applyFont="1" applyFill="1" applyBorder="1" applyAlignment="1">
      <alignment horizontal="center"/>
    </xf>
    <xf numFmtId="4" fontId="19" fillId="5" borderId="35" xfId="16" applyNumberFormat="1" applyFont="1" applyFill="1" applyBorder="1" applyAlignment="1">
      <alignment horizontal="center"/>
    </xf>
    <xf numFmtId="0" fontId="16" fillId="8" borderId="0" xfId="16" applyFont="1" applyFill="1" applyBorder="1" applyAlignment="1">
      <alignment horizontal="centerContinuous"/>
    </xf>
    <xf numFmtId="2" fontId="26" fillId="5" borderId="0" xfId="16" applyNumberFormat="1" applyFont="1" applyFill="1" applyBorder="1" applyAlignment="1">
      <alignment horizontal="center"/>
    </xf>
    <xf numFmtId="2" fontId="26" fillId="5" borderId="0" xfId="16" applyNumberFormat="1" applyFont="1" applyFill="1" applyBorder="1" applyAlignment="1">
      <alignment horizontal="right"/>
    </xf>
    <xf numFmtId="1" fontId="19" fillId="5" borderId="35" xfId="16" applyNumberFormat="1" applyFont="1" applyFill="1" applyBorder="1" applyAlignment="1">
      <alignment horizontal="center" vertical="center"/>
    </xf>
    <xf numFmtId="170" fontId="19" fillId="5" borderId="35" xfId="16" applyNumberFormat="1" applyFont="1" applyFill="1" applyBorder="1" applyAlignment="1">
      <alignment horizontal="center" vertical="center"/>
    </xf>
    <xf numFmtId="2" fontId="19" fillId="5" borderId="35" xfId="16" applyNumberFormat="1" applyFont="1" applyFill="1" applyBorder="1" applyAlignment="1">
      <alignment horizontal="center" vertical="center"/>
    </xf>
    <xf numFmtId="2" fontId="23" fillId="5" borderId="0" xfId="16" applyNumberFormat="1" applyFont="1" applyFill="1"/>
    <xf numFmtId="1" fontId="19" fillId="5" borderId="35" xfId="16" applyNumberFormat="1" applyFont="1" applyFill="1" applyBorder="1" applyAlignment="1">
      <alignment horizontal="center"/>
    </xf>
    <xf numFmtId="0" fontId="19" fillId="4" borderId="103" xfId="16" applyFont="1" applyFill="1" applyBorder="1" applyAlignment="1">
      <alignment horizontal="center"/>
    </xf>
    <xf numFmtId="0" fontId="19" fillId="5" borderId="103" xfId="16" applyFont="1" applyFill="1" applyBorder="1" applyAlignment="1">
      <alignment horizontal="center"/>
    </xf>
    <xf numFmtId="170" fontId="19" fillId="5" borderId="103" xfId="16" applyNumberFormat="1" applyFont="1" applyFill="1" applyBorder="1" applyAlignment="1">
      <alignment horizontal="center"/>
    </xf>
    <xf numFmtId="3" fontId="39" fillId="5" borderId="99" xfId="16" applyNumberFormat="1" applyFont="1" applyFill="1" applyBorder="1" applyAlignment="1">
      <alignment horizontal="center" vertical="center"/>
    </xf>
    <xf numFmtId="168" fontId="39" fillId="5" borderId="99" xfId="16" applyNumberFormat="1" applyFont="1" applyFill="1" applyBorder="1" applyAlignment="1">
      <alignment horizontal="center" vertical="center"/>
    </xf>
    <xf numFmtId="2" fontId="39" fillId="5" borderId="99" xfId="16" applyNumberFormat="1" applyFont="1" applyFill="1" applyBorder="1" applyAlignment="1">
      <alignment horizontal="center" vertical="center"/>
    </xf>
    <xf numFmtId="170" fontId="23" fillId="5" borderId="0" xfId="16" applyNumberFormat="1" applyFont="1" applyFill="1"/>
    <xf numFmtId="2" fontId="23" fillId="5" borderId="0" xfId="16" applyNumberFormat="1" applyFont="1" applyFill="1" applyBorder="1" applyAlignment="1">
      <alignment horizontal="right"/>
    </xf>
    <xf numFmtId="0" fontId="92" fillId="5" borderId="0" xfId="16" applyFont="1" applyFill="1"/>
    <xf numFmtId="0" fontId="92" fillId="5" borderId="0" xfId="16" applyFont="1" applyFill="1" applyBorder="1"/>
    <xf numFmtId="3" fontId="92" fillId="5" borderId="0" xfId="16" applyNumberFormat="1" applyFont="1" applyFill="1" applyBorder="1" applyAlignment="1">
      <alignment horizontal="right"/>
    </xf>
    <xf numFmtId="0" fontId="23" fillId="5" borderId="0" xfId="16" applyFont="1" applyFill="1" applyBorder="1" applyAlignment="1">
      <alignment horizontal="right"/>
    </xf>
    <xf numFmtId="0" fontId="62" fillId="5" borderId="0" xfId="16" applyFont="1" applyFill="1"/>
    <xf numFmtId="168" fontId="92" fillId="5" borderId="0" xfId="16" applyNumberFormat="1" applyFont="1" applyFill="1"/>
    <xf numFmtId="189" fontId="23" fillId="5" borderId="0" xfId="16" applyNumberFormat="1" applyFont="1" applyFill="1"/>
    <xf numFmtId="3" fontId="92" fillId="5" borderId="0" xfId="16" applyNumberFormat="1" applyFont="1" applyFill="1"/>
    <xf numFmtId="0" fontId="39" fillId="18" borderId="8" xfId="16" applyFont="1" applyFill="1" applyBorder="1" applyAlignment="1">
      <alignment horizontal="center"/>
    </xf>
    <xf numFmtId="0" fontId="39" fillId="4" borderId="8" xfId="16" applyFont="1" applyFill="1" applyBorder="1" applyAlignment="1">
      <alignment horizontal="center"/>
    </xf>
    <xf numFmtId="0" fontId="39" fillId="18" borderId="11" xfId="16" applyFont="1" applyFill="1" applyBorder="1" applyAlignment="1">
      <alignment horizontal="center"/>
    </xf>
    <xf numFmtId="0" fontId="99" fillId="4" borderId="11" xfId="16" applyFont="1" applyFill="1" applyBorder="1" applyAlignment="1">
      <alignment horizontal="center"/>
    </xf>
    <xf numFmtId="191" fontId="39" fillId="18" borderId="6" xfId="16" quotePrefix="1" applyNumberFormat="1" applyFont="1" applyFill="1" applyBorder="1" applyAlignment="1">
      <alignment horizontal="left"/>
    </xf>
    <xf numFmtId="3" fontId="19" fillId="5" borderId="8" xfId="16" applyNumberFormat="1" applyFont="1" applyFill="1" applyBorder="1" applyAlignment="1">
      <alignment horizontal="center"/>
    </xf>
    <xf numFmtId="168" fontId="19" fillId="5" borderId="8" xfId="16" applyNumberFormat="1" applyFont="1" applyFill="1" applyBorder="1" applyAlignment="1">
      <alignment horizontal="center"/>
    </xf>
    <xf numFmtId="3" fontId="19" fillId="5" borderId="129" xfId="16" applyNumberFormat="1" applyFont="1" applyFill="1" applyBorder="1" applyAlignment="1">
      <alignment horizontal="center"/>
    </xf>
    <xf numFmtId="192" fontId="19" fillId="18" borderId="6" xfId="16" applyNumberFormat="1" applyFont="1" applyFill="1" applyBorder="1" applyAlignment="1">
      <alignment horizontal="left"/>
    </xf>
    <xf numFmtId="3" fontId="19" fillId="5" borderId="6" xfId="16" applyNumberFormat="1" applyFont="1" applyFill="1" applyBorder="1" applyAlignment="1">
      <alignment horizontal="center"/>
    </xf>
    <xf numFmtId="168" fontId="19" fillId="5" borderId="6" xfId="16" applyNumberFormat="1" applyFont="1" applyFill="1" applyBorder="1" applyAlignment="1">
      <alignment horizontal="center"/>
    </xf>
    <xf numFmtId="4" fontId="92" fillId="5" borderId="0" xfId="16" applyNumberFormat="1" applyFont="1" applyFill="1" applyBorder="1" applyAlignment="1">
      <alignment horizontal="right"/>
    </xf>
    <xf numFmtId="16" fontId="19" fillId="18" borderId="155" xfId="16" applyNumberFormat="1" applyFont="1" applyFill="1" applyBorder="1" applyAlignment="1">
      <alignment horizontal="right"/>
    </xf>
    <xf numFmtId="3" fontId="19" fillId="5" borderId="156" xfId="16" applyNumberFormat="1" applyFont="1" applyFill="1" applyBorder="1" applyAlignment="1">
      <alignment horizontal="center"/>
    </xf>
    <xf numFmtId="170" fontId="19" fillId="5" borderId="155" xfId="16" applyNumberFormat="1" applyFont="1" applyFill="1" applyBorder="1" applyAlignment="1">
      <alignment horizontal="center"/>
    </xf>
    <xf numFmtId="168" fontId="19" fillId="5" borderId="156" xfId="16" applyNumberFormat="1" applyFont="1" applyFill="1" applyBorder="1" applyAlignment="1">
      <alignment horizontal="left" indent="4"/>
    </xf>
    <xf numFmtId="3" fontId="23" fillId="5" borderId="0" xfId="16" applyNumberFormat="1" applyFont="1" applyFill="1" applyBorder="1" applyAlignment="1">
      <alignment horizontal="right"/>
    </xf>
    <xf numFmtId="17" fontId="39" fillId="18" borderId="6" xfId="16" quotePrefix="1" applyNumberFormat="1" applyFont="1" applyFill="1" applyBorder="1" applyAlignment="1">
      <alignment horizontal="left"/>
    </xf>
    <xf numFmtId="4" fontId="19" fillId="5" borderId="35" xfId="16" applyNumberFormat="1" applyFont="1" applyFill="1" applyBorder="1" applyAlignment="1">
      <alignment horizontal="left" indent="5"/>
    </xf>
    <xf numFmtId="0" fontId="19" fillId="5" borderId="35" xfId="16" applyFont="1" applyFill="1" applyBorder="1" applyAlignment="1">
      <alignment horizontal="center"/>
    </xf>
    <xf numFmtId="0" fontId="19" fillId="5" borderId="6" xfId="16" applyFont="1" applyFill="1" applyBorder="1" applyAlignment="1">
      <alignment horizontal="center"/>
    </xf>
    <xf numFmtId="170" fontId="19" fillId="5" borderId="6" xfId="16" applyNumberFormat="1" applyFont="1" applyFill="1" applyBorder="1" applyAlignment="1">
      <alignment horizontal="center"/>
    </xf>
    <xf numFmtId="0" fontId="92" fillId="5" borderId="35" xfId="16" applyFont="1" applyFill="1" applyBorder="1"/>
    <xf numFmtId="0" fontId="92" fillId="5" borderId="6" xfId="16" applyFont="1" applyFill="1" applyBorder="1"/>
    <xf numFmtId="2" fontId="19" fillId="5" borderId="35" xfId="16" applyNumberFormat="1" applyFont="1" applyFill="1" applyBorder="1" applyAlignment="1">
      <alignment horizontal="center"/>
    </xf>
    <xf numFmtId="186" fontId="19" fillId="5" borderId="6" xfId="20" applyNumberFormat="1" applyFont="1" applyFill="1" applyBorder="1" applyAlignment="1">
      <alignment horizontal="center"/>
    </xf>
    <xf numFmtId="17" fontId="39" fillId="18" borderId="103" xfId="16" quotePrefix="1" applyNumberFormat="1" applyFont="1" applyFill="1" applyBorder="1" applyAlignment="1">
      <alignment horizontal="left"/>
    </xf>
    <xf numFmtId="168" fontId="19" fillId="5" borderId="11" xfId="16" applyNumberFormat="1" applyFont="1" applyFill="1" applyBorder="1" applyAlignment="1">
      <alignment horizontal="center"/>
    </xf>
    <xf numFmtId="2" fontId="19" fillId="5" borderId="103" xfId="16" applyNumberFormat="1" applyFont="1" applyFill="1" applyBorder="1" applyAlignment="1">
      <alignment horizontal="center"/>
    </xf>
    <xf numFmtId="170" fontId="19" fillId="5" borderId="0" xfId="16" applyNumberFormat="1" applyFont="1" applyFill="1" applyBorder="1" applyAlignment="1">
      <alignment horizontal="center"/>
    </xf>
    <xf numFmtId="2" fontId="19" fillId="5" borderId="0" xfId="16" applyNumberFormat="1" applyFont="1" applyFill="1" applyBorder="1" applyAlignment="1">
      <alignment horizontal="center"/>
    </xf>
    <xf numFmtId="170" fontId="62" fillId="5" borderId="0" xfId="16" applyNumberFormat="1" applyFont="1" applyFill="1" applyBorder="1" applyAlignment="1">
      <alignment horizontal="left"/>
    </xf>
    <xf numFmtId="0" fontId="121" fillId="5" borderId="0" xfId="25" applyFont="1" applyFill="1" applyBorder="1" applyAlignment="1">
      <alignment vertical="center"/>
    </xf>
    <xf numFmtId="0" fontId="122" fillId="5" borderId="0" xfId="25" applyFont="1" applyFill="1" applyBorder="1" applyAlignment="1">
      <alignment vertical="center"/>
    </xf>
    <xf numFmtId="0" fontId="122" fillId="24" borderId="0" xfId="25" applyFont="1" applyFill="1" applyBorder="1" applyAlignment="1">
      <alignment horizontal="right" vertical="center"/>
    </xf>
    <xf numFmtId="0" fontId="7" fillId="24" borderId="0" xfId="25" applyFont="1" applyFill="1" applyBorder="1" applyAlignment="1">
      <alignment horizontal="centerContinuous" vertical="center"/>
    </xf>
    <xf numFmtId="0" fontId="23" fillId="5" borderId="0" xfId="25" applyFont="1" applyFill="1" applyBorder="1" applyAlignment="1">
      <alignment vertical="center"/>
    </xf>
    <xf numFmtId="168" fontId="7" fillId="5" borderId="0" xfId="25" applyNumberFormat="1" applyFont="1" applyFill="1" applyBorder="1" applyAlignment="1">
      <alignment horizontal="center" vertical="center"/>
    </xf>
    <xf numFmtId="0" fontId="16" fillId="25" borderId="33" xfId="25" applyFont="1" applyFill="1" applyBorder="1" applyAlignment="1">
      <alignment horizontal="center" vertical="center"/>
    </xf>
    <xf numFmtId="0" fontId="16" fillId="25" borderId="32" xfId="25" applyFont="1" applyFill="1" applyBorder="1" applyAlignment="1">
      <alignment horizontal="center" vertical="center"/>
    </xf>
    <xf numFmtId="0" fontId="16" fillId="25" borderId="34" xfId="25" applyFont="1" applyFill="1" applyBorder="1" applyAlignment="1">
      <alignment horizontal="center" vertical="center"/>
    </xf>
    <xf numFmtId="0" fontId="23" fillId="5" borderId="0" xfId="25" applyFont="1" applyFill="1" applyAlignment="1">
      <alignment vertical="center"/>
    </xf>
    <xf numFmtId="0" fontId="16" fillId="25" borderId="38" xfId="25" applyFont="1" applyFill="1" applyBorder="1" applyAlignment="1">
      <alignment horizontal="center" vertical="center"/>
    </xf>
    <xf numFmtId="0" fontId="16" fillId="25" borderId="4" xfId="25" applyFont="1" applyFill="1" applyBorder="1" applyAlignment="1">
      <alignment horizontal="center" vertical="center"/>
    </xf>
    <xf numFmtId="0" fontId="16" fillId="25" borderId="36" xfId="25" applyFont="1" applyFill="1" applyBorder="1" applyAlignment="1">
      <alignment horizontal="center" vertical="center"/>
    </xf>
    <xf numFmtId="0" fontId="16" fillId="25" borderId="5" xfId="25" applyFont="1" applyFill="1" applyBorder="1" applyAlignment="1">
      <alignment horizontal="center" vertical="center"/>
    </xf>
    <xf numFmtId="0" fontId="16" fillId="25" borderId="44" xfId="25" applyFont="1" applyFill="1" applyBorder="1" applyAlignment="1">
      <alignment horizontal="center" vertical="center"/>
    </xf>
    <xf numFmtId="0" fontId="6" fillId="25" borderId="42" xfId="25" applyFont="1" applyFill="1" applyBorder="1" applyAlignment="1">
      <alignment horizontal="center" vertical="center"/>
    </xf>
    <xf numFmtId="0" fontId="7" fillId="3" borderId="1" xfId="25" applyFont="1" applyFill="1" applyBorder="1" applyAlignment="1">
      <alignment horizontal="centerContinuous" vertical="center"/>
    </xf>
    <xf numFmtId="0" fontId="7" fillId="3" borderId="1" xfId="25" applyFont="1" applyFill="1" applyBorder="1" applyAlignment="1">
      <alignment horizontal="right" vertical="center"/>
    </xf>
    <xf numFmtId="0" fontId="38" fillId="3" borderId="1" xfId="25" applyFont="1" applyFill="1" applyBorder="1" applyAlignment="1">
      <alignment horizontal="right" vertical="center"/>
    </xf>
    <xf numFmtId="0" fontId="7" fillId="3" borderId="20" xfId="25" applyFont="1" applyFill="1" applyBorder="1" applyAlignment="1">
      <alignment horizontal="centerContinuous" vertical="center"/>
    </xf>
    <xf numFmtId="0" fontId="38" fillId="3" borderId="98" xfId="25" applyFont="1" applyFill="1" applyBorder="1" applyAlignment="1">
      <alignment horizontal="centerContinuous" vertical="center"/>
    </xf>
    <xf numFmtId="0" fontId="38" fillId="3" borderId="7" xfId="25" applyFont="1" applyFill="1" applyBorder="1" applyAlignment="1">
      <alignment horizontal="centerContinuous" vertical="center"/>
    </xf>
    <xf numFmtId="0" fontId="7" fillId="5" borderId="0" xfId="25" applyFont="1" applyFill="1" applyAlignment="1">
      <alignment vertical="center"/>
    </xf>
    <xf numFmtId="0" fontId="7" fillId="5" borderId="0" xfId="25" applyFont="1" applyFill="1" applyBorder="1" applyAlignment="1">
      <alignment vertical="center"/>
    </xf>
    <xf numFmtId="169" fontId="6" fillId="26" borderId="157" xfId="25" quotePrefix="1" applyNumberFormat="1" applyFont="1" applyFill="1" applyBorder="1" applyAlignment="1">
      <alignment horizontal="center" vertical="center"/>
    </xf>
    <xf numFmtId="0" fontId="7" fillId="5" borderId="0" xfId="25" applyFont="1" applyFill="1" applyBorder="1" applyAlignment="1">
      <alignment horizontal="center" vertical="center"/>
    </xf>
    <xf numFmtId="168" fontId="7" fillId="5" borderId="158" xfId="25" applyNumberFormat="1" applyFont="1" applyFill="1" applyBorder="1" applyAlignment="1">
      <alignment horizontal="center" vertical="center"/>
    </xf>
    <xf numFmtId="168" fontId="7" fillId="5" borderId="3" xfId="25" applyNumberFormat="1" applyFont="1" applyFill="1" applyBorder="1" applyAlignment="1">
      <alignment horizontal="center" vertical="center"/>
    </xf>
    <xf numFmtId="168" fontId="7" fillId="5" borderId="159" xfId="25" applyNumberFormat="1" applyFont="1" applyFill="1" applyBorder="1" applyAlignment="1">
      <alignment horizontal="center" vertical="center"/>
    </xf>
    <xf numFmtId="193" fontId="26" fillId="27" borderId="38" xfId="25" applyNumberFormat="1" applyFont="1" applyFill="1" applyBorder="1" applyAlignment="1">
      <alignment horizontal="right"/>
    </xf>
    <xf numFmtId="4" fontId="23" fillId="5" borderId="4" xfId="25" applyNumberFormat="1" applyFont="1" applyFill="1" applyBorder="1" applyAlignment="1">
      <alignment horizontal="center" vertical="center"/>
    </xf>
    <xf numFmtId="2" fontId="23" fillId="5" borderId="4" xfId="25" applyNumberFormat="1" applyFont="1" applyFill="1" applyBorder="1" applyAlignment="1">
      <alignment horizontal="center" vertical="center"/>
    </xf>
    <xf numFmtId="2" fontId="23" fillId="5" borderId="7" xfId="25" applyNumberFormat="1" applyFont="1" applyFill="1" applyBorder="1" applyAlignment="1">
      <alignment horizontal="center" vertical="center"/>
    </xf>
    <xf numFmtId="4" fontId="23" fillId="5" borderId="37" xfId="25" applyNumberFormat="1" applyFont="1" applyFill="1" applyBorder="1" applyAlignment="1">
      <alignment horizontal="center" vertical="center"/>
    </xf>
    <xf numFmtId="2" fontId="7" fillId="5" borderId="0" xfId="25" applyNumberFormat="1" applyFont="1" applyFill="1" applyBorder="1" applyAlignment="1">
      <alignment vertical="center"/>
    </xf>
    <xf numFmtId="2" fontId="23" fillId="5" borderId="36" xfId="25" applyNumberFormat="1" applyFont="1" applyFill="1" applyBorder="1" applyAlignment="1">
      <alignment horizontal="center" vertical="center"/>
    </xf>
    <xf numFmtId="0" fontId="15" fillId="5" borderId="0" xfId="25" applyFont="1" applyFill="1" applyBorder="1" applyAlignment="1">
      <alignment horizontal="left" vertical="center"/>
    </xf>
    <xf numFmtId="4" fontId="23" fillId="5" borderId="5" xfId="25" applyNumberFormat="1" applyFont="1" applyFill="1" applyBorder="1" applyAlignment="1">
      <alignment horizontal="center" vertical="center"/>
    </xf>
    <xf numFmtId="2" fontId="23" fillId="5" borderId="5" xfId="25" applyNumberFormat="1" applyFont="1" applyFill="1" applyBorder="1" applyAlignment="1">
      <alignment horizontal="center" vertical="center"/>
    </xf>
    <xf numFmtId="2" fontId="23" fillId="5" borderId="44" xfId="25" applyNumberFormat="1" applyFont="1" applyFill="1" applyBorder="1" applyAlignment="1">
      <alignment horizontal="center" vertical="center"/>
    </xf>
    <xf numFmtId="4" fontId="23" fillId="5" borderId="0" xfId="25" applyNumberFormat="1" applyFont="1" applyFill="1" applyBorder="1" applyAlignment="1">
      <alignment horizontal="center" vertical="center"/>
    </xf>
    <xf numFmtId="17" fontId="6" fillId="26" borderId="38" xfId="25" applyNumberFormat="1" applyFont="1" applyFill="1" applyBorder="1" applyAlignment="1">
      <alignment horizontal="right" vertical="center"/>
    </xf>
    <xf numFmtId="3" fontId="23" fillId="5" borderId="0" xfId="25" applyNumberFormat="1" applyFont="1" applyFill="1" applyBorder="1" applyAlignment="1">
      <alignment horizontal="center" vertical="center"/>
    </xf>
    <xf numFmtId="3" fontId="23" fillId="5" borderId="4" xfId="25" applyNumberFormat="1" applyFont="1" applyFill="1" applyBorder="1" applyAlignment="1">
      <alignment horizontal="center" vertical="center"/>
    </xf>
    <xf numFmtId="2" fontId="23" fillId="5" borderId="0" xfId="25" applyNumberFormat="1" applyFont="1" applyFill="1" applyBorder="1" applyAlignment="1">
      <alignment horizontal="center" vertical="center"/>
    </xf>
    <xf numFmtId="0" fontId="48" fillId="5" borderId="0" xfId="25" applyFont="1" applyFill="1" applyAlignment="1">
      <alignment vertical="center"/>
    </xf>
    <xf numFmtId="4" fontId="48" fillId="5" borderId="0" xfId="25" applyNumberFormat="1" applyFont="1" applyFill="1" applyAlignment="1">
      <alignment vertical="center"/>
    </xf>
    <xf numFmtId="0" fontId="48" fillId="5" borderId="0" xfId="25" applyFont="1" applyFill="1" applyBorder="1" applyAlignment="1">
      <alignment vertical="center"/>
    </xf>
    <xf numFmtId="4" fontId="23" fillId="5" borderId="36" xfId="25" applyNumberFormat="1" applyFont="1" applyFill="1" applyBorder="1" applyAlignment="1">
      <alignment horizontal="center" vertical="center"/>
    </xf>
    <xf numFmtId="194" fontId="51" fillId="5" borderId="0" xfId="25" applyNumberFormat="1" applyFont="1" applyFill="1" applyAlignment="1">
      <alignment vertical="center"/>
    </xf>
    <xf numFmtId="3" fontId="48" fillId="5" borderId="0" xfId="25" applyNumberFormat="1" applyFont="1" applyFill="1" applyAlignment="1">
      <alignment vertical="center"/>
    </xf>
    <xf numFmtId="3" fontId="23" fillId="5" borderId="37" xfId="25" applyNumberFormat="1" applyFont="1" applyFill="1" applyBorder="1" applyAlignment="1">
      <alignment horizontal="center" vertical="center"/>
    </xf>
    <xf numFmtId="168" fontId="23" fillId="5" borderId="4" xfId="25" applyNumberFormat="1" applyFont="1" applyFill="1" applyBorder="1" applyAlignment="1">
      <alignment horizontal="center" vertical="center"/>
    </xf>
    <xf numFmtId="4" fontId="23" fillId="5" borderId="7" xfId="25" applyNumberFormat="1" applyFont="1" applyFill="1" applyBorder="1" applyAlignment="1">
      <alignment horizontal="center" vertical="center"/>
    </xf>
    <xf numFmtId="3" fontId="32" fillId="5" borderId="4" xfId="25" applyNumberFormat="1" applyFont="1" applyFill="1" applyBorder="1" applyAlignment="1">
      <alignment horizontal="center" vertical="center"/>
    </xf>
    <xf numFmtId="17" fontId="6" fillId="26" borderId="160" xfId="25" applyNumberFormat="1" applyFont="1" applyFill="1" applyBorder="1" applyAlignment="1">
      <alignment horizontal="right" vertical="center"/>
    </xf>
    <xf numFmtId="3" fontId="23" fillId="5" borderId="104" xfId="25" applyNumberFormat="1" applyFont="1" applyFill="1" applyBorder="1" applyAlignment="1">
      <alignment horizontal="center" vertical="center"/>
    </xf>
    <xf numFmtId="3" fontId="23" fillId="5" borderId="105" xfId="25" applyNumberFormat="1" applyFont="1" applyFill="1" applyBorder="1" applyAlignment="1">
      <alignment horizontal="center" vertical="center"/>
    </xf>
    <xf numFmtId="2" fontId="23" fillId="5" borderId="105" xfId="25" applyNumberFormat="1" applyFont="1" applyFill="1" applyBorder="1" applyAlignment="1">
      <alignment horizontal="center" vertical="center"/>
    </xf>
    <xf numFmtId="170" fontId="23" fillId="5" borderId="105" xfId="25" applyNumberFormat="1" applyFont="1" applyFill="1" applyBorder="1" applyAlignment="1">
      <alignment horizontal="center" vertical="center"/>
    </xf>
    <xf numFmtId="4" fontId="23" fillId="5" borderId="106" xfId="25" applyNumberFormat="1" applyFont="1" applyFill="1" applyBorder="1" applyAlignment="1">
      <alignment horizontal="center" vertical="center"/>
    </xf>
    <xf numFmtId="0" fontId="35" fillId="5" borderId="0" xfId="25" applyFont="1" applyFill="1" applyAlignment="1">
      <alignment horizontal="left" vertical="center"/>
    </xf>
    <xf numFmtId="0" fontId="15" fillId="5" borderId="0" xfId="25" applyFont="1" applyFill="1" applyAlignment="1">
      <alignment horizontal="left" vertical="center"/>
    </xf>
    <xf numFmtId="0" fontId="35" fillId="5" borderId="0" xfId="25" applyFont="1" applyFill="1" applyBorder="1" applyAlignment="1">
      <alignment horizontal="left" vertical="center"/>
    </xf>
    <xf numFmtId="3" fontId="48" fillId="5" borderId="0" xfId="25" applyNumberFormat="1" applyFont="1" applyFill="1" applyBorder="1" applyAlignment="1">
      <alignment vertical="center"/>
    </xf>
    <xf numFmtId="0" fontId="15" fillId="5" borderId="0" xfId="25" applyFont="1" applyFill="1" applyAlignment="1">
      <alignment vertical="center"/>
    </xf>
    <xf numFmtId="0" fontId="15" fillId="5" borderId="0" xfId="25" applyFont="1" applyFill="1" applyBorder="1" applyAlignment="1">
      <alignment vertical="center"/>
    </xf>
    <xf numFmtId="3" fontId="15" fillId="5" borderId="0" xfId="25" applyNumberFormat="1" applyFont="1" applyFill="1" applyAlignment="1">
      <alignment vertical="center"/>
    </xf>
    <xf numFmtId="0" fontId="25" fillId="5" borderId="0" xfId="25" applyFont="1" applyFill="1" applyAlignment="1">
      <alignment vertical="center"/>
    </xf>
    <xf numFmtId="0" fontId="37" fillId="9" borderId="25" xfId="13" applyFont="1" applyFill="1" applyBorder="1" applyAlignment="1">
      <alignment horizontal="center" vertical="center"/>
    </xf>
    <xf numFmtId="0" fontId="37" fillId="9" borderId="60" xfId="13" applyFont="1" applyFill="1" applyBorder="1" applyAlignment="1">
      <alignment horizontal="centerContinuous" vertical="center"/>
    </xf>
    <xf numFmtId="0" fontId="37" fillId="9" borderId="28" xfId="13" applyFont="1" applyFill="1" applyBorder="1" applyAlignment="1">
      <alignment horizontal="centerContinuous" vertical="center"/>
    </xf>
    <xf numFmtId="0" fontId="37" fillId="9" borderId="28" xfId="13" applyFont="1" applyFill="1" applyBorder="1" applyAlignment="1">
      <alignment horizontal="center" vertical="center"/>
    </xf>
    <xf numFmtId="0" fontId="37" fillId="9" borderId="54" xfId="13" applyFont="1" applyFill="1" applyBorder="1" applyAlignment="1">
      <alignment horizontal="center" vertical="center"/>
    </xf>
    <xf numFmtId="0" fontId="37" fillId="9" borderId="30" xfId="13" applyFont="1" applyFill="1" applyBorder="1" applyAlignment="1">
      <alignment horizontal="center" vertical="center"/>
    </xf>
    <xf numFmtId="0" fontId="37" fillId="9" borderId="161" xfId="13" applyFont="1" applyFill="1" applyBorder="1" applyAlignment="1">
      <alignment horizontal="center" vertical="center"/>
    </xf>
    <xf numFmtId="0" fontId="37" fillId="9" borderId="12" xfId="13" applyFont="1" applyFill="1" applyBorder="1" applyAlignment="1">
      <alignment horizontal="center" vertical="center"/>
    </xf>
    <xf numFmtId="0" fontId="37" fillId="9" borderId="7" xfId="13" applyFont="1" applyFill="1" applyBorder="1" applyAlignment="1">
      <alignment horizontal="center" vertical="center"/>
    </xf>
    <xf numFmtId="0" fontId="37" fillId="9" borderId="35" xfId="13" applyFont="1" applyFill="1" applyBorder="1" applyAlignment="1">
      <alignment horizontal="center" vertical="center"/>
    </xf>
    <xf numFmtId="0" fontId="37" fillId="9" borderId="55" xfId="13" applyFont="1" applyFill="1" applyBorder="1" applyAlignment="1">
      <alignment horizontal="center" vertical="center"/>
    </xf>
    <xf numFmtId="0" fontId="37" fillId="11" borderId="162" xfId="13" applyFont="1" applyFill="1" applyBorder="1" applyAlignment="1">
      <alignment horizontal="center" vertical="center"/>
    </xf>
    <xf numFmtId="0" fontId="37" fillId="11" borderId="101" xfId="13" applyFont="1" applyFill="1" applyBorder="1" applyAlignment="1">
      <alignment horizontal="center" vertical="center"/>
    </xf>
    <xf numFmtId="0" fontId="37" fillId="11" borderId="126" xfId="13" applyFont="1" applyFill="1" applyBorder="1" applyAlignment="1">
      <alignment horizontal="center" vertical="center"/>
    </xf>
    <xf numFmtId="0" fontId="37" fillId="9" borderId="103" xfId="13" applyFont="1" applyFill="1" applyBorder="1" applyAlignment="1">
      <alignment horizontal="center" vertical="center"/>
    </xf>
    <xf numFmtId="0" fontId="37" fillId="9" borderId="148" xfId="13" applyFont="1" applyFill="1" applyBorder="1" applyAlignment="1">
      <alignment horizontal="center" vertical="center"/>
    </xf>
    <xf numFmtId="0" fontId="37" fillId="9" borderId="46" xfId="13" applyFont="1" applyFill="1" applyBorder="1" applyAlignment="1">
      <alignment horizontal="center" vertical="center"/>
    </xf>
    <xf numFmtId="0" fontId="104" fillId="21" borderId="153" xfId="13" applyFont="1" applyFill="1" applyBorder="1" applyAlignment="1">
      <alignment vertical="center"/>
    </xf>
    <xf numFmtId="169" fontId="37" fillId="9" borderId="30" xfId="13" quotePrefix="1" applyNumberFormat="1" applyFont="1" applyFill="1" applyBorder="1" applyAlignment="1">
      <alignment horizontal="center" vertical="center"/>
    </xf>
    <xf numFmtId="3" fontId="14" fillId="5" borderId="60" xfId="13" applyNumberFormat="1" applyFont="1" applyFill="1" applyBorder="1" applyAlignment="1">
      <alignment horizontal="center" vertical="center"/>
    </xf>
    <xf numFmtId="3" fontId="14" fillId="5" borderId="28" xfId="13" applyNumberFormat="1" applyFont="1" applyFill="1" applyBorder="1" applyAlignment="1">
      <alignment horizontal="center" vertical="center"/>
    </xf>
    <xf numFmtId="3" fontId="14" fillId="5" borderId="7" xfId="13" applyNumberFormat="1" applyFont="1" applyFill="1" applyBorder="1" applyAlignment="1">
      <alignment horizontal="center" vertical="center"/>
    </xf>
    <xf numFmtId="2" fontId="14" fillId="5" borderId="35" xfId="13" applyNumberFormat="1" applyFont="1" applyFill="1" applyBorder="1" applyAlignment="1">
      <alignment horizontal="center" vertical="center"/>
    </xf>
    <xf numFmtId="2" fontId="14" fillId="5" borderId="54" xfId="13" applyNumberFormat="1" applyFont="1" applyFill="1" applyBorder="1" applyAlignment="1">
      <alignment horizontal="center" vertical="center"/>
    </xf>
    <xf numFmtId="195" fontId="14" fillId="9" borderId="30" xfId="13" applyNumberFormat="1" applyFont="1" applyFill="1" applyBorder="1" applyAlignment="1">
      <alignment horizontal="center" vertical="center"/>
    </xf>
    <xf numFmtId="3" fontId="14" fillId="5" borderId="18" xfId="13" applyNumberFormat="1" applyFont="1" applyFill="1" applyBorder="1" applyAlignment="1">
      <alignment horizontal="center" vertical="center"/>
    </xf>
    <xf numFmtId="3" fontId="14" fillId="5" borderId="0" xfId="13" applyNumberFormat="1" applyFont="1" applyFill="1" applyBorder="1" applyAlignment="1">
      <alignment horizontal="center" vertical="center"/>
    </xf>
    <xf numFmtId="4" fontId="14" fillId="5" borderId="35" xfId="13" applyNumberFormat="1" applyFont="1" applyFill="1" applyBorder="1" applyAlignment="1">
      <alignment horizontal="center" vertical="center"/>
    </xf>
    <xf numFmtId="2" fontId="14" fillId="5" borderId="55" xfId="13" applyNumberFormat="1" applyFont="1" applyFill="1" applyBorder="1" applyAlignment="1">
      <alignment horizontal="center" vertical="center"/>
    </xf>
    <xf numFmtId="2" fontId="7" fillId="5" borderId="0" xfId="13" applyNumberFormat="1" applyFont="1" applyFill="1" applyAlignment="1">
      <alignment vertical="center"/>
    </xf>
    <xf numFmtId="4" fontId="7" fillId="5" borderId="0" xfId="13" applyNumberFormat="1" applyFont="1" applyFill="1"/>
    <xf numFmtId="4" fontId="7" fillId="5" borderId="0" xfId="13" applyNumberFormat="1" applyFont="1" applyFill="1" applyAlignment="1">
      <alignment horizontal="center" vertical="center"/>
    </xf>
    <xf numFmtId="4" fontId="7" fillId="5" borderId="0" xfId="13" applyNumberFormat="1" applyFont="1" applyFill="1" applyAlignment="1">
      <alignment vertical="center"/>
    </xf>
    <xf numFmtId="0" fontId="7" fillId="5" borderId="0" xfId="13" applyFont="1" applyFill="1" applyAlignment="1">
      <alignment vertical="center"/>
    </xf>
    <xf numFmtId="2" fontId="6" fillId="5" borderId="0" xfId="13" applyNumberFormat="1" applyFont="1" applyFill="1" applyAlignment="1">
      <alignment vertical="center"/>
    </xf>
    <xf numFmtId="16" fontId="14" fillId="9" borderId="39" xfId="13" applyNumberFormat="1" applyFont="1" applyFill="1" applyBorder="1" applyAlignment="1">
      <alignment horizontal="center" vertical="center"/>
    </xf>
    <xf numFmtId="3" fontId="14" fillId="5" borderId="164" xfId="13" applyNumberFormat="1" applyFont="1" applyFill="1" applyBorder="1" applyAlignment="1">
      <alignment horizontal="center" vertical="center"/>
    </xf>
    <xf numFmtId="3" fontId="14" fillId="5" borderId="43" xfId="13" applyNumberFormat="1" applyFont="1" applyFill="1" applyBorder="1" applyAlignment="1">
      <alignment horizontal="center" vertical="center"/>
    </xf>
    <xf numFmtId="3" fontId="14" fillId="5" borderId="1" xfId="13" applyNumberFormat="1" applyFont="1" applyFill="1" applyBorder="1" applyAlignment="1">
      <alignment horizontal="center" vertical="center"/>
    </xf>
    <xf numFmtId="4" fontId="14" fillId="5" borderId="43" xfId="13" applyNumberFormat="1" applyFont="1" applyFill="1" applyBorder="1" applyAlignment="1">
      <alignment horizontal="center" vertical="center"/>
    </xf>
    <xf numFmtId="2" fontId="14" fillId="5" borderId="56" xfId="13" applyNumberFormat="1" applyFont="1" applyFill="1" applyBorder="1" applyAlignment="1">
      <alignment horizontal="center" vertical="center"/>
    </xf>
    <xf numFmtId="4" fontId="38" fillId="5" borderId="0" xfId="13" applyNumberFormat="1" applyFont="1" applyFill="1" applyAlignment="1">
      <alignment vertical="center"/>
    </xf>
    <xf numFmtId="17" fontId="37" fillId="9" borderId="30" xfId="13" applyNumberFormat="1" applyFont="1" applyFill="1" applyBorder="1" applyAlignment="1">
      <alignment horizontal="center" vertical="center"/>
    </xf>
    <xf numFmtId="3" fontId="14" fillId="5" borderId="57" xfId="13" applyNumberFormat="1" applyFont="1" applyFill="1" applyBorder="1" applyAlignment="1">
      <alignment horizontal="center" vertical="center"/>
    </xf>
    <xf numFmtId="189" fontId="14" fillId="5" borderId="0" xfId="13" applyNumberFormat="1" applyFont="1" applyFill="1" applyAlignment="1">
      <alignment vertical="center"/>
    </xf>
    <xf numFmtId="0" fontId="6" fillId="5" borderId="0" xfId="13" applyFont="1" applyFill="1" applyAlignment="1">
      <alignment vertical="center"/>
    </xf>
    <xf numFmtId="17" fontId="37" fillId="9" borderId="30" xfId="13" quotePrefix="1" applyNumberFormat="1" applyFont="1" applyFill="1" applyBorder="1" applyAlignment="1">
      <alignment horizontal="center" vertical="center"/>
    </xf>
    <xf numFmtId="17" fontId="37" fillId="9" borderId="165" xfId="13" quotePrefix="1" applyNumberFormat="1" applyFont="1" applyFill="1" applyBorder="1" applyAlignment="1">
      <alignment horizontal="center" vertical="center"/>
    </xf>
    <xf numFmtId="2" fontId="14" fillId="5" borderId="19" xfId="13" applyNumberFormat="1" applyFont="1" applyFill="1" applyBorder="1" applyAlignment="1">
      <alignment horizontal="center" vertical="center"/>
    </xf>
    <xf numFmtId="2" fontId="14" fillId="5" borderId="166" xfId="13" applyNumberFormat="1" applyFont="1" applyFill="1" applyBorder="1" applyAlignment="1">
      <alignment horizontal="center" vertical="center"/>
    </xf>
    <xf numFmtId="17" fontId="6" fillId="5" borderId="0" xfId="13" applyNumberFormat="1" applyFont="1" applyFill="1" applyAlignment="1">
      <alignment vertical="center"/>
    </xf>
    <xf numFmtId="0" fontId="14" fillId="5" borderId="57" xfId="13" applyFont="1" applyFill="1" applyBorder="1" applyAlignment="1">
      <alignment horizontal="center" vertical="center"/>
    </xf>
    <xf numFmtId="0" fontId="14" fillId="5" borderId="55" xfId="13" applyFont="1" applyFill="1" applyBorder="1" applyAlignment="1">
      <alignment horizontal="center" vertical="center"/>
    </xf>
    <xf numFmtId="15" fontId="7" fillId="5" borderId="0" xfId="13" applyNumberFormat="1" applyFont="1" applyFill="1" applyAlignment="1">
      <alignment vertical="center"/>
    </xf>
    <xf numFmtId="196" fontId="37" fillId="9" borderId="46" xfId="13" applyNumberFormat="1" applyFont="1" applyFill="1" applyBorder="1" applyAlignment="1">
      <alignment horizontal="left" vertical="center"/>
    </xf>
    <xf numFmtId="3" fontId="14" fillId="5" borderId="61" xfId="13" applyNumberFormat="1" applyFont="1" applyFill="1" applyBorder="1" applyAlignment="1">
      <alignment horizontal="right" vertical="center"/>
    </xf>
    <xf numFmtId="3" fontId="14" fillId="5" borderId="51" xfId="13" applyNumberFormat="1" applyFont="1" applyFill="1" applyBorder="1" applyAlignment="1">
      <alignment horizontal="right" vertical="center"/>
    </xf>
    <xf numFmtId="3" fontId="14" fillId="5" borderId="49" xfId="13" applyNumberFormat="1" applyFont="1" applyFill="1" applyBorder="1" applyAlignment="1">
      <alignment horizontal="right" vertical="center"/>
    </xf>
    <xf numFmtId="0" fontId="14" fillId="5" borderId="51" xfId="13" applyFont="1" applyFill="1" applyBorder="1" applyAlignment="1">
      <alignment horizontal="right" vertical="center"/>
    </xf>
    <xf numFmtId="2" fontId="14" fillId="5" borderId="51" xfId="13" applyNumberFormat="1" applyFont="1" applyFill="1" applyBorder="1" applyAlignment="1">
      <alignment horizontal="right" vertical="center"/>
    </xf>
    <xf numFmtId="2" fontId="14" fillId="5" borderId="58" xfId="13" applyNumberFormat="1" applyFont="1" applyFill="1" applyBorder="1" applyAlignment="1">
      <alignment horizontal="right" vertical="center"/>
    </xf>
    <xf numFmtId="0" fontId="44" fillId="5" borderId="0" xfId="13" applyFont="1" applyFill="1" applyAlignment="1">
      <alignment vertical="center"/>
    </xf>
    <xf numFmtId="3" fontId="14" fillId="5" borderId="0" xfId="13" applyNumberFormat="1" applyFont="1" applyFill="1" applyBorder="1" applyAlignment="1">
      <alignment horizontal="right" vertical="center"/>
    </xf>
    <xf numFmtId="0" fontId="44" fillId="5" borderId="0" xfId="13" applyFont="1" applyFill="1" applyBorder="1" applyAlignment="1">
      <alignment vertical="center"/>
    </xf>
    <xf numFmtId="2" fontId="14" fillId="5" borderId="0" xfId="13" applyNumberFormat="1" applyFont="1" applyFill="1" applyBorder="1" applyAlignment="1">
      <alignment horizontal="right" vertical="center"/>
    </xf>
    <xf numFmtId="3" fontId="14" fillId="5" borderId="0" xfId="13" applyNumberFormat="1" applyFont="1" applyFill="1" applyAlignment="1">
      <alignment vertical="center"/>
    </xf>
    <xf numFmtId="0" fontId="38" fillId="5" borderId="0" xfId="13" applyFont="1" applyFill="1" applyAlignment="1">
      <alignment vertical="center"/>
    </xf>
    <xf numFmtId="0" fontId="37" fillId="9" borderId="145" xfId="13" applyFont="1" applyFill="1" applyBorder="1" applyAlignment="1">
      <alignment horizontal="center" vertical="center"/>
    </xf>
    <xf numFmtId="0" fontId="37" fillId="9" borderId="142" xfId="13" applyFont="1" applyFill="1" applyBorder="1" applyAlignment="1">
      <alignment horizontal="centerContinuous" vertical="center"/>
    </xf>
    <xf numFmtId="0" fontId="37" fillId="9" borderId="129" xfId="13" applyFont="1" applyFill="1" applyBorder="1" applyAlignment="1">
      <alignment horizontal="centerContinuous" vertical="center"/>
    </xf>
    <xf numFmtId="0" fontId="37" fillId="9" borderId="129" xfId="13" applyFont="1" applyFill="1" applyBorder="1" applyAlignment="1">
      <alignment horizontal="center" vertical="center"/>
    </xf>
    <xf numFmtId="0" fontId="104" fillId="21" borderId="167" xfId="13" applyFont="1" applyFill="1" applyBorder="1" applyAlignment="1">
      <alignment horizontal="centerContinuous" vertical="center"/>
    </xf>
    <xf numFmtId="0" fontId="37" fillId="21" borderId="105" xfId="13" applyFont="1" applyFill="1" applyBorder="1" applyAlignment="1">
      <alignment horizontal="centerContinuous" vertical="center"/>
    </xf>
    <xf numFmtId="0" fontId="37" fillId="21" borderId="13" xfId="13" applyFont="1" applyFill="1" applyBorder="1" applyAlignment="1">
      <alignment horizontal="centerContinuous" vertical="center"/>
    </xf>
    <xf numFmtId="0" fontId="37" fillId="21" borderId="103" xfId="13" applyFont="1" applyFill="1" applyBorder="1" applyAlignment="1">
      <alignment horizontal="centerContinuous" vertical="center"/>
    </xf>
    <xf numFmtId="3" fontId="14" fillId="5" borderId="6" xfId="13" applyNumberFormat="1" applyFont="1" applyFill="1" applyBorder="1" applyAlignment="1">
      <alignment horizontal="center" vertical="center"/>
    </xf>
    <xf numFmtId="2" fontId="14" fillId="5" borderId="0" xfId="13" applyNumberFormat="1" applyFont="1" applyFill="1" applyAlignment="1">
      <alignment horizontal="center" vertical="center"/>
    </xf>
    <xf numFmtId="195" fontId="14" fillId="9" borderId="39" xfId="13" applyNumberFormat="1" applyFont="1" applyFill="1" applyBorder="1" applyAlignment="1">
      <alignment horizontal="center" vertical="center"/>
    </xf>
    <xf numFmtId="0" fontId="14" fillId="5" borderId="43" xfId="13" applyFont="1" applyFill="1" applyBorder="1" applyAlignment="1">
      <alignment horizontal="center" vertical="center"/>
    </xf>
    <xf numFmtId="17" fontId="37" fillId="9" borderId="168" xfId="13" applyNumberFormat="1" applyFont="1" applyFill="1" applyBorder="1" applyAlignment="1">
      <alignment horizontal="center" vertical="center"/>
    </xf>
    <xf numFmtId="3" fontId="14" fillId="5" borderId="169" xfId="13" applyNumberFormat="1" applyFont="1" applyFill="1" applyBorder="1" applyAlignment="1">
      <alignment horizontal="center" vertical="center"/>
    </xf>
    <xf numFmtId="3" fontId="14" fillId="5" borderId="170" xfId="13" applyNumberFormat="1" applyFont="1" applyFill="1" applyBorder="1" applyAlignment="1">
      <alignment horizontal="center" vertical="center"/>
    </xf>
    <xf numFmtId="17" fontId="37" fillId="9" borderId="168" xfId="13" quotePrefix="1" applyNumberFormat="1" applyFont="1" applyFill="1" applyBorder="1" applyAlignment="1">
      <alignment horizontal="center" vertical="center"/>
    </xf>
    <xf numFmtId="0" fontId="14" fillId="5" borderId="169" xfId="13" applyFont="1" applyFill="1" applyBorder="1" applyAlignment="1">
      <alignment horizontal="center" vertical="center"/>
    </xf>
    <xf numFmtId="0" fontId="14" fillId="5" borderId="170" xfId="13" applyFont="1" applyFill="1" applyBorder="1" applyAlignment="1">
      <alignment horizontal="center" vertical="center"/>
    </xf>
    <xf numFmtId="1" fontId="14" fillId="5" borderId="35" xfId="13" applyNumberFormat="1" applyFont="1" applyFill="1" applyBorder="1" applyAlignment="1">
      <alignment horizontal="center" vertical="center"/>
    </xf>
    <xf numFmtId="3" fontId="14" fillId="5" borderId="171" xfId="13" applyNumberFormat="1" applyFont="1" applyFill="1" applyBorder="1" applyAlignment="1">
      <alignment horizontal="center" vertical="center"/>
    </xf>
    <xf numFmtId="17" fontId="37" fillId="9" borderId="172" xfId="13" applyNumberFormat="1" applyFont="1" applyFill="1" applyBorder="1" applyAlignment="1">
      <alignment horizontal="center" vertical="center"/>
    </xf>
    <xf numFmtId="3" fontId="14" fillId="5" borderId="173" xfId="13" applyNumberFormat="1" applyFont="1" applyFill="1" applyBorder="1" applyAlignment="1">
      <alignment horizontal="center" vertical="center"/>
    </xf>
    <xf numFmtId="3" fontId="14" fillId="5" borderId="166" xfId="13" applyNumberFormat="1" applyFont="1" applyFill="1" applyBorder="1" applyAlignment="1">
      <alignment horizontal="center" vertical="center"/>
    </xf>
    <xf numFmtId="2" fontId="14" fillId="5" borderId="6" xfId="13" applyNumberFormat="1" applyFont="1" applyFill="1" applyBorder="1" applyAlignment="1">
      <alignment horizontal="center" vertical="center"/>
    </xf>
    <xf numFmtId="2" fontId="14" fillId="5" borderId="0" xfId="13" applyNumberFormat="1" applyFont="1" applyFill="1" applyBorder="1" applyAlignment="1">
      <alignment horizontal="center" vertical="center"/>
    </xf>
    <xf numFmtId="17" fontId="37" fillId="9" borderId="123" xfId="13" applyNumberFormat="1" applyFont="1" applyFill="1" applyBorder="1" applyAlignment="1">
      <alignment horizontal="center" vertical="center"/>
    </xf>
    <xf numFmtId="0" fontId="14" fillId="5" borderId="146" xfId="13" applyFont="1" applyFill="1" applyBorder="1" applyAlignment="1">
      <alignment vertical="center"/>
    </xf>
    <xf numFmtId="3" fontId="14" fillId="5" borderId="103" xfId="13" applyNumberFormat="1" applyFont="1" applyFill="1" applyBorder="1" applyAlignment="1">
      <alignment horizontal="right" vertical="center"/>
    </xf>
    <xf numFmtId="3" fontId="14" fillId="5" borderId="13" xfId="13" applyNumberFormat="1" applyFont="1" applyFill="1" applyBorder="1" applyAlignment="1">
      <alignment horizontal="right" vertical="center"/>
    </xf>
    <xf numFmtId="0" fontId="14" fillId="5" borderId="103" xfId="13" applyFont="1" applyFill="1" applyBorder="1" applyAlignment="1">
      <alignment horizontal="right" vertical="center"/>
    </xf>
    <xf numFmtId="2" fontId="14" fillId="5" borderId="103" xfId="13" applyNumberFormat="1" applyFont="1" applyFill="1" applyBorder="1" applyAlignment="1">
      <alignment horizontal="right" vertical="center"/>
    </xf>
    <xf numFmtId="0" fontId="31" fillId="5" borderId="0" xfId="26" applyFont="1" applyFill="1"/>
    <xf numFmtId="0" fontId="23" fillId="5" borderId="0" xfId="26" applyFont="1" applyFill="1"/>
    <xf numFmtId="38" fontId="23" fillId="5" borderId="0" xfId="26" applyNumberFormat="1" applyFont="1" applyFill="1"/>
    <xf numFmtId="0" fontId="16" fillId="5" borderId="0" xfId="26" applyFont="1" applyFill="1"/>
    <xf numFmtId="0" fontId="16" fillId="13" borderId="25" xfId="26" applyFont="1" applyFill="1" applyBorder="1" applyAlignment="1">
      <alignment horizontal="center"/>
    </xf>
    <xf numFmtId="0" fontId="16" fillId="13" borderId="27" xfId="26" applyFont="1" applyFill="1" applyBorder="1" applyAlignment="1">
      <alignment horizontal="center"/>
    </xf>
    <xf numFmtId="0" fontId="16" fillId="13" borderId="28" xfId="26" applyFont="1" applyFill="1" applyBorder="1" applyAlignment="1">
      <alignment horizontal="center"/>
    </xf>
    <xf numFmtId="0" fontId="16" fillId="13" borderId="54" xfId="26" applyFont="1" applyFill="1" applyBorder="1" applyAlignment="1">
      <alignment horizontal="center"/>
    </xf>
    <xf numFmtId="0" fontId="16" fillId="13" borderId="30" xfId="26" applyFont="1" applyFill="1" applyBorder="1" applyAlignment="1">
      <alignment horizontal="center"/>
    </xf>
    <xf numFmtId="0" fontId="16" fillId="13" borderId="7" xfId="26" applyFont="1" applyFill="1" applyBorder="1" applyAlignment="1">
      <alignment horizontal="center"/>
    </xf>
    <xf numFmtId="0" fontId="16" fillId="13" borderId="35" xfId="26" applyFont="1" applyFill="1" applyBorder="1" applyAlignment="1">
      <alignment horizontal="center"/>
    </xf>
    <xf numFmtId="0" fontId="16" fillId="13" borderId="55" xfId="26" applyFont="1" applyFill="1" applyBorder="1" applyAlignment="1">
      <alignment horizontal="center"/>
    </xf>
    <xf numFmtId="0" fontId="23" fillId="13" borderId="30" xfId="26" applyFont="1" applyFill="1" applyBorder="1" applyAlignment="1">
      <alignment horizontal="center"/>
    </xf>
    <xf numFmtId="197" fontId="16" fillId="13" borderId="35" xfId="26" applyNumberFormat="1" applyFont="1" applyFill="1" applyBorder="1" applyAlignment="1">
      <alignment horizontal="center"/>
    </xf>
    <xf numFmtId="197" fontId="16" fillId="13" borderId="55" xfId="26" applyNumberFormat="1" applyFont="1" applyFill="1" applyBorder="1" applyAlignment="1">
      <alignment horizontal="center"/>
    </xf>
    <xf numFmtId="0" fontId="23" fillId="13" borderId="46" xfId="26" applyFont="1" applyFill="1" applyBorder="1" applyAlignment="1">
      <alignment horizontal="center"/>
    </xf>
    <xf numFmtId="0" fontId="23" fillId="13" borderId="137" xfId="26" applyFont="1" applyFill="1" applyBorder="1" applyAlignment="1">
      <alignment horizontal="centerContinuous"/>
    </xf>
    <xf numFmtId="0" fontId="23" fillId="13" borderId="150" xfId="26" applyFont="1" applyFill="1" applyBorder="1" applyAlignment="1">
      <alignment horizontal="centerContinuous"/>
    </xf>
    <xf numFmtId="0" fontId="23" fillId="13" borderId="174" xfId="26" applyFont="1" applyFill="1" applyBorder="1" applyAlignment="1">
      <alignment horizontal="center"/>
    </xf>
    <xf numFmtId="0" fontId="23" fillId="5" borderId="7" xfId="26" applyFont="1" applyFill="1" applyBorder="1" applyAlignment="1">
      <alignment horizontal="centerContinuous"/>
    </xf>
    <xf numFmtId="0" fontId="23" fillId="5" borderId="35" xfId="26" applyFont="1" applyFill="1" applyBorder="1" applyAlignment="1">
      <alignment horizontal="centerContinuous"/>
    </xf>
    <xf numFmtId="0" fontId="23" fillId="5" borderId="55" xfId="26" applyFont="1" applyFill="1" applyBorder="1" applyAlignment="1">
      <alignment horizontal="center"/>
    </xf>
    <xf numFmtId="15" fontId="16" fillId="13" borderId="30" xfId="26" applyNumberFormat="1" applyFont="1" applyFill="1" applyBorder="1" applyAlignment="1">
      <alignment horizontal="left"/>
    </xf>
    <xf numFmtId="38" fontId="23" fillId="5" borderId="57" xfId="27" applyNumberFormat="1" applyFont="1" applyFill="1" applyBorder="1" applyAlignment="1">
      <alignment horizontal="right"/>
    </xf>
    <xf numFmtId="38" fontId="23" fillId="5" borderId="35" xfId="27" applyNumberFormat="1" applyFont="1" applyFill="1" applyBorder="1" applyAlignment="1">
      <alignment horizontal="right"/>
    </xf>
    <xf numFmtId="2" fontId="16" fillId="5" borderId="55" xfId="11" applyNumberFormat="1" applyFont="1" applyFill="1" applyBorder="1" applyAlignment="1">
      <alignment horizontal="right"/>
    </xf>
    <xf numFmtId="38" fontId="16" fillId="5" borderId="0" xfId="26" applyNumberFormat="1" applyFont="1" applyFill="1" applyBorder="1" applyAlignment="1">
      <alignment horizontal="right"/>
    </xf>
    <xf numFmtId="2" fontId="23" fillId="5" borderId="0" xfId="26" applyNumberFormat="1" applyFont="1" applyFill="1"/>
    <xf numFmtId="15" fontId="16" fillId="13" borderId="46" xfId="26" applyNumberFormat="1" applyFont="1" applyFill="1" applyBorder="1" applyAlignment="1">
      <alignment horizontal="left"/>
    </xf>
    <xf numFmtId="38" fontId="23" fillId="5" borderId="49" xfId="27" applyNumberFormat="1" applyFont="1" applyFill="1" applyBorder="1" applyAlignment="1">
      <alignment horizontal="right"/>
    </xf>
    <xf numFmtId="38" fontId="23" fillId="5" borderId="51" xfId="27" applyNumberFormat="1" applyFont="1" applyFill="1" applyBorder="1" applyAlignment="1">
      <alignment horizontal="right"/>
    </xf>
    <xf numFmtId="2" fontId="16" fillId="5" borderId="58" xfId="11" applyNumberFormat="1" applyFont="1" applyFill="1" applyBorder="1" applyAlignment="1">
      <alignment horizontal="right"/>
    </xf>
    <xf numFmtId="0" fontId="35" fillId="5" borderId="16" xfId="26" applyFont="1" applyFill="1" applyBorder="1"/>
    <xf numFmtId="0" fontId="23" fillId="5" borderId="16" xfId="26" applyFont="1" applyFill="1" applyBorder="1"/>
    <xf numFmtId="3" fontId="23" fillId="5" borderId="16" xfId="26" applyNumberFormat="1" applyFont="1" applyFill="1" applyBorder="1" applyAlignment="1">
      <alignment horizontal="right"/>
    </xf>
    <xf numFmtId="168" fontId="16" fillId="5" borderId="16" xfId="26" applyNumberFormat="1" applyFont="1" applyFill="1" applyBorder="1" applyAlignment="1">
      <alignment horizontal="right"/>
    </xf>
    <xf numFmtId="0" fontId="15" fillId="5" borderId="0" xfId="26" applyFont="1" applyFill="1"/>
    <xf numFmtId="0" fontId="25" fillId="5" borderId="0" xfId="26" applyFont="1" applyFill="1"/>
    <xf numFmtId="0" fontId="18" fillId="0" borderId="0" xfId="26" applyFont="1" applyFill="1"/>
    <xf numFmtId="0" fontId="23" fillId="0" borderId="0" xfId="26" applyFont="1" applyFill="1"/>
    <xf numFmtId="38" fontId="23" fillId="0" borderId="0" xfId="26" applyNumberFormat="1" applyFont="1" applyFill="1"/>
    <xf numFmtId="0" fontId="39" fillId="12" borderId="25" xfId="26" applyFont="1" applyFill="1" applyBorder="1" applyAlignment="1">
      <alignment horizontal="center"/>
    </xf>
    <xf numFmtId="0" fontId="39" fillId="12" borderId="27" xfId="26" applyFont="1" applyFill="1" applyBorder="1" applyAlignment="1">
      <alignment horizontal="center"/>
    </xf>
    <xf numFmtId="0" fontId="39" fillId="12" borderId="28" xfId="26" applyFont="1" applyFill="1" applyBorder="1" applyAlignment="1">
      <alignment horizontal="center"/>
    </xf>
    <xf numFmtId="0" fontId="39" fillId="12" borderId="54" xfId="26" applyFont="1" applyFill="1" applyBorder="1" applyAlignment="1">
      <alignment horizontal="center"/>
    </xf>
    <xf numFmtId="0" fontId="39" fillId="12" borderId="30" xfId="26" applyFont="1" applyFill="1" applyBorder="1" applyAlignment="1">
      <alignment horizontal="center"/>
    </xf>
    <xf numFmtId="0" fontId="39" fillId="12" borderId="7" xfId="26" applyFont="1" applyFill="1" applyBorder="1" applyAlignment="1">
      <alignment horizontal="center"/>
    </xf>
    <xf numFmtId="0" fontId="39" fillId="12" borderId="35" xfId="26" applyFont="1" applyFill="1" applyBorder="1" applyAlignment="1">
      <alignment horizontal="center"/>
    </xf>
    <xf numFmtId="0" fontId="39" fillId="12" borderId="55" xfId="26" applyFont="1" applyFill="1" applyBorder="1" applyAlignment="1">
      <alignment horizontal="center"/>
    </xf>
    <xf numFmtId="0" fontId="19" fillId="12" borderId="30" xfId="26" applyFont="1" applyFill="1" applyBorder="1" applyAlignment="1">
      <alignment horizontal="center"/>
    </xf>
    <xf numFmtId="197" fontId="39" fillId="12" borderId="35" xfId="26" applyNumberFormat="1" applyFont="1" applyFill="1" applyBorder="1" applyAlignment="1">
      <alignment horizontal="center"/>
    </xf>
    <xf numFmtId="197" fontId="39" fillId="12" borderId="55" xfId="26" applyNumberFormat="1" applyFont="1" applyFill="1" applyBorder="1" applyAlignment="1">
      <alignment horizontal="center"/>
    </xf>
    <xf numFmtId="0" fontId="19" fillId="12" borderId="46" xfId="26" applyFont="1" applyFill="1" applyBorder="1" applyAlignment="1">
      <alignment horizontal="center"/>
    </xf>
    <xf numFmtId="0" fontId="14" fillId="12" borderId="137" xfId="26" applyFont="1" applyFill="1" applyBorder="1" applyAlignment="1">
      <alignment horizontal="centerContinuous"/>
    </xf>
    <xf numFmtId="0" fontId="14" fillId="12" borderId="150" xfId="26" applyFont="1" applyFill="1" applyBorder="1" applyAlignment="1">
      <alignment horizontal="centerContinuous"/>
    </xf>
    <xf numFmtId="0" fontId="14" fillId="12" borderId="174" xfId="26" applyFont="1" applyFill="1" applyBorder="1" applyAlignment="1">
      <alignment horizontal="center"/>
    </xf>
    <xf numFmtId="15" fontId="39" fillId="13" borderId="30" xfId="26" applyNumberFormat="1" applyFont="1" applyFill="1" applyBorder="1" applyAlignment="1">
      <alignment horizontal="left"/>
    </xf>
    <xf numFmtId="38" fontId="23" fillId="5" borderId="18" xfId="27" applyNumberFormat="1" applyFont="1" applyFill="1" applyBorder="1" applyAlignment="1">
      <alignment horizontal="right"/>
    </xf>
    <xf numFmtId="2" fontId="16" fillId="5" borderId="19" xfId="11" applyNumberFormat="1" applyFont="1" applyFill="1" applyBorder="1" applyAlignment="1">
      <alignment horizontal="right"/>
    </xf>
    <xf numFmtId="15" fontId="39" fillId="13" borderId="30" xfId="26" applyNumberFormat="1" applyFont="1" applyFill="1" applyBorder="1" applyAlignment="1">
      <alignment horizontal="left" vertical="center"/>
    </xf>
    <xf numFmtId="38" fontId="23" fillId="5" borderId="57" xfId="27" applyNumberFormat="1" applyFont="1" applyFill="1" applyBorder="1" applyAlignment="1">
      <alignment horizontal="right" vertical="center"/>
    </xf>
    <xf numFmtId="38" fontId="23" fillId="5" borderId="35" xfId="27" applyNumberFormat="1" applyFont="1" applyFill="1" applyBorder="1" applyAlignment="1">
      <alignment horizontal="right" vertical="center"/>
    </xf>
    <xf numFmtId="2" fontId="16" fillId="5" borderId="55" xfId="11" applyNumberFormat="1" applyFont="1" applyFill="1" applyBorder="1" applyAlignment="1">
      <alignment horizontal="right" vertical="center"/>
    </xf>
    <xf numFmtId="2" fontId="23" fillId="5" borderId="0" xfId="26" applyNumberFormat="1" applyFont="1" applyFill="1" applyAlignment="1">
      <alignment vertical="center"/>
    </xf>
    <xf numFmtId="38" fontId="23" fillId="5" borderId="0" xfId="26" applyNumberFormat="1" applyFont="1" applyFill="1" applyAlignment="1">
      <alignment vertical="center"/>
    </xf>
    <xf numFmtId="0" fontId="23" fillId="5" borderId="0" xfId="26" applyFont="1" applyFill="1" applyAlignment="1">
      <alignment vertical="center"/>
    </xf>
    <xf numFmtId="38" fontId="23" fillId="5" borderId="18" xfId="27" applyNumberFormat="1" applyFont="1" applyFill="1" applyBorder="1" applyAlignment="1">
      <alignment horizontal="right" vertical="center"/>
    </xf>
    <xf numFmtId="2" fontId="16" fillId="5" borderId="19" xfId="11" applyNumberFormat="1" applyFont="1" applyFill="1" applyBorder="1" applyAlignment="1">
      <alignment horizontal="right" vertical="center"/>
    </xf>
    <xf numFmtId="187" fontId="39" fillId="13" borderId="30" xfId="26" applyNumberFormat="1" applyFont="1" applyFill="1" applyBorder="1" applyAlignment="1">
      <alignment horizontal="left" vertical="center"/>
    </xf>
    <xf numFmtId="15" fontId="39" fillId="13" borderId="30" xfId="26" applyNumberFormat="1" applyFont="1" applyFill="1" applyBorder="1" applyAlignment="1">
      <alignment horizontal="right" vertical="center"/>
    </xf>
    <xf numFmtId="15" fontId="39" fillId="13" borderId="30" xfId="26" quotePrefix="1" applyNumberFormat="1" applyFont="1" applyFill="1" applyBorder="1" applyAlignment="1">
      <alignment horizontal="right" vertical="center"/>
    </xf>
    <xf numFmtId="15" fontId="39" fillId="28" borderId="30" xfId="26" quotePrefix="1" applyNumberFormat="1" applyFont="1" applyFill="1" applyBorder="1" applyAlignment="1">
      <alignment horizontal="right" vertical="center"/>
    </xf>
    <xf numFmtId="10" fontId="23" fillId="5" borderId="0" xfId="11" applyNumberFormat="1" applyFont="1" applyFill="1"/>
    <xf numFmtId="15" fontId="39" fillId="12" borderId="30" xfId="26" quotePrefix="1" applyNumberFormat="1" applyFont="1" applyFill="1" applyBorder="1" applyAlignment="1">
      <alignment horizontal="right" vertical="center"/>
    </xf>
    <xf numFmtId="38" fontId="14" fillId="5" borderId="18" xfId="27" applyNumberFormat="1" applyFont="1" applyFill="1" applyBorder="1" applyAlignment="1">
      <alignment horizontal="right" vertical="center"/>
    </xf>
    <xf numFmtId="38" fontId="14" fillId="5" borderId="35" xfId="27" applyNumberFormat="1" applyFont="1" applyFill="1" applyBorder="1" applyAlignment="1">
      <alignment horizontal="right" vertical="center"/>
    </xf>
    <xf numFmtId="2" fontId="37" fillId="5" borderId="19" xfId="11" applyNumberFormat="1" applyFont="1" applyFill="1" applyBorder="1" applyAlignment="1">
      <alignment horizontal="right" vertical="center"/>
    </xf>
    <xf numFmtId="0" fontId="124" fillId="5" borderId="0" xfId="26" applyFont="1" applyFill="1" applyBorder="1" applyAlignment="1">
      <alignment vertical="center" wrapText="1"/>
    </xf>
    <xf numFmtId="0" fontId="125" fillId="5" borderId="0" xfId="26" applyFont="1" applyFill="1" applyAlignment="1">
      <alignment vertical="center"/>
    </xf>
    <xf numFmtId="38" fontId="125" fillId="5" borderId="0" xfId="26" applyNumberFormat="1" applyFont="1" applyFill="1"/>
    <xf numFmtId="0" fontId="125" fillId="5" borderId="0" xfId="26" applyFont="1" applyFill="1"/>
    <xf numFmtId="38" fontId="14" fillId="0" borderId="18" xfId="27" applyNumberFormat="1" applyFont="1" applyFill="1" applyBorder="1" applyAlignment="1">
      <alignment horizontal="right" vertical="center"/>
    </xf>
    <xf numFmtId="38" fontId="14" fillId="0" borderId="35" xfId="27" applyNumberFormat="1" applyFont="1" applyFill="1" applyBorder="1" applyAlignment="1">
      <alignment horizontal="right" vertical="center"/>
    </xf>
    <xf numFmtId="2" fontId="37" fillId="0" borderId="19" xfId="11" applyNumberFormat="1" applyFont="1" applyFill="1" applyBorder="1" applyAlignment="1">
      <alignment horizontal="right" vertical="center"/>
    </xf>
    <xf numFmtId="15" fontId="16" fillId="12" borderId="46" xfId="26" quotePrefix="1" applyNumberFormat="1" applyFont="1" applyFill="1" applyBorder="1" applyAlignment="1">
      <alignment horizontal="right" vertical="center"/>
    </xf>
    <xf numFmtId="38" fontId="14" fillId="5" borderId="22" xfId="27" applyNumberFormat="1" applyFont="1" applyFill="1" applyBorder="1" applyAlignment="1">
      <alignment horizontal="right" vertical="center"/>
    </xf>
    <xf numFmtId="38" fontId="14" fillId="5" borderId="51" xfId="27" applyNumberFormat="1" applyFont="1" applyFill="1" applyBorder="1" applyAlignment="1">
      <alignment horizontal="right" vertical="center"/>
    </xf>
    <xf numFmtId="2" fontId="37" fillId="5" borderId="58" xfId="11" applyNumberFormat="1" applyFont="1" applyFill="1" applyBorder="1" applyAlignment="1">
      <alignment horizontal="right" vertical="center"/>
    </xf>
    <xf numFmtId="38" fontId="125" fillId="5" borderId="0" xfId="26" applyNumberFormat="1" applyFont="1" applyFill="1" applyAlignment="1">
      <alignment vertical="center"/>
    </xf>
    <xf numFmtId="0" fontId="126" fillId="5" borderId="0" xfId="26" applyFont="1" applyFill="1" applyAlignment="1">
      <alignment horizontal="left" vertical="center"/>
    </xf>
    <xf numFmtId="0" fontId="30" fillId="5" borderId="0" xfId="26" applyFont="1" applyFill="1" applyAlignment="1">
      <alignment horizontal="left" vertical="center"/>
    </xf>
    <xf numFmtId="0" fontId="30" fillId="5" borderId="9" xfId="26" applyFont="1" applyFill="1" applyBorder="1" applyAlignment="1">
      <alignment horizontal="left" vertical="center"/>
    </xf>
    <xf numFmtId="0" fontId="124" fillId="5" borderId="0" xfId="26" applyFont="1" applyFill="1" applyAlignment="1">
      <alignment vertical="center"/>
    </xf>
    <xf numFmtId="38" fontId="124" fillId="5" borderId="0" xfId="26" applyNumberFormat="1" applyFont="1" applyFill="1" applyAlignment="1">
      <alignment vertical="center"/>
    </xf>
    <xf numFmtId="0" fontId="30" fillId="5" borderId="0" xfId="13" applyFont="1" applyFill="1" applyBorder="1"/>
    <xf numFmtId="0" fontId="30" fillId="0" borderId="0" xfId="26" applyFont="1" applyFill="1" applyAlignment="1">
      <alignment vertical="center" wrapText="1"/>
    </xf>
    <xf numFmtId="0" fontId="39" fillId="5" borderId="0" xfId="28" applyFont="1" applyFill="1" applyBorder="1" applyAlignment="1" applyProtection="1">
      <alignment horizontal="left" vertical="center"/>
    </xf>
    <xf numFmtId="0" fontId="127" fillId="5" borderId="0" xfId="28" applyFont="1" applyFill="1" applyBorder="1" applyAlignment="1">
      <alignment vertical="center"/>
    </xf>
    <xf numFmtId="0" fontId="127" fillId="5" borderId="0" xfId="28" applyFont="1" applyFill="1" applyBorder="1" applyAlignment="1" applyProtection="1">
      <alignment vertical="center"/>
    </xf>
    <xf numFmtId="4" fontId="127" fillId="5" borderId="0" xfId="28" applyNumberFormat="1" applyFont="1" applyFill="1" applyBorder="1" applyAlignment="1">
      <alignment vertical="center"/>
    </xf>
    <xf numFmtId="0" fontId="19" fillId="12" borderId="25" xfId="28" applyFont="1" applyFill="1" applyBorder="1" applyAlignment="1">
      <alignment vertical="center"/>
    </xf>
    <xf numFmtId="0" fontId="39" fillId="12" borderId="15" xfId="28" applyFont="1" applyFill="1" applyBorder="1" applyAlignment="1">
      <alignment horizontal="center" vertical="center"/>
    </xf>
    <xf numFmtId="0" fontId="39" fillId="12" borderId="28" xfId="28" applyFont="1" applyFill="1" applyBorder="1" applyAlignment="1">
      <alignment horizontal="center" vertical="center"/>
    </xf>
    <xf numFmtId="4" fontId="39" fillId="12" borderId="54" xfId="28" applyNumberFormat="1" applyFont="1" applyFill="1" applyBorder="1" applyAlignment="1">
      <alignment horizontal="centerContinuous" vertical="center"/>
    </xf>
    <xf numFmtId="4" fontId="39" fillId="12" borderId="25" xfId="28" applyNumberFormat="1" applyFont="1" applyFill="1" applyBorder="1" applyAlignment="1">
      <alignment horizontal="centerContinuous" vertical="center"/>
    </xf>
    <xf numFmtId="0" fontId="39" fillId="12" borderId="30" xfId="28" applyFont="1" applyFill="1" applyBorder="1" applyAlignment="1" applyProtection="1">
      <alignment horizontal="centerContinuous" vertical="center"/>
    </xf>
    <xf numFmtId="0" fontId="39" fillId="12" borderId="18" xfId="28" applyFont="1" applyFill="1" applyBorder="1" applyAlignment="1" applyProtection="1">
      <alignment horizontal="center" vertical="center"/>
    </xf>
    <xf numFmtId="0" fontId="39" fillId="12" borderId="35" xfId="28" applyFont="1" applyFill="1" applyBorder="1" applyAlignment="1" applyProtection="1">
      <alignment horizontal="center" vertical="center"/>
    </xf>
    <xf numFmtId="0" fontId="39" fillId="12" borderId="129" xfId="28" applyFont="1" applyFill="1" applyBorder="1" applyAlignment="1" applyProtection="1">
      <alignment horizontal="center" vertical="center"/>
    </xf>
    <xf numFmtId="0" fontId="39" fillId="12" borderId="175" xfId="28" applyFont="1" applyFill="1" applyBorder="1" applyAlignment="1" applyProtection="1">
      <alignment horizontal="center" vertical="center"/>
    </xf>
    <xf numFmtId="0" fontId="19" fillId="12" borderId="46" xfId="28" applyFont="1" applyFill="1" applyBorder="1" applyAlignment="1">
      <alignment vertical="center"/>
    </xf>
    <xf numFmtId="0" fontId="39" fillId="12" borderId="22" xfId="28" applyFont="1" applyFill="1" applyBorder="1" applyAlignment="1" applyProtection="1">
      <alignment horizontal="center" vertical="center"/>
    </xf>
    <xf numFmtId="0" fontId="39" fillId="12" borderId="51" xfId="28" applyFont="1" applyFill="1" applyBorder="1" applyAlignment="1" applyProtection="1">
      <alignment horizontal="center" vertical="center"/>
    </xf>
    <xf numFmtId="0" fontId="39" fillId="12" borderId="24" xfId="28" applyFont="1" applyFill="1" applyBorder="1" applyAlignment="1" applyProtection="1">
      <alignment horizontal="center" vertical="center"/>
    </xf>
    <xf numFmtId="17" fontId="29" fillId="13" borderId="18" xfId="28" applyNumberFormat="1" applyFont="1" applyFill="1" applyBorder="1" applyAlignment="1" applyProtection="1">
      <alignment horizontal="left" vertical="center"/>
    </xf>
    <xf numFmtId="37" fontId="14" fillId="5" borderId="57" xfId="28" applyNumberFormat="1" applyFont="1" applyFill="1" applyBorder="1" applyAlignment="1" applyProtection="1">
      <alignment horizontal="center"/>
    </xf>
    <xf numFmtId="37" fontId="14" fillId="5" borderId="35" xfId="28" applyNumberFormat="1" applyFont="1" applyFill="1" applyBorder="1" applyAlignment="1" applyProtection="1">
      <alignment horizontal="center"/>
    </xf>
    <xf numFmtId="37" fontId="37" fillId="5" borderId="35" xfId="28" applyNumberFormat="1" applyFont="1" applyFill="1" applyBorder="1" applyAlignment="1" applyProtection="1">
      <alignment horizontal="center"/>
    </xf>
    <xf numFmtId="37" fontId="37" fillId="5" borderId="19" xfId="28" applyNumberFormat="1" applyFont="1" applyFill="1" applyBorder="1" applyAlignment="1" applyProtection="1">
      <alignment horizontal="center"/>
    </xf>
    <xf numFmtId="17" fontId="29" fillId="13" borderId="30" xfId="28" applyNumberFormat="1" applyFont="1" applyFill="1" applyBorder="1" applyAlignment="1" applyProtection="1">
      <alignment horizontal="left" vertical="center"/>
    </xf>
    <xf numFmtId="37" fontId="14" fillId="5" borderId="18" xfId="28" applyNumberFormat="1" applyFont="1" applyFill="1" applyBorder="1" applyAlignment="1" applyProtection="1">
      <alignment horizontal="center"/>
    </xf>
    <xf numFmtId="37" fontId="14" fillId="5" borderId="18" xfId="28" applyNumberFormat="1" applyFont="1" applyFill="1" applyBorder="1" applyAlignment="1" applyProtection="1">
      <alignment horizontal="center" vertical="center"/>
    </xf>
    <xf numFmtId="37" fontId="14" fillId="5" borderId="35" xfId="28" applyNumberFormat="1" applyFont="1" applyFill="1" applyBorder="1" applyAlignment="1" applyProtection="1">
      <alignment horizontal="center" vertical="center"/>
    </xf>
    <xf numFmtId="37" fontId="37" fillId="5" borderId="35" xfId="28" applyNumberFormat="1" applyFont="1" applyFill="1" applyBorder="1" applyAlignment="1" applyProtection="1">
      <alignment horizontal="center" vertical="center"/>
    </xf>
    <xf numFmtId="37" fontId="37" fillId="5" borderId="19" xfId="28" applyNumberFormat="1" applyFont="1" applyFill="1" applyBorder="1" applyAlignment="1" applyProtection="1">
      <alignment horizontal="center" vertical="center"/>
    </xf>
    <xf numFmtId="17" fontId="39" fillId="12" borderId="30" xfId="28" applyNumberFormat="1" applyFont="1" applyFill="1" applyBorder="1" applyAlignment="1" applyProtection="1">
      <alignment horizontal="left" vertical="center"/>
    </xf>
    <xf numFmtId="37" fontId="14" fillId="5" borderId="0" xfId="28" applyNumberFormat="1" applyFont="1" applyFill="1" applyBorder="1" applyAlignment="1" applyProtection="1">
      <alignment horizontal="center" vertical="center"/>
    </xf>
    <xf numFmtId="37" fontId="14" fillId="5" borderId="7" xfId="28" applyNumberFormat="1" applyFont="1" applyFill="1" applyBorder="1" applyAlignment="1" applyProtection="1">
      <alignment horizontal="center" vertical="center"/>
    </xf>
    <xf numFmtId="37" fontId="37" fillId="5" borderId="55" xfId="28" applyNumberFormat="1" applyFont="1" applyFill="1" applyBorder="1" applyAlignment="1" applyProtection="1">
      <alignment horizontal="center" vertical="center"/>
    </xf>
    <xf numFmtId="37" fontId="14" fillId="5" borderId="57" xfId="28" applyNumberFormat="1" applyFont="1" applyFill="1" applyBorder="1" applyAlignment="1" applyProtection="1">
      <alignment horizontal="center" vertical="center"/>
    </xf>
    <xf numFmtId="17" fontId="39" fillId="12" borderId="57" xfId="28" applyNumberFormat="1" applyFont="1" applyFill="1" applyBorder="1" applyAlignment="1" applyProtection="1">
      <alignment horizontal="left" vertical="center"/>
    </xf>
    <xf numFmtId="17" fontId="39" fillId="12" borderId="46" xfId="28" applyNumberFormat="1" applyFont="1" applyFill="1" applyBorder="1" applyAlignment="1" applyProtection="1">
      <alignment horizontal="left" vertical="center"/>
    </xf>
    <xf numFmtId="37" fontId="14" fillId="5" borderId="61" xfId="28" applyNumberFormat="1" applyFont="1" applyFill="1" applyBorder="1" applyAlignment="1" applyProtection="1">
      <alignment horizontal="center" vertical="center"/>
    </xf>
    <xf numFmtId="37" fontId="14" fillId="5" borderId="51" xfId="28" applyNumberFormat="1" applyFont="1" applyFill="1" applyBorder="1" applyAlignment="1" applyProtection="1">
      <alignment horizontal="center" vertical="center"/>
    </xf>
    <xf numFmtId="37" fontId="37" fillId="5" borderId="51" xfId="28" applyNumberFormat="1" applyFont="1" applyFill="1" applyBorder="1" applyAlignment="1" applyProtection="1">
      <alignment horizontal="center" vertical="center"/>
    </xf>
    <xf numFmtId="37" fontId="37" fillId="5" borderId="58" xfId="28" applyNumberFormat="1" applyFont="1" applyFill="1" applyBorder="1" applyAlignment="1" applyProtection="1">
      <alignment horizontal="center" vertical="center"/>
    </xf>
    <xf numFmtId="0" fontId="45" fillId="5" borderId="0" xfId="26" applyFont="1" applyFill="1" applyAlignment="1">
      <alignment vertical="center"/>
    </xf>
    <xf numFmtId="0" fontId="25" fillId="5" borderId="0" xfId="26" applyFont="1" applyFill="1" applyAlignment="1">
      <alignment vertical="center"/>
    </xf>
    <xf numFmtId="0" fontId="0" fillId="5" borderId="0" xfId="22" applyFont="1" applyFill="1"/>
    <xf numFmtId="0" fontId="16" fillId="5" borderId="0" xfId="14" applyFont="1" applyFill="1"/>
    <xf numFmtId="0" fontId="23" fillId="5" borderId="0" xfId="14" applyFill="1"/>
    <xf numFmtId="0" fontId="23" fillId="5" borderId="0" xfId="14" applyFont="1" applyFill="1"/>
    <xf numFmtId="0" fontId="80" fillId="5" borderId="0" xfId="14" applyFont="1" applyFill="1"/>
    <xf numFmtId="0" fontId="15" fillId="5" borderId="0" xfId="14" applyFont="1" applyFill="1" applyAlignment="1">
      <alignment horizontal="center"/>
    </xf>
    <xf numFmtId="0" fontId="25" fillId="5" borderId="0" xfId="14" applyFont="1" applyFill="1"/>
    <xf numFmtId="0" fontId="25" fillId="5" borderId="23" xfId="14" applyFont="1" applyFill="1" applyBorder="1" applyAlignment="1"/>
    <xf numFmtId="0" fontId="25" fillId="5" borderId="0" xfId="14" applyFont="1" applyFill="1" applyAlignment="1">
      <alignment horizontal="right"/>
    </xf>
    <xf numFmtId="0" fontId="128" fillId="5" borderId="0" xfId="29" applyFont="1" applyFill="1" applyBorder="1" applyAlignment="1">
      <alignment horizontal="centerContinuous"/>
    </xf>
    <xf numFmtId="0" fontId="45" fillId="5" borderId="0" xfId="29" applyFont="1" applyFill="1" applyBorder="1" applyAlignment="1">
      <alignment horizontal="right"/>
    </xf>
    <xf numFmtId="3" fontId="10" fillId="12" borderId="25" xfId="14" applyNumberFormat="1" applyFont="1" applyFill="1" applyBorder="1" applyAlignment="1">
      <alignment horizontal="center"/>
    </xf>
    <xf numFmtId="17" fontId="10" fillId="12" borderId="66" xfId="14" applyNumberFormat="1" applyFont="1" applyFill="1" applyBorder="1" applyAlignment="1">
      <alignment horizontal="centerContinuous"/>
    </xf>
    <xf numFmtId="17" fontId="10" fillId="12" borderId="65" xfId="14" applyNumberFormat="1" applyFont="1" applyFill="1" applyBorder="1" applyAlignment="1">
      <alignment horizontal="centerContinuous"/>
    </xf>
    <xf numFmtId="17" fontId="10" fillId="12" borderId="67" xfId="14" applyNumberFormat="1" applyFont="1" applyFill="1" applyBorder="1" applyAlignment="1">
      <alignment horizontal="centerContinuous"/>
    </xf>
    <xf numFmtId="17" fontId="10" fillId="12" borderId="67" xfId="14" quotePrefix="1" applyNumberFormat="1" applyFont="1" applyFill="1" applyBorder="1" applyAlignment="1">
      <alignment horizontal="centerContinuous"/>
    </xf>
    <xf numFmtId="17" fontId="10" fillId="12" borderId="62" xfId="14" quotePrefix="1" applyNumberFormat="1" applyFont="1" applyFill="1" applyBorder="1" applyAlignment="1">
      <alignment horizontal="centerContinuous"/>
    </xf>
    <xf numFmtId="17" fontId="37" fillId="12" borderId="67" xfId="14" quotePrefix="1" applyNumberFormat="1" applyFont="1" applyFill="1" applyBorder="1" applyAlignment="1">
      <alignment horizontal="centerContinuous"/>
    </xf>
    <xf numFmtId="17" fontId="88" fillId="12" borderId="67" xfId="14" quotePrefix="1" applyNumberFormat="1" applyFont="1" applyFill="1" applyBorder="1" applyAlignment="1">
      <alignment horizontal="centerContinuous"/>
    </xf>
    <xf numFmtId="3" fontId="10" fillId="12" borderId="57" xfId="14" applyNumberFormat="1" applyFont="1" applyFill="1" applyBorder="1"/>
    <xf numFmtId="0" fontId="23" fillId="5" borderId="16" xfId="14" applyFont="1" applyFill="1" applyBorder="1"/>
    <xf numFmtId="0" fontId="23" fillId="5" borderId="28" xfId="14" applyFont="1" applyFill="1" applyBorder="1"/>
    <xf numFmtId="0" fontId="23" fillId="5" borderId="16" xfId="14" applyFill="1" applyBorder="1"/>
    <xf numFmtId="0" fontId="23" fillId="5" borderId="28" xfId="14" applyFill="1" applyBorder="1"/>
    <xf numFmtId="0" fontId="23" fillId="5" borderId="17" xfId="14" applyFill="1" applyBorder="1"/>
    <xf numFmtId="0" fontId="23" fillId="5" borderId="25" xfId="14" applyFill="1" applyBorder="1"/>
    <xf numFmtId="0" fontId="23" fillId="5" borderId="25" xfId="14" applyFont="1" applyFill="1" applyBorder="1"/>
    <xf numFmtId="0" fontId="127" fillId="5" borderId="25" xfId="14" applyFont="1" applyFill="1" applyBorder="1"/>
    <xf numFmtId="0" fontId="23" fillId="5" borderId="15" xfId="14" applyFill="1" applyBorder="1"/>
    <xf numFmtId="0" fontId="23" fillId="5" borderId="54" xfId="14" applyFill="1" applyBorder="1"/>
    <xf numFmtId="0" fontId="3" fillId="5" borderId="25" xfId="22" applyFill="1" applyBorder="1"/>
    <xf numFmtId="3" fontId="129" fillId="12" borderId="57" xfId="14" applyNumberFormat="1" applyFont="1" applyFill="1" applyBorder="1"/>
    <xf numFmtId="0" fontId="23" fillId="5" borderId="0" xfId="14" applyFont="1" applyFill="1" applyBorder="1"/>
    <xf numFmtId="0" fontId="23" fillId="5" borderId="35" xfId="14" applyFont="1" applyFill="1" applyBorder="1"/>
    <xf numFmtId="0" fontId="23" fillId="5" borderId="0" xfId="14" applyFill="1" applyBorder="1"/>
    <xf numFmtId="0" fontId="23" fillId="5" borderId="35" xfId="14" applyFill="1" applyBorder="1"/>
    <xf numFmtId="0" fontId="23" fillId="5" borderId="19" xfId="14" applyFill="1" applyBorder="1"/>
    <xf numFmtId="0" fontId="23" fillId="5" borderId="30" xfId="14" applyFill="1" applyBorder="1"/>
    <xf numFmtId="0" fontId="23" fillId="5" borderId="30" xfId="14" applyFont="1" applyFill="1" applyBorder="1"/>
    <xf numFmtId="0" fontId="127" fillId="5" borderId="30" xfId="14" applyFont="1" applyFill="1" applyBorder="1"/>
    <xf numFmtId="0" fontId="23" fillId="5" borderId="18" xfId="14" applyFill="1" applyBorder="1"/>
    <xf numFmtId="0" fontId="23" fillId="5" borderId="55" xfId="14" applyFill="1" applyBorder="1"/>
    <xf numFmtId="0" fontId="3" fillId="5" borderId="30" xfId="22" applyFill="1" applyBorder="1"/>
    <xf numFmtId="3" fontId="130" fillId="12" borderId="57" xfId="14" applyNumberFormat="1" applyFont="1" applyFill="1" applyBorder="1"/>
    <xf numFmtId="4" fontId="11" fillId="5" borderId="0" xfId="14" applyNumberFormat="1" applyFont="1" applyFill="1" applyBorder="1" applyAlignment="1">
      <alignment horizontal="right"/>
    </xf>
    <xf numFmtId="4" fontId="11" fillId="5" borderId="35" xfId="14" applyNumberFormat="1" applyFont="1" applyFill="1" applyBorder="1" applyAlignment="1">
      <alignment horizontal="right"/>
    </xf>
    <xf numFmtId="4" fontId="11" fillId="5" borderId="19" xfId="14" applyNumberFormat="1" applyFont="1" applyFill="1" applyBorder="1" applyAlignment="1">
      <alignment horizontal="right"/>
    </xf>
    <xf numFmtId="3" fontId="130" fillId="12" borderId="30" xfId="14" applyNumberFormat="1" applyFont="1" applyFill="1" applyBorder="1"/>
    <xf numFmtId="4" fontId="11" fillId="5" borderId="30" xfId="14" applyNumberFormat="1" applyFont="1" applyFill="1" applyBorder="1" applyAlignment="1">
      <alignment horizontal="right"/>
    </xf>
    <xf numFmtId="4" fontId="23" fillId="5" borderId="30" xfId="14" applyNumberFormat="1" applyFill="1" applyBorder="1"/>
    <xf numFmtId="4" fontId="23" fillId="5" borderId="18" xfId="14" applyNumberFormat="1" applyFill="1" applyBorder="1"/>
    <xf numFmtId="4" fontId="23" fillId="5" borderId="55" xfId="14" applyNumberFormat="1" applyFill="1" applyBorder="1"/>
    <xf numFmtId="4" fontId="130" fillId="5" borderId="30" xfId="14" applyNumberFormat="1" applyFont="1" applyFill="1" applyBorder="1"/>
    <xf numFmtId="4" fontId="132" fillId="5" borderId="30" xfId="22" applyNumberFormat="1" applyFont="1" applyFill="1" applyBorder="1"/>
    <xf numFmtId="0" fontId="133" fillId="5" borderId="30" xfId="14" applyFont="1" applyFill="1" applyBorder="1"/>
    <xf numFmtId="0" fontId="134" fillId="5" borderId="30" xfId="22" applyFont="1" applyFill="1" applyBorder="1"/>
    <xf numFmtId="3" fontId="129" fillId="12" borderId="30" xfId="14" applyNumberFormat="1" applyFont="1" applyFill="1" applyBorder="1"/>
    <xf numFmtId="0" fontId="10" fillId="5" borderId="0" xfId="14" applyFont="1" applyFill="1" applyBorder="1" applyAlignment="1">
      <alignment horizontal="right"/>
    </xf>
    <xf numFmtId="0" fontId="10" fillId="5" borderId="35" xfId="14" applyFont="1" applyFill="1" applyBorder="1" applyAlignment="1">
      <alignment horizontal="right"/>
    </xf>
    <xf numFmtId="0" fontId="10" fillId="5" borderId="19" xfId="14" applyFont="1" applyFill="1" applyBorder="1" applyAlignment="1">
      <alignment horizontal="right"/>
    </xf>
    <xf numFmtId="0" fontId="10" fillId="5" borderId="30" xfId="14" applyFont="1" applyFill="1" applyBorder="1" applyAlignment="1">
      <alignment horizontal="right"/>
    </xf>
    <xf numFmtId="0" fontId="10" fillId="5" borderId="18" xfId="14" applyFont="1" applyFill="1" applyBorder="1" applyAlignment="1">
      <alignment horizontal="right"/>
    </xf>
    <xf numFmtId="0" fontId="10" fillId="5" borderId="55" xfId="14" applyFont="1" applyFill="1" applyBorder="1" applyAlignment="1">
      <alignment horizontal="right"/>
    </xf>
    <xf numFmtId="0" fontId="129" fillId="5" borderId="30" xfId="14" applyFont="1" applyFill="1" applyBorder="1" applyAlignment="1">
      <alignment horizontal="right"/>
    </xf>
    <xf numFmtId="0" fontId="129" fillId="5" borderId="30" xfId="22" applyFont="1" applyFill="1" applyBorder="1" applyAlignment="1">
      <alignment horizontal="right"/>
    </xf>
    <xf numFmtId="0" fontId="127" fillId="5" borderId="18" xfId="14" applyFont="1" applyFill="1" applyBorder="1"/>
    <xf numFmtId="0" fontId="127" fillId="5" borderId="55" xfId="14" applyFont="1" applyFill="1" applyBorder="1"/>
    <xf numFmtId="0" fontId="135" fillId="5" borderId="30" xfId="14" applyFont="1" applyFill="1" applyBorder="1"/>
    <xf numFmtId="0" fontId="135" fillId="5" borderId="30" xfId="22" applyFont="1" applyFill="1" applyBorder="1"/>
    <xf numFmtId="2" fontId="11" fillId="5" borderId="0" xfId="14" applyNumberFormat="1" applyFont="1" applyFill="1" applyBorder="1" applyAlignment="1">
      <alignment horizontal="right"/>
    </xf>
    <xf numFmtId="2" fontId="11" fillId="5" borderId="35" xfId="14" applyNumberFormat="1" applyFont="1" applyFill="1" applyBorder="1" applyAlignment="1">
      <alignment horizontal="right"/>
    </xf>
    <xf numFmtId="2" fontId="11" fillId="5" borderId="19" xfId="14" applyNumberFormat="1" applyFont="1" applyFill="1" applyBorder="1" applyAlignment="1">
      <alignment horizontal="right"/>
    </xf>
    <xf numFmtId="2" fontId="11" fillId="5" borderId="30" xfId="14" applyNumberFormat="1" applyFont="1" applyFill="1" applyBorder="1" applyAlignment="1">
      <alignment horizontal="right"/>
    </xf>
    <xf numFmtId="2" fontId="11" fillId="5" borderId="18" xfId="14" applyNumberFormat="1" applyFont="1" applyFill="1" applyBorder="1" applyAlignment="1">
      <alignment horizontal="right"/>
    </xf>
    <xf numFmtId="2" fontId="11" fillId="5" borderId="55" xfId="14" applyNumberFormat="1" applyFont="1" applyFill="1" applyBorder="1" applyAlignment="1">
      <alignment horizontal="right"/>
    </xf>
    <xf numFmtId="2" fontId="130" fillId="5" borderId="30" xfId="14" applyNumberFormat="1" applyFont="1" applyFill="1" applyBorder="1" applyAlignment="1">
      <alignment horizontal="right"/>
    </xf>
    <xf numFmtId="2" fontId="130" fillId="5" borderId="30" xfId="22" applyNumberFormat="1" applyFont="1" applyFill="1" applyBorder="1" applyAlignment="1">
      <alignment horizontal="right"/>
    </xf>
    <xf numFmtId="0" fontId="11" fillId="5" borderId="0" xfId="14" applyFont="1" applyFill="1" applyBorder="1"/>
    <xf numFmtId="0" fontId="11" fillId="5" borderId="35" xfId="14" applyFont="1" applyFill="1" applyBorder="1"/>
    <xf numFmtId="0" fontId="11" fillId="5" borderId="19" xfId="14" applyFont="1" applyFill="1" applyBorder="1"/>
    <xf numFmtId="0" fontId="11" fillId="5" borderId="30" xfId="14" applyFont="1" applyFill="1" applyBorder="1"/>
    <xf numFmtId="0" fontId="11" fillId="5" borderId="30" xfId="14" applyFont="1" applyFill="1" applyBorder="1" applyAlignment="1">
      <alignment horizontal="left" indent="2"/>
    </xf>
    <xf numFmtId="0" fontId="11" fillId="5" borderId="18" xfId="14" applyFont="1" applyFill="1" applyBorder="1" applyAlignment="1">
      <alignment horizontal="left" indent="2"/>
    </xf>
    <xf numFmtId="0" fontId="11" fillId="5" borderId="55" xfId="14" applyFont="1" applyFill="1" applyBorder="1" applyAlignment="1">
      <alignment horizontal="left" indent="2"/>
    </xf>
    <xf numFmtId="0" fontId="130" fillId="5" borderId="30" xfId="14" applyFont="1" applyFill="1" applyBorder="1" applyAlignment="1">
      <alignment horizontal="left" indent="2"/>
    </xf>
    <xf numFmtId="0" fontId="130" fillId="5" borderId="30" xfId="22" applyFont="1" applyFill="1" applyBorder="1" applyAlignment="1">
      <alignment horizontal="left" indent="2"/>
    </xf>
    <xf numFmtId="3" fontId="136" fillId="12" borderId="30" xfId="14" applyNumberFormat="1" applyFont="1" applyFill="1" applyBorder="1"/>
    <xf numFmtId="2" fontId="15" fillId="5" borderId="0" xfId="14" applyNumberFormat="1" applyFont="1" applyFill="1" applyBorder="1" applyAlignment="1">
      <alignment horizontal="right"/>
    </xf>
    <xf numFmtId="2" fontId="15" fillId="5" borderId="35" xfId="14" applyNumberFormat="1" applyFont="1" applyFill="1" applyBorder="1" applyAlignment="1">
      <alignment horizontal="right"/>
    </xf>
    <xf numFmtId="2" fontId="15" fillId="5" borderId="19" xfId="14" applyNumberFormat="1" applyFont="1" applyFill="1" applyBorder="1" applyAlignment="1">
      <alignment horizontal="right"/>
    </xf>
    <xf numFmtId="2" fontId="15" fillId="5" borderId="30" xfId="14" applyNumberFormat="1" applyFont="1" applyFill="1" applyBorder="1" applyAlignment="1">
      <alignment horizontal="right"/>
    </xf>
    <xf numFmtId="2" fontId="15" fillId="5" borderId="18" xfId="14" applyNumberFormat="1" applyFont="1" applyFill="1" applyBorder="1" applyAlignment="1">
      <alignment horizontal="right"/>
    </xf>
    <xf numFmtId="2" fontId="15" fillId="5" borderId="55" xfId="14" applyNumberFormat="1" applyFont="1" applyFill="1" applyBorder="1" applyAlignment="1">
      <alignment horizontal="right"/>
    </xf>
    <xf numFmtId="0" fontId="130" fillId="5" borderId="19" xfId="14" applyFont="1" applyFill="1" applyBorder="1"/>
    <xf numFmtId="0" fontId="130" fillId="5" borderId="19" xfId="22" applyFont="1" applyFill="1" applyBorder="1"/>
    <xf numFmtId="2" fontId="11" fillId="0" borderId="19" xfId="14" applyNumberFormat="1" applyFont="1" applyFill="1" applyBorder="1" applyAlignment="1">
      <alignment horizontal="right"/>
    </xf>
    <xf numFmtId="0" fontId="130" fillId="5" borderId="30" xfId="14" applyFont="1" applyFill="1" applyBorder="1"/>
    <xf numFmtId="2" fontId="130" fillId="5" borderId="19" xfId="14" applyNumberFormat="1" applyFont="1" applyFill="1" applyBorder="1" applyAlignment="1">
      <alignment horizontal="right"/>
    </xf>
    <xf numFmtId="2" fontId="130" fillId="5" borderId="19" xfId="22" applyNumberFormat="1" applyFont="1" applyFill="1" applyBorder="1" applyAlignment="1">
      <alignment horizontal="right"/>
    </xf>
    <xf numFmtId="174" fontId="11" fillId="5" borderId="19" xfId="14" applyNumberFormat="1" applyFont="1" applyFill="1" applyBorder="1" applyAlignment="1">
      <alignment horizontal="right"/>
    </xf>
    <xf numFmtId="43" fontId="11" fillId="5" borderId="19" xfId="14" applyNumberFormat="1" applyFont="1" applyFill="1" applyBorder="1" applyAlignment="1">
      <alignment horizontal="right"/>
    </xf>
    <xf numFmtId="2" fontId="130" fillId="5" borderId="19" xfId="22" applyNumberFormat="1" applyFont="1" applyFill="1" applyBorder="1" applyAlignment="1">
      <alignment horizontal="center"/>
    </xf>
    <xf numFmtId="2" fontId="11" fillId="5" borderId="19" xfId="14" applyNumberFormat="1" applyFont="1" applyFill="1" applyBorder="1" applyAlignment="1">
      <alignment horizontal="center"/>
    </xf>
    <xf numFmtId="166" fontId="23" fillId="5" borderId="30" xfId="30" applyNumberFormat="1" applyFont="1" applyFill="1" applyBorder="1" applyAlignment="1">
      <alignment horizontal="left"/>
    </xf>
    <xf numFmtId="43" fontId="23" fillId="5" borderId="30" xfId="30" applyNumberFormat="1" applyFont="1" applyFill="1" applyBorder="1" applyAlignment="1">
      <alignment horizontal="left"/>
    </xf>
    <xf numFmtId="0" fontId="23" fillId="5" borderId="19" xfId="14" applyFont="1" applyFill="1" applyBorder="1"/>
    <xf numFmtId="0" fontId="127" fillId="5" borderId="19" xfId="14" applyFont="1" applyFill="1" applyBorder="1"/>
    <xf numFmtId="0" fontId="135" fillId="5" borderId="19" xfId="14" applyFont="1" applyFill="1" applyBorder="1"/>
    <xf numFmtId="0" fontId="135" fillId="5" borderId="19" xfId="22" applyFont="1" applyFill="1" applyBorder="1"/>
    <xf numFmtId="2" fontId="10" fillId="5" borderId="0" xfId="14" applyNumberFormat="1" applyFont="1" applyFill="1" applyBorder="1" applyAlignment="1">
      <alignment horizontal="right"/>
    </xf>
    <xf numFmtId="2" fontId="10" fillId="5" borderId="35" xfId="14" applyNumberFormat="1" applyFont="1" applyFill="1" applyBorder="1" applyAlignment="1">
      <alignment horizontal="right"/>
    </xf>
    <xf numFmtId="2" fontId="10" fillId="5" borderId="19" xfId="14" applyNumberFormat="1" applyFont="1" applyFill="1" applyBorder="1" applyAlignment="1">
      <alignment horizontal="right"/>
    </xf>
    <xf numFmtId="2" fontId="10" fillId="5" borderId="30" xfId="14" applyNumberFormat="1" applyFont="1" applyFill="1" applyBorder="1" applyAlignment="1">
      <alignment horizontal="right"/>
    </xf>
    <xf numFmtId="2" fontId="129" fillId="5" borderId="30" xfId="14" applyNumberFormat="1" applyFont="1" applyFill="1" applyBorder="1" applyAlignment="1">
      <alignment horizontal="right"/>
    </xf>
    <xf numFmtId="2" fontId="129" fillId="5" borderId="19" xfId="14" applyNumberFormat="1" applyFont="1" applyFill="1" applyBorder="1" applyAlignment="1">
      <alignment horizontal="right"/>
    </xf>
    <xf numFmtId="0" fontId="137" fillId="5" borderId="19" xfId="14" applyFont="1" applyFill="1" applyBorder="1"/>
    <xf numFmtId="0" fontId="137" fillId="5" borderId="30" xfId="14" applyFont="1" applyFill="1" applyBorder="1"/>
    <xf numFmtId="2" fontId="130" fillId="0" borderId="19" xfId="14" applyNumberFormat="1" applyFont="1" applyFill="1" applyBorder="1" applyAlignment="1">
      <alignment horizontal="right"/>
    </xf>
    <xf numFmtId="2" fontId="130" fillId="0" borderId="19" xfId="22" applyNumberFormat="1" applyFont="1" applyFill="1" applyBorder="1" applyAlignment="1">
      <alignment horizontal="right"/>
    </xf>
    <xf numFmtId="3" fontId="11" fillId="12" borderId="46" xfId="14" applyNumberFormat="1" applyFont="1" applyFill="1" applyBorder="1"/>
    <xf numFmtId="0" fontId="23" fillId="5" borderId="23" xfId="14" applyFont="1" applyFill="1" applyBorder="1"/>
    <xf numFmtId="0" fontId="23" fillId="5" borderId="51" xfId="14" applyFont="1" applyFill="1" applyBorder="1"/>
    <xf numFmtId="0" fontId="23" fillId="5" borderId="51" xfId="14" applyFill="1" applyBorder="1"/>
    <xf numFmtId="0" fontId="23" fillId="5" borderId="23" xfId="14" applyFill="1" applyBorder="1"/>
    <xf numFmtId="0" fontId="23" fillId="5" borderId="24" xfId="14" applyFill="1" applyBorder="1"/>
    <xf numFmtId="0" fontId="23" fillId="5" borderId="46" xfId="14" applyFill="1" applyBorder="1"/>
    <xf numFmtId="0" fontId="23" fillId="5" borderId="46" xfId="14" applyFont="1" applyFill="1" applyBorder="1"/>
    <xf numFmtId="0" fontId="23" fillId="5" borderId="22" xfId="14" applyFill="1" applyBorder="1"/>
    <xf numFmtId="0" fontId="23" fillId="5" borderId="58" xfId="14" applyFill="1" applyBorder="1"/>
    <xf numFmtId="0" fontId="23" fillId="5" borderId="46" xfId="22" applyFont="1" applyFill="1" applyBorder="1"/>
    <xf numFmtId="0" fontId="15" fillId="5" borderId="16" xfId="14" applyFont="1" applyFill="1" applyBorder="1" applyAlignment="1" applyProtection="1">
      <alignment horizontal="left"/>
    </xf>
    <xf numFmtId="0" fontId="45" fillId="5" borderId="0" xfId="14" applyFont="1" applyFill="1" applyBorder="1" applyAlignment="1" applyProtection="1">
      <alignment horizontal="left"/>
    </xf>
    <xf numFmtId="0" fontId="80" fillId="5" borderId="0" xfId="29" applyFont="1" applyFill="1"/>
    <xf numFmtId="0" fontId="79" fillId="5" borderId="0" xfId="29" applyFont="1" applyFill="1"/>
    <xf numFmtId="168" fontId="79" fillId="5" borderId="0" xfId="29" applyNumberFormat="1" applyFont="1" applyFill="1"/>
    <xf numFmtId="0" fontId="138" fillId="5" borderId="0" xfId="29" applyFont="1" applyFill="1" applyBorder="1"/>
    <xf numFmtId="0" fontId="139" fillId="5" borderId="0" xfId="29" applyFont="1" applyFill="1" applyBorder="1"/>
    <xf numFmtId="0" fontId="139" fillId="5" borderId="0" xfId="29" applyFont="1" applyFill="1"/>
    <xf numFmtId="0" fontId="30" fillId="5" borderId="0" xfId="29" applyFont="1" applyFill="1" applyBorder="1" applyAlignment="1">
      <alignment horizontal="centerContinuous"/>
    </xf>
    <xf numFmtId="0" fontId="139" fillId="5" borderId="0" xfId="29" applyFont="1" applyFill="1" applyBorder="1" applyAlignment="1">
      <alignment horizontal="centerContinuous"/>
    </xf>
    <xf numFmtId="0" fontId="23" fillId="12" borderId="25" xfId="29" applyFont="1" applyFill="1" applyBorder="1"/>
    <xf numFmtId="0" fontId="39" fillId="12" borderId="60" xfId="29" applyFont="1" applyFill="1" applyBorder="1" applyAlignment="1">
      <alignment horizontal="center"/>
    </xf>
    <xf numFmtId="0" fontId="39" fillId="12" borderId="28" xfId="29" applyFont="1" applyFill="1" applyBorder="1" applyAlignment="1">
      <alignment horizontal="center"/>
    </xf>
    <xf numFmtId="0" fontId="39" fillId="12" borderId="17" xfId="29" applyFont="1" applyFill="1" applyBorder="1" applyAlignment="1">
      <alignment horizontal="center"/>
    </xf>
    <xf numFmtId="0" fontId="23" fillId="12" borderId="30" xfId="29" applyFont="1" applyFill="1" applyBorder="1"/>
    <xf numFmtId="0" fontId="39" fillId="12" borderId="57" xfId="29" applyFont="1" applyFill="1" applyBorder="1" applyAlignment="1">
      <alignment horizontal="center"/>
    </xf>
    <xf numFmtId="0" fontId="39" fillId="12" borderId="35" xfId="29" applyFont="1" applyFill="1" applyBorder="1" applyAlignment="1">
      <alignment horizontal="center"/>
    </xf>
    <xf numFmtId="0" fontId="39" fillId="12" borderId="19" xfId="29" applyFont="1" applyFill="1" applyBorder="1" applyAlignment="1">
      <alignment horizontal="center"/>
    </xf>
    <xf numFmtId="0" fontId="23" fillId="12" borderId="46" xfId="29" applyFont="1" applyFill="1" applyBorder="1"/>
    <xf numFmtId="0" fontId="39" fillId="12" borderId="61" xfId="29" applyFont="1" applyFill="1" applyBorder="1" applyAlignment="1">
      <alignment horizontal="center"/>
    </xf>
    <xf numFmtId="0" fontId="39" fillId="12" borderId="51" xfId="29" applyFont="1" applyFill="1" applyBorder="1" applyAlignment="1">
      <alignment horizontal="center"/>
    </xf>
    <xf numFmtId="0" fontId="39" fillId="12" borderId="24" xfId="29" applyFont="1" applyFill="1" applyBorder="1" applyAlignment="1">
      <alignment horizontal="center"/>
    </xf>
    <xf numFmtId="17" fontId="16" fillId="13" borderId="30" xfId="29" applyNumberFormat="1" applyFont="1" applyFill="1" applyBorder="1" applyAlignment="1">
      <alignment horizontal="left"/>
    </xf>
    <xf numFmtId="2" fontId="23" fillId="5" borderId="7" xfId="29" applyNumberFormat="1" applyFont="1" applyFill="1" applyBorder="1" applyAlignment="1">
      <alignment horizontal="right"/>
    </xf>
    <xf numFmtId="2" fontId="23" fillId="5" borderId="35" xfId="29" applyNumberFormat="1" applyFont="1" applyFill="1" applyBorder="1" applyAlignment="1">
      <alignment horizontal="center"/>
    </xf>
    <xf numFmtId="2" fontId="23" fillId="5" borderId="35" xfId="29" applyNumberFormat="1" applyFont="1" applyFill="1" applyBorder="1" applyAlignment="1">
      <alignment horizontal="right"/>
    </xf>
    <xf numFmtId="0" fontId="23" fillId="5" borderId="35" xfId="29" applyFont="1" applyFill="1" applyBorder="1" applyAlignment="1">
      <alignment horizontal="right"/>
    </xf>
    <xf numFmtId="2" fontId="23" fillId="5" borderId="55" xfId="29" applyNumberFormat="1" applyFont="1" applyFill="1" applyBorder="1" applyAlignment="1">
      <alignment horizontal="right"/>
    </xf>
    <xf numFmtId="2" fontId="139" fillId="5" borderId="0" xfId="29" applyNumberFormat="1" applyFont="1" applyFill="1"/>
    <xf numFmtId="2" fontId="141" fillId="5" borderId="0" xfId="29" applyNumberFormat="1" applyFont="1" applyFill="1"/>
    <xf numFmtId="0" fontId="141" fillId="5" borderId="0" xfId="29" applyFont="1" applyFill="1"/>
    <xf numFmtId="2" fontId="127" fillId="5" borderId="35" xfId="29" applyNumberFormat="1" applyFont="1" applyFill="1" applyBorder="1" applyAlignment="1">
      <alignment horizontal="center"/>
    </xf>
    <xf numFmtId="2" fontId="23" fillId="5" borderId="35" xfId="29" quotePrefix="1" applyNumberFormat="1" applyFont="1" applyFill="1" applyBorder="1" applyAlignment="1">
      <alignment horizontal="right"/>
    </xf>
    <xf numFmtId="17" fontId="16" fillId="13" borderId="30" xfId="29" quotePrefix="1" applyNumberFormat="1" applyFont="1" applyFill="1" applyBorder="1" applyAlignment="1">
      <alignment horizontal="left"/>
    </xf>
    <xf numFmtId="17" fontId="37" fillId="12" borderId="30" xfId="29" quotePrefix="1" applyNumberFormat="1" applyFont="1" applyFill="1" applyBorder="1" applyAlignment="1">
      <alignment horizontal="left"/>
    </xf>
    <xf numFmtId="2" fontId="14" fillId="5" borderId="7" xfId="29" applyNumberFormat="1" applyFont="1" applyFill="1" applyBorder="1" applyAlignment="1">
      <alignment horizontal="right"/>
    </xf>
    <xf numFmtId="2" fontId="43" fillId="5" borderId="35" xfId="29" applyNumberFormat="1" applyFont="1" applyFill="1" applyBorder="1" applyAlignment="1">
      <alignment horizontal="center"/>
    </xf>
    <xf numFmtId="2" fontId="14" fillId="5" borderId="35" xfId="29" applyNumberFormat="1" applyFont="1" applyFill="1" applyBorder="1" applyAlignment="1">
      <alignment horizontal="right"/>
    </xf>
    <xf numFmtId="0" fontId="14" fillId="5" borderId="35" xfId="29" applyFont="1" applyFill="1" applyBorder="1" applyAlignment="1">
      <alignment horizontal="right"/>
    </xf>
    <xf numFmtId="2" fontId="14" fillId="5" borderId="55" xfId="29" applyNumberFormat="1" applyFont="1" applyFill="1" applyBorder="1" applyAlignment="1">
      <alignment horizontal="right"/>
    </xf>
    <xf numFmtId="2" fontId="43" fillId="5" borderId="0" xfId="29" applyNumberFormat="1" applyFont="1" applyFill="1"/>
    <xf numFmtId="17" fontId="39" fillId="12" borderId="30" xfId="29" quotePrefix="1" applyNumberFormat="1" applyFont="1" applyFill="1" applyBorder="1" applyAlignment="1">
      <alignment horizontal="left"/>
    </xf>
    <xf numFmtId="2" fontId="58" fillId="5" borderId="7" xfId="29" applyNumberFormat="1" applyFont="1" applyFill="1" applyBorder="1" applyAlignment="1">
      <alignment horizontal="right"/>
    </xf>
    <xf numFmtId="2" fontId="14" fillId="5" borderId="35" xfId="29" applyNumberFormat="1" applyFont="1" applyFill="1" applyBorder="1" applyAlignment="1">
      <alignment horizontal="center"/>
    </xf>
    <xf numFmtId="0" fontId="142" fillId="5" borderId="0" xfId="29" applyFont="1" applyFill="1"/>
    <xf numFmtId="189" fontId="139" fillId="5" borderId="0" xfId="29" applyNumberFormat="1" applyFont="1" applyFill="1"/>
    <xf numFmtId="17" fontId="39" fillId="12" borderId="55" xfId="29" quotePrefix="1" applyNumberFormat="1" applyFont="1" applyFill="1" applyBorder="1" applyAlignment="1">
      <alignment horizontal="left"/>
    </xf>
    <xf numFmtId="2" fontId="14" fillId="5" borderId="57" xfId="29" applyNumberFormat="1" applyFont="1" applyFill="1" applyBorder="1" applyAlignment="1">
      <alignment horizontal="right"/>
    </xf>
    <xf numFmtId="0" fontId="14" fillId="5" borderId="0" xfId="29" applyFont="1" applyFill="1" applyBorder="1"/>
    <xf numFmtId="0" fontId="26" fillId="5" borderId="0" xfId="29" applyFont="1" applyFill="1" applyBorder="1"/>
    <xf numFmtId="0" fontId="14" fillId="5" borderId="35" xfId="29" applyFont="1" applyFill="1" applyBorder="1"/>
    <xf numFmtId="0" fontId="14" fillId="5" borderId="7" xfId="29" applyFont="1" applyFill="1" applyBorder="1"/>
    <xf numFmtId="2" fontId="14" fillId="5" borderId="7" xfId="29" applyNumberFormat="1" applyFont="1" applyFill="1" applyBorder="1"/>
    <xf numFmtId="4" fontId="14" fillId="5" borderId="7" xfId="29" applyNumberFormat="1" applyFont="1" applyFill="1" applyBorder="1"/>
    <xf numFmtId="4" fontId="14" fillId="5" borderId="35" xfId="29" applyNumberFormat="1" applyFont="1" applyFill="1" applyBorder="1"/>
    <xf numFmtId="4" fontId="26" fillId="5" borderId="0" xfId="29" applyNumberFormat="1" applyFont="1" applyFill="1" applyBorder="1"/>
    <xf numFmtId="4" fontId="14" fillId="5" borderId="0" xfId="29" applyNumberFormat="1" applyFont="1" applyFill="1" applyBorder="1"/>
    <xf numFmtId="17" fontId="39" fillId="12" borderId="148" xfId="29" quotePrefix="1" applyNumberFormat="1" applyFont="1" applyFill="1" applyBorder="1" applyAlignment="1">
      <alignment horizontal="left"/>
    </xf>
    <xf numFmtId="2" fontId="14" fillId="5" borderId="146" xfId="29" applyNumberFormat="1" applyFont="1" applyFill="1" applyBorder="1" applyAlignment="1">
      <alignment horizontal="right"/>
    </xf>
    <xf numFmtId="2" fontId="14" fillId="5" borderId="103" xfId="29" applyNumberFormat="1" applyFont="1" applyFill="1" applyBorder="1" applyAlignment="1">
      <alignment horizontal="center"/>
    </xf>
    <xf numFmtId="2" fontId="14" fillId="5" borderId="103" xfId="29" applyNumberFormat="1" applyFont="1" applyFill="1" applyBorder="1" applyAlignment="1">
      <alignment horizontal="right"/>
    </xf>
    <xf numFmtId="0" fontId="14" fillId="5" borderId="103" xfId="29" applyFont="1" applyFill="1" applyBorder="1" applyAlignment="1">
      <alignment horizontal="right"/>
    </xf>
    <xf numFmtId="4" fontId="14" fillId="5" borderId="103" xfId="29" applyNumberFormat="1" applyFont="1" applyFill="1" applyBorder="1"/>
    <xf numFmtId="4" fontId="14" fillId="5" borderId="13" xfId="29" applyNumberFormat="1" applyFont="1" applyFill="1" applyBorder="1"/>
    <xf numFmtId="0" fontId="48" fillId="5" borderId="0" xfId="29" applyFont="1" applyFill="1" applyBorder="1" applyAlignment="1" applyProtection="1">
      <alignment wrapText="1"/>
    </xf>
    <xf numFmtId="0" fontId="48" fillId="5" borderId="0" xfId="29" applyFont="1" applyFill="1" applyBorder="1" applyAlignment="1" applyProtection="1">
      <alignment horizontal="left"/>
    </xf>
    <xf numFmtId="0" fontId="45" fillId="5" borderId="0" xfId="29" applyFont="1" applyFill="1" applyBorder="1" applyAlignment="1" applyProtection="1">
      <alignment horizontal="left"/>
    </xf>
    <xf numFmtId="0" fontId="26" fillId="5" borderId="0" xfId="29" applyFont="1" applyFill="1"/>
    <xf numFmtId="2" fontId="26" fillId="5" borderId="0" xfId="29" applyNumberFormat="1" applyFont="1" applyFill="1"/>
    <xf numFmtId="4" fontId="139" fillId="5" borderId="0" xfId="29" applyNumberFormat="1" applyFont="1" applyFill="1" applyBorder="1"/>
    <xf numFmtId="0" fontId="39" fillId="0" borderId="0" xfId="22" applyFont="1" applyFill="1" applyBorder="1" applyAlignment="1" applyProtection="1">
      <alignment horizontal="left"/>
      <protection locked="0"/>
    </xf>
    <xf numFmtId="0" fontId="23" fillId="0" borderId="0" xfId="22" applyFont="1" applyFill="1"/>
    <xf numFmtId="0" fontId="23" fillId="0" borderId="0" xfId="22" applyFont="1"/>
    <xf numFmtId="17" fontId="23" fillId="0" borderId="0" xfId="22" applyNumberFormat="1" applyFont="1"/>
    <xf numFmtId="0" fontId="3" fillId="0" borderId="0" xfId="22"/>
    <xf numFmtId="0" fontId="143" fillId="0" borderId="1" xfId="22" applyFont="1" applyBorder="1"/>
    <xf numFmtId="0" fontId="144" fillId="0" borderId="1" xfId="22" applyFont="1" applyBorder="1" applyAlignment="1">
      <alignment horizontal="center"/>
    </xf>
    <xf numFmtId="0" fontId="30" fillId="0" borderId="1" xfId="22" applyFont="1" applyBorder="1" applyAlignment="1">
      <alignment horizontal="right"/>
    </xf>
    <xf numFmtId="3" fontId="37" fillId="29" borderId="3" xfId="22" applyNumberFormat="1" applyFont="1" applyFill="1" applyBorder="1" applyAlignment="1">
      <alignment horizontal="center" vertical="top"/>
    </xf>
    <xf numFmtId="0" fontId="3" fillId="0" borderId="0" xfId="22" applyAlignment="1">
      <alignment vertical="top"/>
    </xf>
    <xf numFmtId="3" fontId="37" fillId="29" borderId="4" xfId="22" applyNumberFormat="1" applyFont="1" applyFill="1" applyBorder="1" applyAlignment="1">
      <alignment horizontal="center" vertical="top"/>
    </xf>
    <xf numFmtId="0" fontId="7" fillId="29" borderId="5" xfId="22" applyFont="1" applyFill="1" applyBorder="1" applyAlignment="1">
      <alignment vertical="top"/>
    </xf>
    <xf numFmtId="3" fontId="37" fillId="29" borderId="98" xfId="22" applyNumberFormat="1" applyFont="1" applyFill="1" applyBorder="1" applyAlignment="1">
      <alignment horizontal="center" vertical="top"/>
    </xf>
    <xf numFmtId="3" fontId="37" fillId="4" borderId="3" xfId="22" applyNumberFormat="1" applyFont="1" applyFill="1" applyBorder="1"/>
    <xf numFmtId="174" fontId="14" fillId="0" borderId="3" xfId="31" applyNumberFormat="1" applyFont="1" applyFill="1" applyBorder="1"/>
    <xf numFmtId="174" fontId="14" fillId="0" borderId="177" xfId="31" applyNumberFormat="1" applyFont="1" applyFill="1" applyBorder="1"/>
    <xf numFmtId="174" fontId="14" fillId="0" borderId="0" xfId="31" applyNumberFormat="1" applyFont="1" applyFill="1" applyBorder="1"/>
    <xf numFmtId="168" fontId="37" fillId="0" borderId="3" xfId="31" applyNumberFormat="1" applyFont="1" applyFill="1" applyBorder="1"/>
    <xf numFmtId="43" fontId="3" fillId="0" borderId="0" xfId="22" applyNumberFormat="1"/>
    <xf numFmtId="4" fontId="3" fillId="0" borderId="0" xfId="22" applyNumberFormat="1"/>
    <xf numFmtId="3" fontId="37" fillId="4" borderId="4" xfId="22" applyNumberFormat="1" applyFont="1" applyFill="1" applyBorder="1"/>
    <xf numFmtId="174" fontId="14" fillId="0" borderId="4" xfId="31" applyNumberFormat="1" applyFont="1" applyFill="1" applyBorder="1"/>
    <xf numFmtId="174" fontId="14" fillId="0" borderId="37" xfId="31" applyNumberFormat="1" applyFont="1" applyFill="1" applyBorder="1"/>
    <xf numFmtId="168" fontId="37" fillId="0" borderId="4" xfId="31" applyNumberFormat="1" applyFont="1" applyFill="1" applyBorder="1"/>
    <xf numFmtId="174" fontId="14" fillId="0" borderId="5" xfId="31" applyNumberFormat="1" applyFont="1" applyFill="1" applyBorder="1"/>
    <xf numFmtId="174" fontId="14" fillId="0" borderId="40" xfId="31" applyNumberFormat="1" applyFont="1" applyFill="1" applyBorder="1"/>
    <xf numFmtId="3" fontId="37" fillId="4" borderId="98" xfId="22" applyNumberFormat="1" applyFont="1" applyFill="1" applyBorder="1" applyAlignment="1">
      <alignment horizontal="left"/>
    </xf>
    <xf numFmtId="168" fontId="37" fillId="0" borderId="98" xfId="31" applyNumberFormat="1" applyFont="1" applyFill="1" applyBorder="1"/>
    <xf numFmtId="166" fontId="23" fillId="0" borderId="0" xfId="22" applyNumberFormat="1" applyFont="1"/>
    <xf numFmtId="3" fontId="45" fillId="0" borderId="0" xfId="22" applyNumberFormat="1" applyFont="1" applyFill="1" applyBorder="1"/>
    <xf numFmtId="0" fontId="7" fillId="0" borderId="0" xfId="22" applyFont="1"/>
    <xf numFmtId="0" fontId="45" fillId="0" borderId="0" xfId="22" applyFont="1" applyFill="1" applyBorder="1"/>
    <xf numFmtId="0" fontId="19" fillId="0" borderId="0" xfId="22" applyFont="1" applyFill="1" applyBorder="1"/>
    <xf numFmtId="43" fontId="19" fillId="0" borderId="0" xfId="22" applyNumberFormat="1" applyFont="1" applyFill="1" applyBorder="1"/>
    <xf numFmtId="174" fontId="0" fillId="0" borderId="0" xfId="31" applyNumberFormat="1" applyFont="1"/>
    <xf numFmtId="166" fontId="26" fillId="0" borderId="0" xfId="31" applyNumberFormat="1" applyFont="1" applyFill="1" applyBorder="1"/>
    <xf numFmtId="166" fontId="11" fillId="0" borderId="0" xfId="31" applyNumberFormat="1" applyFont="1"/>
    <xf numFmtId="166" fontId="0" fillId="0" borderId="0" xfId="31" applyNumberFormat="1" applyFont="1"/>
    <xf numFmtId="0" fontId="19" fillId="0" borderId="0" xfId="22" applyFont="1" applyBorder="1"/>
    <xf numFmtId="0" fontId="39" fillId="0" borderId="0" xfId="3" applyFont="1" applyAlignment="1">
      <alignment vertical="center"/>
    </xf>
    <xf numFmtId="0" fontId="26" fillId="0" borderId="0" xfId="3" applyFont="1" applyAlignment="1">
      <alignment vertical="center"/>
    </xf>
    <xf numFmtId="0" fontId="68" fillId="0" borderId="0" xfId="3" applyFont="1" applyAlignment="1">
      <alignment vertical="center"/>
    </xf>
    <xf numFmtId="0" fontId="30" fillId="0" borderId="0" xfId="3" applyFont="1" applyAlignment="1">
      <alignment horizontal="center" vertical="center"/>
    </xf>
    <xf numFmtId="0" fontId="16" fillId="12" borderId="181" xfId="3" applyFont="1" applyFill="1" applyBorder="1" applyAlignment="1">
      <alignment horizontal="center" vertical="center"/>
    </xf>
    <xf numFmtId="0" fontId="16" fillId="12" borderId="182" xfId="3" applyFont="1" applyFill="1" applyBorder="1" applyAlignment="1">
      <alignment horizontal="centerContinuous" vertical="center" wrapText="1"/>
    </xf>
    <xf numFmtId="0" fontId="23" fillId="12" borderId="183" xfId="3" applyFont="1" applyFill="1" applyBorder="1" applyAlignment="1">
      <alignment horizontal="centerContinuous" vertical="center" wrapText="1"/>
    </xf>
    <xf numFmtId="0" fontId="23" fillId="12" borderId="184" xfId="3" applyFont="1" applyFill="1" applyBorder="1" applyAlignment="1">
      <alignment horizontal="centerContinuous" vertical="center" wrapText="1"/>
    </xf>
    <xf numFmtId="0" fontId="16" fillId="12" borderId="185" xfId="3" applyFont="1" applyFill="1" applyBorder="1" applyAlignment="1">
      <alignment horizontal="center" vertical="center"/>
    </xf>
    <xf numFmtId="0" fontId="16" fillId="12" borderId="186" xfId="3" applyFont="1" applyFill="1" applyBorder="1" applyAlignment="1">
      <alignment horizontal="center" vertical="center"/>
    </xf>
    <xf numFmtId="0" fontId="16" fillId="12" borderId="187" xfId="3" applyFont="1" applyFill="1" applyBorder="1" applyAlignment="1">
      <alignment horizontal="center" vertical="center"/>
    </xf>
    <xf numFmtId="0" fontId="16" fillId="12" borderId="188" xfId="3" applyFont="1" applyFill="1" applyBorder="1" applyAlignment="1">
      <alignment horizontal="center" vertical="center"/>
    </xf>
    <xf numFmtId="0" fontId="16" fillId="12" borderId="189" xfId="3" applyFont="1" applyFill="1" applyBorder="1" applyAlignment="1">
      <alignment horizontal="center" vertical="center"/>
    </xf>
    <xf numFmtId="0" fontId="16" fillId="12" borderId="190" xfId="3" applyFont="1" applyFill="1" applyBorder="1" applyAlignment="1">
      <alignment horizontal="center" vertical="center"/>
    </xf>
    <xf numFmtId="0" fontId="16" fillId="12" borderId="191" xfId="3" applyFont="1" applyFill="1" applyBorder="1" applyAlignment="1">
      <alignment horizontal="center" vertical="center"/>
    </xf>
    <xf numFmtId="0" fontId="16" fillId="12" borderId="192" xfId="3" applyFont="1" applyFill="1" applyBorder="1" applyAlignment="1">
      <alignment horizontal="center" vertical="center"/>
    </xf>
    <xf numFmtId="0" fontId="23" fillId="12" borderId="185" xfId="3" applyFont="1" applyFill="1" applyBorder="1" applyAlignment="1">
      <alignment vertical="center"/>
    </xf>
    <xf numFmtId="0" fontId="23" fillId="0" borderId="193" xfId="3" applyFont="1" applyBorder="1" applyAlignment="1">
      <alignment vertical="center"/>
    </xf>
    <xf numFmtId="0" fontId="23" fillId="0" borderId="194" xfId="3" applyFont="1" applyBorder="1" applyAlignment="1">
      <alignment vertical="center"/>
    </xf>
    <xf numFmtId="0" fontId="23" fillId="0" borderId="188" xfId="3" applyFont="1" applyBorder="1" applyAlignment="1">
      <alignment vertical="center"/>
    </xf>
    <xf numFmtId="0" fontId="16" fillId="12" borderId="185" xfId="3" applyFont="1" applyFill="1" applyBorder="1" applyAlignment="1">
      <alignment vertical="center"/>
    </xf>
    <xf numFmtId="3" fontId="16" fillId="0" borderId="193" xfId="3" applyNumberFormat="1" applyFont="1" applyBorder="1" applyAlignment="1">
      <alignment vertical="center"/>
    </xf>
    <xf numFmtId="3" fontId="16" fillId="0" borderId="194" xfId="3" applyNumberFormat="1" applyFont="1" applyBorder="1" applyAlignment="1">
      <alignment vertical="center"/>
    </xf>
    <xf numFmtId="3" fontId="16" fillId="0" borderId="188" xfId="3" applyNumberFormat="1" applyFont="1" applyBorder="1" applyAlignment="1">
      <alignment vertical="center"/>
    </xf>
    <xf numFmtId="3" fontId="68" fillId="0" borderId="0" xfId="3" applyNumberFormat="1" applyFont="1" applyAlignment="1">
      <alignment vertical="center"/>
    </xf>
    <xf numFmtId="175" fontId="25" fillId="0" borderId="193" xfId="32" applyNumberFormat="1" applyFont="1" applyBorder="1" applyAlignment="1">
      <alignment vertical="center"/>
    </xf>
    <xf numFmtId="175" fontId="25" fillId="0" borderId="194" xfId="32" applyNumberFormat="1" applyFont="1" applyBorder="1" applyAlignment="1">
      <alignment vertical="center"/>
    </xf>
    <xf numFmtId="3" fontId="23" fillId="0" borderId="193" xfId="3" applyNumberFormat="1" applyFont="1" applyBorder="1" applyAlignment="1">
      <alignment vertical="center"/>
    </xf>
    <xf numFmtId="3" fontId="23" fillId="0" borderId="194" xfId="3" applyNumberFormat="1" applyFont="1" applyBorder="1" applyAlignment="1">
      <alignment vertical="center"/>
    </xf>
    <xf numFmtId="3" fontId="23" fillId="0" borderId="188" xfId="3" applyNumberFormat="1" applyFont="1" applyBorder="1" applyAlignment="1">
      <alignment vertical="center"/>
    </xf>
    <xf numFmtId="0" fontId="16" fillId="12" borderId="189" xfId="3" applyFont="1" applyFill="1" applyBorder="1" applyAlignment="1">
      <alignment vertical="center"/>
    </xf>
    <xf numFmtId="0" fontId="23" fillId="0" borderId="190" xfId="3" applyFont="1" applyBorder="1" applyAlignment="1">
      <alignment vertical="center"/>
    </xf>
    <xf numFmtId="0" fontId="23" fillId="0" borderId="191" xfId="3" applyFont="1" applyBorder="1" applyAlignment="1">
      <alignment vertical="center"/>
    </xf>
    <xf numFmtId="0" fontId="23" fillId="0" borderId="192" xfId="3" applyFont="1" applyBorder="1" applyAlignment="1">
      <alignment vertical="center"/>
    </xf>
    <xf numFmtId="175" fontId="26" fillId="0" borderId="0" xfId="32" applyNumberFormat="1" applyFont="1" applyAlignment="1">
      <alignment vertical="center"/>
    </xf>
    <xf numFmtId="0" fontId="35" fillId="0" borderId="0" xfId="3" applyFont="1" applyAlignment="1">
      <alignment vertical="center"/>
    </xf>
    <xf numFmtId="3" fontId="26" fillId="0" borderId="0" xfId="3" applyNumberFormat="1" applyFont="1" applyAlignment="1">
      <alignment vertical="center"/>
    </xf>
    <xf numFmtId="0" fontId="15" fillId="0" borderId="0" xfId="3" applyFont="1" applyAlignment="1">
      <alignment vertical="center"/>
    </xf>
    <xf numFmtId="0" fontId="6" fillId="5" borderId="0" xfId="3" applyFont="1" applyFill="1" applyAlignment="1">
      <alignment vertical="center"/>
    </xf>
    <xf numFmtId="0" fontId="7" fillId="5" borderId="0" xfId="3" applyFont="1" applyFill="1" applyAlignment="1">
      <alignment vertical="center"/>
    </xf>
    <xf numFmtId="0" fontId="7" fillId="5" borderId="0" xfId="3" applyFont="1" applyFill="1" applyAlignment="1">
      <alignment horizontal="center" vertical="center"/>
    </xf>
    <xf numFmtId="0" fontId="23" fillId="5" borderId="0" xfId="3" applyFont="1" applyFill="1" applyAlignment="1">
      <alignment vertical="center"/>
    </xf>
    <xf numFmtId="0" fontId="23" fillId="5" borderId="0" xfId="3" applyFont="1" applyFill="1" applyAlignment="1">
      <alignment horizontal="center" vertical="center"/>
    </xf>
    <xf numFmtId="0" fontId="16" fillId="5" borderId="0" xfId="3" applyFont="1" applyFill="1" applyAlignment="1">
      <alignment vertical="center"/>
    </xf>
    <xf numFmtId="0" fontId="16" fillId="12" borderId="129" xfId="3" applyFont="1" applyFill="1" applyBorder="1" applyAlignment="1">
      <alignment horizontal="center" vertical="center"/>
    </xf>
    <xf numFmtId="0" fontId="16" fillId="12" borderId="35" xfId="3" applyFont="1" applyFill="1" applyBorder="1" applyAlignment="1">
      <alignment horizontal="centerContinuous" vertical="center"/>
    </xf>
    <xf numFmtId="0" fontId="16" fillId="12" borderId="10" xfId="3" applyFont="1" applyFill="1" applyBorder="1" applyAlignment="1">
      <alignment horizontal="center" vertical="center"/>
    </xf>
    <xf numFmtId="0" fontId="16" fillId="12" borderId="124" xfId="3" applyFont="1" applyFill="1" applyBorder="1" applyAlignment="1">
      <alignment horizontal="center" vertical="center"/>
    </xf>
    <xf numFmtId="0" fontId="16" fillId="12" borderId="125" xfId="3" applyFont="1" applyFill="1" applyBorder="1" applyAlignment="1">
      <alignment horizontal="center" vertical="center"/>
    </xf>
    <xf numFmtId="0" fontId="16" fillId="12" borderId="7" xfId="3" applyFont="1" applyFill="1" applyBorder="1" applyAlignment="1">
      <alignment horizontal="center" vertical="center"/>
    </xf>
    <xf numFmtId="2" fontId="16" fillId="12" borderId="10" xfId="3" applyNumberFormat="1" applyFont="1" applyFill="1" applyBorder="1" applyAlignment="1">
      <alignment horizontal="center" vertical="center"/>
    </xf>
    <xf numFmtId="0" fontId="16" fillId="12" borderId="35" xfId="3" applyFont="1" applyFill="1" applyBorder="1" applyAlignment="1">
      <alignment horizontal="center" vertical="center"/>
    </xf>
    <xf numFmtId="2" fontId="16" fillId="12" borderId="7" xfId="3" applyNumberFormat="1" applyFont="1" applyFill="1" applyBorder="1" applyAlignment="1">
      <alignment horizontal="center" vertical="center"/>
    </xf>
    <xf numFmtId="0" fontId="16" fillId="12" borderId="103" xfId="3" applyFont="1" applyFill="1" applyBorder="1" applyAlignment="1">
      <alignment horizontal="centerContinuous" vertical="center"/>
    </xf>
    <xf numFmtId="0" fontId="16" fillId="12" borderId="13" xfId="3" applyFont="1" applyFill="1" applyBorder="1" applyAlignment="1">
      <alignment horizontal="center" vertical="center"/>
    </xf>
    <xf numFmtId="0" fontId="16" fillId="12" borderId="103" xfId="3" applyFont="1" applyFill="1" applyBorder="1" applyAlignment="1">
      <alignment horizontal="center" vertical="center"/>
    </xf>
    <xf numFmtId="2" fontId="16" fillId="12" borderId="13" xfId="3" applyNumberFormat="1" applyFont="1" applyFill="1" applyBorder="1" applyAlignment="1">
      <alignment horizontal="center" vertical="center"/>
    </xf>
    <xf numFmtId="17" fontId="16" fillId="13" borderId="35" xfId="3" applyNumberFormat="1" applyFont="1" applyFill="1" applyBorder="1" applyAlignment="1">
      <alignment horizontal="left" vertical="center"/>
    </xf>
    <xf numFmtId="1" fontId="23" fillId="5" borderId="35" xfId="3" applyNumberFormat="1" applyFont="1" applyFill="1" applyBorder="1" applyAlignment="1">
      <alignment vertical="center"/>
    </xf>
    <xf numFmtId="2" fontId="23" fillId="5" borderId="35" xfId="3" applyNumberFormat="1" applyFont="1" applyFill="1" applyBorder="1" applyAlignment="1">
      <alignment horizontal="center" vertical="center"/>
    </xf>
    <xf numFmtId="2" fontId="23" fillId="5" borderId="35" xfId="3" applyNumberFormat="1" applyFont="1" applyFill="1" applyBorder="1" applyAlignment="1">
      <alignment vertical="center"/>
    </xf>
    <xf numFmtId="43" fontId="23" fillId="5" borderId="35" xfId="33" applyFont="1" applyFill="1" applyBorder="1" applyAlignment="1">
      <alignment horizontal="right" vertical="center"/>
    </xf>
    <xf numFmtId="166" fontId="23" fillId="5" borderId="35" xfId="33" applyNumberFormat="1" applyFont="1" applyFill="1" applyBorder="1" applyAlignment="1">
      <alignment vertical="center"/>
    </xf>
    <xf numFmtId="43" fontId="23" fillId="5" borderId="35" xfId="33" applyNumberFormat="1" applyFont="1" applyFill="1" applyBorder="1" applyAlignment="1">
      <alignment horizontal="center" vertical="center"/>
    </xf>
    <xf numFmtId="43" fontId="23" fillId="5" borderId="35" xfId="33" applyNumberFormat="1" applyFont="1" applyFill="1" applyBorder="1" applyAlignment="1">
      <alignment vertical="center"/>
    </xf>
    <xf numFmtId="0" fontId="23" fillId="5" borderId="35" xfId="3" applyFont="1" applyFill="1" applyBorder="1" applyAlignment="1">
      <alignment vertical="center"/>
    </xf>
    <xf numFmtId="1" fontId="23" fillId="5" borderId="35" xfId="3" applyNumberFormat="1" applyFont="1" applyFill="1" applyBorder="1" applyAlignment="1">
      <alignment horizontal="center" vertical="center"/>
    </xf>
    <xf numFmtId="43" fontId="23" fillId="5" borderId="35" xfId="33" applyFont="1" applyFill="1" applyBorder="1" applyAlignment="1">
      <alignment horizontal="center" vertical="center"/>
    </xf>
    <xf numFmtId="166" fontId="23" fillId="5" borderId="35" xfId="33" applyNumberFormat="1" applyFont="1" applyFill="1" applyBorder="1" applyAlignment="1">
      <alignment horizontal="center" vertical="center"/>
    </xf>
    <xf numFmtId="1" fontId="23" fillId="5" borderId="6" xfId="3" applyNumberFormat="1" applyFont="1" applyFill="1" applyBorder="1" applyAlignment="1">
      <alignment horizontal="center" vertical="center"/>
    </xf>
    <xf numFmtId="17" fontId="16" fillId="13" borderId="6" xfId="3" applyNumberFormat="1" applyFont="1" applyFill="1" applyBorder="1" applyAlignment="1">
      <alignment horizontal="left" vertical="center"/>
    </xf>
    <xf numFmtId="166" fontId="23" fillId="5" borderId="7" xfId="33" applyNumberFormat="1" applyFont="1" applyFill="1" applyBorder="1" applyAlignment="1">
      <alignment horizontal="center" vertical="center"/>
    </xf>
    <xf numFmtId="43" fontId="23" fillId="5" borderId="35" xfId="33" applyNumberFormat="1" applyFont="1" applyFill="1" applyBorder="1" applyAlignment="1">
      <alignment horizontal="right" vertical="center"/>
    </xf>
    <xf numFmtId="166" fontId="23" fillId="5" borderId="7" xfId="33" applyNumberFormat="1" applyFont="1" applyFill="1" applyBorder="1" applyAlignment="1">
      <alignment vertical="center"/>
    </xf>
    <xf numFmtId="17" fontId="16" fillId="28" borderId="35" xfId="3" applyNumberFormat="1" applyFont="1" applyFill="1" applyBorder="1" applyAlignment="1">
      <alignment horizontal="left" vertical="center"/>
    </xf>
    <xf numFmtId="0" fontId="23" fillId="5" borderId="0" xfId="3" applyFont="1" applyFill="1" applyBorder="1" applyAlignment="1">
      <alignment vertical="center"/>
    </xf>
    <xf numFmtId="17" fontId="16" fillId="12" borderId="35" xfId="3" applyNumberFormat="1" applyFont="1" applyFill="1" applyBorder="1" applyAlignment="1">
      <alignment horizontal="left" vertical="center"/>
    </xf>
    <xf numFmtId="17" fontId="16" fillId="12" borderId="35" xfId="13" applyNumberFormat="1" applyFont="1" applyFill="1" applyBorder="1" applyAlignment="1">
      <alignment horizontal="left" vertical="center"/>
    </xf>
    <xf numFmtId="1" fontId="23" fillId="5" borderId="35" xfId="13" applyNumberFormat="1" applyFont="1" applyFill="1" applyBorder="1" applyAlignment="1">
      <alignment horizontal="center" vertical="center"/>
    </xf>
    <xf numFmtId="43" fontId="23" fillId="5" borderId="35" xfId="19" applyNumberFormat="1" applyFont="1" applyFill="1" applyBorder="1" applyAlignment="1">
      <alignment horizontal="center" vertical="center"/>
    </xf>
    <xf numFmtId="43" fontId="23" fillId="5" borderId="35" xfId="19" applyNumberFormat="1" applyFont="1" applyFill="1" applyBorder="1" applyAlignment="1">
      <alignment vertical="center"/>
    </xf>
    <xf numFmtId="43" fontId="23" fillId="5" borderId="35" xfId="19" applyFont="1" applyFill="1" applyBorder="1" applyAlignment="1">
      <alignment horizontal="right" vertical="center"/>
    </xf>
    <xf numFmtId="166" fontId="23" fillId="5" borderId="35" xfId="19" applyNumberFormat="1" applyFont="1" applyFill="1" applyBorder="1" applyAlignment="1">
      <alignment vertical="center"/>
    </xf>
    <xf numFmtId="17" fontId="16" fillId="12" borderId="103" xfId="3" applyNumberFormat="1" applyFont="1" applyFill="1" applyBorder="1" applyAlignment="1">
      <alignment horizontal="left" vertical="center"/>
    </xf>
    <xf numFmtId="1" fontId="23" fillId="0" borderId="103" xfId="13" applyNumberFormat="1" applyFont="1" applyFill="1" applyBorder="1" applyAlignment="1">
      <alignment horizontal="center" vertical="center"/>
    </xf>
    <xf numFmtId="43" fontId="23" fillId="0" borderId="103" xfId="19" applyNumberFormat="1" applyFont="1" applyFill="1" applyBorder="1" applyAlignment="1">
      <alignment horizontal="center" vertical="center"/>
    </xf>
    <xf numFmtId="43" fontId="23" fillId="0" borderId="103" xfId="19" applyNumberFormat="1" applyFont="1" applyFill="1" applyBorder="1" applyAlignment="1">
      <alignment vertical="center"/>
    </xf>
    <xf numFmtId="43" fontId="23" fillId="0" borderId="103" xfId="19" applyFont="1" applyFill="1" applyBorder="1" applyAlignment="1">
      <alignment horizontal="right" vertical="center"/>
    </xf>
    <xf numFmtId="166" fontId="23" fillId="0" borderId="103" xfId="19" applyNumberFormat="1" applyFont="1" applyFill="1" applyBorder="1" applyAlignment="1">
      <alignment horizontal="right" vertical="center"/>
    </xf>
    <xf numFmtId="0" fontId="145" fillId="0" borderId="0" xfId="3" applyFont="1" applyFill="1" applyBorder="1" applyAlignment="1">
      <alignment vertical="center"/>
    </xf>
    <xf numFmtId="0" fontId="146" fillId="5" borderId="0" xfId="3" applyFont="1" applyFill="1" applyBorder="1" applyAlignment="1">
      <alignment vertical="center"/>
    </xf>
    <xf numFmtId="0" fontId="147" fillId="5" borderId="0" xfId="3" applyFont="1" applyFill="1" applyBorder="1" applyAlignment="1">
      <alignment vertical="center"/>
    </xf>
    <xf numFmtId="0" fontId="147" fillId="5" borderId="0" xfId="3" applyFont="1" applyFill="1" applyBorder="1" applyAlignment="1">
      <alignment horizontal="center" vertical="center"/>
    </xf>
    <xf numFmtId="2" fontId="147" fillId="5" borderId="0" xfId="3" applyNumberFormat="1" applyFont="1" applyFill="1" applyBorder="1" applyAlignment="1">
      <alignment vertical="center"/>
    </xf>
    <xf numFmtId="0" fontId="147" fillId="5" borderId="0" xfId="3" applyFont="1" applyFill="1" applyAlignment="1">
      <alignment vertical="center"/>
    </xf>
    <xf numFmtId="170" fontId="147" fillId="5" borderId="0" xfId="3" applyNumberFormat="1" applyFont="1" applyFill="1" applyAlignment="1">
      <alignment vertical="center"/>
    </xf>
    <xf numFmtId="2" fontId="147" fillId="5" borderId="0" xfId="3" applyNumberFormat="1" applyFont="1" applyFill="1" applyAlignment="1">
      <alignment vertical="center"/>
    </xf>
    <xf numFmtId="1" fontId="147" fillId="5" borderId="0" xfId="3" applyNumberFormat="1" applyFont="1" applyFill="1" applyAlignment="1">
      <alignment vertical="center"/>
    </xf>
    <xf numFmtId="0" fontId="27" fillId="5" borderId="0" xfId="3" applyFill="1" applyAlignment="1">
      <alignment horizontal="left" vertical="center" wrapText="1"/>
    </xf>
    <xf numFmtId="3" fontId="6" fillId="5" borderId="0" xfId="3" applyNumberFormat="1" applyFont="1" applyFill="1" applyAlignment="1">
      <alignment horizontal="left" vertical="center" wrapText="1"/>
    </xf>
    <xf numFmtId="3" fontId="16" fillId="5" borderId="0" xfId="3" applyNumberFormat="1" applyFont="1" applyFill="1" applyAlignment="1">
      <alignment vertical="center"/>
    </xf>
    <xf numFmtId="3" fontId="16" fillId="5" borderId="0" xfId="3" applyNumberFormat="1" applyFont="1" applyFill="1" applyAlignment="1">
      <alignment horizontal="center" vertical="center"/>
    </xf>
    <xf numFmtId="0" fontId="25" fillId="5" borderId="0" xfId="3" applyFont="1" applyFill="1" applyBorder="1" applyAlignment="1">
      <alignment horizontal="center" vertical="center"/>
    </xf>
    <xf numFmtId="3" fontId="6" fillId="12" borderId="99" xfId="3" applyNumberFormat="1" applyFont="1" applyFill="1" applyBorder="1" applyAlignment="1">
      <alignment horizontal="center" vertical="center"/>
    </xf>
    <xf numFmtId="3" fontId="6" fillId="12" borderId="99" xfId="3" applyNumberFormat="1" applyFont="1" applyFill="1" applyBorder="1" applyAlignment="1">
      <alignment horizontal="center" vertical="center" wrapText="1"/>
    </xf>
    <xf numFmtId="168" fontId="23" fillId="5" borderId="35" xfId="3" applyNumberFormat="1" applyFont="1" applyFill="1" applyBorder="1" applyAlignment="1">
      <alignment horizontal="right" vertical="center"/>
    </xf>
    <xf numFmtId="168" fontId="23" fillId="5" borderId="0" xfId="3" applyNumberFormat="1" applyFont="1" applyFill="1" applyAlignment="1">
      <alignment horizontal="center" vertical="center"/>
    </xf>
    <xf numFmtId="3" fontId="23" fillId="5" borderId="35" xfId="3" quotePrefix="1" applyNumberFormat="1" applyFont="1" applyFill="1" applyBorder="1" applyAlignment="1">
      <alignment horizontal="center" vertical="center"/>
    </xf>
    <xf numFmtId="3" fontId="23" fillId="5" borderId="6" xfId="3" quotePrefix="1" applyNumberFormat="1" applyFont="1" applyFill="1" applyBorder="1" applyAlignment="1">
      <alignment horizontal="center" vertical="center"/>
    </xf>
    <xf numFmtId="3" fontId="23" fillId="5" borderId="0" xfId="3" applyNumberFormat="1" applyFont="1" applyFill="1" applyBorder="1" applyAlignment="1">
      <alignment vertical="center"/>
    </xf>
    <xf numFmtId="4" fontId="23" fillId="5" borderId="0" xfId="3" applyNumberFormat="1" applyFont="1" applyFill="1" applyBorder="1" applyAlignment="1">
      <alignment vertical="center"/>
    </xf>
    <xf numFmtId="3" fontId="23" fillId="5" borderId="0" xfId="3" applyNumberFormat="1" applyFont="1" applyFill="1" applyAlignment="1">
      <alignment vertical="center"/>
    </xf>
    <xf numFmtId="168" fontId="23" fillId="5" borderId="7" xfId="3" applyNumberFormat="1" applyFont="1" applyFill="1" applyBorder="1" applyAlignment="1">
      <alignment horizontal="right" vertical="center"/>
    </xf>
    <xf numFmtId="168" fontId="23" fillId="5" borderId="35" xfId="3" applyNumberFormat="1" applyFont="1" applyFill="1" applyBorder="1" applyAlignment="1">
      <alignment horizontal="center" vertical="center"/>
    </xf>
    <xf numFmtId="168" fontId="23" fillId="5" borderId="7" xfId="3" applyNumberFormat="1" applyFont="1" applyFill="1" applyBorder="1" applyAlignment="1">
      <alignment horizontal="center" vertical="center"/>
    </xf>
    <xf numFmtId="168" fontId="23" fillId="5" borderId="0" xfId="3" applyNumberFormat="1" applyFont="1" applyFill="1" applyBorder="1" applyAlignment="1">
      <alignment vertical="center"/>
    </xf>
    <xf numFmtId="2" fontId="23" fillId="5" borderId="0" xfId="3" applyNumberFormat="1" applyFont="1" applyFill="1" applyAlignment="1">
      <alignment vertical="center"/>
    </xf>
    <xf numFmtId="168" fontId="23" fillId="5" borderId="35" xfId="3" quotePrefix="1" applyNumberFormat="1" applyFont="1" applyFill="1" applyBorder="1" applyAlignment="1">
      <alignment horizontal="center" vertical="center"/>
    </xf>
    <xf numFmtId="168" fontId="23" fillId="0" borderId="7" xfId="3" applyNumberFormat="1" applyFont="1" applyFill="1" applyBorder="1" applyAlignment="1">
      <alignment horizontal="center" vertical="center"/>
    </xf>
    <xf numFmtId="168" fontId="23" fillId="5" borderId="0" xfId="3" applyNumberFormat="1" applyFont="1" applyFill="1" applyAlignment="1">
      <alignment vertical="center"/>
    </xf>
    <xf numFmtId="170" fontId="23" fillId="5" borderId="0" xfId="3" applyNumberFormat="1" applyFont="1" applyFill="1" applyAlignment="1">
      <alignment vertical="center"/>
    </xf>
    <xf numFmtId="4" fontId="23" fillId="5" borderId="0" xfId="3" applyNumberFormat="1" applyFont="1" applyFill="1" applyAlignment="1">
      <alignment vertical="center"/>
    </xf>
    <xf numFmtId="168" fontId="23" fillId="0" borderId="35" xfId="3" quotePrefix="1" applyNumberFormat="1" applyFont="1" applyFill="1" applyBorder="1" applyAlignment="1">
      <alignment horizontal="center" vertical="center"/>
    </xf>
    <xf numFmtId="168" fontId="125" fillId="5" borderId="0" xfId="3" applyNumberFormat="1" applyFont="1" applyFill="1" applyBorder="1" applyAlignment="1">
      <alignment vertical="center"/>
    </xf>
    <xf numFmtId="0" fontId="125" fillId="5" borderId="0" xfId="3" applyFont="1" applyFill="1" applyAlignment="1">
      <alignment vertical="center"/>
    </xf>
    <xf numFmtId="4" fontId="148" fillId="0" borderId="0" xfId="3" applyNumberFormat="1" applyFont="1"/>
    <xf numFmtId="4" fontId="19" fillId="0" borderId="0" xfId="3" applyNumberFormat="1" applyFont="1"/>
    <xf numFmtId="3" fontId="6" fillId="12" borderId="99" xfId="3" applyNumberFormat="1" applyFont="1" applyFill="1" applyBorder="1" applyAlignment="1">
      <alignment horizontal="left" vertical="center"/>
    </xf>
    <xf numFmtId="168" fontId="16" fillId="12" borderId="99" xfId="3" quotePrefix="1" applyNumberFormat="1" applyFont="1" applyFill="1" applyBorder="1" applyAlignment="1">
      <alignment horizontal="center" vertical="center"/>
    </xf>
    <xf numFmtId="4" fontId="23" fillId="5" borderId="6" xfId="3" quotePrefix="1" applyNumberFormat="1" applyFont="1" applyFill="1" applyBorder="1" applyAlignment="1">
      <alignment horizontal="center" vertical="center"/>
    </xf>
    <xf numFmtId="3" fontId="6" fillId="5" borderId="0" xfId="3" applyNumberFormat="1" applyFont="1" applyFill="1" applyBorder="1" applyAlignment="1">
      <alignment horizontal="left" vertical="center"/>
    </xf>
    <xf numFmtId="3" fontId="16" fillId="5" borderId="0" xfId="3" applyNumberFormat="1" applyFont="1" applyFill="1" applyBorder="1" applyAlignment="1">
      <alignment horizontal="center" vertical="center"/>
    </xf>
    <xf numFmtId="0" fontId="15" fillId="5" borderId="0" xfId="3" applyFont="1" applyFill="1" applyAlignment="1">
      <alignment vertical="center"/>
    </xf>
    <xf numFmtId="0" fontId="11" fillId="5" borderId="0" xfId="3" applyFont="1" applyFill="1" applyAlignment="1">
      <alignment vertical="center"/>
    </xf>
    <xf numFmtId="0" fontId="11" fillId="5" borderId="0" xfId="3" applyFont="1" applyFill="1" applyAlignment="1">
      <alignment horizontal="center" vertical="center"/>
    </xf>
    <xf numFmtId="3" fontId="11" fillId="5" borderId="0" xfId="3" applyNumberFormat="1" applyFont="1" applyFill="1" applyAlignment="1">
      <alignment horizontal="center" vertical="center"/>
    </xf>
    <xf numFmtId="168" fontId="11" fillId="5" borderId="0" xfId="3" applyNumberFormat="1" applyFont="1" applyFill="1" applyAlignment="1">
      <alignment vertical="center"/>
    </xf>
    <xf numFmtId="4" fontId="23" fillId="5" borderId="0" xfId="3" applyNumberFormat="1" applyFont="1" applyFill="1" applyAlignment="1">
      <alignment horizontal="center" vertical="center"/>
    </xf>
    <xf numFmtId="3" fontId="11" fillId="5" borderId="0" xfId="3" applyNumberFormat="1" applyFont="1" applyFill="1" applyAlignment="1">
      <alignment vertical="center"/>
    </xf>
    <xf numFmtId="43" fontId="23" fillId="5" borderId="0" xfId="33" applyFont="1" applyFill="1" applyAlignment="1">
      <alignment vertical="center"/>
    </xf>
    <xf numFmtId="43" fontId="23" fillId="5" borderId="0" xfId="33" applyFont="1" applyFill="1" applyAlignment="1">
      <alignment horizontal="center" vertical="center"/>
    </xf>
    <xf numFmtId="4" fontId="23" fillId="5" borderId="0" xfId="3" applyNumberFormat="1" applyFont="1" applyFill="1" applyBorder="1" applyAlignment="1">
      <alignment horizontal="center" vertical="center"/>
    </xf>
    <xf numFmtId="0" fontId="27" fillId="5" borderId="0" xfId="3" applyFill="1" applyAlignment="1">
      <alignment vertical="center"/>
    </xf>
    <xf numFmtId="1" fontId="23" fillId="5" borderId="0" xfId="3" applyNumberFormat="1" applyFont="1" applyFill="1" applyBorder="1" applyAlignment="1">
      <alignment vertical="center"/>
    </xf>
    <xf numFmtId="2" fontId="23" fillId="5" borderId="0" xfId="3" applyNumberFormat="1" applyFont="1" applyFill="1" applyBorder="1" applyAlignment="1">
      <alignment horizontal="center" vertical="center"/>
    </xf>
    <xf numFmtId="2" fontId="23" fillId="5" borderId="0" xfId="3" applyNumberFormat="1" applyFont="1" applyFill="1" applyBorder="1" applyAlignment="1">
      <alignment vertical="center"/>
    </xf>
    <xf numFmtId="43" fontId="23" fillId="5" borderId="0" xfId="33" applyFont="1" applyFill="1" applyBorder="1" applyAlignment="1">
      <alignment horizontal="right" vertical="center"/>
    </xf>
    <xf numFmtId="166" fontId="23" fillId="5" borderId="0" xfId="33" applyNumberFormat="1" applyFont="1" applyFill="1" applyBorder="1" applyAlignment="1">
      <alignment vertical="center"/>
    </xf>
    <xf numFmtId="3" fontId="23" fillId="5" borderId="0" xfId="3" applyNumberFormat="1" applyFont="1" applyFill="1" applyAlignment="1">
      <alignment horizontal="center" vertical="center"/>
    </xf>
    <xf numFmtId="0" fontId="6" fillId="0" borderId="0" xfId="34" applyFont="1" applyFill="1" applyAlignment="1" applyProtection="1">
      <alignment horizontal="left" vertical="center"/>
    </xf>
    <xf numFmtId="0" fontId="7" fillId="0" borderId="0" xfId="34" applyFont="1" applyFill="1" applyAlignment="1">
      <alignment horizontal="center" vertical="center"/>
    </xf>
    <xf numFmtId="0" fontId="7" fillId="0" borderId="0" xfId="34" applyFont="1" applyFill="1" applyAlignment="1">
      <alignment vertical="center"/>
    </xf>
    <xf numFmtId="0" fontId="151" fillId="0" borderId="0" xfId="34" applyFont="1" applyAlignment="1">
      <alignment vertical="center"/>
    </xf>
    <xf numFmtId="0" fontId="152" fillId="0" borderId="0" xfId="34" applyFont="1" applyAlignment="1">
      <alignment vertical="center"/>
    </xf>
    <xf numFmtId="0" fontId="23" fillId="0" borderId="0" xfId="34" applyFont="1" applyFill="1" applyAlignment="1">
      <alignment vertical="center"/>
    </xf>
    <xf numFmtId="0" fontId="23" fillId="0" borderId="0" xfId="34" applyFont="1" applyFill="1" applyAlignment="1">
      <alignment horizontal="center" vertical="center"/>
    </xf>
    <xf numFmtId="0" fontId="16" fillId="12" borderId="62" xfId="35" applyFont="1" applyFill="1" applyBorder="1" applyAlignment="1" applyProtection="1">
      <alignment horizontal="center" vertical="center"/>
    </xf>
    <xf numFmtId="0" fontId="16" fillId="12" borderId="65" xfId="35" applyFont="1" applyFill="1" applyBorder="1" applyAlignment="1" applyProtection="1">
      <alignment horizontal="center" vertical="center"/>
    </xf>
    <xf numFmtId="0" fontId="16" fillId="12" borderId="67" xfId="35" applyFont="1" applyFill="1" applyBorder="1" applyAlignment="1" applyProtection="1">
      <alignment horizontal="center" vertical="center"/>
    </xf>
    <xf numFmtId="0" fontId="16" fillId="12" borderId="30" xfId="35" applyFont="1" applyFill="1" applyBorder="1" applyAlignment="1" applyProtection="1">
      <alignment horizontal="left" vertical="center"/>
    </xf>
    <xf numFmtId="170" fontId="23" fillId="0" borderId="35" xfId="35" applyNumberFormat="1" applyFont="1" applyFill="1" applyBorder="1" applyAlignment="1" applyProtection="1">
      <alignment horizontal="right" vertical="center"/>
    </xf>
    <xf numFmtId="170" fontId="23" fillId="0" borderId="28" xfId="35" applyNumberFormat="1" applyFont="1" applyFill="1" applyBorder="1" applyAlignment="1" applyProtection="1">
      <alignment horizontal="right" vertical="center"/>
    </xf>
    <xf numFmtId="170" fontId="23" fillId="0" borderId="17" xfId="35" applyNumberFormat="1" applyFont="1" applyFill="1" applyBorder="1" applyAlignment="1" applyProtection="1">
      <alignment horizontal="right" vertical="center"/>
    </xf>
    <xf numFmtId="170" fontId="23" fillId="0" borderId="19" xfId="35" applyNumberFormat="1" applyFont="1" applyFill="1" applyBorder="1" applyAlignment="1" applyProtection="1">
      <alignment horizontal="right" vertical="center"/>
    </xf>
    <xf numFmtId="170" fontId="23" fillId="0" borderId="195" xfId="35" applyNumberFormat="1" applyFont="1" applyFill="1" applyBorder="1" applyAlignment="1" applyProtection="1">
      <alignment horizontal="right" vertical="center"/>
    </xf>
    <xf numFmtId="0" fontId="149" fillId="0" borderId="35" xfId="34" applyBorder="1" applyAlignment="1">
      <alignment vertical="center"/>
    </xf>
    <xf numFmtId="0" fontId="149" fillId="0" borderId="19" xfId="34" applyBorder="1" applyAlignment="1">
      <alignment vertical="center"/>
    </xf>
    <xf numFmtId="170" fontId="16" fillId="0" borderId="35" xfId="35" applyNumberFormat="1" applyFont="1" applyFill="1" applyBorder="1" applyAlignment="1" applyProtection="1">
      <alignment horizontal="right" vertical="center"/>
    </xf>
    <xf numFmtId="170" fontId="16" fillId="0" borderId="19" xfId="35" applyNumberFormat="1" applyFont="1" applyFill="1" applyBorder="1" applyAlignment="1" applyProtection="1">
      <alignment horizontal="right" vertical="center"/>
    </xf>
    <xf numFmtId="0" fontId="153" fillId="12" borderId="30" xfId="35" applyFont="1" applyFill="1" applyBorder="1" applyAlignment="1" applyProtection="1">
      <alignment horizontal="left" vertical="center"/>
    </xf>
    <xf numFmtId="198" fontId="16" fillId="0" borderId="35" xfId="35" quotePrefix="1" applyNumberFormat="1" applyFont="1" applyFill="1" applyBorder="1" applyAlignment="1">
      <alignment horizontal="right" vertical="center"/>
    </xf>
    <xf numFmtId="198" fontId="16" fillId="0" borderId="19" xfId="35" quotePrefix="1" applyNumberFormat="1" applyFont="1" applyFill="1" applyBorder="1" applyAlignment="1">
      <alignment horizontal="right" vertical="center"/>
    </xf>
    <xf numFmtId="0" fontId="16" fillId="12" borderId="46" xfId="35" applyFont="1" applyFill="1" applyBorder="1" applyAlignment="1" applyProtection="1">
      <alignment horizontal="left" vertical="center"/>
    </xf>
    <xf numFmtId="198" fontId="16" fillId="0" borderId="51" xfId="35" quotePrefix="1" applyNumberFormat="1" applyFont="1" applyFill="1" applyBorder="1" applyAlignment="1">
      <alignment horizontal="right" vertical="center"/>
    </xf>
    <xf numFmtId="198" fontId="16" fillId="0" borderId="24" xfId="35" quotePrefix="1" applyNumberFormat="1" applyFont="1" applyFill="1" applyBorder="1" applyAlignment="1">
      <alignment horizontal="right" vertical="center"/>
    </xf>
    <xf numFmtId="0" fontId="15" fillId="0" borderId="0" xfId="35" applyFont="1" applyFill="1" applyAlignment="1" applyProtection="1">
      <alignment horizontal="left" vertical="center"/>
    </xf>
    <xf numFmtId="0" fontId="11" fillId="0" borderId="0" xfId="35" applyFont="1" applyFill="1" applyAlignment="1">
      <alignment vertical="center"/>
    </xf>
    <xf numFmtId="0" fontId="11" fillId="0" borderId="0" xfId="35" applyFont="1" applyAlignment="1">
      <alignment vertical="center"/>
    </xf>
    <xf numFmtId="0" fontId="149" fillId="0" borderId="0" xfId="34" applyAlignment="1">
      <alignment vertical="center"/>
    </xf>
    <xf numFmtId="0" fontId="154" fillId="0" borderId="0" xfId="34" applyFont="1" applyAlignment="1">
      <alignment vertical="center"/>
    </xf>
    <xf numFmtId="0" fontId="35" fillId="0" borderId="0" xfId="35" applyFont="1" applyFill="1" applyAlignment="1" applyProtection="1">
      <alignment horizontal="left" vertical="center"/>
    </xf>
    <xf numFmtId="0" fontId="15" fillId="0" borderId="0" xfId="34" applyFont="1"/>
    <xf numFmtId="0" fontId="15" fillId="0" borderId="0" xfId="35" applyFont="1" applyAlignment="1" applyProtection="1">
      <alignment horizontal="left" vertical="center"/>
    </xf>
    <xf numFmtId="0" fontId="35" fillId="0" borderId="0" xfId="34" applyFont="1" applyFill="1" applyBorder="1" applyAlignment="1" applyProtection="1">
      <alignment horizontal="left" vertical="center"/>
    </xf>
    <xf numFmtId="175" fontId="11" fillId="0" borderId="0" xfId="34" applyNumberFormat="1" applyFont="1" applyBorder="1" applyAlignment="1">
      <alignment vertical="center"/>
    </xf>
    <xf numFmtId="0" fontId="11" fillId="0" borderId="0" xfId="34" applyFont="1" applyFill="1" applyBorder="1" applyAlignment="1">
      <alignment vertical="center"/>
    </xf>
    <xf numFmtId="0" fontId="6" fillId="0" borderId="0" xfId="34" applyFont="1" applyFill="1" applyAlignment="1" applyProtection="1">
      <alignment horizontal="left"/>
    </xf>
    <xf numFmtId="0" fontId="7" fillId="0" borderId="0" xfId="34" applyFont="1" applyAlignment="1">
      <alignment vertical="center"/>
    </xf>
    <xf numFmtId="0" fontId="31" fillId="0" borderId="0" xfId="34" applyFont="1" applyFill="1" applyAlignment="1" applyProtection="1">
      <alignment horizontal="left" vertical="center"/>
    </xf>
    <xf numFmtId="0" fontId="19" fillId="0" borderId="0" xfId="34" applyFont="1" applyAlignment="1">
      <alignment vertical="center"/>
    </xf>
    <xf numFmtId="0" fontId="23" fillId="0" borderId="0" xfId="34" applyFont="1" applyFill="1"/>
    <xf numFmtId="0" fontId="23" fillId="0" borderId="0" xfId="34" applyFont="1" applyFill="1" applyAlignment="1">
      <alignment horizontal="center"/>
    </xf>
    <xf numFmtId="0" fontId="92" fillId="0" borderId="0" xfId="34" applyFont="1" applyAlignment="1">
      <alignment vertical="center"/>
    </xf>
    <xf numFmtId="0" fontId="62" fillId="0" borderId="0" xfId="34" applyFont="1"/>
    <xf numFmtId="0" fontId="19" fillId="0" borderId="0" xfId="34" applyFont="1"/>
    <xf numFmtId="0" fontId="16" fillId="12" borderId="62" xfId="34" applyFont="1" applyFill="1" applyBorder="1" applyAlignment="1" applyProtection="1">
      <alignment horizontal="center" vertical="center" wrapText="1"/>
    </xf>
    <xf numFmtId="0" fontId="16" fillId="12" borderId="65" xfId="34" applyFont="1" applyFill="1" applyBorder="1" applyAlignment="1" applyProtection="1">
      <alignment horizontal="center" vertical="center" wrapText="1"/>
    </xf>
    <xf numFmtId="0" fontId="16" fillId="12" borderId="66" xfId="34" applyFont="1" applyFill="1" applyBorder="1" applyAlignment="1" applyProtection="1">
      <alignment horizontal="center" vertical="center" wrapText="1"/>
    </xf>
    <xf numFmtId="0" fontId="16" fillId="12" borderId="196" xfId="34" applyFont="1" applyFill="1" applyBorder="1" applyAlignment="1" applyProtection="1">
      <alignment horizontal="center" vertical="center" wrapText="1"/>
    </xf>
    <xf numFmtId="0" fontId="152" fillId="0" borderId="0" xfId="34" applyFont="1" applyAlignment="1">
      <alignment vertical="center" wrapText="1"/>
    </xf>
    <xf numFmtId="0" fontId="19" fillId="0" borderId="0" xfId="34" applyFont="1" applyAlignment="1">
      <alignment vertical="center" wrapText="1"/>
    </xf>
    <xf numFmtId="17" fontId="16" fillId="12" borderId="30" xfId="34" applyNumberFormat="1" applyFont="1" applyFill="1" applyBorder="1" applyAlignment="1" applyProtection="1">
      <alignment horizontal="left"/>
    </xf>
    <xf numFmtId="170" fontId="23" fillId="0" borderId="35" xfId="34" applyNumberFormat="1" applyFont="1" applyFill="1" applyBorder="1" applyAlignment="1" applyProtection="1">
      <alignment horizontal="right"/>
    </xf>
    <xf numFmtId="170" fontId="23" fillId="0" borderId="0" xfId="34" applyNumberFormat="1" applyFont="1" applyFill="1" applyBorder="1" applyAlignment="1" applyProtection="1">
      <alignment horizontal="right"/>
    </xf>
    <xf numFmtId="170" fontId="23" fillId="0" borderId="55" xfId="34" applyNumberFormat="1" applyFont="1" applyFill="1" applyBorder="1" applyAlignment="1" applyProtection="1">
      <alignment horizontal="right"/>
    </xf>
    <xf numFmtId="0" fontId="16" fillId="28" borderId="46" xfId="34" applyFont="1" applyFill="1" applyBorder="1" applyAlignment="1" applyProtection="1">
      <alignment horizontal="left"/>
    </xf>
    <xf numFmtId="198" fontId="23" fillId="0" borderId="51" xfId="34" quotePrefix="1" applyNumberFormat="1" applyFont="1" applyFill="1" applyBorder="1" applyAlignment="1">
      <alignment horizontal="right"/>
    </xf>
    <xf numFmtId="198" fontId="23" fillId="0" borderId="23" xfId="34" quotePrefix="1" applyNumberFormat="1" applyFont="1" applyFill="1" applyBorder="1" applyAlignment="1">
      <alignment horizontal="right"/>
    </xf>
    <xf numFmtId="198" fontId="23" fillId="0" borderId="58" xfId="34" quotePrefix="1" applyNumberFormat="1" applyFont="1" applyFill="1" applyBorder="1" applyAlignment="1">
      <alignment horizontal="right"/>
    </xf>
    <xf numFmtId="0" fontId="11" fillId="0" borderId="0" xfId="34" applyFont="1" applyAlignment="1">
      <alignment vertical="center"/>
    </xf>
    <xf numFmtId="0" fontId="15" fillId="0" borderId="0" xfId="34" applyFont="1" applyFill="1"/>
    <xf numFmtId="0" fontId="15" fillId="0" borderId="0" xfId="34" applyFont="1" applyFill="1" applyAlignment="1">
      <alignment horizontal="center"/>
    </xf>
    <xf numFmtId="0" fontId="92" fillId="0" borderId="0" xfId="34" applyFont="1" applyFill="1" applyAlignment="1">
      <alignment vertical="center"/>
    </xf>
    <xf numFmtId="0" fontId="155" fillId="0" borderId="0" xfId="34" applyFont="1" applyFill="1" applyAlignment="1">
      <alignment horizontal="center"/>
    </xf>
    <xf numFmtId="0" fontId="149" fillId="0" borderId="0" xfId="34"/>
    <xf numFmtId="0" fontId="18" fillId="5" borderId="0" xfId="36" applyFont="1" applyFill="1" applyAlignment="1" applyProtection="1">
      <alignment horizontal="left"/>
    </xf>
    <xf numFmtId="0" fontId="26" fillId="5" borderId="0" xfId="36" applyFont="1" applyFill="1" applyAlignment="1">
      <alignment horizontal="center"/>
    </xf>
    <xf numFmtId="0" fontId="19" fillId="5" borderId="0" xfId="36" applyFont="1" applyFill="1"/>
    <xf numFmtId="0" fontId="19" fillId="5" borderId="0" xfId="36" applyFont="1" applyFill="1" applyAlignment="1">
      <alignment vertical="center"/>
    </xf>
    <xf numFmtId="0" fontId="156" fillId="5" borderId="0" xfId="36" applyFont="1" applyFill="1" applyAlignment="1">
      <alignment vertical="center"/>
    </xf>
    <xf numFmtId="0" fontId="29" fillId="5" borderId="0" xfId="36" applyFont="1" applyFill="1"/>
    <xf numFmtId="0" fontId="26" fillId="5" borderId="0" xfId="36" applyFont="1" applyFill="1"/>
    <xf numFmtId="0" fontId="30" fillId="5" borderId="0" xfId="36" applyFont="1" applyFill="1" applyAlignment="1">
      <alignment horizontal="center"/>
    </xf>
    <xf numFmtId="175" fontId="26" fillId="5" borderId="0" xfId="37" applyNumberFormat="1" applyFont="1" applyFill="1"/>
    <xf numFmtId="0" fontId="157" fillId="5" borderId="0" xfId="36" applyFont="1" applyFill="1" applyAlignment="1">
      <alignment vertical="center"/>
    </xf>
    <xf numFmtId="0" fontId="39" fillId="12" borderId="63" xfId="36" applyFont="1" applyFill="1" applyBorder="1" applyAlignment="1">
      <alignment horizontal="center" vertical="center"/>
    </xf>
    <xf numFmtId="0" fontId="26" fillId="5" borderId="0" xfId="36" applyFont="1" applyFill="1" applyAlignment="1">
      <alignment vertical="center" wrapText="1"/>
    </xf>
    <xf numFmtId="176" fontId="39" fillId="12" borderId="35" xfId="36" applyNumberFormat="1" applyFont="1" applyFill="1" applyBorder="1" applyAlignment="1">
      <alignment horizontal="center" vertical="center"/>
    </xf>
    <xf numFmtId="0" fontId="26" fillId="5" borderId="0" xfId="36" applyFont="1" applyFill="1" applyAlignment="1">
      <alignment vertical="center"/>
    </xf>
    <xf numFmtId="0" fontId="26" fillId="5" borderId="0" xfId="36" applyFont="1" applyFill="1" applyBorder="1"/>
    <xf numFmtId="0" fontId="26" fillId="5" borderId="0" xfId="36" applyFont="1" applyFill="1" applyBorder="1" applyAlignment="1">
      <alignment vertical="center"/>
    </xf>
    <xf numFmtId="0" fontId="157" fillId="5" borderId="0" xfId="36" applyFont="1" applyFill="1" applyBorder="1" applyAlignment="1">
      <alignment vertical="center"/>
    </xf>
    <xf numFmtId="168" fontId="157" fillId="5" borderId="0" xfId="36" applyNumberFormat="1" applyFont="1" applyFill="1" applyBorder="1" applyAlignment="1">
      <alignment vertical="center"/>
    </xf>
    <xf numFmtId="176" fontId="39" fillId="12" borderId="103" xfId="36" applyNumberFormat="1" applyFont="1" applyFill="1" applyBorder="1" applyAlignment="1">
      <alignment horizontal="center" vertical="center"/>
    </xf>
    <xf numFmtId="0" fontId="45" fillId="5" borderId="0" xfId="36" applyFont="1" applyFill="1"/>
    <xf numFmtId="0" fontId="14" fillId="5" borderId="0" xfId="36" applyFont="1" applyFill="1" applyAlignment="1">
      <alignment vertical="center"/>
    </xf>
    <xf numFmtId="0" fontId="158" fillId="5" borderId="0" xfId="36" applyFont="1" applyFill="1" applyAlignment="1">
      <alignment vertical="center"/>
    </xf>
    <xf numFmtId="0" fontId="18" fillId="5" borderId="0" xfId="36" applyFont="1" applyFill="1" applyAlignment="1">
      <alignment vertical="center"/>
    </xf>
    <xf numFmtId="0" fontId="39" fillId="5" borderId="0" xfId="36" applyFont="1" applyFill="1" applyAlignment="1">
      <alignment vertical="center"/>
    </xf>
    <xf numFmtId="0" fontId="29" fillId="5" borderId="0" xfId="36" applyFont="1" applyFill="1" applyBorder="1" applyAlignment="1">
      <alignment vertical="center"/>
    </xf>
    <xf numFmtId="0" fontId="19" fillId="5" borderId="0" xfId="36" applyFont="1" applyFill="1" applyBorder="1" applyAlignment="1">
      <alignment vertical="center"/>
    </xf>
    <xf numFmtId="0" fontId="39" fillId="12" borderId="150" xfId="36" applyFont="1" applyFill="1" applyBorder="1" applyAlignment="1">
      <alignment horizontal="center" vertical="center"/>
    </xf>
    <xf numFmtId="0" fontId="39" fillId="12" borderId="136" xfId="36" applyFont="1" applyFill="1" applyBorder="1" applyAlignment="1">
      <alignment horizontal="center" vertical="center"/>
    </xf>
    <xf numFmtId="0" fontId="39" fillId="12" borderId="135" xfId="36" applyFont="1" applyFill="1" applyBorder="1" applyAlignment="1">
      <alignment horizontal="center" vertical="center"/>
    </xf>
    <xf numFmtId="0" fontId="39" fillId="12" borderId="153" xfId="36" applyFont="1" applyFill="1" applyBorder="1" applyAlignment="1">
      <alignment horizontal="center" vertical="center"/>
    </xf>
    <xf numFmtId="0" fontId="14" fillId="12" borderId="30" xfId="36" applyFont="1" applyFill="1" applyBorder="1" applyAlignment="1">
      <alignment vertical="center"/>
    </xf>
    <xf numFmtId="0" fontId="29" fillId="5" borderId="28" xfId="36" applyFont="1" applyFill="1" applyBorder="1" applyAlignment="1">
      <alignment horizontal="center" vertical="center"/>
    </xf>
    <xf numFmtId="0" fontId="29" fillId="5" borderId="0" xfId="36" applyFont="1" applyFill="1" applyBorder="1" applyAlignment="1">
      <alignment horizontal="center" vertical="center"/>
    </xf>
    <xf numFmtId="0" fontId="29" fillId="5" borderId="55" xfId="36" applyFont="1" applyFill="1" applyBorder="1" applyAlignment="1">
      <alignment horizontal="center" vertical="center"/>
    </xf>
    <xf numFmtId="0" fontId="29" fillId="5" borderId="6" xfId="36" applyFont="1" applyFill="1" applyBorder="1" applyAlignment="1">
      <alignment horizontal="center" vertical="center"/>
    </xf>
    <xf numFmtId="0" fontId="29" fillId="5" borderId="200" xfId="36" applyFont="1" applyFill="1" applyBorder="1" applyAlignment="1">
      <alignment horizontal="center" vertical="center"/>
    </xf>
    <xf numFmtId="0" fontId="29" fillId="5" borderId="60" xfId="36" applyFont="1" applyFill="1" applyBorder="1" applyAlignment="1">
      <alignment horizontal="center" vertical="center"/>
    </xf>
    <xf numFmtId="0" fontId="29" fillId="5" borderId="17" xfId="36" applyFont="1" applyFill="1" applyBorder="1" applyAlignment="1">
      <alignment horizontal="center" vertical="center"/>
    </xf>
    <xf numFmtId="0" fontId="39" fillId="12" borderId="30" xfId="36" applyFont="1" applyFill="1" applyBorder="1" applyAlignment="1" applyProtection="1">
      <alignment horizontal="left"/>
    </xf>
    <xf numFmtId="170" fontId="14" fillId="5" borderId="0" xfId="36" applyNumberFormat="1" applyFont="1" applyFill="1" applyBorder="1" applyAlignment="1">
      <alignment horizontal="right" vertical="center"/>
    </xf>
    <xf numFmtId="170" fontId="14" fillId="5" borderId="6" xfId="36" applyNumberFormat="1" applyFont="1" applyFill="1" applyBorder="1" applyAlignment="1">
      <alignment horizontal="right" vertical="center"/>
    </xf>
    <xf numFmtId="170" fontId="14" fillId="5" borderId="35" xfId="36" applyNumberFormat="1" applyFont="1" applyFill="1" applyBorder="1" applyAlignment="1">
      <alignment horizontal="right" vertical="center"/>
    </xf>
    <xf numFmtId="168" fontId="14" fillId="5" borderId="35" xfId="36" applyNumberFormat="1" applyFont="1" applyFill="1" applyBorder="1" applyAlignment="1">
      <alignment horizontal="right" vertical="center"/>
    </xf>
    <xf numFmtId="168" fontId="14" fillId="5" borderId="55" xfId="36" applyNumberFormat="1" applyFont="1" applyFill="1" applyBorder="1" applyAlignment="1">
      <alignment horizontal="right" vertical="center"/>
    </xf>
    <xf numFmtId="168" fontId="14" fillId="5" borderId="19" xfId="36" applyNumberFormat="1" applyFont="1" applyFill="1" applyBorder="1" applyAlignment="1">
      <alignment horizontal="right" vertical="center"/>
    </xf>
    <xf numFmtId="168" fontId="157" fillId="5" borderId="0" xfId="36" applyNumberFormat="1" applyFont="1" applyFill="1" applyAlignment="1">
      <alignment vertical="center"/>
    </xf>
    <xf numFmtId="170" fontId="157" fillId="5" borderId="0" xfId="36" applyNumberFormat="1" applyFont="1" applyFill="1" applyAlignment="1">
      <alignment vertical="center"/>
    </xf>
    <xf numFmtId="0" fontId="158" fillId="5" borderId="6" xfId="36" applyFont="1" applyFill="1" applyBorder="1" applyAlignment="1">
      <alignment vertical="center"/>
    </xf>
    <xf numFmtId="0" fontId="14" fillId="5" borderId="35" xfId="36" applyFont="1" applyFill="1" applyBorder="1" applyAlignment="1">
      <alignment horizontal="right" vertical="center"/>
    </xf>
    <xf numFmtId="0" fontId="14" fillId="5" borderId="6" xfId="36" applyFont="1" applyFill="1" applyBorder="1" applyAlignment="1">
      <alignment horizontal="right" vertical="center"/>
    </xf>
    <xf numFmtId="0" fontId="14" fillId="5" borderId="19" xfId="36" applyFont="1" applyFill="1" applyBorder="1" applyAlignment="1">
      <alignment horizontal="right" vertical="center"/>
    </xf>
    <xf numFmtId="0" fontId="39" fillId="12" borderId="46" xfId="36" applyFont="1" applyFill="1" applyBorder="1" applyAlignment="1">
      <alignment horizontal="left" vertical="center"/>
    </xf>
    <xf numFmtId="170" fontId="37" fillId="13" borderId="59" xfId="36" applyNumberFormat="1" applyFont="1" applyFill="1" applyBorder="1" applyAlignment="1">
      <alignment horizontal="right" vertical="center"/>
    </xf>
    <xf numFmtId="168" fontId="37" fillId="13" borderId="59" xfId="36" applyNumberFormat="1" applyFont="1" applyFill="1" applyBorder="1" applyAlignment="1">
      <alignment horizontal="right" vertical="center"/>
    </xf>
    <xf numFmtId="168" fontId="37" fillId="13" borderId="58" xfId="36" applyNumberFormat="1" applyFont="1" applyFill="1" applyBorder="1" applyAlignment="1">
      <alignment horizontal="right" vertical="center"/>
    </xf>
    <xf numFmtId="0" fontId="30" fillId="5" borderId="0" xfId="36" applyFont="1" applyFill="1" applyAlignment="1">
      <alignment vertical="center"/>
    </xf>
    <xf numFmtId="0" fontId="47" fillId="5" borderId="0" xfId="36" applyFont="1" applyFill="1" applyAlignment="1">
      <alignment vertical="center"/>
    </xf>
    <xf numFmtId="49" fontId="30" fillId="5" borderId="0" xfId="36" applyNumberFormat="1" applyFont="1" applyFill="1" applyAlignment="1">
      <alignment vertical="center"/>
    </xf>
    <xf numFmtId="4" fontId="156" fillId="5" borderId="0" xfId="36" applyNumberFormat="1" applyFont="1" applyFill="1" applyAlignment="1">
      <alignment vertical="center"/>
    </xf>
    <xf numFmtId="0" fontId="39" fillId="12" borderId="65" xfId="36" applyFont="1" applyFill="1" applyBorder="1" applyAlignment="1">
      <alignment horizontal="center" vertical="center"/>
    </xf>
    <xf numFmtId="0" fontId="39" fillId="12" borderId="196" xfId="36" applyFont="1" applyFill="1" applyBorder="1" applyAlignment="1">
      <alignment horizontal="center" vertical="center"/>
    </xf>
    <xf numFmtId="17" fontId="29" fillId="5" borderId="30" xfId="38" applyNumberFormat="1" applyFont="1" applyFill="1" applyBorder="1" applyAlignment="1" applyProtection="1">
      <alignment horizontal="left" vertical="center"/>
    </xf>
    <xf numFmtId="170" fontId="29" fillId="5" borderId="35" xfId="38" applyNumberFormat="1" applyFont="1" applyFill="1" applyBorder="1" applyAlignment="1" applyProtection="1">
      <alignment horizontal="center" vertical="center"/>
    </xf>
    <xf numFmtId="170" fontId="30" fillId="5" borderId="35" xfId="38" applyNumberFormat="1" applyFont="1" applyFill="1" applyBorder="1" applyAlignment="1" applyProtection="1">
      <alignment horizontal="center" vertical="center"/>
    </xf>
    <xf numFmtId="170" fontId="30" fillId="5" borderId="55" xfId="38" applyNumberFormat="1" applyFont="1" applyFill="1" applyBorder="1" applyAlignment="1" applyProtection="1">
      <alignment horizontal="center" vertical="center"/>
    </xf>
    <xf numFmtId="17" fontId="39" fillId="4" borderId="30" xfId="38" applyNumberFormat="1" applyFont="1" applyFill="1" applyBorder="1" applyAlignment="1" applyProtection="1">
      <alignment horizontal="left" vertical="center"/>
    </xf>
    <xf numFmtId="170" fontId="14" fillId="5" borderId="57" xfId="36" applyNumberFormat="1" applyFont="1" applyFill="1" applyBorder="1" applyAlignment="1">
      <alignment horizontal="right" vertical="center"/>
    </xf>
    <xf numFmtId="17" fontId="39" fillId="4" borderId="46" xfId="38" applyNumberFormat="1" applyFont="1" applyFill="1" applyBorder="1" applyAlignment="1" applyProtection="1">
      <alignment horizontal="left" vertical="center"/>
    </xf>
    <xf numFmtId="170" fontId="14" fillId="5" borderId="61" xfId="38" applyNumberFormat="1" applyFont="1" applyFill="1" applyBorder="1" applyAlignment="1" applyProtection="1">
      <alignment horizontal="right" vertical="center"/>
    </xf>
    <xf numFmtId="170" fontId="14" fillId="5" borderId="51" xfId="38" applyNumberFormat="1" applyFont="1" applyFill="1" applyBorder="1" applyAlignment="1" applyProtection="1">
      <alignment horizontal="right" vertical="center"/>
    </xf>
    <xf numFmtId="0" fontId="45" fillId="5" borderId="0" xfId="36" applyFont="1" applyFill="1" applyAlignment="1">
      <alignment vertical="center"/>
    </xf>
    <xf numFmtId="0" fontId="159" fillId="5" borderId="0" xfId="36" applyFont="1" applyFill="1" applyAlignment="1">
      <alignment vertical="center"/>
    </xf>
    <xf numFmtId="49" fontId="45" fillId="5" borderId="0" xfId="36" applyNumberFormat="1" applyFont="1" applyFill="1" applyAlignment="1">
      <alignment vertical="center"/>
    </xf>
    <xf numFmtId="170" fontId="156" fillId="5" borderId="0" xfId="36" applyNumberFormat="1" applyFont="1" applyFill="1" applyAlignment="1">
      <alignment vertical="center"/>
    </xf>
    <xf numFmtId="0" fontId="31" fillId="5" borderId="0" xfId="13" applyFont="1" applyFill="1"/>
    <xf numFmtId="0" fontId="23" fillId="5" borderId="0" xfId="13" applyFill="1"/>
    <xf numFmtId="0" fontId="23" fillId="12" borderId="25" xfId="13" applyFill="1" applyBorder="1" applyAlignment="1">
      <alignment vertical="center"/>
    </xf>
    <xf numFmtId="0" fontId="23" fillId="5" borderId="0" xfId="13" applyFill="1" applyAlignment="1">
      <alignment vertical="center"/>
    </xf>
    <xf numFmtId="0" fontId="23" fillId="0" borderId="0" xfId="13" applyAlignment="1">
      <alignment vertical="center"/>
    </xf>
    <xf numFmtId="0" fontId="23" fillId="12" borderId="30" xfId="13" applyFill="1" applyBorder="1" applyAlignment="1">
      <alignment vertical="center"/>
    </xf>
    <xf numFmtId="0" fontId="23" fillId="12" borderId="30" xfId="13" applyFont="1" applyFill="1" applyBorder="1" applyAlignment="1">
      <alignment vertical="center"/>
    </xf>
    <xf numFmtId="0" fontId="16" fillId="12" borderId="208" xfId="13" applyFont="1" applyFill="1" applyBorder="1" applyAlignment="1">
      <alignment horizontal="center" vertical="center"/>
    </xf>
    <xf numFmtId="0" fontId="16" fillId="12" borderId="209" xfId="13" applyFont="1" applyFill="1" applyBorder="1" applyAlignment="1">
      <alignment horizontal="center" vertical="center"/>
    </xf>
    <xf numFmtId="0" fontId="16" fillId="12" borderId="210" xfId="13" applyFont="1" applyFill="1" applyBorder="1" applyAlignment="1">
      <alignment horizontal="center" vertical="center"/>
    </xf>
    <xf numFmtId="0" fontId="23" fillId="12" borderId="46" xfId="13" applyFont="1" applyFill="1" applyBorder="1" applyAlignment="1">
      <alignment vertical="center"/>
    </xf>
    <xf numFmtId="0" fontId="25" fillId="12" borderId="24" xfId="13" applyFont="1" applyFill="1" applyBorder="1" applyAlignment="1">
      <alignment horizontal="center" vertical="center"/>
    </xf>
    <xf numFmtId="49" fontId="16" fillId="30" borderId="30" xfId="13" applyNumberFormat="1" applyFont="1" applyFill="1" applyBorder="1" applyAlignment="1">
      <alignment horizontal="left" vertical="center"/>
    </xf>
    <xf numFmtId="3" fontId="23" fillId="0" borderId="18" xfId="13" applyNumberFormat="1" applyFill="1" applyBorder="1" applyAlignment="1">
      <alignment vertical="center"/>
    </xf>
    <xf numFmtId="3" fontId="23" fillId="0" borderId="4" xfId="13" applyNumberFormat="1" applyFill="1" applyBorder="1" applyAlignment="1">
      <alignment vertical="center"/>
    </xf>
    <xf numFmtId="3" fontId="23" fillId="0" borderId="19" xfId="13" applyNumberFormat="1" applyFill="1" applyBorder="1" applyAlignment="1">
      <alignment vertical="center"/>
    </xf>
    <xf numFmtId="1" fontId="23" fillId="0" borderId="0" xfId="13" applyNumberFormat="1" applyFill="1" applyBorder="1" applyAlignment="1">
      <alignment vertical="center"/>
    </xf>
    <xf numFmtId="170" fontId="23" fillId="0" borderId="205" xfId="13" applyNumberFormat="1" applyFill="1" applyBorder="1" applyAlignment="1">
      <alignment horizontal="right" vertical="center"/>
    </xf>
    <xf numFmtId="168" fontId="16" fillId="0" borderId="19" xfId="13" applyNumberFormat="1" applyFont="1" applyFill="1" applyBorder="1" applyAlignment="1">
      <alignment vertical="center"/>
    </xf>
    <xf numFmtId="168" fontId="16" fillId="0" borderId="30" xfId="13" applyNumberFormat="1" applyFont="1" applyFill="1" applyBorder="1" applyAlignment="1">
      <alignment vertical="center"/>
    </xf>
    <xf numFmtId="174" fontId="23" fillId="5" borderId="0" xfId="39" applyNumberFormat="1" applyFill="1" applyAlignment="1">
      <alignment vertical="center"/>
    </xf>
    <xf numFmtId="3" fontId="23" fillId="0" borderId="139" xfId="13" applyNumberFormat="1" applyFill="1" applyBorder="1" applyAlignment="1">
      <alignment vertical="center"/>
    </xf>
    <xf numFmtId="3" fontId="23" fillId="0" borderId="204" xfId="13" applyNumberFormat="1" applyFill="1" applyBorder="1" applyAlignment="1">
      <alignment vertical="center"/>
    </xf>
    <xf numFmtId="170" fontId="23" fillId="0" borderId="0" xfId="13" applyNumberFormat="1" applyFill="1" applyBorder="1" applyAlignment="1">
      <alignment horizontal="right" vertical="center"/>
    </xf>
    <xf numFmtId="3" fontId="11" fillId="0" borderId="0" xfId="13" applyNumberFormat="1" applyFont="1" applyFill="1" applyBorder="1" applyAlignment="1">
      <alignment horizontal="right" vertical="center"/>
    </xf>
    <xf numFmtId="3" fontId="23" fillId="0" borderId="0" xfId="13" applyNumberFormat="1" applyFill="1" applyBorder="1" applyAlignment="1">
      <alignment vertical="center"/>
    </xf>
    <xf numFmtId="49" fontId="16" fillId="30" borderId="18" xfId="13" applyNumberFormat="1" applyFont="1" applyFill="1" applyBorder="1" applyAlignment="1">
      <alignment horizontal="left" vertical="center"/>
    </xf>
    <xf numFmtId="3" fontId="23" fillId="0" borderId="204" xfId="13" applyNumberFormat="1" applyFill="1" applyBorder="1" applyAlignment="1">
      <alignment horizontal="right" vertical="center"/>
    </xf>
    <xf numFmtId="3" fontId="23" fillId="0" borderId="205" xfId="13" applyNumberFormat="1" applyFill="1" applyBorder="1" applyAlignment="1">
      <alignment vertical="center"/>
    </xf>
    <xf numFmtId="3" fontId="23" fillId="0" borderId="37" xfId="13" applyNumberFormat="1" applyFill="1" applyBorder="1" applyAlignment="1">
      <alignment vertical="center"/>
    </xf>
    <xf numFmtId="170" fontId="23" fillId="0" borderId="139" xfId="13" applyNumberFormat="1" applyFill="1" applyBorder="1" applyAlignment="1">
      <alignment horizontal="right" vertical="center"/>
    </xf>
    <xf numFmtId="3" fontId="23" fillId="0" borderId="205" xfId="13" applyNumberFormat="1" applyFont="1" applyFill="1" applyBorder="1" applyAlignment="1">
      <alignment horizontal="right" vertical="center"/>
    </xf>
    <xf numFmtId="17" fontId="16" fillId="30" borderId="18" xfId="13" applyNumberFormat="1" applyFont="1" applyFill="1" applyBorder="1" applyAlignment="1">
      <alignment horizontal="left" vertical="center"/>
    </xf>
    <xf numFmtId="17" fontId="16" fillId="30" borderId="30" xfId="13" applyNumberFormat="1" applyFont="1" applyFill="1" applyBorder="1" applyAlignment="1">
      <alignment horizontal="left" vertical="center"/>
    </xf>
    <xf numFmtId="3" fontId="23" fillId="0" borderId="18" xfId="13" applyNumberFormat="1" applyFill="1" applyBorder="1" applyAlignment="1">
      <alignment horizontal="right" vertical="center"/>
    </xf>
    <xf numFmtId="3" fontId="23" fillId="0" borderId="19" xfId="13" applyNumberFormat="1" applyFont="1" applyFill="1" applyBorder="1" applyAlignment="1">
      <alignment horizontal="right" vertical="center"/>
    </xf>
    <xf numFmtId="168" fontId="16" fillId="0" borderId="0" xfId="13" applyNumberFormat="1" applyFont="1" applyFill="1" applyBorder="1" applyAlignment="1">
      <alignment vertical="center"/>
    </xf>
    <xf numFmtId="3" fontId="23" fillId="0" borderId="0" xfId="13" applyNumberFormat="1" applyFill="1" applyBorder="1" applyAlignment="1">
      <alignment horizontal="right" vertical="center"/>
    </xf>
    <xf numFmtId="3" fontId="23" fillId="0" borderId="0" xfId="13" applyNumberFormat="1" applyFont="1" applyFill="1" applyBorder="1" applyAlignment="1">
      <alignment horizontal="right" vertical="center"/>
    </xf>
    <xf numFmtId="17" fontId="16" fillId="30" borderId="30" xfId="13" quotePrefix="1" applyNumberFormat="1" applyFont="1" applyFill="1" applyBorder="1" applyAlignment="1">
      <alignment horizontal="left" vertical="center"/>
    </xf>
    <xf numFmtId="170" fontId="23" fillId="5" borderId="0" xfId="13" applyNumberFormat="1" applyFill="1" applyAlignment="1">
      <alignment vertical="center"/>
    </xf>
    <xf numFmtId="17" fontId="16" fillId="12" borderId="30" xfId="13" quotePrefix="1" applyNumberFormat="1" applyFont="1" applyFill="1" applyBorder="1" applyAlignment="1">
      <alignment horizontal="left" vertical="center"/>
    </xf>
    <xf numFmtId="3" fontId="160" fillId="0" borderId="0" xfId="22" applyNumberFormat="1" applyFont="1" applyFill="1" applyBorder="1" applyAlignment="1">
      <alignment horizontal="right" vertical="center"/>
    </xf>
    <xf numFmtId="3" fontId="160" fillId="0" borderId="4" xfId="22" applyNumberFormat="1" applyFont="1" applyFill="1" applyBorder="1" applyAlignment="1">
      <alignment vertical="center"/>
    </xf>
    <xf numFmtId="3" fontId="23" fillId="0" borderId="205" xfId="22" applyNumberFormat="1" applyFont="1" applyFill="1" applyBorder="1" applyAlignment="1">
      <alignment horizontal="right" vertical="center"/>
    </xf>
    <xf numFmtId="3" fontId="160" fillId="0" borderId="18" xfId="22" applyNumberFormat="1" applyFont="1" applyFill="1" applyBorder="1" applyAlignment="1">
      <alignment vertical="center"/>
    </xf>
    <xf numFmtId="170" fontId="160" fillId="0" borderId="205" xfId="22" applyNumberFormat="1" applyFont="1" applyFill="1" applyBorder="1" applyAlignment="1">
      <alignment horizontal="right" vertical="center"/>
    </xf>
    <xf numFmtId="168" fontId="16" fillId="0" borderId="19" xfId="22" applyNumberFormat="1" applyFont="1" applyFill="1" applyBorder="1" applyAlignment="1">
      <alignment vertical="center"/>
    </xf>
    <xf numFmtId="3" fontId="23" fillId="0" borderId="0" xfId="22" applyNumberFormat="1" applyFont="1" applyFill="1" applyBorder="1" applyAlignment="1">
      <alignment horizontal="right" vertical="center"/>
    </xf>
    <xf numFmtId="168" fontId="16" fillId="0" borderId="30" xfId="22" applyNumberFormat="1" applyFont="1" applyFill="1" applyBorder="1" applyAlignment="1">
      <alignment vertical="center"/>
    </xf>
    <xf numFmtId="168" fontId="16" fillId="5" borderId="18" xfId="22" applyNumberFormat="1" applyFont="1" applyFill="1" applyBorder="1" applyAlignment="1">
      <alignment vertical="center"/>
    </xf>
    <xf numFmtId="168" fontId="23" fillId="5" borderId="0" xfId="13" applyNumberFormat="1" applyFill="1" applyAlignment="1">
      <alignment vertical="center"/>
    </xf>
    <xf numFmtId="3" fontId="160" fillId="5" borderId="0" xfId="22" applyNumberFormat="1" applyFont="1" applyFill="1" applyBorder="1" applyAlignment="1">
      <alignment horizontal="right" vertical="center"/>
    </xf>
    <xf numFmtId="3" fontId="160" fillId="5" borderId="4" xfId="22" applyNumberFormat="1" applyFont="1" applyFill="1" applyBorder="1" applyAlignment="1">
      <alignment vertical="center"/>
    </xf>
    <xf numFmtId="3" fontId="23" fillId="5" borderId="0" xfId="22" applyNumberFormat="1" applyFont="1" applyFill="1" applyBorder="1" applyAlignment="1">
      <alignment horizontal="right" vertical="center"/>
    </xf>
    <xf numFmtId="3" fontId="160" fillId="5" borderId="18" xfId="22" applyNumberFormat="1" applyFont="1" applyFill="1" applyBorder="1" applyAlignment="1">
      <alignment vertical="center"/>
    </xf>
    <xf numFmtId="170" fontId="160" fillId="5" borderId="205" xfId="22" applyNumberFormat="1" applyFont="1" applyFill="1" applyBorder="1" applyAlignment="1">
      <alignment horizontal="right" vertical="center"/>
    </xf>
    <xf numFmtId="168" fontId="16" fillId="5" borderId="30" xfId="13" applyNumberFormat="1" applyFont="1" applyFill="1" applyBorder="1" applyAlignment="1">
      <alignment vertical="center"/>
    </xf>
    <xf numFmtId="168" fontId="16" fillId="5" borderId="30" xfId="22" applyNumberFormat="1" applyFont="1" applyFill="1" applyBorder="1" applyAlignment="1">
      <alignment vertical="center"/>
    </xf>
    <xf numFmtId="3" fontId="23" fillId="5" borderId="19" xfId="22" applyNumberFormat="1" applyFont="1" applyFill="1" applyBorder="1" applyAlignment="1">
      <alignment horizontal="right" vertical="center"/>
    </xf>
    <xf numFmtId="17" fontId="16" fillId="12" borderId="46" xfId="13" quotePrefix="1" applyNumberFormat="1" applyFont="1" applyFill="1" applyBorder="1" applyAlignment="1">
      <alignment horizontal="left" vertical="center"/>
    </xf>
    <xf numFmtId="3" fontId="160" fillId="5" borderId="22" xfId="22" applyNumberFormat="1" applyFont="1" applyFill="1" applyBorder="1" applyAlignment="1">
      <alignment vertical="center"/>
    </xf>
    <xf numFmtId="3" fontId="160" fillId="5" borderId="48" xfId="22" applyNumberFormat="1" applyFont="1" applyFill="1" applyBorder="1" applyAlignment="1">
      <alignment vertical="center"/>
    </xf>
    <xf numFmtId="3" fontId="23" fillId="5" borderId="24" xfId="22" applyNumberFormat="1" applyFont="1" applyFill="1" applyBorder="1" applyAlignment="1">
      <alignment horizontal="right" vertical="center"/>
    </xf>
    <xf numFmtId="170" fontId="160" fillId="5" borderId="207" xfId="22" applyNumberFormat="1" applyFont="1" applyFill="1" applyBorder="1" applyAlignment="1">
      <alignment horizontal="right" vertical="center"/>
    </xf>
    <xf numFmtId="168" fontId="16" fillId="5" borderId="46" xfId="13" applyNumberFormat="1" applyFont="1" applyFill="1" applyBorder="1" applyAlignment="1">
      <alignment vertical="center"/>
    </xf>
    <xf numFmtId="168" fontId="16" fillId="5" borderId="46" xfId="22" applyNumberFormat="1" applyFont="1" applyFill="1" applyBorder="1" applyAlignment="1">
      <alignment vertical="center"/>
    </xf>
    <xf numFmtId="0" fontId="25" fillId="5" borderId="0" xfId="13" applyFont="1" applyFill="1"/>
    <xf numFmtId="168" fontId="23" fillId="5" borderId="0" xfId="13" applyNumberFormat="1" applyFont="1" applyFill="1"/>
    <xf numFmtId="3" fontId="23" fillId="5" borderId="0" xfId="13" applyNumberFormat="1" applyFont="1" applyFill="1"/>
    <xf numFmtId="0" fontId="161" fillId="5" borderId="0" xfId="13" applyFont="1" applyFill="1"/>
    <xf numFmtId="0" fontId="23" fillId="5" borderId="0" xfId="13" applyFont="1" applyFill="1"/>
    <xf numFmtId="0" fontId="23" fillId="0" borderId="0" xfId="13"/>
    <xf numFmtId="0" fontId="18" fillId="5" borderId="0" xfId="13" applyFont="1" applyFill="1" applyBorder="1" applyAlignment="1">
      <alignment horizontal="left" vertical="center"/>
    </xf>
    <xf numFmtId="0" fontId="21" fillId="5" borderId="0" xfId="13" applyFont="1" applyFill="1" applyBorder="1" applyAlignment="1">
      <alignment vertical="center"/>
    </xf>
    <xf numFmtId="0" fontId="18" fillId="5" borderId="0" xfId="13" applyFont="1" applyFill="1" applyBorder="1" applyAlignment="1">
      <alignment vertical="center"/>
    </xf>
    <xf numFmtId="0" fontId="21" fillId="5" borderId="0" xfId="13" applyFont="1" applyFill="1" applyAlignment="1">
      <alignment vertical="center"/>
    </xf>
    <xf numFmtId="0" fontId="162" fillId="5" borderId="0" xfId="13" applyFont="1" applyFill="1" applyAlignment="1">
      <alignment vertical="center"/>
    </xf>
    <xf numFmtId="0" fontId="163" fillId="5" borderId="0" xfId="13" applyFont="1" applyFill="1" applyAlignment="1">
      <alignment vertical="center"/>
    </xf>
    <xf numFmtId="0" fontId="19" fillId="5" borderId="0" xfId="13" applyFont="1" applyFill="1" applyBorder="1" applyAlignment="1">
      <alignment vertical="center"/>
    </xf>
    <xf numFmtId="0" fontId="163" fillId="5" borderId="0" xfId="13" applyFont="1" applyFill="1" applyBorder="1" applyAlignment="1">
      <alignment horizontal="center" vertical="center"/>
    </xf>
    <xf numFmtId="0" fontId="163" fillId="5" borderId="0" xfId="13" applyFont="1" applyFill="1" applyBorder="1" applyAlignment="1">
      <alignment vertical="center"/>
    </xf>
    <xf numFmtId="0" fontId="29" fillId="17" borderId="25" xfId="13" applyFont="1" applyFill="1" applyBorder="1" applyAlignment="1">
      <alignment horizontal="center" vertical="center"/>
    </xf>
    <xf numFmtId="0" fontId="164" fillId="17" borderId="60" xfId="13" applyFont="1" applyFill="1" applyBorder="1" applyAlignment="1">
      <alignment horizontal="center" vertical="center"/>
    </xf>
    <xf numFmtId="0" fontId="164" fillId="17" borderId="28" xfId="13" applyFont="1" applyFill="1" applyBorder="1" applyAlignment="1">
      <alignment horizontal="center" vertical="center"/>
    </xf>
    <xf numFmtId="0" fontId="164" fillId="17" borderId="211" xfId="13" applyFont="1" applyFill="1" applyBorder="1" applyAlignment="1">
      <alignment horizontal="centerContinuous" vertical="center"/>
    </xf>
    <xf numFmtId="0" fontId="165" fillId="5" borderId="0" xfId="13" applyFont="1" applyFill="1" applyAlignment="1">
      <alignment vertical="center"/>
    </xf>
    <xf numFmtId="0" fontId="29" fillId="17" borderId="30" xfId="13" applyFont="1" applyFill="1" applyBorder="1" applyAlignment="1">
      <alignment horizontal="center" vertical="center"/>
    </xf>
    <xf numFmtId="0" fontId="164" fillId="17" borderId="57" xfId="13" applyFont="1" applyFill="1" applyBorder="1" applyAlignment="1">
      <alignment horizontal="center" vertical="center"/>
    </xf>
    <xf numFmtId="0" fontId="164" fillId="17" borderId="35" xfId="13" applyFont="1" applyFill="1" applyBorder="1" applyAlignment="1">
      <alignment horizontal="center" vertical="center"/>
    </xf>
    <xf numFmtId="0" fontId="164" fillId="17" borderId="57" xfId="13" applyFont="1" applyFill="1" applyBorder="1" applyAlignment="1">
      <alignment vertical="center"/>
    </xf>
    <xf numFmtId="0" fontId="167" fillId="17" borderId="46" xfId="13" applyFont="1" applyFill="1" applyBorder="1" applyAlignment="1">
      <alignment horizontal="center" vertical="center"/>
    </xf>
    <xf numFmtId="0" fontId="168" fillId="17" borderId="61" xfId="13" applyFont="1" applyFill="1" applyBorder="1" applyAlignment="1">
      <alignment horizontal="center" vertical="center"/>
    </xf>
    <xf numFmtId="0" fontId="168" fillId="17" borderId="51" xfId="13" applyFont="1" applyFill="1" applyBorder="1" applyAlignment="1">
      <alignment horizontal="center" vertical="center"/>
    </xf>
    <xf numFmtId="0" fontId="167" fillId="5" borderId="0" xfId="13" applyFont="1" applyFill="1" applyAlignment="1">
      <alignment horizontal="center" vertical="center"/>
    </xf>
    <xf numFmtId="169" fontId="29" fillId="17" borderId="30" xfId="13" applyNumberFormat="1" applyFont="1" applyFill="1" applyBorder="1" applyAlignment="1">
      <alignment horizontal="center" vertical="center"/>
    </xf>
    <xf numFmtId="0" fontId="29" fillId="5" borderId="60" xfId="13" applyFont="1" applyFill="1" applyBorder="1" applyAlignment="1">
      <alignment horizontal="center" vertical="center"/>
    </xf>
    <xf numFmtId="2" fontId="26" fillId="5" borderId="28" xfId="13" applyNumberFormat="1" applyFont="1" applyFill="1" applyBorder="1" applyAlignment="1">
      <alignment horizontal="center" vertical="center"/>
    </xf>
    <xf numFmtId="189" fontId="163" fillId="5" borderId="0" xfId="13" applyNumberFormat="1" applyFont="1" applyFill="1" applyAlignment="1">
      <alignment vertical="center"/>
    </xf>
    <xf numFmtId="2" fontId="163" fillId="5" borderId="0" xfId="13" applyNumberFormat="1" applyFont="1" applyFill="1" applyAlignment="1">
      <alignment vertical="center"/>
    </xf>
    <xf numFmtId="199" fontId="29" fillId="17" borderId="30" xfId="13" applyNumberFormat="1" applyFont="1" applyFill="1" applyBorder="1" applyAlignment="1">
      <alignment horizontal="center" vertical="center"/>
    </xf>
    <xf numFmtId="2" fontId="26" fillId="5" borderId="57" xfId="13" applyNumberFormat="1" applyFont="1" applyFill="1" applyBorder="1" applyAlignment="1">
      <alignment horizontal="center" vertical="center"/>
    </xf>
    <xf numFmtId="2" fontId="26" fillId="5" borderId="35" xfId="13" applyNumberFormat="1" applyFont="1" applyFill="1" applyBorder="1" applyAlignment="1">
      <alignment horizontal="center" vertical="center"/>
    </xf>
    <xf numFmtId="4" fontId="26" fillId="5" borderId="35" xfId="13" applyNumberFormat="1" applyFont="1" applyFill="1" applyBorder="1" applyAlignment="1">
      <alignment horizontal="center" vertical="center"/>
    </xf>
    <xf numFmtId="172" fontId="163" fillId="5" borderId="0" xfId="13" applyNumberFormat="1" applyFont="1" applyFill="1" applyAlignment="1">
      <alignment vertical="center"/>
    </xf>
    <xf numFmtId="4" fontId="163" fillId="5" borderId="0" xfId="13" applyNumberFormat="1" applyFont="1" applyFill="1" applyAlignment="1">
      <alignment vertical="center"/>
    </xf>
    <xf numFmtId="16" fontId="29" fillId="17" borderId="30" xfId="13" applyNumberFormat="1" applyFont="1" applyFill="1" applyBorder="1" applyAlignment="1">
      <alignment horizontal="center" vertical="center"/>
    </xf>
    <xf numFmtId="201" fontId="29" fillId="17" borderId="212" xfId="13" applyNumberFormat="1" applyFont="1" applyFill="1" applyBorder="1" applyAlignment="1">
      <alignment horizontal="center" vertical="center"/>
    </xf>
    <xf numFmtId="2" fontId="26" fillId="5" borderId="213" xfId="13" applyNumberFormat="1" applyFont="1" applyFill="1" applyBorder="1" applyAlignment="1">
      <alignment horizontal="center" vertical="center"/>
    </xf>
    <xf numFmtId="2" fontId="26" fillId="5" borderId="156" xfId="13" applyNumberFormat="1" applyFont="1" applyFill="1" applyBorder="1" applyAlignment="1">
      <alignment horizontal="center" vertical="center"/>
    </xf>
    <xf numFmtId="4" fontId="169" fillId="5" borderId="0" xfId="13" applyNumberFormat="1" applyFont="1" applyFill="1" applyAlignment="1">
      <alignment vertical="center"/>
    </xf>
    <xf numFmtId="189" fontId="170" fillId="5" borderId="0" xfId="13" applyNumberFormat="1" applyFont="1" applyFill="1" applyAlignment="1">
      <alignment vertical="center"/>
    </xf>
    <xf numFmtId="17" fontId="29" fillId="17" borderId="30" xfId="13" quotePrefix="1" applyNumberFormat="1" applyFont="1" applyFill="1" applyBorder="1" applyAlignment="1">
      <alignment horizontal="center" vertical="center"/>
    </xf>
    <xf numFmtId="17" fontId="29" fillId="17" borderId="165" xfId="13" quotePrefix="1" applyNumberFormat="1" applyFont="1" applyFill="1" applyBorder="1" applyAlignment="1">
      <alignment horizontal="center" vertical="center"/>
    </xf>
    <xf numFmtId="202" fontId="163" fillId="5" borderId="0" xfId="13" applyNumberFormat="1" applyFont="1" applyFill="1" applyAlignment="1">
      <alignment vertical="center"/>
    </xf>
    <xf numFmtId="17" fontId="29" fillId="17" borderId="46" xfId="13" applyNumberFormat="1" applyFont="1" applyFill="1" applyBorder="1" applyAlignment="1">
      <alignment horizontal="center" vertical="center"/>
    </xf>
    <xf numFmtId="2" fontId="26" fillId="5" borderId="61" xfId="13" applyNumberFormat="1" applyFont="1" applyFill="1" applyBorder="1" applyAlignment="1">
      <alignment horizontal="center" vertical="center"/>
    </xf>
    <xf numFmtId="2" fontId="26" fillId="5" borderId="51" xfId="13" applyNumberFormat="1" applyFont="1" applyFill="1" applyBorder="1" applyAlignment="1">
      <alignment horizontal="center" vertical="center"/>
    </xf>
    <xf numFmtId="17" fontId="51" fillId="5" borderId="0" xfId="13" applyNumberFormat="1" applyFont="1" applyFill="1" applyBorder="1" applyAlignment="1">
      <alignment horizontal="left" vertical="center"/>
    </xf>
    <xf numFmtId="2" fontId="163" fillId="5" borderId="0" xfId="13" applyNumberFormat="1" applyFont="1" applyFill="1" applyBorder="1" applyAlignment="1">
      <alignment vertical="center"/>
    </xf>
    <xf numFmtId="0" fontId="163" fillId="5" borderId="0" xfId="13" applyFont="1" applyFill="1" applyBorder="1" applyAlignment="1">
      <alignment horizontal="right" vertical="center"/>
    </xf>
    <xf numFmtId="0" fontId="48" fillId="5" borderId="0" xfId="13" applyFont="1" applyFill="1" applyAlignment="1">
      <alignment horizontal="left" vertical="center"/>
    </xf>
    <xf numFmtId="15" fontId="48" fillId="5" borderId="0" xfId="13" applyNumberFormat="1" applyFont="1" applyFill="1" applyAlignment="1">
      <alignment horizontal="left" vertical="center"/>
    </xf>
    <xf numFmtId="0" fontId="171" fillId="5" borderId="0" xfId="13" applyFont="1" applyFill="1" applyAlignment="1">
      <alignment vertical="center"/>
    </xf>
    <xf numFmtId="0" fontId="171" fillId="5" borderId="0" xfId="13" applyFont="1" applyFill="1" applyAlignment="1">
      <alignment horizontal="right" vertical="center"/>
    </xf>
    <xf numFmtId="15" fontId="171" fillId="5" borderId="0" xfId="13" applyNumberFormat="1" applyFont="1" applyFill="1" applyAlignment="1">
      <alignment horizontal="right" vertical="center"/>
    </xf>
    <xf numFmtId="0" fontId="30" fillId="5" borderId="0" xfId="13" applyFont="1" applyFill="1" applyAlignment="1">
      <alignment horizontal="left" vertical="center"/>
    </xf>
    <xf numFmtId="2" fontId="171" fillId="5" borderId="0" xfId="13" applyNumberFormat="1" applyFont="1" applyFill="1" applyBorder="1" applyAlignment="1">
      <alignment vertical="center"/>
    </xf>
    <xf numFmtId="0" fontId="37" fillId="5" borderId="0" xfId="13" applyFont="1" applyFill="1" applyAlignment="1">
      <alignment horizontal="left" vertical="center"/>
    </xf>
    <xf numFmtId="0" fontId="163" fillId="5" borderId="0" xfId="13" applyFont="1" applyFill="1" applyAlignment="1">
      <alignment horizontal="left" vertical="center"/>
    </xf>
    <xf numFmtId="0" fontId="163" fillId="5" borderId="0" xfId="13" applyFont="1" applyFill="1" applyAlignment="1">
      <alignment horizontal="center" vertical="center"/>
    </xf>
    <xf numFmtId="166" fontId="163" fillId="5" borderId="0" xfId="7" applyNumberFormat="1" applyFont="1" applyFill="1" applyAlignment="1">
      <alignment vertical="center"/>
    </xf>
    <xf numFmtId="0" fontId="31" fillId="5" borderId="0" xfId="40" applyFont="1" applyFill="1" applyAlignment="1">
      <alignment horizontal="left" vertical="center"/>
    </xf>
    <xf numFmtId="0" fontId="172" fillId="5" borderId="0" xfId="40" applyFont="1" applyFill="1"/>
    <xf numFmtId="0" fontId="172" fillId="5" borderId="0" xfId="23" applyFont="1" applyFill="1" applyAlignment="1">
      <alignment vertical="center"/>
    </xf>
    <xf numFmtId="0" fontId="16" fillId="12" borderId="25" xfId="40" applyFont="1" applyFill="1" applyBorder="1" applyAlignment="1">
      <alignment horizontal="center"/>
    </xf>
    <xf numFmtId="0" fontId="173" fillId="5" borderId="0" xfId="23" applyFont="1" applyFill="1" applyAlignment="1">
      <alignment vertical="center"/>
    </xf>
    <xf numFmtId="0" fontId="16" fillId="12" borderId="30" xfId="40" applyFont="1" applyFill="1" applyBorder="1" applyAlignment="1">
      <alignment horizontal="center"/>
    </xf>
    <xf numFmtId="0" fontId="16" fillId="12" borderId="175" xfId="40" applyFont="1" applyFill="1" applyBorder="1" applyAlignment="1">
      <alignment horizontal="center" vertical="center"/>
    </xf>
    <xf numFmtId="0" fontId="16" fillId="12" borderId="46" xfId="40" applyFont="1" applyFill="1" applyBorder="1" applyAlignment="1">
      <alignment horizontal="center"/>
    </xf>
    <xf numFmtId="0" fontId="16" fillId="12" borderId="24" xfId="40" applyFont="1" applyFill="1" applyBorder="1" applyAlignment="1">
      <alignment horizontal="center" vertical="top"/>
    </xf>
    <xf numFmtId="0" fontId="16" fillId="12" borderId="30" xfId="40" applyFont="1" applyFill="1" applyBorder="1" applyAlignment="1">
      <alignment vertical="center"/>
    </xf>
    <xf numFmtId="3" fontId="23" fillId="5" borderId="57" xfId="40" applyNumberFormat="1" applyFont="1" applyFill="1" applyBorder="1" applyAlignment="1">
      <alignment horizontal="center" vertical="center"/>
    </xf>
    <xf numFmtId="3" fontId="23" fillId="5" borderId="19" xfId="40" applyNumberFormat="1" applyFont="1" applyFill="1" applyBorder="1" applyAlignment="1">
      <alignment horizontal="center" vertical="center"/>
    </xf>
    <xf numFmtId="3" fontId="172" fillId="5" borderId="0" xfId="23" applyNumberFormat="1" applyFont="1" applyFill="1" applyAlignment="1">
      <alignment vertical="center"/>
    </xf>
    <xf numFmtId="3" fontId="23" fillId="0" borderId="19" xfId="40" applyNumberFormat="1" applyFont="1" applyFill="1" applyBorder="1" applyAlignment="1">
      <alignment horizontal="center" vertical="center"/>
    </xf>
    <xf numFmtId="3" fontId="23" fillId="5" borderId="18" xfId="40" applyNumberFormat="1" applyFont="1" applyFill="1" applyBorder="1" applyAlignment="1">
      <alignment horizontal="center" vertical="center"/>
    </xf>
    <xf numFmtId="3" fontId="23" fillId="5" borderId="55" xfId="40" applyNumberFormat="1" applyFont="1" applyFill="1" applyBorder="1" applyAlignment="1">
      <alignment horizontal="center" vertical="center"/>
    </xf>
    <xf numFmtId="168" fontId="172" fillId="5" borderId="0" xfId="23" applyNumberFormat="1" applyFont="1" applyFill="1" applyAlignment="1">
      <alignment vertical="center"/>
    </xf>
    <xf numFmtId="170" fontId="172" fillId="5" borderId="0" xfId="23" applyNumberFormat="1" applyFont="1" applyFill="1" applyAlignment="1">
      <alignment vertical="center"/>
    </xf>
    <xf numFmtId="0" fontId="16" fillId="12" borderId="215" xfId="40" applyFont="1" applyFill="1" applyBorder="1" applyAlignment="1">
      <alignment horizontal="left" vertical="center"/>
    </xf>
    <xf numFmtId="3" fontId="174" fillId="7" borderId="216" xfId="40" applyNumberFormat="1" applyFont="1" applyFill="1" applyBorder="1" applyAlignment="1">
      <alignment horizontal="center" vertical="center"/>
    </xf>
    <xf numFmtId="3" fontId="174" fillId="7" borderId="217" xfId="40" applyNumberFormat="1" applyFont="1" applyFill="1" applyBorder="1" applyAlignment="1">
      <alignment horizontal="center" vertical="center"/>
    </xf>
    <xf numFmtId="175" fontId="172" fillId="5" borderId="0" xfId="11" applyNumberFormat="1" applyFont="1" applyFill="1" applyAlignment="1">
      <alignment vertical="center"/>
    </xf>
    <xf numFmtId="0" fontId="15" fillId="5" borderId="0" xfId="41" applyFont="1" applyFill="1"/>
    <xf numFmtId="3" fontId="172" fillId="5" borderId="0" xfId="40" applyNumberFormat="1" applyFont="1" applyFill="1"/>
    <xf numFmtId="0" fontId="23" fillId="5" borderId="0" xfId="23" applyFont="1" applyFill="1" applyAlignment="1">
      <alignment vertical="center"/>
    </xf>
    <xf numFmtId="0" fontId="18" fillId="5" borderId="0" xfId="42" applyFont="1" applyFill="1" applyBorder="1" applyAlignment="1">
      <alignment horizontal="left" vertical="center"/>
    </xf>
    <xf numFmtId="0" fontId="175" fillId="5" borderId="0" xfId="42" applyFont="1" applyFill="1" applyBorder="1" applyAlignment="1">
      <alignment vertical="center"/>
    </xf>
    <xf numFmtId="0" fontId="176" fillId="5" borderId="0" xfId="42" applyFont="1" applyFill="1" applyBorder="1" applyAlignment="1">
      <alignment vertical="center"/>
    </xf>
    <xf numFmtId="0" fontId="23" fillId="5" borderId="0" xfId="42" applyFont="1" applyFill="1" applyBorder="1" applyAlignment="1">
      <alignment horizontal="left" vertical="center" indent="1"/>
    </xf>
    <xf numFmtId="0" fontId="23" fillId="5" borderId="0" xfId="42" applyFont="1" applyFill="1" applyBorder="1" applyAlignment="1">
      <alignment vertical="center"/>
    </xf>
    <xf numFmtId="0" fontId="177" fillId="5" borderId="0" xfId="42" applyFont="1" applyFill="1" applyBorder="1" applyAlignment="1">
      <alignment vertical="center"/>
    </xf>
    <xf numFmtId="0" fontId="145" fillId="5" borderId="0" xfId="42" applyFont="1" applyFill="1" applyBorder="1" applyAlignment="1">
      <alignment horizontal="center" vertical="center"/>
    </xf>
    <xf numFmtId="0" fontId="19" fillId="3" borderId="218" xfId="42" applyFont="1" applyFill="1" applyBorder="1" applyAlignment="1">
      <alignment horizontal="center" vertical="center"/>
    </xf>
    <xf numFmtId="176" fontId="37" fillId="3" borderId="219" xfId="42" applyNumberFormat="1" applyFont="1" applyFill="1" applyBorder="1" applyAlignment="1">
      <alignment horizontal="center" vertical="center"/>
    </xf>
    <xf numFmtId="176" fontId="37" fillId="3" borderId="220" xfId="42" applyNumberFormat="1" applyFont="1" applyFill="1" applyBorder="1" applyAlignment="1">
      <alignment horizontal="center" vertical="center"/>
    </xf>
    <xf numFmtId="176" fontId="39" fillId="3" borderId="220" xfId="42" applyNumberFormat="1" applyFont="1" applyFill="1" applyBorder="1" applyAlignment="1">
      <alignment horizontal="center" vertical="center"/>
    </xf>
    <xf numFmtId="0" fontId="16" fillId="5" borderId="0" xfId="42" applyFont="1" applyFill="1" applyBorder="1" applyAlignment="1">
      <alignment horizontal="center" vertical="center"/>
    </xf>
    <xf numFmtId="0" fontId="19" fillId="3" borderId="35" xfId="42" applyFont="1" applyFill="1" applyBorder="1" applyAlignment="1">
      <alignment vertical="center"/>
    </xf>
    <xf numFmtId="0" fontId="14" fillId="5" borderId="7" xfId="42" applyFont="1" applyFill="1" applyBorder="1" applyAlignment="1">
      <alignment horizontal="center" vertical="center"/>
    </xf>
    <xf numFmtId="0" fontId="14" fillId="5" borderId="7" xfId="42" applyFont="1" applyFill="1" applyBorder="1" applyAlignment="1">
      <alignment vertical="center"/>
    </xf>
    <xf numFmtId="0" fontId="19" fillId="5" borderId="7" xfId="42" applyFont="1" applyFill="1" applyBorder="1" applyAlignment="1">
      <alignment vertical="center"/>
    </xf>
    <xf numFmtId="3" fontId="19" fillId="5" borderId="7" xfId="42" applyNumberFormat="1" applyFont="1" applyFill="1" applyBorder="1" applyAlignment="1">
      <alignment vertical="center"/>
    </xf>
    <xf numFmtId="3" fontId="19" fillId="0" borderId="7" xfId="42" applyNumberFormat="1" applyFont="1" applyFill="1" applyBorder="1" applyAlignment="1">
      <alignment vertical="center"/>
    </xf>
    <xf numFmtId="0" fontId="19" fillId="3" borderId="35" xfId="42" applyFont="1" applyFill="1" applyBorder="1" applyAlignment="1">
      <alignment horizontal="left" vertical="center" indent="1"/>
    </xf>
    <xf numFmtId="0" fontId="178" fillId="5" borderId="7" xfId="42" applyFont="1" applyFill="1" applyBorder="1" applyAlignment="1">
      <alignment vertical="center"/>
    </xf>
    <xf numFmtId="168" fontId="19" fillId="5" borderId="7" xfId="42" applyNumberFormat="1" applyFont="1" applyFill="1" applyBorder="1" applyAlignment="1">
      <alignment vertical="center"/>
    </xf>
    <xf numFmtId="168" fontId="19" fillId="0" borderId="7" xfId="42" applyNumberFormat="1" applyFont="1" applyFill="1" applyBorder="1" applyAlignment="1">
      <alignment vertical="center"/>
    </xf>
    <xf numFmtId="0" fontId="19" fillId="3" borderId="35" xfId="42" applyFont="1" applyFill="1" applyBorder="1" applyAlignment="1">
      <alignment horizontal="centerContinuous" vertical="center"/>
    </xf>
    <xf numFmtId="0" fontId="14" fillId="31" borderId="125" xfId="42" applyFont="1" applyFill="1" applyBorder="1" applyAlignment="1">
      <alignment vertical="center"/>
    </xf>
    <xf numFmtId="0" fontId="14" fillId="31" borderId="124" xfId="42" applyFont="1" applyFill="1" applyBorder="1" applyAlignment="1">
      <alignment vertical="center"/>
    </xf>
    <xf numFmtId="0" fontId="19" fillId="31" borderId="99" xfId="42" applyFont="1" applyFill="1" applyBorder="1" applyAlignment="1">
      <alignment vertical="center"/>
    </xf>
    <xf numFmtId="0" fontId="178" fillId="31" borderId="99" xfId="42" applyFont="1" applyFill="1" applyBorder="1" applyAlignment="1">
      <alignment vertical="center"/>
    </xf>
    <xf numFmtId="0" fontId="178" fillId="0" borderId="99" xfId="42" applyFont="1" applyFill="1" applyBorder="1" applyAlignment="1">
      <alignment vertical="center"/>
    </xf>
    <xf numFmtId="203" fontId="14" fillId="5" borderId="7" xfId="43" applyNumberFormat="1" applyFont="1" applyFill="1" applyBorder="1" applyAlignment="1">
      <alignment vertical="center"/>
    </xf>
    <xf numFmtId="203" fontId="19" fillId="5" borderId="7" xfId="43" applyNumberFormat="1" applyFont="1" applyFill="1" applyBorder="1" applyAlignment="1">
      <alignment vertical="center"/>
    </xf>
    <xf numFmtId="203" fontId="23" fillId="5" borderId="0" xfId="43" applyNumberFormat="1" applyFont="1" applyFill="1" applyBorder="1" applyAlignment="1">
      <alignment vertical="center"/>
    </xf>
    <xf numFmtId="166" fontId="14" fillId="5" borderId="7" xfId="43" applyNumberFormat="1" applyFont="1" applyFill="1" applyBorder="1" applyAlignment="1">
      <alignment horizontal="center" vertical="center"/>
    </xf>
    <xf numFmtId="166" fontId="19" fillId="5" borderId="7" xfId="43" applyNumberFormat="1" applyFont="1" applyFill="1" applyBorder="1" applyAlignment="1">
      <alignment horizontal="center" vertical="center"/>
    </xf>
    <xf numFmtId="0" fontId="23" fillId="5" borderId="0" xfId="42" applyFont="1" applyFill="1" applyBorder="1" applyAlignment="1">
      <alignment horizontal="center" vertical="center"/>
    </xf>
    <xf numFmtId="203" fontId="19" fillId="3" borderId="35" xfId="43" applyNumberFormat="1" applyFont="1" applyFill="1" applyBorder="1" applyAlignment="1">
      <alignment vertical="center"/>
    </xf>
    <xf numFmtId="203" fontId="19" fillId="3" borderId="35" xfId="43" applyNumberFormat="1" applyFont="1" applyFill="1" applyBorder="1" applyAlignment="1">
      <alignment horizontal="left" vertical="center" indent="2"/>
    </xf>
    <xf numFmtId="168" fontId="14" fillId="5" borderId="7" xfId="42" applyNumberFormat="1" applyFont="1" applyFill="1" applyBorder="1" applyAlignment="1">
      <alignment vertical="center"/>
    </xf>
    <xf numFmtId="168" fontId="179" fillId="5" borderId="7" xfId="42" applyNumberFormat="1" applyFont="1" applyFill="1" applyBorder="1" applyAlignment="1">
      <alignment vertical="center"/>
    </xf>
    <xf numFmtId="0" fontId="62" fillId="3" borderId="35" xfId="42" applyFont="1" applyFill="1" applyBorder="1" applyAlignment="1">
      <alignment vertical="center"/>
    </xf>
    <xf numFmtId="0" fontId="179" fillId="5" borderId="7" xfId="42" applyFont="1" applyFill="1" applyBorder="1" applyAlignment="1">
      <alignment vertical="center"/>
    </xf>
    <xf numFmtId="0" fontId="62" fillId="3" borderId="35" xfId="42" applyFont="1" applyFill="1" applyBorder="1" applyAlignment="1">
      <alignment vertical="center" wrapText="1"/>
    </xf>
    <xf numFmtId="168" fontId="45" fillId="5" borderId="7" xfId="42" applyNumberFormat="1" applyFont="1" applyFill="1" applyBorder="1" applyAlignment="1">
      <alignment vertical="center"/>
    </xf>
    <xf numFmtId="168" fontId="62" fillId="5" borderId="7" xfId="42" applyNumberFormat="1" applyFont="1" applyFill="1" applyBorder="1" applyAlignment="1">
      <alignment vertical="center"/>
    </xf>
    <xf numFmtId="168" fontId="180" fillId="5" borderId="7" xfId="42" applyNumberFormat="1" applyFont="1" applyFill="1" applyBorder="1" applyAlignment="1">
      <alignment vertical="center"/>
    </xf>
    <xf numFmtId="0" fontId="62" fillId="3" borderId="35" xfId="42" applyFont="1" applyFill="1" applyBorder="1" applyAlignment="1">
      <alignment horizontal="left" vertical="center" wrapText="1"/>
    </xf>
    <xf numFmtId="170" fontId="14" fillId="5" borderId="7" xfId="42" applyNumberFormat="1" applyFont="1" applyFill="1" applyBorder="1" applyAlignment="1">
      <alignment vertical="center"/>
    </xf>
    <xf numFmtId="164" fontId="19" fillId="5" borderId="7" xfId="43" applyFont="1" applyFill="1" applyBorder="1" applyAlignment="1">
      <alignment vertical="center"/>
    </xf>
    <xf numFmtId="170" fontId="19" fillId="5" borderId="7" xfId="42" applyNumberFormat="1" applyFont="1" applyFill="1" applyBorder="1" applyAlignment="1">
      <alignment vertical="center"/>
    </xf>
    <xf numFmtId="170" fontId="178" fillId="5" borderId="7" xfId="42" applyNumberFormat="1" applyFont="1" applyFill="1" applyBorder="1" applyAlignment="1">
      <alignment vertical="center"/>
    </xf>
    <xf numFmtId="0" fontId="92" fillId="3" borderId="103" xfId="42" applyFont="1" applyFill="1" applyBorder="1" applyAlignment="1">
      <alignment horizontal="left" vertical="center" indent="1"/>
    </xf>
    <xf numFmtId="0" fontId="23" fillId="5" borderId="13" xfId="42" applyFont="1" applyFill="1" applyBorder="1" applyAlignment="1">
      <alignment vertical="center"/>
    </xf>
    <xf numFmtId="0" fontId="26" fillId="5" borderId="13" xfId="42" applyFont="1" applyFill="1" applyBorder="1" applyAlignment="1">
      <alignment vertical="center"/>
    </xf>
    <xf numFmtId="0" fontId="181" fillId="5" borderId="13" xfId="42" applyFont="1" applyFill="1" applyBorder="1" applyAlignment="1">
      <alignment vertical="center"/>
    </xf>
    <xf numFmtId="0" fontId="14" fillId="5" borderId="0" xfId="42" applyFont="1" applyFill="1" applyBorder="1" applyAlignment="1">
      <alignment vertical="center"/>
    </xf>
    <xf numFmtId="0" fontId="45" fillId="5" borderId="0" xfId="42" applyFont="1" applyFill="1" applyBorder="1" applyAlignment="1">
      <alignment horizontal="left" vertical="center" indent="1"/>
    </xf>
    <xf numFmtId="0" fontId="18" fillId="5" borderId="0" xfId="42" applyFont="1" applyFill="1" applyBorder="1" applyAlignment="1">
      <alignment vertical="center"/>
    </xf>
    <xf numFmtId="0" fontId="3" fillId="5" borderId="0" xfId="42" applyFill="1" applyBorder="1"/>
    <xf numFmtId="0" fontId="182" fillId="5" borderId="0" xfId="42" applyFont="1" applyFill="1" applyBorder="1"/>
    <xf numFmtId="0" fontId="36" fillId="5" borderId="0" xfId="42" applyFont="1" applyFill="1" applyBorder="1"/>
    <xf numFmtId="0" fontId="3" fillId="5" borderId="0" xfId="42" applyFill="1"/>
    <xf numFmtId="0" fontId="19" fillId="3" borderId="129" xfId="42" applyFont="1" applyFill="1" applyBorder="1" applyAlignment="1">
      <alignment horizontal="center" vertical="center"/>
    </xf>
    <xf numFmtId="176" fontId="16" fillId="17" borderId="10" xfId="42" applyNumberFormat="1" applyFont="1" applyFill="1" applyBorder="1" applyAlignment="1">
      <alignment horizontal="center" vertical="center"/>
    </xf>
    <xf numFmtId="176" fontId="16" fillId="17" borderId="34" xfId="42" applyNumberFormat="1" applyFont="1" applyFill="1" applyBorder="1" applyAlignment="1">
      <alignment horizontal="center" vertical="center"/>
    </xf>
    <xf numFmtId="176" fontId="37" fillId="17" borderId="34" xfId="42" applyNumberFormat="1" applyFont="1" applyFill="1" applyBorder="1" applyAlignment="1">
      <alignment horizontal="center" vertical="center"/>
    </xf>
    <xf numFmtId="176" fontId="37" fillId="3" borderId="34" xfId="42" applyNumberFormat="1" applyFont="1" applyFill="1" applyBorder="1" applyAlignment="1">
      <alignment horizontal="center" vertical="center"/>
    </xf>
    <xf numFmtId="0" fontId="183" fillId="5" borderId="0" xfId="42" applyFont="1" applyFill="1" applyAlignment="1">
      <alignment horizontal="center" vertical="center"/>
    </xf>
    <xf numFmtId="0" fontId="19" fillId="3" borderId="35" xfId="42" applyFont="1" applyFill="1" applyBorder="1" applyAlignment="1">
      <alignment horizontal="center" vertical="center"/>
    </xf>
    <xf numFmtId="17" fontId="16" fillId="31" borderId="159" xfId="42" applyNumberFormat="1" applyFont="1" applyFill="1" applyBorder="1" applyAlignment="1">
      <alignment vertical="center"/>
    </xf>
    <xf numFmtId="17" fontId="145" fillId="31" borderId="159" xfId="42" applyNumberFormat="1" applyFont="1" applyFill="1" applyBorder="1" applyAlignment="1">
      <alignment vertical="center"/>
    </xf>
    <xf numFmtId="0" fontId="19" fillId="3" borderId="35" xfId="42" applyFont="1" applyFill="1" applyBorder="1" applyAlignment="1">
      <alignment horizontal="left" vertical="center"/>
    </xf>
    <xf numFmtId="166" fontId="183" fillId="5" borderId="7" xfId="43" applyNumberFormat="1" applyFont="1" applyFill="1" applyBorder="1" applyAlignment="1">
      <alignment horizontal="center" vertical="center"/>
    </xf>
    <xf numFmtId="166" fontId="184" fillId="5" borderId="7" xfId="43" applyNumberFormat="1" applyFont="1" applyFill="1" applyBorder="1" applyAlignment="1">
      <alignment horizontal="center" vertical="center"/>
    </xf>
    <xf numFmtId="166" fontId="185" fillId="5" borderId="7" xfId="43" applyNumberFormat="1" applyFont="1" applyFill="1" applyBorder="1" applyAlignment="1">
      <alignment horizontal="center" vertical="center"/>
    </xf>
    <xf numFmtId="166" fontId="183" fillId="5" borderId="13" xfId="43" applyNumberFormat="1" applyFont="1" applyFill="1" applyBorder="1" applyAlignment="1">
      <alignment horizontal="center" vertical="center"/>
    </xf>
    <xf numFmtId="166" fontId="23" fillId="5" borderId="13" xfId="43" applyNumberFormat="1" applyFont="1" applyFill="1" applyBorder="1" applyAlignment="1">
      <alignment horizontal="center" vertical="center"/>
    </xf>
    <xf numFmtId="166" fontId="177" fillId="5" borderId="13" xfId="43" applyNumberFormat="1" applyFont="1" applyFill="1" applyBorder="1" applyAlignment="1">
      <alignment horizontal="center" vertical="center"/>
    </xf>
    <xf numFmtId="0" fontId="183" fillId="31" borderId="7" xfId="42" applyFont="1" applyFill="1" applyBorder="1" applyAlignment="1">
      <alignment horizontal="center" vertical="center"/>
    </xf>
    <xf numFmtId="0" fontId="23" fillId="31" borderId="7" xfId="42" applyFont="1" applyFill="1" applyBorder="1" applyAlignment="1">
      <alignment horizontal="center" vertical="center"/>
    </xf>
    <xf numFmtId="0" fontId="177" fillId="31" borderId="7" xfId="42" applyFont="1" applyFill="1" applyBorder="1" applyAlignment="1">
      <alignment horizontal="center" vertical="center"/>
    </xf>
    <xf numFmtId="166" fontId="183" fillId="5" borderId="10" xfId="43" applyNumberFormat="1" applyFont="1" applyFill="1" applyBorder="1" applyAlignment="1">
      <alignment horizontal="center" vertical="center"/>
    </xf>
    <xf numFmtId="166" fontId="184" fillId="5" borderId="10" xfId="43" applyNumberFormat="1" applyFont="1" applyFill="1" applyBorder="1" applyAlignment="1">
      <alignment horizontal="center" vertical="center"/>
    </xf>
    <xf numFmtId="166" fontId="185" fillId="5" borderId="9" xfId="43" applyNumberFormat="1" applyFont="1" applyFill="1" applyBorder="1" applyAlignment="1">
      <alignment horizontal="center" vertical="center"/>
    </xf>
    <xf numFmtId="166" fontId="185" fillId="5" borderId="129" xfId="43" applyNumberFormat="1" applyFont="1" applyFill="1" applyBorder="1" applyAlignment="1">
      <alignment horizontal="center" vertical="center"/>
    </xf>
    <xf numFmtId="166" fontId="185" fillId="5" borderId="6" xfId="43" applyNumberFormat="1" applyFont="1" applyFill="1" applyBorder="1" applyAlignment="1">
      <alignment horizontal="center" vertical="center"/>
    </xf>
    <xf numFmtId="166" fontId="185" fillId="5" borderId="35" xfId="43" applyNumberFormat="1" applyFont="1" applyFill="1" applyBorder="1" applyAlignment="1">
      <alignment horizontal="center" vertical="center"/>
    </xf>
    <xf numFmtId="0" fontId="19" fillId="3" borderId="103" xfId="42" applyFont="1" applyFill="1" applyBorder="1" applyAlignment="1">
      <alignment horizontal="left" vertical="center"/>
    </xf>
    <xf numFmtId="41" fontId="23" fillId="5" borderId="13" xfId="42" applyNumberFormat="1" applyFont="1" applyFill="1" applyBorder="1" applyAlignment="1">
      <alignment horizontal="center" vertical="center"/>
    </xf>
    <xf numFmtId="41" fontId="185" fillId="5" borderId="13" xfId="42" applyNumberFormat="1" applyFont="1" applyFill="1" applyBorder="1" applyAlignment="1">
      <alignment horizontal="center" vertical="center"/>
    </xf>
    <xf numFmtId="41" fontId="186" fillId="5" borderId="13" xfId="42" applyNumberFormat="1" applyFont="1" applyFill="1" applyBorder="1" applyAlignment="1">
      <alignment horizontal="center" vertical="center"/>
    </xf>
    <xf numFmtId="41" fontId="185" fillId="5" borderId="11" xfId="42" applyNumberFormat="1" applyFont="1" applyFill="1" applyBorder="1" applyAlignment="1">
      <alignment horizontal="center" vertical="center"/>
    </xf>
    <xf numFmtId="41" fontId="185" fillId="5" borderId="103" xfId="42" applyNumberFormat="1" applyFont="1" applyFill="1" applyBorder="1" applyAlignment="1">
      <alignment horizontal="center" vertical="center"/>
    </xf>
    <xf numFmtId="0" fontId="45" fillId="5" borderId="0" xfId="42" applyFont="1" applyFill="1" applyBorder="1" applyAlignment="1">
      <alignment vertical="center"/>
    </xf>
    <xf numFmtId="0" fontId="26" fillId="5" borderId="0" xfId="42" applyFont="1" applyFill="1" applyBorder="1" applyAlignment="1">
      <alignment vertical="center"/>
    </xf>
    <xf numFmtId="0" fontId="39" fillId="5" borderId="0" xfId="13" applyFont="1" applyFill="1" applyAlignment="1">
      <alignment vertical="center"/>
    </xf>
    <xf numFmtId="0" fontId="7" fillId="5" borderId="0" xfId="13" applyFont="1" applyFill="1"/>
    <xf numFmtId="0" fontId="3" fillId="5" borderId="0" xfId="42" applyFont="1" applyFill="1"/>
    <xf numFmtId="0" fontId="18" fillId="5" borderId="0" xfId="13" applyFont="1" applyFill="1" applyAlignment="1">
      <alignment vertical="center" textRotation="135"/>
    </xf>
    <xf numFmtId="0" fontId="187" fillId="3" borderId="25" xfId="13" applyFont="1" applyFill="1" applyBorder="1" applyAlignment="1">
      <alignment vertical="center"/>
    </xf>
    <xf numFmtId="0" fontId="37" fillId="3" borderId="60" xfId="13" applyFont="1" applyFill="1" applyBorder="1" applyAlignment="1">
      <alignment vertical="center"/>
    </xf>
    <xf numFmtId="0" fontId="37" fillId="3" borderId="28" xfId="13" applyFont="1" applyFill="1" applyBorder="1" applyAlignment="1">
      <alignment vertical="center"/>
    </xf>
    <xf numFmtId="0" fontId="16" fillId="5" borderId="0" xfId="13" applyFont="1" applyFill="1" applyAlignment="1">
      <alignment horizontal="center" vertical="center"/>
    </xf>
    <xf numFmtId="0" fontId="188" fillId="3" borderId="46" xfId="13" applyFont="1" applyFill="1" applyBorder="1" applyAlignment="1">
      <alignment horizontal="center" vertical="center" wrapText="1"/>
    </xf>
    <xf numFmtId="0" fontId="39" fillId="3" borderId="61" xfId="13" applyFont="1" applyFill="1" applyBorder="1" applyAlignment="1">
      <alignment horizontal="center" vertical="center" wrapText="1"/>
    </xf>
    <xf numFmtId="0" fontId="39" fillId="3" borderId="51" xfId="13" applyFont="1" applyFill="1" applyBorder="1" applyAlignment="1">
      <alignment horizontal="center" vertical="center" wrapText="1"/>
    </xf>
    <xf numFmtId="0" fontId="39" fillId="3" borderId="58" xfId="13" applyFont="1" applyFill="1" applyBorder="1" applyAlignment="1">
      <alignment horizontal="center" vertical="center" wrapText="1"/>
    </xf>
    <xf numFmtId="0" fontId="16" fillId="5" borderId="0" xfId="13" applyFont="1" applyFill="1" applyAlignment="1">
      <alignment horizontal="center" vertical="center" wrapText="1"/>
    </xf>
    <xf numFmtId="17" fontId="39" fillId="17" borderId="30" xfId="13" applyNumberFormat="1" applyFont="1" applyFill="1" applyBorder="1" applyAlignment="1">
      <alignment horizontal="left" vertical="center"/>
    </xf>
    <xf numFmtId="3" fontId="19" fillId="5" borderId="18" xfId="13" applyNumberFormat="1" applyFont="1" applyFill="1" applyBorder="1" applyAlignment="1">
      <alignment horizontal="center" vertical="center"/>
    </xf>
    <xf numFmtId="3" fontId="19" fillId="5" borderId="35" xfId="13" applyNumberFormat="1" applyFont="1" applyFill="1" applyBorder="1" applyAlignment="1">
      <alignment horizontal="center" vertical="center"/>
    </xf>
    <xf numFmtId="3" fontId="19" fillId="5" borderId="19" xfId="13" applyNumberFormat="1" applyFont="1" applyFill="1" applyBorder="1" applyAlignment="1">
      <alignment horizontal="center" vertical="center"/>
    </xf>
    <xf numFmtId="3" fontId="19" fillId="5" borderId="57" xfId="13" applyNumberFormat="1" applyFont="1" applyFill="1" applyBorder="1" applyAlignment="1">
      <alignment horizontal="center" vertical="center"/>
    </xf>
    <xf numFmtId="3" fontId="19" fillId="5" borderId="55" xfId="13" applyNumberFormat="1" applyFont="1" applyFill="1" applyBorder="1" applyAlignment="1">
      <alignment horizontal="center" vertical="center"/>
    </xf>
    <xf numFmtId="17" fontId="39" fillId="3" borderId="30" xfId="13" applyNumberFormat="1" applyFont="1" applyFill="1" applyBorder="1" applyAlignment="1">
      <alignment horizontal="left" vertical="center"/>
    </xf>
    <xf numFmtId="3" fontId="19" fillId="5" borderId="0" xfId="13" applyNumberFormat="1" applyFont="1" applyFill="1" applyBorder="1" applyAlignment="1">
      <alignment horizontal="center" vertical="center"/>
    </xf>
    <xf numFmtId="17" fontId="39" fillId="3" borderId="18" xfId="13" applyNumberFormat="1" applyFont="1" applyFill="1" applyBorder="1" applyAlignment="1">
      <alignment horizontal="left" vertical="center"/>
    </xf>
    <xf numFmtId="17" fontId="39" fillId="3" borderId="46" xfId="13" applyNumberFormat="1" applyFont="1" applyFill="1" applyBorder="1" applyAlignment="1">
      <alignment horizontal="left" vertical="center"/>
    </xf>
    <xf numFmtId="3" fontId="19" fillId="5" borderId="49" xfId="13" applyNumberFormat="1" applyFont="1" applyFill="1" applyBorder="1" applyAlignment="1">
      <alignment horizontal="center" vertical="center"/>
    </xf>
    <xf numFmtId="3" fontId="19" fillId="5" borderId="51" xfId="13" applyNumberFormat="1" applyFont="1" applyFill="1" applyBorder="1" applyAlignment="1">
      <alignment horizontal="center" vertical="center"/>
    </xf>
    <xf numFmtId="3" fontId="19" fillId="5" borderId="58" xfId="13" applyNumberFormat="1" applyFont="1" applyFill="1" applyBorder="1" applyAlignment="1">
      <alignment horizontal="center" vertical="center"/>
    </xf>
    <xf numFmtId="3" fontId="23" fillId="5" borderId="0" xfId="13" applyNumberFormat="1" applyFill="1" applyBorder="1" applyAlignment="1">
      <alignment horizontal="right" vertical="center"/>
    </xf>
    <xf numFmtId="0" fontId="58" fillId="5" borderId="0" xfId="42" applyFont="1" applyFill="1"/>
    <xf numFmtId="0" fontId="39" fillId="5" borderId="0" xfId="44" applyFont="1" applyFill="1" applyAlignment="1">
      <alignment vertical="center"/>
    </xf>
    <xf numFmtId="0" fontId="189" fillId="5" borderId="0" xfId="44" applyFont="1" applyFill="1" applyAlignment="1">
      <alignment vertical="center"/>
    </xf>
    <xf numFmtId="0" fontId="183" fillId="5" borderId="0" xfId="44" applyFont="1" applyFill="1" applyAlignment="1">
      <alignment vertical="center"/>
    </xf>
    <xf numFmtId="0" fontId="3" fillId="5" borderId="0" xfId="44" applyFill="1" applyAlignment="1">
      <alignment vertical="center"/>
    </xf>
    <xf numFmtId="0" fontId="174" fillId="4" borderId="221" xfId="44" applyFont="1" applyFill="1" applyBorder="1" applyAlignment="1">
      <alignment horizontal="center" vertical="center" wrapText="1"/>
    </xf>
    <xf numFmtId="0" fontId="174" fillId="4" borderId="222" xfId="44" applyFont="1" applyFill="1" applyBorder="1" applyAlignment="1">
      <alignment horizontal="center" vertical="center" wrapText="1"/>
    </xf>
    <xf numFmtId="0" fontId="190" fillId="4" borderId="223" xfId="44" applyFont="1" applyFill="1" applyBorder="1" applyAlignment="1">
      <alignment horizontal="center" vertical="center" wrapText="1"/>
    </xf>
    <xf numFmtId="0" fontId="190" fillId="4" borderId="224" xfId="44" applyFont="1" applyFill="1" applyBorder="1" applyAlignment="1">
      <alignment horizontal="center" vertical="center" wrapText="1"/>
    </xf>
    <xf numFmtId="0" fontId="190" fillId="4" borderId="225" xfId="44" applyFont="1" applyFill="1" applyBorder="1" applyAlignment="1">
      <alignment horizontal="center" vertical="center" wrapText="1"/>
    </xf>
    <xf numFmtId="0" fontId="174" fillId="5" borderId="0" xfId="44" applyFont="1" applyFill="1" applyAlignment="1">
      <alignment horizontal="center" vertical="center"/>
    </xf>
    <xf numFmtId="0" fontId="191" fillId="5" borderId="0" xfId="44" applyFont="1" applyFill="1" applyAlignment="1">
      <alignment horizontal="center" vertical="center"/>
    </xf>
    <xf numFmtId="17" fontId="174" fillId="5" borderId="226" xfId="44" applyNumberFormat="1" applyFont="1" applyFill="1" applyBorder="1" applyAlignment="1">
      <alignment horizontal="center" vertical="center" wrapText="1"/>
    </xf>
    <xf numFmtId="166" fontId="183" fillId="5" borderId="227" xfId="45" applyNumberFormat="1" applyFont="1" applyFill="1" applyBorder="1" applyAlignment="1">
      <alignment horizontal="right" vertical="center" wrapText="1"/>
    </xf>
    <xf numFmtId="166" fontId="183" fillId="5" borderId="228" xfId="45" applyNumberFormat="1" applyFont="1" applyFill="1" applyBorder="1" applyAlignment="1">
      <alignment horizontal="right" vertical="center" wrapText="1"/>
    </xf>
    <xf numFmtId="166" fontId="183" fillId="5" borderId="229" xfId="45" applyNumberFormat="1" applyFont="1" applyFill="1" applyBorder="1" applyAlignment="1">
      <alignment horizontal="right" vertical="center" wrapText="1"/>
    </xf>
    <xf numFmtId="17" fontId="174" fillId="5" borderId="230" xfId="44" applyNumberFormat="1" applyFont="1" applyFill="1" applyBorder="1" applyAlignment="1">
      <alignment horizontal="center" vertical="center" wrapText="1"/>
    </xf>
    <xf numFmtId="166" fontId="183" fillId="5" borderId="231" xfId="45" applyNumberFormat="1" applyFont="1" applyFill="1" applyBorder="1" applyAlignment="1">
      <alignment horizontal="right" vertical="center" wrapText="1"/>
    </xf>
    <xf numFmtId="166" fontId="183" fillId="5" borderId="232" xfId="45" applyNumberFormat="1" applyFont="1" applyFill="1" applyBorder="1" applyAlignment="1">
      <alignment horizontal="right" vertical="center" wrapText="1"/>
    </xf>
    <xf numFmtId="166" fontId="183" fillId="5" borderId="233" xfId="45" applyNumberFormat="1" applyFont="1" applyFill="1" applyBorder="1" applyAlignment="1">
      <alignment horizontal="right" vertical="center" wrapText="1"/>
    </xf>
    <xf numFmtId="17" fontId="174" fillId="5" borderId="234" xfId="44" applyNumberFormat="1" applyFont="1" applyFill="1" applyBorder="1" applyAlignment="1">
      <alignment horizontal="center" vertical="center" wrapText="1"/>
    </xf>
    <xf numFmtId="166" fontId="183" fillId="5" borderId="235" xfId="45" applyNumberFormat="1" applyFont="1" applyFill="1" applyBorder="1" applyAlignment="1">
      <alignment horizontal="right" vertical="center" wrapText="1"/>
    </xf>
    <xf numFmtId="166" fontId="183" fillId="5" borderId="236" xfId="45" applyNumberFormat="1" applyFont="1" applyFill="1" applyBorder="1" applyAlignment="1">
      <alignment horizontal="right" vertical="center" wrapText="1"/>
    </xf>
    <xf numFmtId="17" fontId="174" fillId="5" borderId="237" xfId="44" applyNumberFormat="1" applyFont="1" applyFill="1" applyBorder="1" applyAlignment="1">
      <alignment horizontal="center" vertical="center" wrapText="1"/>
    </xf>
    <xf numFmtId="166" fontId="183" fillId="5" borderId="238" xfId="45" applyNumberFormat="1" applyFont="1" applyFill="1" applyBorder="1" applyAlignment="1">
      <alignment horizontal="right" vertical="center" wrapText="1"/>
    </xf>
    <xf numFmtId="166" fontId="183" fillId="5" borderId="239" xfId="45" applyNumberFormat="1" applyFont="1" applyFill="1" applyBorder="1" applyAlignment="1">
      <alignment horizontal="right" vertical="center" wrapText="1"/>
    </xf>
    <xf numFmtId="0" fontId="3" fillId="5" borderId="0" xfId="44" applyFill="1" applyBorder="1" applyAlignment="1">
      <alignment vertical="center"/>
    </xf>
    <xf numFmtId="0" fontId="38" fillId="5" borderId="0" xfId="44" applyFont="1" applyFill="1" applyAlignment="1">
      <alignment vertical="center"/>
    </xf>
    <xf numFmtId="0" fontId="192" fillId="5" borderId="0" xfId="44" applyFont="1" applyFill="1" applyAlignment="1">
      <alignment vertical="center"/>
    </xf>
    <xf numFmtId="0" fontId="193" fillId="5" borderId="0" xfId="44" applyFont="1" applyFill="1" applyAlignment="1">
      <alignment vertical="center"/>
    </xf>
    <xf numFmtId="0" fontId="183" fillId="5" borderId="0" xfId="44" applyFont="1" applyFill="1" applyBorder="1" applyAlignment="1">
      <alignment vertical="center"/>
    </xf>
    <xf numFmtId="0" fontId="18" fillId="5" borderId="0" xfId="18" applyFont="1" applyFill="1" applyAlignment="1">
      <alignment horizontal="left" vertical="center"/>
    </xf>
    <xf numFmtId="0" fontId="194" fillId="5" borderId="0" xfId="18" applyFont="1" applyFill="1" applyAlignment="1">
      <alignment vertical="center"/>
    </xf>
    <xf numFmtId="0" fontId="195" fillId="5" borderId="0" xfId="18" applyFont="1" applyFill="1" applyAlignment="1">
      <alignment vertical="center"/>
    </xf>
    <xf numFmtId="0" fontId="163" fillId="5" borderId="0" xfId="18" applyFont="1" applyFill="1" applyAlignment="1">
      <alignment vertical="center"/>
    </xf>
    <xf numFmtId="0" fontId="163" fillId="5" borderId="0" xfId="18" applyFont="1" applyFill="1" applyAlignment="1">
      <alignment horizontal="center" vertical="center"/>
    </xf>
    <xf numFmtId="0" fontId="162" fillId="5" borderId="0" xfId="18" applyFont="1" applyFill="1" applyAlignment="1">
      <alignment vertical="center"/>
    </xf>
    <xf numFmtId="0" fontId="37" fillId="3" borderId="145" xfId="18" applyFont="1" applyFill="1" applyBorder="1" applyAlignment="1">
      <alignment horizontal="center" vertical="center"/>
    </xf>
    <xf numFmtId="0" fontId="37" fillId="3" borderId="9" xfId="18" applyFont="1" applyFill="1" applyBorder="1" applyAlignment="1">
      <alignment horizontal="center" vertical="center"/>
    </xf>
    <xf numFmtId="0" fontId="37" fillId="3" borderId="240" xfId="18" applyFont="1" applyFill="1" applyBorder="1" applyAlignment="1">
      <alignment horizontal="center" vertical="center"/>
    </xf>
    <xf numFmtId="0" fontId="37" fillId="3" borderId="8" xfId="18" applyFont="1" applyFill="1" applyBorder="1" applyAlignment="1">
      <alignment horizontal="center" vertical="center"/>
    </xf>
    <xf numFmtId="0" fontId="37" fillId="3" borderId="241" xfId="18" applyFont="1" applyFill="1" applyBorder="1" applyAlignment="1">
      <alignment horizontal="center" vertical="center"/>
    </xf>
    <xf numFmtId="0" fontId="37" fillId="3" borderId="10" xfId="18" applyFont="1" applyFill="1" applyBorder="1" applyAlignment="1">
      <alignment horizontal="center" vertical="center"/>
    </xf>
    <xf numFmtId="0" fontId="37" fillId="3" borderId="129" xfId="18" applyFont="1" applyFill="1" applyBorder="1" applyAlignment="1">
      <alignment horizontal="center" vertical="center"/>
    </xf>
    <xf numFmtId="0" fontId="37" fillId="3" borderId="55" xfId="18" applyFont="1" applyFill="1" applyBorder="1" applyAlignment="1">
      <alignment horizontal="center" vertical="center"/>
    </xf>
    <xf numFmtId="0" fontId="37" fillId="3" borderId="0" xfId="18" applyFont="1" applyFill="1" applyBorder="1" applyAlignment="1">
      <alignment horizontal="center" vertical="center"/>
    </xf>
    <xf numFmtId="0" fontId="37" fillId="3" borderId="139" xfId="18" applyFont="1" applyFill="1" applyBorder="1" applyAlignment="1">
      <alignment horizontal="center" vertical="center"/>
    </xf>
    <xf numFmtId="0" fontId="37" fillId="3" borderId="6" xfId="18" applyFont="1" applyFill="1" applyBorder="1" applyAlignment="1">
      <alignment horizontal="center" vertical="center"/>
    </xf>
    <xf numFmtId="0" fontId="37" fillId="3" borderId="242" xfId="18" applyFont="1" applyFill="1" applyBorder="1" applyAlignment="1">
      <alignment horizontal="center" vertical="center"/>
    </xf>
    <xf numFmtId="0" fontId="37" fillId="3" borderId="7" xfId="18" applyFont="1" applyFill="1" applyBorder="1" applyAlignment="1">
      <alignment horizontal="center" vertical="center"/>
    </xf>
    <xf numFmtId="0" fontId="37" fillId="3" borderId="35" xfId="18" applyFont="1" applyFill="1" applyBorder="1" applyAlignment="1">
      <alignment horizontal="center" vertical="center"/>
    </xf>
    <xf numFmtId="0" fontId="45" fillId="3" borderId="55" xfId="18" applyFont="1" applyFill="1" applyBorder="1" applyAlignment="1">
      <alignment horizontal="center" vertical="center"/>
    </xf>
    <xf numFmtId="0" fontId="45" fillId="3" borderId="131" xfId="18" applyFont="1" applyFill="1" applyBorder="1" applyAlignment="1">
      <alignment horizontal="center" vertical="center" wrapText="1"/>
    </xf>
    <xf numFmtId="0" fontId="45" fillId="3" borderId="35" xfId="18" applyFont="1" applyFill="1" applyBorder="1" applyAlignment="1">
      <alignment horizontal="center" vertical="center" wrapText="1"/>
    </xf>
    <xf numFmtId="0" fontId="171" fillId="5" borderId="0" xfId="18" applyFont="1" applyFill="1" applyAlignment="1">
      <alignment vertical="center"/>
    </xf>
    <xf numFmtId="0" fontId="45" fillId="3" borderId="58" xfId="18" applyFont="1" applyFill="1" applyBorder="1" applyAlignment="1">
      <alignment horizontal="center" vertical="center"/>
    </xf>
    <xf numFmtId="0" fontId="45" fillId="3" borderId="244" xfId="18" applyFont="1" applyFill="1" applyBorder="1" applyAlignment="1">
      <alignment horizontal="center" vertical="center" wrapText="1"/>
    </xf>
    <xf numFmtId="0" fontId="45" fillId="3" borderId="51" xfId="18" applyFont="1" applyFill="1" applyBorder="1" applyAlignment="1">
      <alignment horizontal="center" vertical="center" wrapText="1"/>
    </xf>
    <xf numFmtId="0" fontId="196" fillId="5" borderId="0" xfId="18" applyFont="1" applyFill="1" applyAlignment="1">
      <alignment vertical="center"/>
    </xf>
    <xf numFmtId="0" fontId="169" fillId="17" borderId="55" xfId="18" applyFont="1" applyFill="1" applyBorder="1" applyAlignment="1">
      <alignment horizontal="center" vertical="center"/>
    </xf>
    <xf numFmtId="0" fontId="169" fillId="5" borderId="0" xfId="18" applyFont="1" applyFill="1" applyBorder="1" applyAlignment="1">
      <alignment horizontal="center" vertical="center"/>
    </xf>
    <xf numFmtId="0" fontId="169" fillId="5" borderId="139" xfId="18" applyFont="1" applyFill="1" applyBorder="1" applyAlignment="1">
      <alignment horizontal="center" vertical="center"/>
    </xf>
    <xf numFmtId="0" fontId="169" fillId="5" borderId="6" xfId="18" applyFont="1" applyFill="1" applyBorder="1" applyAlignment="1">
      <alignment horizontal="center" vertical="center"/>
    </xf>
    <xf numFmtId="0" fontId="169" fillId="5" borderId="242" xfId="18" applyFont="1" applyFill="1" applyBorder="1" applyAlignment="1">
      <alignment horizontal="center" vertical="center"/>
    </xf>
    <xf numFmtId="0" fontId="169" fillId="5" borderId="7" xfId="18" applyFont="1" applyFill="1" applyBorder="1" applyAlignment="1">
      <alignment horizontal="center" vertical="center"/>
    </xf>
    <xf numFmtId="0" fontId="169" fillId="5" borderId="35" xfId="18" applyFont="1" applyFill="1" applyBorder="1" applyAlignment="1">
      <alignment horizontal="center" vertical="center"/>
    </xf>
    <xf numFmtId="17" fontId="10" fillId="17" borderId="55" xfId="18" applyNumberFormat="1" applyFont="1" applyFill="1" applyBorder="1" applyAlignment="1">
      <alignment horizontal="center" vertical="center"/>
    </xf>
    <xf numFmtId="170" fontId="11" fillId="5" borderId="0" xfId="18" applyNumberFormat="1" applyFont="1" applyFill="1" applyBorder="1" applyAlignment="1">
      <alignment horizontal="right" vertical="center"/>
    </xf>
    <xf numFmtId="170" fontId="11" fillId="5" borderId="139" xfId="18" applyNumberFormat="1" applyFont="1" applyFill="1" applyBorder="1" applyAlignment="1">
      <alignment horizontal="center" vertical="center"/>
    </xf>
    <xf numFmtId="170" fontId="11" fillId="5" borderId="6" xfId="18" applyNumberFormat="1" applyFont="1" applyFill="1" applyBorder="1" applyAlignment="1">
      <alignment horizontal="center" vertical="center"/>
    </xf>
    <xf numFmtId="170" fontId="11" fillId="5" borderId="242" xfId="18" applyNumberFormat="1" applyFont="1" applyFill="1" applyBorder="1" applyAlignment="1">
      <alignment horizontal="center" vertical="center"/>
    </xf>
    <xf numFmtId="170" fontId="11" fillId="5" borderId="7" xfId="18" applyNumberFormat="1" applyFont="1" applyFill="1" applyBorder="1" applyAlignment="1">
      <alignment horizontal="center" vertical="center"/>
    </xf>
    <xf numFmtId="170" fontId="11" fillId="5" borderId="35" xfId="18" applyNumberFormat="1" applyFont="1" applyFill="1" applyBorder="1" applyAlignment="1">
      <alignment horizontal="center" vertical="center"/>
    </xf>
    <xf numFmtId="2" fontId="11" fillId="5" borderId="139" xfId="18" applyNumberFormat="1" applyFont="1" applyFill="1" applyBorder="1" applyAlignment="1">
      <alignment horizontal="center" vertical="center"/>
    </xf>
    <xf numFmtId="17" fontId="10" fillId="17" borderId="55" xfId="18" quotePrefix="1" applyNumberFormat="1" applyFont="1" applyFill="1" applyBorder="1" applyAlignment="1">
      <alignment horizontal="center" vertical="center"/>
    </xf>
    <xf numFmtId="2" fontId="11" fillId="5" borderId="242" xfId="18" applyNumberFormat="1" applyFont="1" applyFill="1" applyBorder="1" applyAlignment="1">
      <alignment horizontal="center" vertical="center"/>
    </xf>
    <xf numFmtId="2" fontId="11" fillId="5" borderId="35" xfId="18" applyNumberFormat="1" applyFont="1" applyFill="1" applyBorder="1" applyAlignment="1">
      <alignment horizontal="center" vertical="center"/>
    </xf>
    <xf numFmtId="2" fontId="11" fillId="5" borderId="6" xfId="18" applyNumberFormat="1" applyFont="1" applyFill="1" applyBorder="1" applyAlignment="1">
      <alignment horizontal="center" vertical="center"/>
    </xf>
    <xf numFmtId="170" fontId="11" fillId="5" borderId="18" xfId="18" applyNumberFormat="1" applyFont="1" applyFill="1" applyBorder="1" applyAlignment="1">
      <alignment horizontal="right" vertical="center"/>
    </xf>
    <xf numFmtId="170" fontId="11" fillId="5" borderId="0" xfId="18" applyNumberFormat="1" applyFont="1" applyFill="1" applyBorder="1" applyAlignment="1">
      <alignment horizontal="center" vertical="center"/>
    </xf>
    <xf numFmtId="170" fontId="11" fillId="5" borderId="18" xfId="18" applyNumberFormat="1" applyFont="1" applyFill="1" applyBorder="1" applyAlignment="1">
      <alignment horizontal="center" vertical="center"/>
    </xf>
    <xf numFmtId="17" fontId="29" fillId="17" borderId="55" xfId="18" quotePrefix="1" applyNumberFormat="1" applyFont="1" applyFill="1" applyBorder="1" applyAlignment="1">
      <alignment horizontal="center" vertical="center"/>
    </xf>
    <xf numFmtId="170" fontId="26" fillId="5" borderId="18" xfId="18" applyNumberFormat="1" applyFont="1" applyFill="1" applyBorder="1" applyAlignment="1">
      <alignment horizontal="center" vertical="center"/>
    </xf>
    <xf numFmtId="2" fontId="26" fillId="5" borderId="139" xfId="18" applyNumberFormat="1" applyFont="1" applyFill="1" applyBorder="1" applyAlignment="1">
      <alignment horizontal="center" vertical="center"/>
    </xf>
    <xf numFmtId="170" fontId="26" fillId="5" borderId="6" xfId="18" applyNumberFormat="1" applyFont="1" applyFill="1" applyBorder="1" applyAlignment="1">
      <alignment horizontal="center" vertical="center"/>
    </xf>
    <xf numFmtId="2" fontId="26" fillId="5" borderId="242" xfId="18" applyNumberFormat="1" applyFont="1" applyFill="1" applyBorder="1" applyAlignment="1">
      <alignment horizontal="center" vertical="center"/>
    </xf>
    <xf numFmtId="170" fontId="26" fillId="5" borderId="7" xfId="18" applyNumberFormat="1" applyFont="1" applyFill="1" applyBorder="1" applyAlignment="1">
      <alignment horizontal="center" vertical="center"/>
    </xf>
    <xf numFmtId="2" fontId="26" fillId="5" borderId="35" xfId="18" applyNumberFormat="1" applyFont="1" applyFill="1" applyBorder="1" applyAlignment="1">
      <alignment horizontal="center" vertical="center"/>
    </xf>
    <xf numFmtId="170" fontId="26" fillId="5" borderId="35" xfId="18" applyNumberFormat="1" applyFont="1" applyFill="1" applyBorder="1" applyAlignment="1">
      <alignment horizontal="center" vertical="center"/>
    </xf>
    <xf numFmtId="2" fontId="26" fillId="5" borderId="6" xfId="18" applyNumberFormat="1" applyFont="1" applyFill="1" applyBorder="1" applyAlignment="1">
      <alignment horizontal="center" vertical="center"/>
    </xf>
    <xf numFmtId="2" fontId="26" fillId="5" borderId="7" xfId="18" applyNumberFormat="1" applyFont="1" applyFill="1" applyBorder="1" applyAlignment="1">
      <alignment horizontal="center" vertical="center"/>
    </xf>
    <xf numFmtId="189" fontId="26" fillId="5" borderId="6" xfId="18" applyNumberFormat="1" applyFont="1" applyFill="1" applyBorder="1" applyAlignment="1">
      <alignment horizontal="center" vertical="center"/>
    </xf>
    <xf numFmtId="189" fontId="26" fillId="5" borderId="204" xfId="18" applyNumberFormat="1" applyFont="1" applyFill="1" applyBorder="1" applyAlignment="1">
      <alignment horizontal="center" vertical="center"/>
    </xf>
    <xf numFmtId="189" fontId="26" fillId="5" borderId="7" xfId="18" applyNumberFormat="1" applyFont="1" applyFill="1" applyBorder="1" applyAlignment="1">
      <alignment horizontal="center" vertical="center"/>
    </xf>
    <xf numFmtId="2" fontId="26" fillId="5" borderId="18" xfId="18" applyNumberFormat="1" applyFont="1" applyFill="1" applyBorder="1" applyAlignment="1">
      <alignment horizontal="center" vertical="center"/>
    </xf>
    <xf numFmtId="17" fontId="29" fillId="17" borderId="55" xfId="18" applyNumberFormat="1" applyFont="1" applyFill="1" applyBorder="1" applyAlignment="1">
      <alignment horizontal="center" vertical="center"/>
    </xf>
    <xf numFmtId="200" fontId="26" fillId="5" borderId="35" xfId="18" applyNumberFormat="1" applyFont="1" applyFill="1" applyBorder="1" applyAlignment="1">
      <alignment horizontal="center" vertical="center"/>
    </xf>
    <xf numFmtId="2" fontId="26" fillId="5" borderId="38" xfId="18" applyNumberFormat="1" applyFont="1" applyFill="1" applyBorder="1" applyAlignment="1">
      <alignment horizontal="center" vertical="center"/>
    </xf>
    <xf numFmtId="2" fontId="26" fillId="5" borderId="131" xfId="18" applyNumberFormat="1" applyFont="1" applyFill="1" applyBorder="1" applyAlignment="1">
      <alignment horizontal="center" vertical="center"/>
    </xf>
    <xf numFmtId="189" fontId="26" fillId="5" borderId="18" xfId="18" applyNumberFormat="1" applyFont="1" applyFill="1" applyBorder="1" applyAlignment="1">
      <alignment horizontal="center" vertical="center"/>
    </xf>
    <xf numFmtId="189" fontId="26" fillId="5" borderId="131" xfId="18" applyNumberFormat="1" applyFont="1" applyFill="1" applyBorder="1" applyAlignment="1">
      <alignment horizontal="center" vertical="center"/>
    </xf>
    <xf numFmtId="17" fontId="37" fillId="3" borderId="55" xfId="18" applyNumberFormat="1" applyFont="1" applyFill="1" applyBorder="1" applyAlignment="1">
      <alignment horizontal="center" vertical="center"/>
    </xf>
    <xf numFmtId="189" fontId="14" fillId="5" borderId="18" xfId="18" applyNumberFormat="1" applyFont="1" applyFill="1" applyBorder="1" applyAlignment="1">
      <alignment horizontal="center" vertical="center"/>
    </xf>
    <xf numFmtId="2" fontId="14" fillId="5" borderId="139" xfId="18" applyNumberFormat="1" applyFont="1" applyFill="1" applyBorder="1" applyAlignment="1">
      <alignment horizontal="center" vertical="center"/>
    </xf>
    <xf numFmtId="189" fontId="14" fillId="5" borderId="6" xfId="18" applyNumberFormat="1" applyFont="1" applyFill="1" applyBorder="1" applyAlignment="1">
      <alignment horizontal="center" vertical="center"/>
    </xf>
    <xf numFmtId="189" fontId="14" fillId="5" borderId="131" xfId="18" applyNumberFormat="1" applyFont="1" applyFill="1" applyBorder="1" applyAlignment="1">
      <alignment horizontal="center" vertical="center"/>
    </xf>
    <xf numFmtId="2" fontId="14" fillId="5" borderId="35" xfId="18" applyNumberFormat="1" applyFont="1" applyFill="1" applyBorder="1" applyAlignment="1">
      <alignment horizontal="center" vertical="center"/>
    </xf>
    <xf numFmtId="2" fontId="14" fillId="5" borderId="6" xfId="18" applyNumberFormat="1" applyFont="1" applyFill="1" applyBorder="1" applyAlignment="1">
      <alignment horizontal="center" vertical="center"/>
    </xf>
    <xf numFmtId="17" fontId="39" fillId="3" borderId="55" xfId="18" applyNumberFormat="1" applyFont="1" applyFill="1" applyBorder="1" applyAlignment="1">
      <alignment horizontal="center" vertical="center"/>
    </xf>
    <xf numFmtId="189" fontId="19" fillId="5" borderId="18" xfId="18" applyNumberFormat="1" applyFont="1" applyFill="1" applyBorder="1" applyAlignment="1">
      <alignment horizontal="center" vertical="center"/>
    </xf>
    <xf numFmtId="2" fontId="19" fillId="5" borderId="139" xfId="18" applyNumberFormat="1" applyFont="1" applyFill="1" applyBorder="1" applyAlignment="1">
      <alignment horizontal="center" vertical="center"/>
    </xf>
    <xf numFmtId="189" fontId="19" fillId="5" borderId="6" xfId="18" applyNumberFormat="1" applyFont="1" applyFill="1" applyBorder="1" applyAlignment="1">
      <alignment horizontal="center" vertical="center"/>
    </xf>
    <xf numFmtId="189" fontId="19" fillId="5" borderId="131" xfId="18" applyNumberFormat="1" applyFont="1" applyFill="1" applyBorder="1" applyAlignment="1">
      <alignment horizontal="center" vertical="center"/>
    </xf>
    <xf numFmtId="2" fontId="19" fillId="5" borderId="6" xfId="18" applyNumberFormat="1" applyFont="1" applyFill="1" applyBorder="1" applyAlignment="1">
      <alignment horizontal="center" vertical="center"/>
    </xf>
    <xf numFmtId="40" fontId="163" fillId="5" borderId="0" xfId="20" applyFont="1" applyFill="1" applyAlignment="1">
      <alignment vertical="center"/>
    </xf>
    <xf numFmtId="189" fontId="19" fillId="5" borderId="35" xfId="18" applyNumberFormat="1" applyFont="1" applyFill="1" applyBorder="1" applyAlignment="1">
      <alignment horizontal="center" vertical="center"/>
    </xf>
    <xf numFmtId="17" fontId="29" fillId="3" borderId="148" xfId="18" applyNumberFormat="1" applyFont="1" applyFill="1" applyBorder="1" applyAlignment="1">
      <alignment horizontal="center" vertical="center"/>
    </xf>
    <xf numFmtId="2" fontId="26" fillId="5" borderId="161" xfId="18" applyNumberFormat="1" applyFont="1" applyFill="1" applyBorder="1" applyAlignment="1">
      <alignment horizontal="center" vertical="center"/>
    </xf>
    <xf numFmtId="2" fontId="26" fillId="5" borderId="140" xfId="18" applyNumberFormat="1" applyFont="1" applyFill="1" applyBorder="1" applyAlignment="1">
      <alignment horizontal="center" vertical="center"/>
    </xf>
    <xf numFmtId="2" fontId="26" fillId="5" borderId="11" xfId="18" applyNumberFormat="1" applyFont="1" applyFill="1" applyBorder="1" applyAlignment="1">
      <alignment horizontal="center" vertical="center"/>
    </xf>
    <xf numFmtId="2" fontId="26" fillId="5" borderId="134" xfId="18" applyNumberFormat="1" applyFont="1" applyFill="1" applyBorder="1" applyAlignment="1">
      <alignment horizontal="center" vertical="center"/>
    </xf>
    <xf numFmtId="200" fontId="26" fillId="5" borderId="103" xfId="18" applyNumberFormat="1" applyFont="1" applyFill="1" applyBorder="1" applyAlignment="1">
      <alignment horizontal="center" vertical="center"/>
    </xf>
    <xf numFmtId="170" fontId="26" fillId="5" borderId="103" xfId="18" applyNumberFormat="1" applyFont="1" applyFill="1" applyBorder="1" applyAlignment="1">
      <alignment horizontal="center" vertical="center"/>
    </xf>
    <xf numFmtId="2" fontId="26" fillId="5" borderId="103" xfId="18" applyNumberFormat="1" applyFont="1" applyFill="1" applyBorder="1" applyAlignment="1">
      <alignment horizontal="center" vertical="center"/>
    </xf>
    <xf numFmtId="15" fontId="45" fillId="5" borderId="0" xfId="18" applyNumberFormat="1" applyFont="1" applyFill="1" applyAlignment="1">
      <alignment horizontal="left" vertical="center"/>
    </xf>
    <xf numFmtId="0" fontId="197" fillId="5" borderId="0" xfId="18" applyFont="1" applyFill="1" applyAlignment="1">
      <alignment vertical="center"/>
    </xf>
    <xf numFmtId="0" fontId="197" fillId="5" borderId="0" xfId="18" applyFont="1" applyFill="1" applyAlignment="1">
      <alignment horizontal="right" vertical="center"/>
    </xf>
    <xf numFmtId="15" fontId="197" fillId="5" borderId="0" xfId="18" applyNumberFormat="1" applyFont="1" applyFill="1" applyAlignment="1">
      <alignment horizontal="right" vertical="center"/>
    </xf>
    <xf numFmtId="40" fontId="171" fillId="5" borderId="0" xfId="20" applyFont="1" applyFill="1" applyAlignment="1">
      <alignment vertical="center"/>
    </xf>
    <xf numFmtId="0" fontId="18" fillId="0" borderId="0" xfId="46" applyFont="1" applyAlignment="1">
      <alignment horizontal="left" vertical="center"/>
    </xf>
    <xf numFmtId="0" fontId="17" fillId="0" borderId="0" xfId="46" applyFont="1" applyAlignment="1">
      <alignment horizontal="center" vertical="center"/>
    </xf>
    <xf numFmtId="0" fontId="6" fillId="0" borderId="0" xfId="46" applyFont="1" applyAlignment="1">
      <alignment horizontal="center" vertical="center"/>
    </xf>
    <xf numFmtId="0" fontId="7" fillId="0" borderId="0" xfId="46" applyFont="1" applyAlignment="1">
      <alignment vertical="center"/>
    </xf>
    <xf numFmtId="0" fontId="6" fillId="0" borderId="0" xfId="46" applyFont="1" applyAlignment="1">
      <alignment vertical="center"/>
    </xf>
    <xf numFmtId="0" fontId="7" fillId="12" borderId="25" xfId="46" applyFont="1" applyFill="1" applyBorder="1" applyAlignment="1">
      <alignment vertical="center"/>
    </xf>
    <xf numFmtId="0" fontId="6" fillId="12" borderId="16" xfId="46" applyFont="1" applyFill="1" applyBorder="1" applyAlignment="1">
      <alignment horizontal="center" vertical="center"/>
    </xf>
    <xf numFmtId="0" fontId="6" fillId="12" borderId="245" xfId="46" applyFont="1" applyFill="1" applyBorder="1" applyAlignment="1">
      <alignment horizontal="center" vertical="center"/>
    </xf>
    <xf numFmtId="0" fontId="6" fillId="12" borderId="246" xfId="46" applyFont="1" applyFill="1" applyBorder="1" applyAlignment="1">
      <alignment horizontal="center" vertical="center"/>
    </xf>
    <xf numFmtId="0" fontId="6" fillId="12" borderId="247" xfId="46" applyFont="1" applyFill="1" applyBorder="1" applyAlignment="1">
      <alignment horizontal="center" vertical="center"/>
    </xf>
    <xf numFmtId="0" fontId="6" fillId="12" borderId="17" xfId="46" applyFont="1" applyFill="1" applyBorder="1" applyAlignment="1">
      <alignment horizontal="center" vertical="center"/>
    </xf>
    <xf numFmtId="189" fontId="14" fillId="0" borderId="0" xfId="46" applyNumberFormat="1" applyFont="1" applyFill="1" applyBorder="1" applyAlignment="1">
      <alignment horizontal="center" vertical="center"/>
    </xf>
    <xf numFmtId="0" fontId="37" fillId="12" borderId="30" xfId="46" applyFont="1" applyFill="1" applyBorder="1" applyAlignment="1">
      <alignment vertical="center"/>
    </xf>
    <xf numFmtId="0" fontId="37" fillId="12" borderId="40" xfId="46" applyFont="1" applyFill="1" applyBorder="1" applyAlignment="1">
      <alignment horizontal="center" vertical="center"/>
    </xf>
    <xf numFmtId="0" fontId="37" fillId="12" borderId="5" xfId="46" applyFont="1" applyFill="1" applyBorder="1" applyAlignment="1">
      <alignment horizontal="center" vertical="center"/>
    </xf>
    <xf numFmtId="0" fontId="37" fillId="12" borderId="180" xfId="46" applyFont="1" applyFill="1" applyBorder="1" applyAlignment="1">
      <alignment horizontal="center" vertical="center"/>
    </xf>
    <xf numFmtId="0" fontId="37" fillId="12" borderId="248" xfId="46" applyFont="1" applyFill="1" applyBorder="1" applyAlignment="1">
      <alignment horizontal="center" vertical="center"/>
    </xf>
    <xf numFmtId="0" fontId="37" fillId="12" borderId="249" xfId="46" applyFont="1" applyFill="1" applyBorder="1" applyAlignment="1">
      <alignment horizontal="center" vertical="center"/>
    </xf>
    <xf numFmtId="0" fontId="7" fillId="0" borderId="0" xfId="46" applyFont="1" applyBorder="1" applyAlignment="1">
      <alignment vertical="center"/>
    </xf>
    <xf numFmtId="0" fontId="14" fillId="12" borderId="39" xfId="46" applyFont="1" applyFill="1" applyBorder="1" applyAlignment="1">
      <alignment vertical="center"/>
    </xf>
    <xf numFmtId="17" fontId="37" fillId="12" borderId="30" xfId="46" applyNumberFormat="1" applyFont="1" applyFill="1" applyBorder="1" applyAlignment="1">
      <alignment horizontal="left" vertical="center"/>
    </xf>
    <xf numFmtId="189" fontId="14" fillId="0" borderId="204" xfId="46" applyNumberFormat="1" applyFont="1" applyFill="1" applyBorder="1" applyAlignment="1">
      <alignment horizontal="center" vertical="center"/>
    </xf>
    <xf numFmtId="189" fontId="14" fillId="0" borderId="4" xfId="46" applyNumberFormat="1" applyFont="1" applyFill="1" applyBorder="1" applyAlignment="1">
      <alignment horizontal="center" vertical="center"/>
    </xf>
    <xf numFmtId="189" fontId="14" fillId="0" borderId="139" xfId="46" applyNumberFormat="1" applyFont="1" applyFill="1" applyBorder="1" applyAlignment="1">
      <alignment horizontal="center" vertical="center"/>
    </xf>
    <xf numFmtId="189" fontId="14" fillId="0" borderId="252" xfId="46" applyNumberFormat="1" applyFont="1" applyFill="1" applyBorder="1" applyAlignment="1">
      <alignment horizontal="center" vertical="center"/>
    </xf>
    <xf numFmtId="189" fontId="14" fillId="0" borderId="205" xfId="46" applyNumberFormat="1" applyFont="1" applyFill="1" applyBorder="1" applyAlignment="1">
      <alignment horizontal="center" vertical="center"/>
    </xf>
    <xf numFmtId="0" fontId="7" fillId="0" borderId="0" xfId="46" applyFont="1" applyFill="1" applyBorder="1" applyAlignment="1">
      <alignment vertical="center"/>
    </xf>
    <xf numFmtId="17" fontId="37" fillId="12" borderId="46" xfId="46" applyNumberFormat="1" applyFont="1" applyFill="1" applyBorder="1" applyAlignment="1">
      <alignment horizontal="left" vertical="center"/>
    </xf>
    <xf numFmtId="189" fontId="14" fillId="0" borderId="206" xfId="46" applyNumberFormat="1" applyFont="1" applyFill="1" applyBorder="1" applyAlignment="1">
      <alignment horizontal="center" vertical="center"/>
    </xf>
    <xf numFmtId="189" fontId="14" fillId="0" borderId="48" xfId="46" applyNumberFormat="1" applyFont="1" applyFill="1" applyBorder="1" applyAlignment="1">
      <alignment horizontal="center" vertical="center"/>
    </xf>
    <xf numFmtId="189" fontId="14" fillId="0" borderId="253" xfId="46" applyNumberFormat="1" applyFont="1" applyFill="1" applyBorder="1" applyAlignment="1">
      <alignment horizontal="center" vertical="center"/>
    </xf>
    <xf numFmtId="189" fontId="14" fillId="0" borderId="254" xfId="46" applyNumberFormat="1" applyFont="1" applyFill="1" applyBorder="1" applyAlignment="1">
      <alignment horizontal="center" vertical="center"/>
    </xf>
    <xf numFmtId="189" fontId="14" fillId="0" borderId="207" xfId="46" applyNumberFormat="1" applyFont="1" applyFill="1" applyBorder="1" applyAlignment="1">
      <alignment horizontal="center" vertical="center"/>
    </xf>
    <xf numFmtId="0" fontId="44" fillId="0" borderId="0" xfId="46" applyFont="1" applyAlignment="1">
      <alignment horizontal="left" vertical="center"/>
    </xf>
    <xf numFmtId="0" fontId="45" fillId="0" borderId="0" xfId="46" applyFont="1" applyAlignment="1">
      <alignment horizontal="left" vertical="center"/>
    </xf>
    <xf numFmtId="0" fontId="45" fillId="0" borderId="0" xfId="46" applyFont="1" applyAlignment="1">
      <alignment vertical="center"/>
    </xf>
    <xf numFmtId="0" fontId="14" fillId="0" borderId="0" xfId="46" applyFont="1" applyAlignment="1">
      <alignment vertical="center"/>
    </xf>
    <xf numFmtId="49" fontId="45" fillId="0" borderId="0" xfId="46" applyNumberFormat="1" applyFont="1" applyAlignment="1">
      <alignment horizontal="left" vertical="center"/>
    </xf>
    <xf numFmtId="0" fontId="18" fillId="5" borderId="0" xfId="47" applyFont="1" applyFill="1" applyAlignment="1">
      <alignment horizontal="left"/>
    </xf>
    <xf numFmtId="0" fontId="2" fillId="5" borderId="0" xfId="47" applyFill="1" applyBorder="1"/>
    <xf numFmtId="0" fontId="2" fillId="5" borderId="0" xfId="47" applyFill="1"/>
    <xf numFmtId="0" fontId="2" fillId="5" borderId="255" xfId="47" applyFill="1" applyBorder="1"/>
    <xf numFmtId="0" fontId="37" fillId="12" borderId="129" xfId="47" applyFont="1" applyFill="1" applyBorder="1" applyAlignment="1">
      <alignment horizontal="center"/>
    </xf>
    <xf numFmtId="17" fontId="16" fillId="3" borderId="10" xfId="47" applyNumberFormat="1" applyFont="1" applyFill="1" applyBorder="1" applyAlignment="1">
      <alignment horizontal="center"/>
    </xf>
    <xf numFmtId="17" fontId="16" fillId="3" borderId="129" xfId="47" applyNumberFormat="1" applyFont="1" applyFill="1" applyBorder="1" applyAlignment="1">
      <alignment horizontal="center"/>
    </xf>
    <xf numFmtId="17" fontId="16" fillId="12" borderId="129" xfId="47" applyNumberFormat="1" applyFont="1" applyFill="1" applyBorder="1" applyAlignment="1">
      <alignment horizontal="center"/>
    </xf>
    <xf numFmtId="17" fontId="16" fillId="12" borderId="33" xfId="47" applyNumberFormat="1" applyFont="1" applyFill="1" applyBorder="1" applyAlignment="1">
      <alignment horizontal="center"/>
    </xf>
    <xf numFmtId="17" fontId="16" fillId="12" borderId="32" xfId="47" applyNumberFormat="1" applyFont="1" applyFill="1" applyBorder="1" applyAlignment="1">
      <alignment horizontal="center"/>
    </xf>
    <xf numFmtId="17" fontId="16" fillId="12" borderId="240" xfId="47" applyNumberFormat="1" applyFont="1" applyFill="1" applyBorder="1" applyAlignment="1">
      <alignment horizontal="center"/>
    </xf>
    <xf numFmtId="17" fontId="16" fillId="12" borderId="9" xfId="47" applyNumberFormat="1" applyFont="1" applyFill="1" applyBorder="1" applyAlignment="1">
      <alignment horizontal="center"/>
    </xf>
    <xf numFmtId="17" fontId="16" fillId="12" borderId="31" xfId="47" applyNumberFormat="1" applyFont="1" applyFill="1" applyBorder="1" applyAlignment="1">
      <alignment horizontal="center"/>
    </xf>
    <xf numFmtId="17" fontId="16" fillId="12" borderId="10" xfId="47" applyNumberFormat="1" applyFont="1" applyFill="1" applyBorder="1" applyAlignment="1">
      <alignment horizontal="center"/>
    </xf>
    <xf numFmtId="17" fontId="16" fillId="12" borderId="8" xfId="47" applyNumberFormat="1" applyFont="1" applyFill="1" applyBorder="1" applyAlignment="1">
      <alignment horizontal="center"/>
    </xf>
    <xf numFmtId="17" fontId="37" fillId="12" borderId="32" xfId="47" applyNumberFormat="1" applyFont="1" applyFill="1" applyBorder="1" applyAlignment="1">
      <alignment horizontal="center"/>
    </xf>
    <xf numFmtId="17" fontId="37" fillId="12" borderId="34" xfId="47" applyNumberFormat="1" applyFont="1" applyFill="1" applyBorder="1" applyAlignment="1">
      <alignment horizontal="center"/>
    </xf>
    <xf numFmtId="0" fontId="37" fillId="12" borderId="103" xfId="47" applyFont="1" applyFill="1" applyBorder="1" applyAlignment="1" applyProtection="1">
      <alignment horizontal="center"/>
    </xf>
    <xf numFmtId="0" fontId="16" fillId="3" borderId="13" xfId="47" applyFont="1" applyFill="1" applyBorder="1" applyAlignment="1">
      <alignment horizontal="center"/>
    </xf>
    <xf numFmtId="0" fontId="16" fillId="3" borderId="103" xfId="47" applyFont="1" applyFill="1" applyBorder="1" applyAlignment="1">
      <alignment horizontal="center"/>
    </xf>
    <xf numFmtId="0" fontId="16" fillId="12" borderId="103" xfId="47" applyFont="1" applyFill="1" applyBorder="1" applyAlignment="1">
      <alignment horizontal="center"/>
    </xf>
    <xf numFmtId="0" fontId="16" fillId="12" borderId="160" xfId="47" applyFont="1" applyFill="1" applyBorder="1" applyAlignment="1">
      <alignment horizontal="center"/>
    </xf>
    <xf numFmtId="0" fontId="16" fillId="12" borderId="105" xfId="47" applyFont="1" applyFill="1" applyBorder="1" applyAlignment="1">
      <alignment horizontal="center"/>
    </xf>
    <xf numFmtId="0" fontId="16" fillId="12" borderId="140" xfId="47" applyFont="1" applyFill="1" applyBorder="1" applyAlignment="1">
      <alignment horizontal="center"/>
    </xf>
    <xf numFmtId="0" fontId="16" fillId="12" borderId="12" xfId="47" applyFont="1" applyFill="1" applyBorder="1" applyAlignment="1">
      <alignment horizontal="center"/>
    </xf>
    <xf numFmtId="0" fontId="16" fillId="12" borderId="104" xfId="47" applyFont="1" applyFill="1" applyBorder="1" applyAlignment="1">
      <alignment horizontal="center"/>
    </xf>
    <xf numFmtId="0" fontId="16" fillId="12" borderId="13" xfId="47" applyFont="1" applyFill="1" applyBorder="1" applyAlignment="1">
      <alignment horizontal="center"/>
    </xf>
    <xf numFmtId="0" fontId="16" fillId="12" borderId="11" xfId="47" applyFont="1" applyFill="1" applyBorder="1" applyAlignment="1">
      <alignment horizontal="center"/>
    </xf>
    <xf numFmtId="0" fontId="16" fillId="12" borderId="106" xfId="47" applyFont="1" applyFill="1" applyBorder="1" applyAlignment="1">
      <alignment horizontal="center"/>
    </xf>
    <xf numFmtId="0" fontId="0" fillId="5" borderId="0" xfId="47" applyFont="1" applyFill="1"/>
    <xf numFmtId="0" fontId="37" fillId="12" borderId="35" xfId="47" applyFont="1" applyFill="1" applyBorder="1" applyAlignment="1" applyProtection="1">
      <alignment horizontal="left"/>
    </xf>
    <xf numFmtId="189" fontId="23" fillId="5" borderId="7" xfId="47" applyNumberFormat="1" applyFont="1" applyFill="1" applyBorder="1"/>
    <xf numFmtId="189" fontId="23" fillId="5" borderId="35" xfId="47" applyNumberFormat="1" applyFont="1" applyFill="1" applyBorder="1"/>
    <xf numFmtId="189" fontId="23" fillId="5" borderId="33" xfId="47" applyNumberFormat="1" applyFont="1" applyFill="1" applyBorder="1"/>
    <xf numFmtId="189" fontId="23" fillId="5" borderId="32" xfId="47" applyNumberFormat="1" applyFont="1" applyFill="1" applyBorder="1"/>
    <xf numFmtId="189" fontId="23" fillId="5" borderId="139" xfId="47" applyNumberFormat="1" applyFont="1" applyFill="1" applyBorder="1"/>
    <xf numFmtId="189" fontId="23" fillId="5" borderId="4" xfId="47" applyNumberFormat="1" applyFont="1" applyFill="1" applyBorder="1"/>
    <xf numFmtId="189" fontId="23" fillId="5" borderId="9" xfId="47" applyNumberFormat="1" applyFont="1" applyFill="1" applyBorder="1"/>
    <xf numFmtId="189" fontId="23" fillId="5" borderId="240" xfId="47" applyNumberFormat="1" applyFont="1" applyFill="1" applyBorder="1"/>
    <xf numFmtId="189" fontId="23" fillId="5" borderId="31" xfId="47" applyNumberFormat="1" applyFont="1" applyFill="1" applyBorder="1"/>
    <xf numFmtId="189" fontId="2" fillId="5" borderId="32" xfId="47" applyNumberFormat="1" applyFill="1" applyBorder="1"/>
    <xf numFmtId="189" fontId="2" fillId="5" borderId="34" xfId="47" applyNumberFormat="1" applyFill="1" applyBorder="1"/>
    <xf numFmtId="189" fontId="23" fillId="5" borderId="35" xfId="47" applyNumberFormat="1" applyFont="1" applyFill="1" applyBorder="1" applyAlignment="1">
      <alignment horizontal="right"/>
    </xf>
    <xf numFmtId="189" fontId="23" fillId="5" borderId="35" xfId="47" applyNumberFormat="1" applyFont="1" applyFill="1" applyBorder="1" applyAlignment="1"/>
    <xf numFmtId="189" fontId="23" fillId="5" borderId="38" xfId="47" applyNumberFormat="1" applyFont="1" applyFill="1" applyBorder="1" applyAlignment="1">
      <alignment horizontal="right"/>
    </xf>
    <xf numFmtId="189" fontId="23" fillId="5" borderId="4" xfId="47" applyNumberFormat="1" applyFont="1" applyFill="1" applyBorder="1" applyAlignment="1">
      <alignment horizontal="right"/>
    </xf>
    <xf numFmtId="189" fontId="23" fillId="5" borderId="139" xfId="47" applyNumberFormat="1" applyFont="1" applyFill="1" applyBorder="1" applyAlignment="1">
      <alignment horizontal="right"/>
    </xf>
    <xf numFmtId="189" fontId="23" fillId="5" borderId="0" xfId="47" applyNumberFormat="1" applyFont="1" applyFill="1" applyBorder="1" applyAlignment="1">
      <alignment horizontal="right"/>
    </xf>
    <xf numFmtId="189" fontId="23" fillId="5" borderId="37" xfId="47" applyNumberFormat="1" applyFont="1" applyFill="1" applyBorder="1" applyAlignment="1">
      <alignment horizontal="right"/>
    </xf>
    <xf numFmtId="189" fontId="2" fillId="5" borderId="4" xfId="47" applyNumberFormat="1" applyFill="1" applyBorder="1"/>
    <xf numFmtId="189" fontId="2" fillId="5" borderId="36" xfId="47" applyNumberFormat="1" applyFill="1" applyBorder="1"/>
    <xf numFmtId="189" fontId="2" fillId="5" borderId="7" xfId="47" applyNumberFormat="1" applyFill="1" applyBorder="1"/>
    <xf numFmtId="189" fontId="2" fillId="5" borderId="38" xfId="47" applyNumberFormat="1" applyFill="1" applyBorder="1"/>
    <xf numFmtId="189" fontId="2" fillId="5" borderId="139" xfId="47" applyNumberFormat="1" applyFill="1" applyBorder="1"/>
    <xf numFmtId="189" fontId="2" fillId="5" borderId="0" xfId="47" applyNumberFormat="1" applyFill="1" applyBorder="1"/>
    <xf numFmtId="189" fontId="2" fillId="5" borderId="37" xfId="47" applyNumberFormat="1" applyFill="1" applyBorder="1"/>
    <xf numFmtId="189" fontId="2" fillId="5" borderId="35" xfId="47" applyNumberFormat="1" applyFill="1" applyBorder="1"/>
    <xf numFmtId="0" fontId="2" fillId="5" borderId="7" xfId="47" applyFill="1" applyBorder="1"/>
    <xf numFmtId="0" fontId="2" fillId="5" borderId="35" xfId="47" applyFill="1" applyBorder="1"/>
    <xf numFmtId="0" fontId="14" fillId="12" borderId="103" xfId="47" applyFont="1" applyFill="1" applyBorder="1" applyAlignment="1" applyProtection="1">
      <alignment horizontal="left"/>
    </xf>
    <xf numFmtId="189" fontId="23" fillId="5" borderId="13" xfId="47" applyNumberFormat="1" applyFont="1" applyFill="1" applyBorder="1"/>
    <xf numFmtId="189" fontId="23" fillId="5" borderId="103" xfId="47" applyNumberFormat="1" applyFont="1" applyFill="1" applyBorder="1"/>
    <xf numFmtId="0" fontId="2" fillId="5" borderId="103" xfId="47" applyFill="1" applyBorder="1"/>
    <xf numFmtId="0" fontId="2" fillId="5" borderId="160" xfId="47" applyFill="1" applyBorder="1"/>
    <xf numFmtId="0" fontId="2" fillId="5" borderId="105" xfId="47" applyFill="1" applyBorder="1"/>
    <xf numFmtId="0" fontId="2" fillId="5" borderId="140" xfId="47" applyFill="1" applyBorder="1"/>
    <xf numFmtId="0" fontId="2" fillId="5" borderId="12" xfId="47" applyFill="1" applyBorder="1"/>
    <xf numFmtId="189" fontId="2" fillId="5" borderId="140" xfId="47" applyNumberFormat="1" applyFill="1" applyBorder="1"/>
    <xf numFmtId="189" fontId="2" fillId="5" borderId="105" xfId="47" applyNumberFormat="1" applyFill="1" applyBorder="1"/>
    <xf numFmtId="189" fontId="2" fillId="5" borderId="104" xfId="47" applyNumberFormat="1" applyFill="1" applyBorder="1"/>
    <xf numFmtId="189" fontId="2" fillId="5" borderId="12" xfId="47" applyNumberFormat="1" applyFill="1" applyBorder="1"/>
    <xf numFmtId="0" fontId="2" fillId="5" borderId="106" xfId="47" applyFill="1" applyBorder="1"/>
    <xf numFmtId="0" fontId="120" fillId="5" borderId="0" xfId="47" applyFont="1" applyFill="1" applyBorder="1" applyAlignment="1" applyProtection="1">
      <alignment horizontal="left"/>
    </xf>
    <xf numFmtId="0" fontId="82" fillId="5" borderId="0" xfId="47" applyFont="1" applyFill="1" applyBorder="1"/>
    <xf numFmtId="0" fontId="82" fillId="5" borderId="0" xfId="47" applyFont="1" applyFill="1"/>
    <xf numFmtId="0" fontId="82" fillId="5" borderId="0" xfId="47" applyFont="1" applyFill="1" applyAlignment="1">
      <alignment horizontal="right"/>
    </xf>
    <xf numFmtId="0" fontId="21" fillId="5" borderId="0" xfId="47" applyFont="1" applyFill="1"/>
    <xf numFmtId="0" fontId="26" fillId="5" borderId="0" xfId="47" applyFont="1" applyFill="1"/>
    <xf numFmtId="200" fontId="26" fillId="5" borderId="0" xfId="47" applyNumberFormat="1" applyFont="1" applyFill="1"/>
    <xf numFmtId="0" fontId="58" fillId="5" borderId="0" xfId="47" applyFont="1" applyFill="1"/>
    <xf numFmtId="0" fontId="62" fillId="5" borderId="0" xfId="47" applyFont="1" applyFill="1" applyAlignment="1">
      <alignment vertical="center"/>
    </xf>
    <xf numFmtId="0" fontId="62" fillId="5" borderId="0" xfId="47" applyFont="1" applyFill="1" applyBorder="1"/>
    <xf numFmtId="0" fontId="62" fillId="5" borderId="0" xfId="47" applyFont="1" applyFill="1"/>
    <xf numFmtId="0" fontId="48" fillId="5" borderId="0" xfId="47" applyFont="1" applyFill="1"/>
    <xf numFmtId="0" fontId="58" fillId="5" borderId="0" xfId="47" applyFont="1" applyFill="1" applyBorder="1"/>
    <xf numFmtId="0" fontId="15" fillId="5" borderId="0" xfId="47" applyFont="1" applyFill="1"/>
    <xf numFmtId="17" fontId="37" fillId="3" borderId="175" xfId="47" applyNumberFormat="1" applyFont="1" applyFill="1" applyBorder="1" applyAlignment="1">
      <alignment horizontal="center"/>
    </xf>
    <xf numFmtId="17" fontId="37" fillId="3" borderId="145" xfId="47" applyNumberFormat="1" applyFont="1" applyFill="1" applyBorder="1" applyAlignment="1">
      <alignment horizontal="center"/>
    </xf>
    <xf numFmtId="17" fontId="37" fillId="12" borderId="8" xfId="47" applyNumberFormat="1" applyFont="1" applyFill="1" applyBorder="1" applyAlignment="1">
      <alignment horizontal="center"/>
    </xf>
    <xf numFmtId="17" fontId="37" fillId="12" borderId="9" xfId="47" applyNumberFormat="1" applyFont="1" applyFill="1" applyBorder="1" applyAlignment="1">
      <alignment horizontal="center"/>
    </xf>
    <xf numFmtId="17" fontId="37" fillId="12" borderId="240" xfId="47" applyNumberFormat="1" applyFont="1" applyFill="1" applyBorder="1" applyAlignment="1">
      <alignment horizontal="center"/>
    </xf>
    <xf numFmtId="17" fontId="37" fillId="12" borderId="129" xfId="47" applyNumberFormat="1" applyFont="1" applyFill="1" applyBorder="1" applyAlignment="1">
      <alignment horizontal="center"/>
    </xf>
    <xf numFmtId="0" fontId="0" fillId="5" borderId="0" xfId="47" applyFont="1" applyFill="1" applyBorder="1"/>
    <xf numFmtId="0" fontId="37" fillId="12" borderId="103" xfId="47" applyFont="1" applyFill="1" applyBorder="1" applyAlignment="1">
      <alignment horizontal="center"/>
    </xf>
    <xf numFmtId="0" fontId="37" fillId="3" borderId="256" xfId="47" applyFont="1" applyFill="1" applyBorder="1" applyAlignment="1">
      <alignment horizontal="center"/>
    </xf>
    <xf numFmtId="0" fontId="37" fillId="12" borderId="12" xfId="47" applyFont="1" applyFill="1" applyBorder="1" applyAlignment="1">
      <alignment horizontal="center"/>
    </xf>
    <xf numFmtId="0" fontId="37" fillId="12" borderId="105" xfId="47" applyFont="1" applyFill="1" applyBorder="1" applyAlignment="1">
      <alignment horizontal="center"/>
    </xf>
    <xf numFmtId="0" fontId="37" fillId="12" borderId="140" xfId="47" applyFont="1" applyFill="1" applyBorder="1" applyAlignment="1">
      <alignment horizontal="center"/>
    </xf>
    <xf numFmtId="0" fontId="37" fillId="12" borderId="106" xfId="47" applyFont="1" applyFill="1" applyBorder="1" applyAlignment="1">
      <alignment horizontal="center"/>
    </xf>
    <xf numFmtId="0" fontId="37" fillId="12" borderId="11" xfId="47" applyFont="1" applyFill="1" applyBorder="1" applyAlignment="1">
      <alignment horizontal="center"/>
    </xf>
    <xf numFmtId="189" fontId="23" fillId="5" borderId="19" xfId="47" applyNumberFormat="1" applyFont="1" applyFill="1" applyBorder="1"/>
    <xf numFmtId="189" fontId="23" fillId="5" borderId="0" xfId="47" applyNumberFormat="1" applyFont="1" applyFill="1" applyBorder="1"/>
    <xf numFmtId="189" fontId="2" fillId="5" borderId="240" xfId="47" applyNumberFormat="1" applyFill="1" applyBorder="1"/>
    <xf numFmtId="189" fontId="2" fillId="5" borderId="9" xfId="47" applyNumberFormat="1" applyFill="1" applyBorder="1"/>
    <xf numFmtId="189" fontId="58" fillId="5" borderId="32" xfId="47" applyNumberFormat="1" applyFont="1" applyFill="1" applyBorder="1"/>
    <xf numFmtId="189" fontId="58" fillId="5" borderId="34" xfId="47" applyNumberFormat="1" applyFont="1" applyFill="1" applyBorder="1"/>
    <xf numFmtId="189" fontId="23" fillId="5" borderId="19" xfId="47" applyNumberFormat="1" applyFont="1" applyFill="1" applyBorder="1" applyAlignment="1">
      <alignment horizontal="right"/>
    </xf>
    <xf numFmtId="189" fontId="2" fillId="5" borderId="30" xfId="47" applyNumberFormat="1" applyFill="1" applyBorder="1"/>
    <xf numFmtId="189" fontId="2" fillId="5" borderId="18" xfId="47" applyNumberFormat="1" applyFill="1" applyBorder="1"/>
    <xf numFmtId="189" fontId="58" fillId="5" borderId="4" xfId="47" applyNumberFormat="1" applyFont="1" applyFill="1" applyBorder="1"/>
    <xf numFmtId="189" fontId="58" fillId="5" borderId="36" xfId="47" applyNumberFormat="1" applyFont="1" applyFill="1" applyBorder="1"/>
    <xf numFmtId="189" fontId="23" fillId="5" borderId="30" xfId="47" applyNumberFormat="1" applyFont="1" applyFill="1" applyBorder="1"/>
    <xf numFmtId="0" fontId="2" fillId="5" borderId="30" xfId="47" applyFill="1" applyBorder="1"/>
    <xf numFmtId="0" fontId="26" fillId="12" borderId="103" xfId="47" applyFont="1" applyFill="1" applyBorder="1" applyAlignment="1" applyProtection="1">
      <alignment horizontal="left"/>
    </xf>
    <xf numFmtId="189" fontId="23" fillId="5" borderId="256" xfId="47" applyNumberFormat="1" applyFont="1" applyFill="1" applyBorder="1"/>
    <xf numFmtId="0" fontId="2" fillId="5" borderId="123" xfId="47" applyFill="1" applyBorder="1"/>
    <xf numFmtId="189" fontId="2" fillId="5" borderId="123" xfId="47" applyNumberFormat="1" applyFill="1" applyBorder="1"/>
    <xf numFmtId="0" fontId="2" fillId="5" borderId="161" xfId="47" applyFill="1" applyBorder="1"/>
    <xf numFmtId="0" fontId="16" fillId="5" borderId="140" xfId="47" applyFont="1" applyFill="1" applyBorder="1"/>
    <xf numFmtId="0" fontId="95" fillId="5" borderId="0" xfId="47" applyFont="1" applyFill="1"/>
    <xf numFmtId="0" fontId="95" fillId="5" borderId="0" xfId="47" applyFont="1" applyFill="1" applyBorder="1"/>
    <xf numFmtId="0" fontId="114" fillId="5" borderId="0" xfId="47" applyFont="1" applyFill="1" applyBorder="1"/>
    <xf numFmtId="0" fontId="19" fillId="5" borderId="0" xfId="47" applyFont="1" applyFill="1"/>
    <xf numFmtId="0" fontId="19" fillId="5" borderId="0" xfId="47" applyFont="1" applyFill="1" applyBorder="1"/>
    <xf numFmtId="0" fontId="14" fillId="5" borderId="0" xfId="47" applyFont="1" applyFill="1" applyBorder="1"/>
    <xf numFmtId="0" fontId="2" fillId="5" borderId="0" xfId="47" applyFont="1" applyFill="1" applyBorder="1"/>
    <xf numFmtId="200" fontId="37" fillId="5" borderId="7" xfId="18" applyNumberFormat="1" applyFont="1" applyFill="1" applyBorder="1"/>
    <xf numFmtId="200" fontId="37" fillId="5" borderId="0" xfId="18" applyNumberFormat="1" applyFont="1" applyFill="1"/>
    <xf numFmtId="0" fontId="37" fillId="5" borderId="0" xfId="18" applyFont="1" applyFill="1" applyAlignment="1">
      <alignment vertical="center"/>
    </xf>
    <xf numFmtId="0" fontId="23" fillId="5" borderId="0" xfId="18" applyFill="1"/>
    <xf numFmtId="200" fontId="37" fillId="5" borderId="0" xfId="18" applyNumberFormat="1" applyFont="1" applyFill="1" applyBorder="1"/>
    <xf numFmtId="200" fontId="23" fillId="5" borderId="0" xfId="18" applyNumberFormat="1" applyFill="1" applyBorder="1"/>
    <xf numFmtId="200" fontId="23" fillId="5" borderId="0" xfId="18" applyNumberFormat="1" applyFill="1"/>
    <xf numFmtId="0" fontId="29" fillId="12" borderId="8" xfId="18" applyFont="1" applyFill="1" applyBorder="1" applyAlignment="1" applyProtection="1">
      <alignment horizontal="center"/>
    </xf>
    <xf numFmtId="0" fontId="29" fillId="12" borderId="129" xfId="18" applyFont="1" applyFill="1" applyBorder="1" applyAlignment="1" applyProtection="1">
      <alignment horizontal="center"/>
    </xf>
    <xf numFmtId="0" fontId="29" fillId="12" borderId="10" xfId="18" applyFont="1" applyFill="1" applyBorder="1" applyAlignment="1" applyProtection="1">
      <alignment horizontal="center"/>
    </xf>
    <xf numFmtId="0" fontId="29" fillId="12" borderId="35" xfId="18" applyFont="1" applyFill="1" applyBorder="1" applyAlignment="1" applyProtection="1">
      <alignment horizontal="center"/>
    </xf>
    <xf numFmtId="0" fontId="29" fillId="12" borderId="0" xfId="18" applyFont="1" applyFill="1" applyBorder="1" applyAlignment="1" applyProtection="1">
      <alignment horizontal="center"/>
    </xf>
    <xf numFmtId="0" fontId="29" fillId="12" borderId="7" xfId="18" applyFont="1" applyFill="1" applyBorder="1" applyAlignment="1" applyProtection="1">
      <alignment horizontal="center"/>
    </xf>
    <xf numFmtId="0" fontId="24" fillId="12" borderId="6" xfId="18" applyFont="1" applyFill="1" applyBorder="1" applyAlignment="1" applyProtection="1">
      <alignment horizontal="left"/>
    </xf>
    <xf numFmtId="0" fontId="29" fillId="12" borderId="6" xfId="18" applyFont="1" applyFill="1" applyBorder="1" applyAlignment="1" applyProtection="1">
      <alignment horizontal="center"/>
    </xf>
    <xf numFmtId="4" fontId="198" fillId="5" borderId="0" xfId="18" applyNumberFormat="1" applyFont="1" applyFill="1" applyAlignment="1">
      <alignment horizontal="center"/>
    </xf>
    <xf numFmtId="200" fontId="16" fillId="12" borderId="6" xfId="18" applyNumberFormat="1" applyFont="1" applyFill="1" applyBorder="1" applyAlignment="1" applyProtection="1">
      <alignment horizontal="center"/>
    </xf>
    <xf numFmtId="200" fontId="16" fillId="12" borderId="35" xfId="18" applyNumberFormat="1" applyFont="1" applyFill="1" applyBorder="1" applyAlignment="1" applyProtection="1">
      <alignment horizontal="center"/>
    </xf>
    <xf numFmtId="0" fontId="198" fillId="5" borderId="0" xfId="18" applyFont="1" applyFill="1"/>
    <xf numFmtId="4" fontId="145" fillId="5" borderId="0" xfId="18" applyNumberFormat="1" applyFont="1" applyFill="1" applyAlignment="1">
      <alignment horizontal="center"/>
    </xf>
    <xf numFmtId="0" fontId="16" fillId="12" borderId="59" xfId="18" applyFont="1" applyFill="1" applyBorder="1"/>
    <xf numFmtId="200" fontId="16" fillId="12" borderId="11" xfId="18" applyNumberFormat="1" applyFont="1" applyFill="1" applyBorder="1" applyAlignment="1" applyProtection="1">
      <alignment horizontal="center"/>
    </xf>
    <xf numFmtId="200" fontId="16" fillId="12" borderId="103" xfId="18" applyNumberFormat="1" applyFont="1" applyFill="1" applyBorder="1" applyAlignment="1" applyProtection="1">
      <alignment horizontal="center"/>
    </xf>
    <xf numFmtId="0" fontId="16" fillId="12" borderId="49" xfId="18" applyFont="1" applyFill="1" applyBorder="1" applyAlignment="1" applyProtection="1">
      <alignment horizontal="center"/>
    </xf>
    <xf numFmtId="202" fontId="23" fillId="5" borderId="0" xfId="18" applyNumberFormat="1" applyFill="1"/>
    <xf numFmtId="0" fontId="29" fillId="12" borderId="55" xfId="18" applyFont="1" applyFill="1" applyBorder="1" applyAlignment="1" applyProtection="1">
      <alignment horizontal="left"/>
    </xf>
    <xf numFmtId="204" fontId="26" fillId="5" borderId="57" xfId="18" applyNumberFormat="1" applyFont="1" applyFill="1" applyBorder="1" applyAlignment="1">
      <alignment horizontal="center"/>
    </xf>
    <xf numFmtId="204" fontId="26" fillId="5" borderId="35" xfId="18" applyNumberFormat="1" applyFont="1" applyFill="1" applyBorder="1" applyAlignment="1">
      <alignment horizontal="center"/>
    </xf>
    <xf numFmtId="177" fontId="26" fillId="5" borderId="7" xfId="48" applyNumberFormat="1" applyFont="1" applyFill="1" applyBorder="1" applyAlignment="1" applyProtection="1">
      <alignment horizontal="center"/>
    </xf>
    <xf numFmtId="204" fontId="23" fillId="5" borderId="0" xfId="18" applyNumberFormat="1" applyFill="1"/>
    <xf numFmtId="204" fontId="23" fillId="0" borderId="0" xfId="18" applyNumberFormat="1" applyFill="1"/>
    <xf numFmtId="202" fontId="23" fillId="0" borderId="0" xfId="18" applyNumberFormat="1" applyFill="1"/>
    <xf numFmtId="0" fontId="23" fillId="12" borderId="148" xfId="18" applyFont="1" applyFill="1" applyBorder="1" applyAlignment="1" applyProtection="1">
      <alignment horizontal="left"/>
    </xf>
    <xf numFmtId="0" fontId="23" fillId="5" borderId="146" xfId="18" applyFont="1" applyFill="1" applyBorder="1" applyAlignment="1" applyProtection="1">
      <alignment horizontal="left"/>
    </xf>
    <xf numFmtId="200" fontId="23" fillId="5" borderId="103" xfId="18" applyNumberFormat="1" applyFill="1" applyBorder="1"/>
    <xf numFmtId="177" fontId="23" fillId="5" borderId="13" xfId="18" applyNumberFormat="1" applyFont="1" applyFill="1" applyBorder="1" applyAlignment="1" applyProtection="1">
      <alignment horizontal="right"/>
    </xf>
    <xf numFmtId="204" fontId="198" fillId="5" borderId="0" xfId="18" applyNumberFormat="1" applyFont="1" applyFill="1" applyAlignment="1">
      <alignment horizontal="center"/>
    </xf>
    <xf numFmtId="0" fontId="30" fillId="5" borderId="0" xfId="18" applyFont="1" applyFill="1"/>
    <xf numFmtId="200" fontId="26" fillId="5" borderId="7" xfId="18" applyNumberFormat="1" applyFont="1" applyFill="1" applyBorder="1"/>
    <xf numFmtId="200" fontId="26" fillId="5" borderId="0" xfId="18" applyNumberFormat="1" applyFont="1" applyFill="1"/>
    <xf numFmtId="177" fontId="26" fillId="5" borderId="0" xfId="18" applyNumberFormat="1" applyFont="1" applyFill="1" applyBorder="1" applyAlignment="1" applyProtection="1">
      <alignment horizontal="right"/>
    </xf>
    <xf numFmtId="0" fontId="26" fillId="5" borderId="0" xfId="18" applyFont="1" applyFill="1"/>
    <xf numFmtId="200" fontId="26" fillId="5" borderId="0" xfId="18" applyNumberFormat="1" applyFont="1" applyFill="1" applyBorder="1"/>
    <xf numFmtId="0" fontId="30" fillId="5" borderId="0" xfId="18" applyFont="1" applyFill="1" applyAlignment="1">
      <alignment vertical="center"/>
    </xf>
    <xf numFmtId="0" fontId="21" fillId="5" borderId="0" xfId="18" applyFont="1" applyFill="1"/>
    <xf numFmtId="0" fontId="16" fillId="5" borderId="0" xfId="18" applyFont="1" applyFill="1"/>
    <xf numFmtId="0" fontId="23" fillId="5" borderId="0" xfId="18" applyFont="1" applyFill="1"/>
    <xf numFmtId="0" fontId="16" fillId="12" borderId="25" xfId="18" applyFont="1" applyFill="1" applyBorder="1"/>
    <xf numFmtId="17" fontId="29" fillId="12" borderId="60" xfId="18" applyNumberFormat="1" applyFont="1" applyFill="1" applyBorder="1" applyAlignment="1">
      <alignment horizontal="center"/>
    </xf>
    <xf numFmtId="17" fontId="29" fillId="12" borderId="27" xfId="18" applyNumberFormat="1" applyFont="1" applyFill="1" applyBorder="1" applyAlignment="1">
      <alignment horizontal="center"/>
    </xf>
    <xf numFmtId="0" fontId="29" fillId="12" borderId="17" xfId="18" applyFont="1" applyFill="1" applyBorder="1" applyAlignment="1">
      <alignment horizontal="center"/>
    </xf>
    <xf numFmtId="0" fontId="16" fillId="12" borderId="30" xfId="18" applyFont="1" applyFill="1" applyBorder="1" applyAlignment="1">
      <alignment horizontal="center"/>
    </xf>
    <xf numFmtId="17" fontId="29" fillId="12" borderId="7" xfId="18" applyNumberFormat="1" applyFont="1" applyFill="1" applyBorder="1" applyAlignment="1">
      <alignment horizontal="center"/>
    </xf>
    <xf numFmtId="0" fontId="29" fillId="12" borderId="19" xfId="18" applyFont="1" applyFill="1" applyBorder="1" applyAlignment="1">
      <alignment horizontal="center"/>
    </xf>
    <xf numFmtId="0" fontId="29" fillId="12" borderId="57" xfId="18" applyFont="1" applyFill="1" applyBorder="1" applyAlignment="1">
      <alignment horizontal="center"/>
    </xf>
    <xf numFmtId="0" fontId="29" fillId="12" borderId="55" xfId="18" applyFont="1" applyFill="1" applyBorder="1" applyAlignment="1">
      <alignment horizontal="center"/>
    </xf>
    <xf numFmtId="0" fontId="16" fillId="5" borderId="0" xfId="18" applyFont="1" applyFill="1" applyBorder="1" applyAlignment="1">
      <alignment horizontal="center"/>
    </xf>
    <xf numFmtId="0" fontId="23" fillId="12" borderId="46" xfId="18" applyFont="1" applyFill="1" applyBorder="1"/>
    <xf numFmtId="0" fontId="29" fillId="12" borderId="61" xfId="18" applyFont="1" applyFill="1" applyBorder="1" applyAlignment="1">
      <alignment horizontal="center"/>
    </xf>
    <xf numFmtId="17" fontId="29" fillId="12" borderId="49" xfId="18" applyNumberFormat="1" applyFont="1" applyFill="1" applyBorder="1" applyAlignment="1">
      <alignment horizontal="center"/>
    </xf>
    <xf numFmtId="0" fontId="29" fillId="12" borderId="24" xfId="18" applyFont="1" applyFill="1" applyBorder="1" applyAlignment="1">
      <alignment horizontal="center"/>
    </xf>
    <xf numFmtId="0" fontId="29" fillId="12" borderId="30" xfId="18" applyFont="1" applyFill="1" applyBorder="1" applyAlignment="1">
      <alignment horizontal="left"/>
    </xf>
    <xf numFmtId="200" fontId="26" fillId="5" borderId="57" xfId="18" applyNumberFormat="1" applyFont="1" applyFill="1" applyBorder="1" applyAlignment="1">
      <alignment horizontal="center"/>
    </xf>
    <xf numFmtId="200" fontId="26" fillId="5" borderId="7" xfId="18" applyNumberFormat="1" applyFont="1" applyFill="1" applyBorder="1" applyAlignment="1">
      <alignment horizontal="center"/>
    </xf>
    <xf numFmtId="205" fontId="26" fillId="5" borderId="19" xfId="48" applyNumberFormat="1" applyFont="1" applyFill="1" applyBorder="1" applyAlignment="1">
      <alignment horizontal="center"/>
    </xf>
    <xf numFmtId="0" fontId="23" fillId="0" borderId="0" xfId="18" applyFill="1"/>
    <xf numFmtId="200" fontId="23" fillId="0" borderId="0" xfId="18" applyNumberFormat="1" applyFill="1"/>
    <xf numFmtId="4" fontId="26" fillId="5" borderId="57" xfId="18" applyNumberFormat="1" applyFont="1" applyFill="1" applyBorder="1" applyAlignment="1">
      <alignment horizontal="center"/>
    </xf>
    <xf numFmtId="4" fontId="26" fillId="5" borderId="7" xfId="18" applyNumberFormat="1" applyFont="1" applyFill="1" applyBorder="1" applyAlignment="1">
      <alignment horizontal="center"/>
    </xf>
    <xf numFmtId="2" fontId="23" fillId="5" borderId="0" xfId="18" applyNumberFormat="1" applyFill="1"/>
    <xf numFmtId="189" fontId="26" fillId="5" borderId="57" xfId="18" applyNumberFormat="1" applyFont="1" applyFill="1" applyBorder="1" applyAlignment="1">
      <alignment horizontal="center"/>
    </xf>
    <xf numFmtId="189" fontId="26" fillId="5" borderId="7" xfId="18" applyNumberFormat="1" applyFont="1" applyFill="1" applyBorder="1" applyAlignment="1">
      <alignment horizontal="center"/>
    </xf>
    <xf numFmtId="0" fontId="177" fillId="5" borderId="0" xfId="18" applyFont="1" applyFill="1"/>
    <xf numFmtId="0" fontId="16" fillId="12" borderId="46" xfId="18" applyFont="1" applyFill="1" applyBorder="1" applyAlignment="1">
      <alignment horizontal="left"/>
    </xf>
    <xf numFmtId="200" fontId="26" fillId="5" borderId="61" xfId="18" applyNumberFormat="1" applyFont="1" applyFill="1" applyBorder="1" applyAlignment="1">
      <alignment horizontal="right"/>
    </xf>
    <xf numFmtId="200" fontId="26" fillId="5" borderId="49" xfId="18" applyNumberFormat="1" applyFont="1" applyFill="1" applyBorder="1" applyAlignment="1">
      <alignment horizontal="right"/>
    </xf>
    <xf numFmtId="170" fontId="26" fillId="5" borderId="24" xfId="18" applyNumberFormat="1" applyFont="1" applyFill="1" applyBorder="1" applyAlignment="1">
      <alignment horizontal="center"/>
    </xf>
    <xf numFmtId="200" fontId="29" fillId="5" borderId="0" xfId="18" applyNumberFormat="1" applyFont="1" applyFill="1" applyBorder="1" applyAlignment="1">
      <alignment horizontal="right"/>
    </xf>
    <xf numFmtId="2" fontId="29" fillId="5" borderId="0" xfId="18" applyNumberFormat="1" applyFont="1" applyFill="1" applyBorder="1"/>
    <xf numFmtId="0" fontId="199" fillId="5" borderId="0" xfId="18" applyFont="1" applyFill="1"/>
    <xf numFmtId="0" fontId="23" fillId="12" borderId="25" xfId="18" applyFont="1" applyFill="1" applyBorder="1"/>
    <xf numFmtId="17" fontId="29" fillId="12" borderId="28" xfId="18" applyNumberFormat="1" applyFont="1" applyFill="1" applyBorder="1" applyAlignment="1">
      <alignment horizontal="center"/>
    </xf>
    <xf numFmtId="17" fontId="29" fillId="12" borderId="54" xfId="18" applyNumberFormat="1" applyFont="1" applyFill="1" applyBorder="1" applyAlignment="1">
      <alignment horizontal="center"/>
    </xf>
    <xf numFmtId="0" fontId="23" fillId="12" borderId="30" xfId="18" applyFont="1" applyFill="1" applyBorder="1"/>
    <xf numFmtId="0" fontId="29" fillId="12" borderId="35" xfId="18" applyFont="1" applyFill="1" applyBorder="1" applyAlignment="1">
      <alignment horizontal="center"/>
    </xf>
    <xf numFmtId="0" fontId="29" fillId="12" borderId="51" xfId="18" applyFont="1" applyFill="1" applyBorder="1" applyAlignment="1">
      <alignment horizontal="center"/>
    </xf>
    <xf numFmtId="0" fontId="29" fillId="12" borderId="58" xfId="18" applyFont="1" applyFill="1" applyBorder="1" applyAlignment="1">
      <alignment horizontal="center"/>
    </xf>
    <xf numFmtId="0" fontId="29" fillId="12" borderId="30" xfId="18" applyFont="1" applyFill="1" applyBorder="1"/>
    <xf numFmtId="0" fontId="26" fillId="5" borderId="18" xfId="18" applyFont="1" applyFill="1" applyBorder="1" applyAlignment="1">
      <alignment horizontal="center"/>
    </xf>
    <xf numFmtId="0" fontId="26" fillId="5" borderId="35" xfId="18" applyFont="1" applyFill="1" applyBorder="1" applyAlignment="1">
      <alignment horizontal="center"/>
    </xf>
    <xf numFmtId="0" fontId="26" fillId="5" borderId="55" xfId="18" applyFont="1" applyFill="1" applyBorder="1" applyAlignment="1">
      <alignment horizontal="center"/>
    </xf>
    <xf numFmtId="0" fontId="26" fillId="5" borderId="7" xfId="18" applyFont="1" applyFill="1" applyBorder="1" applyAlignment="1">
      <alignment horizontal="center"/>
    </xf>
    <xf numFmtId="0" fontId="26" fillId="5" borderId="6" xfId="18" applyFont="1" applyFill="1" applyBorder="1" applyAlignment="1">
      <alignment horizontal="center"/>
    </xf>
    <xf numFmtId="0" fontId="16" fillId="12" borderId="46" xfId="18" applyFont="1" applyFill="1" applyBorder="1"/>
    <xf numFmtId="0" fontId="26" fillId="5" borderId="61" xfId="18" applyFont="1" applyFill="1" applyBorder="1" applyAlignment="1">
      <alignment horizontal="right"/>
    </xf>
    <xf numFmtId="0" fontId="26" fillId="5" borderId="51" xfId="18" applyFont="1" applyFill="1" applyBorder="1" applyAlignment="1">
      <alignment horizontal="right"/>
    </xf>
    <xf numFmtId="0" fontId="26" fillId="5" borderId="58" xfId="18" applyFont="1" applyFill="1" applyBorder="1" applyAlignment="1">
      <alignment horizontal="right"/>
    </xf>
    <xf numFmtId="0" fontId="48" fillId="5" borderId="0" xfId="18" applyFont="1" applyFill="1"/>
    <xf numFmtId="0" fontId="15" fillId="5" borderId="0" xfId="18" applyFont="1" applyFill="1"/>
    <xf numFmtId="0" fontId="35" fillId="5" borderId="0" xfId="18" applyFont="1" applyFill="1"/>
    <xf numFmtId="0" fontId="23" fillId="5" borderId="0" xfId="18" applyFont="1" applyFill="1" applyBorder="1" applyAlignment="1">
      <alignment horizontal="center"/>
    </xf>
    <xf numFmtId="0" fontId="23" fillId="5" borderId="0" xfId="18" applyFill="1" applyBorder="1"/>
    <xf numFmtId="0" fontId="26" fillId="5" borderId="0" xfId="48" applyFont="1" applyFill="1" applyBorder="1"/>
    <xf numFmtId="0" fontId="18" fillId="5" borderId="0" xfId="48" applyFont="1" applyFill="1" applyBorder="1" applyAlignment="1">
      <alignment horizontal="left"/>
    </xf>
    <xf numFmtId="0" fontId="21" fillId="5" borderId="0" xfId="48" applyFont="1" applyFill="1" applyBorder="1" applyAlignment="1">
      <alignment horizontal="centerContinuous"/>
    </xf>
    <xf numFmtId="0" fontId="200" fillId="5" borderId="0" xfId="48" applyFont="1" applyFill="1" applyBorder="1"/>
    <xf numFmtId="0" fontId="58" fillId="5" borderId="0" xfId="48" applyFont="1" applyFill="1" applyBorder="1"/>
    <xf numFmtId="0" fontId="29" fillId="4" borderId="8" xfId="48" applyFont="1" applyFill="1" applyBorder="1" applyAlignment="1">
      <alignment horizontal="center"/>
    </xf>
    <xf numFmtId="0" fontId="29" fillId="4" borderId="42" xfId="48" applyFont="1" applyFill="1" applyBorder="1" applyAlignment="1">
      <alignment horizontal="center"/>
    </xf>
    <xf numFmtId="0" fontId="37" fillId="4" borderId="98" xfId="48" applyFont="1" applyFill="1" applyBorder="1" applyAlignment="1">
      <alignment horizontal="center"/>
    </xf>
    <xf numFmtId="0" fontId="37" fillId="4" borderId="261" xfId="48" applyFont="1" applyFill="1" applyBorder="1" applyAlignment="1">
      <alignment horizontal="center"/>
    </xf>
    <xf numFmtId="0" fontId="37" fillId="4" borderId="179" xfId="48" applyFont="1" applyFill="1" applyBorder="1" applyAlignment="1">
      <alignment horizontal="center"/>
    </xf>
    <xf numFmtId="0" fontId="37" fillId="4" borderId="171" xfId="48" applyFont="1" applyFill="1" applyBorder="1" applyAlignment="1">
      <alignment horizontal="center"/>
    </xf>
    <xf numFmtId="0" fontId="37" fillId="4" borderId="6" xfId="48" applyFont="1" applyFill="1" applyBorder="1"/>
    <xf numFmtId="0" fontId="14" fillId="5" borderId="4" xfId="48" applyFont="1" applyFill="1" applyBorder="1" applyAlignment="1">
      <alignment horizontal="right"/>
    </xf>
    <xf numFmtId="0" fontId="14" fillId="5" borderId="139" xfId="48" applyFont="1" applyFill="1" applyBorder="1" applyAlignment="1">
      <alignment horizontal="right"/>
    </xf>
    <xf numFmtId="0" fontId="14" fillId="5" borderId="262" xfId="48" applyFont="1" applyFill="1" applyBorder="1" applyAlignment="1">
      <alignment horizontal="right"/>
    </xf>
    <xf numFmtId="0" fontId="14" fillId="5" borderId="37" xfId="48" applyFont="1" applyFill="1" applyBorder="1" applyAlignment="1">
      <alignment horizontal="right"/>
    </xf>
    <xf numFmtId="0" fontId="14" fillId="5" borderId="7" xfId="48" applyFont="1" applyFill="1" applyBorder="1" applyAlignment="1">
      <alignment horizontal="right"/>
    </xf>
    <xf numFmtId="0" fontId="37" fillId="4" borderId="263" xfId="48" applyFont="1" applyFill="1" applyBorder="1"/>
    <xf numFmtId="0" fontId="14" fillId="5" borderId="264" xfId="48" applyFont="1" applyFill="1" applyBorder="1" applyAlignment="1">
      <alignment horizontal="right"/>
    </xf>
    <xf numFmtId="0" fontId="14" fillId="5" borderId="265" xfId="48" applyFont="1" applyFill="1" applyBorder="1" applyAlignment="1">
      <alignment horizontal="right"/>
    </xf>
    <xf numFmtId="0" fontId="14" fillId="5" borderId="266" xfId="48" applyFont="1" applyFill="1" applyBorder="1" applyAlignment="1">
      <alignment horizontal="right"/>
    </xf>
    <xf numFmtId="0" fontId="14" fillId="5" borderId="267" xfId="48" applyFont="1" applyFill="1" applyBorder="1" applyAlignment="1">
      <alignment horizontal="right"/>
    </xf>
    <xf numFmtId="0" fontId="14" fillId="5" borderId="268" xfId="48" applyFont="1" applyFill="1" applyBorder="1" applyAlignment="1">
      <alignment horizontal="right"/>
    </xf>
    <xf numFmtId="0" fontId="37" fillId="4" borderId="11" xfId="48" applyFont="1" applyFill="1" applyBorder="1"/>
    <xf numFmtId="0" fontId="14" fillId="5" borderId="105" xfId="48" applyFont="1" applyFill="1" applyBorder="1" applyAlignment="1">
      <alignment horizontal="right"/>
    </xf>
    <xf numFmtId="189" fontId="14" fillId="5" borderId="269" xfId="48" applyNumberFormat="1" applyFont="1" applyFill="1" applyBorder="1"/>
    <xf numFmtId="0" fontId="14" fillId="5" borderId="104" xfId="48" applyFont="1" applyFill="1" applyBorder="1" applyAlignment="1">
      <alignment horizontal="right"/>
    </xf>
    <xf numFmtId="0" fontId="14" fillId="5" borderId="13" xfId="48" applyFont="1" applyFill="1" applyBorder="1" applyAlignment="1">
      <alignment horizontal="right"/>
    </xf>
    <xf numFmtId="0" fontId="48" fillId="5" borderId="0" xfId="48" applyFont="1" applyFill="1" applyBorder="1"/>
    <xf numFmtId="0" fontId="30" fillId="5" borderId="0" xfId="48" applyFont="1" applyFill="1" applyAlignment="1">
      <alignment vertical="center"/>
    </xf>
    <xf numFmtId="0" fontId="18" fillId="5" borderId="0" xfId="48" applyFont="1" applyFill="1" applyBorder="1"/>
    <xf numFmtId="0" fontId="29" fillId="4" borderId="33" xfId="48" applyFont="1" applyFill="1" applyBorder="1" applyAlignment="1">
      <alignment horizontal="center"/>
    </xf>
    <xf numFmtId="0" fontId="14" fillId="5" borderId="0" xfId="48" applyFont="1" applyFill="1" applyBorder="1"/>
    <xf numFmtId="0" fontId="29" fillId="5" borderId="0" xfId="48" applyFont="1" applyFill="1" applyBorder="1" applyAlignment="1">
      <alignment horizontal="center"/>
    </xf>
    <xf numFmtId="0" fontId="37" fillId="4" borderId="42" xfId="48" applyFont="1" applyFill="1" applyBorder="1" applyAlignment="1">
      <alignment horizontal="center"/>
    </xf>
    <xf numFmtId="0" fontId="37" fillId="4" borderId="178" xfId="48" applyFont="1" applyFill="1" applyBorder="1" applyAlignment="1">
      <alignment horizontal="center"/>
    </xf>
    <xf numFmtId="0" fontId="37" fillId="4" borderId="271" xfId="48" applyFont="1" applyFill="1" applyBorder="1" applyAlignment="1">
      <alignment horizontal="center"/>
    </xf>
    <xf numFmtId="0" fontId="37" fillId="4" borderId="272" xfId="48" applyFont="1" applyFill="1" applyBorder="1" applyAlignment="1">
      <alignment horizontal="center"/>
    </xf>
    <xf numFmtId="0" fontId="45" fillId="5" borderId="0" xfId="48" applyFont="1" applyFill="1" applyBorder="1" applyAlignment="1">
      <alignment horizontal="left" wrapText="1" readingOrder="1"/>
    </xf>
    <xf numFmtId="206" fontId="37" fillId="4" borderId="38" xfId="48" applyNumberFormat="1" applyFont="1" applyFill="1" applyBorder="1" applyAlignment="1">
      <alignment horizontal="left"/>
    </xf>
    <xf numFmtId="172" fontId="14" fillId="5" borderId="4" xfId="48" applyNumberFormat="1" applyFont="1" applyFill="1" applyBorder="1"/>
    <xf numFmtId="172" fontId="14" fillId="5" borderId="139" xfId="48" applyNumberFormat="1" applyFont="1" applyFill="1" applyBorder="1"/>
    <xf numFmtId="172" fontId="14" fillId="5" borderId="252" xfId="48" applyNumberFormat="1" applyFont="1" applyFill="1" applyBorder="1"/>
    <xf numFmtId="172" fontId="14" fillId="5" borderId="37" xfId="48" applyNumberFormat="1" applyFont="1" applyFill="1" applyBorder="1"/>
    <xf numFmtId="172" fontId="14" fillId="5" borderId="36" xfId="48" applyNumberFormat="1" applyFont="1" applyFill="1" applyBorder="1"/>
    <xf numFmtId="206" fontId="37" fillId="4" borderId="273" xfId="48" applyNumberFormat="1" applyFont="1" applyFill="1" applyBorder="1" applyAlignment="1">
      <alignment horizontal="left"/>
    </xf>
    <xf numFmtId="172" fontId="14" fillId="5" borderId="264" xfId="48" applyNumberFormat="1" applyFont="1" applyFill="1" applyBorder="1"/>
    <xf numFmtId="172" fontId="14" fillId="5" borderId="265" xfId="48" applyNumberFormat="1" applyFont="1" applyFill="1" applyBorder="1"/>
    <xf numFmtId="172" fontId="14" fillId="5" borderId="266" xfId="48" applyNumberFormat="1" applyFont="1" applyFill="1" applyBorder="1"/>
    <xf numFmtId="172" fontId="14" fillId="5" borderId="267" xfId="48" applyNumberFormat="1" applyFont="1" applyFill="1" applyBorder="1"/>
    <xf numFmtId="172" fontId="14" fillId="5" borderId="274" xfId="48" applyNumberFormat="1" applyFont="1" applyFill="1" applyBorder="1"/>
    <xf numFmtId="189" fontId="14" fillId="5" borderId="266" xfId="48" applyNumberFormat="1" applyFont="1" applyFill="1" applyBorder="1"/>
    <xf numFmtId="206" fontId="37" fillId="4" borderId="160" xfId="48" applyNumberFormat="1" applyFont="1" applyFill="1" applyBorder="1" applyAlignment="1">
      <alignment horizontal="left"/>
    </xf>
    <xf numFmtId="172" fontId="14" fillId="5" borderId="105" xfId="48" applyNumberFormat="1" applyFont="1" applyFill="1" applyBorder="1"/>
    <xf numFmtId="172" fontId="14" fillId="5" borderId="140" xfId="48" applyNumberFormat="1" applyFont="1" applyFill="1" applyBorder="1"/>
    <xf numFmtId="189" fontId="14" fillId="5" borderId="275" xfId="48" applyNumberFormat="1" applyFont="1" applyFill="1" applyBorder="1"/>
    <xf numFmtId="172" fontId="14" fillId="5" borderId="104" xfId="48" applyNumberFormat="1" applyFont="1" applyFill="1" applyBorder="1"/>
    <xf numFmtId="172" fontId="14" fillId="5" borderId="106" xfId="48" applyNumberFormat="1" applyFont="1" applyFill="1" applyBorder="1"/>
    <xf numFmtId="206" fontId="45" fillId="5" borderId="0" xfId="48" applyNumberFormat="1" applyFont="1" applyFill="1" applyBorder="1" applyAlignment="1">
      <alignment horizontal="left"/>
    </xf>
    <xf numFmtId="187" fontId="14" fillId="5" borderId="0" xfId="48" applyNumberFormat="1" applyFont="1" applyFill="1" applyBorder="1"/>
    <xf numFmtId="0" fontId="45" fillId="5" borderId="0" xfId="48" applyFont="1" applyFill="1" applyAlignment="1">
      <alignment vertical="center"/>
    </xf>
    <xf numFmtId="0" fontId="18" fillId="0" borderId="0" xfId="41" applyFont="1" applyFill="1" applyAlignment="1">
      <alignment vertical="center"/>
    </xf>
    <xf numFmtId="0" fontId="14" fillId="5" borderId="0" xfId="41" applyFont="1" applyFill="1" applyAlignment="1">
      <alignment vertical="center"/>
    </xf>
    <xf numFmtId="0" fontId="14" fillId="5" borderId="0" xfId="49" applyFont="1" applyFill="1" applyAlignment="1">
      <alignment vertical="center"/>
    </xf>
    <xf numFmtId="166" fontId="103" fillId="5" borderId="0" xfId="50" applyNumberFormat="1" applyFont="1" applyFill="1" applyAlignment="1">
      <alignment vertical="center"/>
    </xf>
    <xf numFmtId="0" fontId="103" fillId="5" borderId="0" xfId="49" applyFont="1" applyFill="1" applyAlignment="1">
      <alignment vertical="center"/>
    </xf>
    <xf numFmtId="0" fontId="37" fillId="4" borderId="99" xfId="41" applyFont="1" applyFill="1" applyBorder="1" applyAlignment="1">
      <alignment horizontal="center" vertical="center"/>
    </xf>
    <xf numFmtId="0" fontId="39" fillId="4" borderId="125" xfId="41" applyFont="1" applyFill="1" applyBorder="1" applyAlignment="1">
      <alignment horizontal="center" vertical="center"/>
    </xf>
    <xf numFmtId="0" fontId="39" fillId="4" borderId="101" xfId="41" applyFont="1" applyFill="1" applyBorder="1" applyAlignment="1">
      <alignment horizontal="center" vertical="center"/>
    </xf>
    <xf numFmtId="0" fontId="39" fillId="4" borderId="276" xfId="41" applyFont="1" applyFill="1" applyBorder="1" applyAlignment="1">
      <alignment horizontal="center" vertical="center"/>
    </xf>
    <xf numFmtId="0" fontId="39" fillId="4" borderId="102" xfId="41" applyFont="1" applyFill="1" applyBorder="1" applyAlignment="1">
      <alignment horizontal="center" vertical="center"/>
    </xf>
    <xf numFmtId="0" fontId="39" fillId="4" borderId="6" xfId="41" applyFont="1" applyFill="1" applyBorder="1" applyAlignment="1">
      <alignment horizontal="left" vertical="center"/>
    </xf>
    <xf numFmtId="0" fontId="14" fillId="5" borderId="33" xfId="41" applyFont="1" applyFill="1" applyBorder="1" applyAlignment="1">
      <alignment horizontal="left" vertical="center"/>
    </xf>
    <xf numFmtId="0" fontId="14" fillId="5" borderId="32" xfId="41" applyFont="1" applyFill="1" applyBorder="1" applyAlignment="1">
      <alignment horizontal="left" vertical="center"/>
    </xf>
    <xf numFmtId="3" fontId="14" fillId="5" borderId="32" xfId="51" applyNumberFormat="1" applyFont="1" applyFill="1" applyBorder="1" applyAlignment="1">
      <alignment horizontal="right" vertical="center"/>
    </xf>
    <xf numFmtId="3" fontId="14" fillId="5" borderId="240" xfId="51" applyNumberFormat="1" applyFont="1" applyFill="1" applyBorder="1" applyAlignment="1">
      <alignment horizontal="right" vertical="center"/>
    </xf>
    <xf numFmtId="3" fontId="14" fillId="5" borderId="4" xfId="51" applyNumberFormat="1" applyFont="1" applyFill="1" applyBorder="1" applyAlignment="1">
      <alignment horizontal="right" vertical="center"/>
    </xf>
    <xf numFmtId="3" fontId="14" fillId="5" borderId="32" xfId="49" applyNumberFormat="1" applyFont="1" applyFill="1" applyBorder="1" applyAlignment="1">
      <alignment horizontal="right" vertical="center"/>
    </xf>
    <xf numFmtId="3" fontId="14" fillId="5" borderId="240" xfId="49" applyNumberFormat="1" applyFont="1" applyFill="1" applyBorder="1" applyAlignment="1">
      <alignment horizontal="right" vertical="center"/>
    </xf>
    <xf numFmtId="3" fontId="14" fillId="5" borderId="34" xfId="49" applyNumberFormat="1" applyFont="1" applyFill="1" applyBorder="1" applyAlignment="1">
      <alignment horizontal="right" vertical="center"/>
    </xf>
    <xf numFmtId="0" fontId="14" fillId="5" borderId="38" xfId="41" applyFont="1" applyFill="1" applyBorder="1" applyAlignment="1">
      <alignment horizontal="left" vertical="center"/>
    </xf>
    <xf numFmtId="0" fontId="14" fillId="5" borderId="4" xfId="41" applyFont="1" applyFill="1" applyBorder="1" applyAlignment="1">
      <alignment horizontal="left" vertical="center"/>
    </xf>
    <xf numFmtId="3" fontId="14" fillId="5" borderId="0" xfId="51" applyNumberFormat="1" applyFont="1" applyFill="1" applyBorder="1" applyAlignment="1">
      <alignment horizontal="right" vertical="center"/>
    </xf>
    <xf numFmtId="3" fontId="14" fillId="5" borderId="4" xfId="49" applyNumberFormat="1" applyFont="1" applyFill="1" applyBorder="1" applyAlignment="1">
      <alignment horizontal="right" vertical="center"/>
    </xf>
    <xf numFmtId="3" fontId="14" fillId="5" borderId="4" xfId="49" quotePrefix="1" applyNumberFormat="1" applyFont="1" applyFill="1" applyBorder="1" applyAlignment="1">
      <alignment horizontal="right" vertical="center"/>
    </xf>
    <xf numFmtId="3" fontId="14" fillId="5" borderId="139" xfId="49" quotePrefix="1" applyNumberFormat="1" applyFont="1" applyFill="1" applyBorder="1" applyAlignment="1">
      <alignment horizontal="right" vertical="center"/>
    </xf>
    <xf numFmtId="3" fontId="14" fillId="0" borderId="139" xfId="49" quotePrefix="1" applyNumberFormat="1" applyFont="1" applyFill="1" applyBorder="1" applyAlignment="1">
      <alignment horizontal="right" vertical="center"/>
    </xf>
    <xf numFmtId="3" fontId="14" fillId="5" borderId="36" xfId="49" quotePrefix="1" applyNumberFormat="1" applyFont="1" applyFill="1" applyBorder="1" applyAlignment="1">
      <alignment horizontal="right" vertical="center"/>
    </xf>
    <xf numFmtId="3" fontId="14" fillId="5" borderId="4" xfId="51" quotePrefix="1" applyNumberFormat="1" applyFont="1" applyFill="1" applyBorder="1" applyAlignment="1">
      <alignment horizontal="right" vertical="center"/>
    </xf>
    <xf numFmtId="3" fontId="14" fillId="5" borderId="139" xfId="51" quotePrefix="1" applyNumberFormat="1" applyFont="1" applyFill="1" applyBorder="1" applyAlignment="1">
      <alignment horizontal="right" vertical="center"/>
    </xf>
    <xf numFmtId="3" fontId="14" fillId="0" borderId="139" xfId="51" quotePrefix="1" applyNumberFormat="1" applyFont="1" applyFill="1" applyBorder="1" applyAlignment="1">
      <alignment horizontal="right" vertical="center"/>
    </xf>
    <xf numFmtId="0" fontId="14" fillId="0" borderId="38" xfId="41" applyFont="1" applyFill="1" applyBorder="1" applyAlignment="1">
      <alignment horizontal="left" vertical="center"/>
    </xf>
    <xf numFmtId="0" fontId="14" fillId="0" borderId="4" xfId="41" applyFont="1" applyFill="1" applyBorder="1" applyAlignment="1">
      <alignment horizontal="left" vertical="center"/>
    </xf>
    <xf numFmtId="170" fontId="14" fillId="0" borderId="4" xfId="51" applyNumberFormat="1" applyFont="1" applyFill="1" applyBorder="1" applyAlignment="1">
      <alignment horizontal="right" vertical="center"/>
    </xf>
    <xf numFmtId="170" fontId="14" fillId="0" borderId="0" xfId="51" applyNumberFormat="1" applyFont="1" applyFill="1" applyBorder="1" applyAlignment="1">
      <alignment horizontal="right" vertical="center"/>
    </xf>
    <xf numFmtId="170" fontId="14" fillId="0" borderId="139" xfId="51" applyNumberFormat="1" applyFont="1" applyFill="1" applyBorder="1" applyAlignment="1">
      <alignment horizontal="right" vertical="center"/>
    </xf>
    <xf numFmtId="207" fontId="14" fillId="5" borderId="139" xfId="52" quotePrefix="1" applyNumberFormat="1" applyFont="1" applyFill="1" applyBorder="1" applyAlignment="1">
      <alignment horizontal="right" vertical="center" wrapText="1"/>
    </xf>
    <xf numFmtId="207" fontId="14" fillId="5" borderId="139" xfId="52" applyNumberFormat="1" applyFont="1" applyFill="1" applyBorder="1" applyAlignment="1">
      <alignment horizontal="right" vertical="center" wrapText="1"/>
    </xf>
    <xf numFmtId="3" fontId="14" fillId="0" borderId="4" xfId="51" applyNumberFormat="1" applyFont="1" applyFill="1" applyBorder="1" applyAlignment="1">
      <alignment horizontal="right" vertical="center"/>
    </xf>
    <xf numFmtId="3" fontId="14" fillId="0" borderId="0" xfId="51" applyNumberFormat="1" applyFont="1" applyFill="1" applyBorder="1" applyAlignment="1">
      <alignment horizontal="right" vertical="center"/>
    </xf>
    <xf numFmtId="3" fontId="14" fillId="0" borderId="4" xfId="51" quotePrefix="1" applyNumberFormat="1" applyFont="1" applyFill="1" applyBorder="1" applyAlignment="1">
      <alignment horizontal="right" vertical="center"/>
    </xf>
    <xf numFmtId="3" fontId="14" fillId="0" borderId="139" xfId="51" applyNumberFormat="1" applyFont="1" applyFill="1" applyBorder="1" applyAlignment="1">
      <alignment horizontal="right" vertical="center"/>
    </xf>
    <xf numFmtId="3" fontId="14" fillId="5" borderId="36" xfId="51" quotePrefix="1" applyNumberFormat="1" applyFont="1" applyFill="1" applyBorder="1" applyAlignment="1">
      <alignment horizontal="right" vertical="center"/>
    </xf>
    <xf numFmtId="3" fontId="14" fillId="0" borderId="4" xfId="53" quotePrefix="1" applyNumberFormat="1" applyFont="1" applyFill="1" applyBorder="1" applyAlignment="1">
      <alignment horizontal="right" vertical="center"/>
    </xf>
    <xf numFmtId="208" fontId="14" fillId="5" borderId="4" xfId="51" applyNumberFormat="1" applyFont="1" applyFill="1" applyBorder="1" applyAlignment="1">
      <alignment vertical="center"/>
    </xf>
    <xf numFmtId="208" fontId="14" fillId="5" borderId="0" xfId="51" applyNumberFormat="1" applyFont="1" applyFill="1" applyBorder="1" applyAlignment="1">
      <alignment vertical="center"/>
    </xf>
    <xf numFmtId="170" fontId="14" fillId="5" borderId="4" xfId="51" applyNumberFormat="1" applyFont="1" applyFill="1" applyBorder="1" applyAlignment="1">
      <alignment horizontal="right" vertical="center"/>
    </xf>
    <xf numFmtId="170" fontId="14" fillId="5" borderId="139" xfId="51" applyNumberFormat="1" applyFont="1" applyFill="1" applyBorder="1" applyAlignment="1">
      <alignment horizontal="right" vertical="center"/>
    </xf>
    <xf numFmtId="207" fontId="14" fillId="0" borderId="36" xfId="52" applyNumberFormat="1" applyFont="1" applyFill="1" applyBorder="1" applyAlignment="1">
      <alignment horizontal="right" vertical="center" wrapText="1"/>
    </xf>
    <xf numFmtId="208" fontId="14" fillId="5" borderId="139" xfId="52" applyNumberFormat="1" applyFont="1" applyFill="1" applyBorder="1" applyAlignment="1">
      <alignment horizontal="right" vertical="center" wrapText="1"/>
    </xf>
    <xf numFmtId="208" fontId="14" fillId="5" borderId="36" xfId="52" applyNumberFormat="1" applyFont="1" applyFill="1" applyBorder="1" applyAlignment="1">
      <alignment horizontal="right" vertical="center" wrapText="1"/>
    </xf>
    <xf numFmtId="1" fontId="14" fillId="5" borderId="4" xfId="41" quotePrefix="1" applyNumberFormat="1" applyFont="1" applyFill="1" applyBorder="1" applyAlignment="1">
      <alignment horizontal="right" vertical="center"/>
    </xf>
    <xf numFmtId="1" fontId="14" fillId="5" borderId="139" xfId="41" quotePrefix="1" applyNumberFormat="1" applyFont="1" applyFill="1" applyBorder="1" applyAlignment="1">
      <alignment horizontal="right" vertical="center"/>
    </xf>
    <xf numFmtId="3" fontId="14" fillId="5" borderId="4" xfId="53" quotePrefix="1" applyNumberFormat="1" applyFont="1" applyFill="1" applyBorder="1" applyAlignment="1">
      <alignment horizontal="right" vertical="center"/>
    </xf>
    <xf numFmtId="3" fontId="14" fillId="5" borderId="139" xfId="53" quotePrefix="1" applyNumberFormat="1" applyFont="1" applyFill="1" applyBorder="1" applyAlignment="1">
      <alignment horizontal="right" vertical="center"/>
    </xf>
    <xf numFmtId="3" fontId="14" fillId="5" borderId="36" xfId="53" quotePrefix="1" applyNumberFormat="1" applyFont="1" applyFill="1" applyBorder="1" applyAlignment="1">
      <alignment horizontal="right" vertical="center"/>
    </xf>
    <xf numFmtId="3" fontId="14" fillId="5" borderId="4" xfId="41" quotePrefix="1" applyNumberFormat="1" applyFont="1" applyFill="1" applyBorder="1" applyAlignment="1">
      <alignment horizontal="right" vertical="center"/>
    </xf>
    <xf numFmtId="3" fontId="14" fillId="5" borderId="139" xfId="41" quotePrefix="1" applyNumberFormat="1" applyFont="1" applyFill="1" applyBorder="1" applyAlignment="1">
      <alignment horizontal="right" vertical="center"/>
    </xf>
    <xf numFmtId="209" fontId="14" fillId="5" borderId="4" xfId="41" applyNumberFormat="1" applyFont="1" applyFill="1" applyBorder="1" applyAlignment="1">
      <alignment horizontal="right" vertical="center"/>
    </xf>
    <xf numFmtId="209" fontId="14" fillId="5" borderId="4" xfId="41" quotePrefix="1" applyNumberFormat="1" applyFont="1" applyFill="1" applyBorder="1" applyAlignment="1">
      <alignment horizontal="right" vertical="center"/>
    </xf>
    <xf numFmtId="209" fontId="14" fillId="5" borderId="139" xfId="41" quotePrefix="1" applyNumberFormat="1" applyFont="1" applyFill="1" applyBorder="1" applyAlignment="1">
      <alignment horizontal="right" vertical="center"/>
    </xf>
    <xf numFmtId="0" fontId="39" fillId="4" borderId="35" xfId="41" applyFont="1" applyFill="1" applyBorder="1" applyAlignment="1">
      <alignment horizontal="left" vertical="center"/>
    </xf>
    <xf numFmtId="3" fontId="14" fillId="5" borderId="139" xfId="51" applyNumberFormat="1" applyFont="1" applyFill="1" applyBorder="1" applyAlignment="1">
      <alignment horizontal="right" vertical="center"/>
    </xf>
    <xf numFmtId="209" fontId="14" fillId="5" borderId="36" xfId="41" quotePrefix="1" applyNumberFormat="1" applyFont="1" applyFill="1" applyBorder="1" applyAlignment="1">
      <alignment horizontal="right" vertical="center"/>
    </xf>
    <xf numFmtId="0" fontId="14" fillId="5" borderId="38" xfId="41" applyFont="1" applyFill="1" applyBorder="1" applyAlignment="1">
      <alignment horizontal="left"/>
    </xf>
    <xf numFmtId="166" fontId="14" fillId="5" borderId="4" xfId="50" quotePrefix="1" applyNumberFormat="1" applyFont="1" applyFill="1" applyBorder="1" applyAlignment="1">
      <alignment horizontal="right" vertical="center"/>
    </xf>
    <xf numFmtId="166" fontId="14" fillId="5" borderId="139" xfId="50" applyNumberFormat="1" applyFont="1" applyFill="1" applyBorder="1" applyAlignment="1">
      <alignment horizontal="right" vertical="center"/>
    </xf>
    <xf numFmtId="166" fontId="14" fillId="5" borderId="4" xfId="50" applyNumberFormat="1" applyFont="1" applyFill="1" applyBorder="1" applyAlignment="1">
      <alignment horizontal="right" vertical="center"/>
    </xf>
    <xf numFmtId="166" fontId="14" fillId="5" borderId="139" xfId="50" quotePrefix="1" applyNumberFormat="1" applyFont="1" applyFill="1" applyBorder="1" applyAlignment="1">
      <alignment horizontal="right" vertical="center"/>
    </xf>
    <xf numFmtId="3" fontId="58" fillId="5" borderId="36" xfId="49" quotePrefix="1" applyNumberFormat="1" applyFont="1" applyFill="1" applyBorder="1" applyAlignment="1">
      <alignment horizontal="right" vertical="center"/>
    </xf>
    <xf numFmtId="166" fontId="14" fillId="5" borderId="0" xfId="50" applyNumberFormat="1" applyFont="1" applyFill="1" applyAlignment="1">
      <alignment vertical="center"/>
    </xf>
    <xf numFmtId="3" fontId="14" fillId="0" borderId="4" xfId="49" applyNumberFormat="1" applyFont="1" applyFill="1" applyBorder="1" applyAlignment="1">
      <alignment horizontal="right" vertical="center"/>
    </xf>
    <xf numFmtId="3" fontId="14" fillId="0" borderId="4" xfId="49" quotePrefix="1" applyNumberFormat="1" applyFont="1" applyFill="1" applyBorder="1" applyAlignment="1">
      <alignment horizontal="right" vertical="center"/>
    </xf>
    <xf numFmtId="170" fontId="14" fillId="0" borderId="139" xfId="51" quotePrefix="1" applyNumberFormat="1" applyFont="1" applyFill="1" applyBorder="1" applyAlignment="1">
      <alignment horizontal="right" vertical="center"/>
    </xf>
    <xf numFmtId="170" fontId="14" fillId="0" borderId="4" xfId="51" quotePrefix="1" applyNumberFormat="1" applyFont="1" applyFill="1" applyBorder="1" applyAlignment="1">
      <alignment horizontal="right" vertical="center"/>
    </xf>
    <xf numFmtId="3" fontId="14" fillId="0" borderId="36" xfId="49" quotePrefix="1" applyNumberFormat="1" applyFont="1" applyFill="1" applyBorder="1" applyAlignment="1">
      <alignment horizontal="right" vertical="center"/>
    </xf>
    <xf numFmtId="208" fontId="14" fillId="0" borderId="36" xfId="52" applyNumberFormat="1" applyFont="1" applyFill="1" applyBorder="1" applyAlignment="1">
      <alignment horizontal="right" vertical="center" wrapText="1"/>
    </xf>
    <xf numFmtId="174" fontId="14" fillId="5" borderId="139" xfId="50" applyNumberFormat="1" applyFont="1" applyFill="1" applyBorder="1" applyAlignment="1">
      <alignment horizontal="right" vertical="center" wrapText="1"/>
    </xf>
    <xf numFmtId="174" fontId="14" fillId="0" borderId="36" xfId="50" applyNumberFormat="1" applyFont="1" applyFill="1" applyBorder="1" applyAlignment="1">
      <alignment horizontal="right" vertical="center" wrapText="1"/>
    </xf>
    <xf numFmtId="0" fontId="14" fillId="0" borderId="38" xfId="54" applyFont="1" applyFill="1" applyBorder="1" applyAlignment="1">
      <alignment horizontal="left" vertical="center"/>
    </xf>
    <xf numFmtId="3" fontId="14" fillId="5" borderId="4" xfId="51" applyNumberFormat="1" applyFont="1" applyFill="1" applyBorder="1" applyAlignment="1">
      <alignment horizontal="right"/>
    </xf>
    <xf numFmtId="3" fontId="14" fillId="5" borderId="4" xfId="55" applyNumberFormat="1" applyFont="1" applyFill="1" applyBorder="1" applyAlignment="1">
      <alignment horizontal="right"/>
    </xf>
    <xf numFmtId="3" fontId="14" fillId="5" borderId="4" xfId="56" applyNumberFormat="1" applyFont="1" applyFill="1" applyBorder="1"/>
    <xf numFmtId="3" fontId="14" fillId="0" borderId="36" xfId="56" applyNumberFormat="1" applyFont="1" applyFill="1" applyBorder="1" applyAlignment="1">
      <alignment vertical="center"/>
    </xf>
    <xf numFmtId="170" fontId="14" fillId="5" borderId="4" xfId="51" applyNumberFormat="1" applyFont="1" applyFill="1" applyBorder="1" applyAlignment="1">
      <alignment horizontal="right"/>
    </xf>
    <xf numFmtId="170" fontId="14" fillId="5" borderId="4" xfId="56" applyNumberFormat="1" applyFont="1" applyFill="1" applyBorder="1"/>
    <xf numFmtId="170" fontId="14" fillId="5" borderId="36" xfId="56" applyNumberFormat="1" applyFont="1" applyFill="1" applyBorder="1"/>
    <xf numFmtId="175" fontId="14" fillId="5" borderId="0" xfId="57" applyNumberFormat="1" applyFont="1" applyFill="1" applyAlignment="1">
      <alignment vertical="center"/>
    </xf>
    <xf numFmtId="3" fontId="26" fillId="5" borderId="4" xfId="46" applyNumberFormat="1" applyFont="1" applyFill="1" applyBorder="1" applyAlignment="1">
      <alignment vertical="center"/>
    </xf>
    <xf numFmtId="3" fontId="26" fillId="0" borderId="36" xfId="46" applyNumberFormat="1" applyFont="1" applyFill="1" applyBorder="1" applyAlignment="1">
      <alignment vertical="center"/>
    </xf>
    <xf numFmtId="170" fontId="14" fillId="5" borderId="0" xfId="49" applyNumberFormat="1" applyFont="1" applyFill="1" applyAlignment="1">
      <alignment vertical="center"/>
    </xf>
    <xf numFmtId="168" fontId="14" fillId="5" borderId="4" xfId="51" applyNumberFormat="1" applyFont="1" applyFill="1" applyBorder="1" applyAlignment="1">
      <alignment horizontal="right"/>
    </xf>
    <xf numFmtId="168" fontId="14" fillId="5" borderId="4" xfId="56" applyNumberFormat="1" applyFont="1" applyFill="1" applyBorder="1"/>
    <xf numFmtId="168" fontId="14" fillId="5" borderId="36" xfId="56" applyNumberFormat="1" applyFont="1" applyFill="1" applyBorder="1"/>
    <xf numFmtId="0" fontId="37" fillId="4" borderId="103" xfId="41" applyFont="1" applyFill="1" applyBorder="1" applyAlignment="1">
      <alignment horizontal="left" vertical="center"/>
    </xf>
    <xf numFmtId="0" fontId="14" fillId="5" borderId="160" xfId="41" applyFont="1" applyFill="1" applyBorder="1" applyAlignment="1">
      <alignment horizontal="left" vertical="center"/>
    </xf>
    <xf numFmtId="0" fontId="44" fillId="5" borderId="105" xfId="41" applyFont="1" applyFill="1" applyBorder="1" applyAlignment="1">
      <alignment horizontal="left" vertical="center"/>
    </xf>
    <xf numFmtId="0" fontId="14" fillId="5" borderId="105" xfId="49" applyFont="1" applyFill="1" applyBorder="1" applyAlignment="1">
      <alignment vertical="center"/>
    </xf>
    <xf numFmtId="0" fontId="14" fillId="5" borderId="140" xfId="49" applyFont="1" applyFill="1" applyBorder="1" applyAlignment="1">
      <alignment vertical="center"/>
    </xf>
    <xf numFmtId="0" fontId="14" fillId="5" borderId="106" xfId="49" applyFont="1" applyFill="1" applyBorder="1" applyAlignment="1">
      <alignment vertical="center"/>
    </xf>
    <xf numFmtId="0" fontId="44" fillId="5" borderId="0" xfId="41" applyFont="1" applyFill="1" applyAlignment="1">
      <alignment vertical="center"/>
    </xf>
    <xf numFmtId="0" fontId="45" fillId="5" borderId="0" xfId="41" applyFont="1" applyFill="1" applyAlignment="1">
      <alignment vertical="center"/>
    </xf>
    <xf numFmtId="175" fontId="14" fillId="5" borderId="0" xfId="49" applyNumberFormat="1" applyFont="1" applyFill="1" applyAlignment="1">
      <alignment vertical="center"/>
    </xf>
    <xf numFmtId="0" fontId="44" fillId="5" borderId="0" xfId="23" applyFont="1" applyFill="1" applyAlignment="1">
      <alignment vertical="center"/>
    </xf>
    <xf numFmtId="168" fontId="14" fillId="5" borderId="0" xfId="49" applyNumberFormat="1" applyFont="1" applyFill="1" applyAlignment="1">
      <alignment vertical="center"/>
    </xf>
    <xf numFmtId="0" fontId="45" fillId="5" borderId="0" xfId="23" quotePrefix="1" applyFont="1" applyFill="1" applyAlignment="1">
      <alignment horizontal="left" vertical="center"/>
    </xf>
    <xf numFmtId="0" fontId="45" fillId="5" borderId="0" xfId="23" quotePrefix="1" applyFont="1" applyFill="1" applyAlignment="1">
      <alignment horizontal="left" vertical="center" wrapText="1"/>
    </xf>
    <xf numFmtId="0" fontId="14" fillId="5" borderId="0" xfId="58" applyFont="1" applyFill="1" applyAlignment="1">
      <alignment vertical="center"/>
    </xf>
    <xf numFmtId="0" fontId="45" fillId="5" borderId="0" xfId="23" quotePrefix="1" applyFont="1" applyFill="1" applyBorder="1" applyAlignment="1">
      <alignment horizontal="left" vertical="center"/>
    </xf>
    <xf numFmtId="0" fontId="45" fillId="5" borderId="0" xfId="23" quotePrefix="1" applyFont="1" applyFill="1" applyBorder="1" applyAlignment="1">
      <alignment horizontal="left" vertical="center" wrapText="1"/>
    </xf>
    <xf numFmtId="0" fontId="45" fillId="5" borderId="0" xfId="23" applyFont="1" applyFill="1" applyAlignment="1">
      <alignment vertical="center"/>
    </xf>
    <xf numFmtId="0" fontId="37" fillId="5" borderId="0" xfId="41" applyFont="1" applyFill="1" applyAlignment="1">
      <alignment vertical="center"/>
    </xf>
    <xf numFmtId="0" fontId="1" fillId="0" borderId="0" xfId="59"/>
    <xf numFmtId="0" fontId="1" fillId="0" borderId="0" xfId="59" applyFill="1"/>
    <xf numFmtId="0" fontId="205" fillId="5" borderId="0" xfId="59" applyFont="1" applyFill="1" applyBorder="1" applyAlignment="1">
      <alignment horizontal="left"/>
    </xf>
    <xf numFmtId="0" fontId="53" fillId="5" borderId="0" xfId="59" applyFont="1" applyFill="1" applyBorder="1" applyAlignment="1">
      <alignment horizontal="right"/>
    </xf>
    <xf numFmtId="0" fontId="206" fillId="33" borderId="279" xfId="59" applyFont="1" applyFill="1" applyBorder="1" applyAlignment="1">
      <alignment horizontal="center" vertical="center" wrapText="1"/>
    </xf>
    <xf numFmtId="3" fontId="206" fillId="33" borderId="280" xfId="59" applyNumberFormat="1" applyFont="1" applyFill="1" applyBorder="1" applyAlignment="1">
      <alignment horizontal="center" vertical="center" wrapText="1"/>
    </xf>
    <xf numFmtId="3" fontId="206" fillId="33" borderId="281" xfId="59" applyNumberFormat="1" applyFont="1" applyFill="1" applyBorder="1" applyAlignment="1">
      <alignment horizontal="center" vertical="center" wrapText="1"/>
    </xf>
    <xf numFmtId="0" fontId="207" fillId="0" borderId="282" xfId="59" applyFont="1" applyBorder="1" applyAlignment="1">
      <alignment horizontal="right" wrapText="1"/>
    </xf>
    <xf numFmtId="3" fontId="207" fillId="0" borderId="283" xfId="59" applyNumberFormat="1" applyFont="1" applyBorder="1" applyAlignment="1">
      <alignment horizontal="center" wrapText="1"/>
    </xf>
    <xf numFmtId="3" fontId="207" fillId="0" borderId="284" xfId="59" applyNumberFormat="1" applyFont="1" applyBorder="1" applyAlignment="1">
      <alignment horizontal="center" wrapText="1"/>
    </xf>
    <xf numFmtId="0" fontId="1" fillId="0" borderId="0" xfId="59" applyAlignment="1"/>
    <xf numFmtId="0" fontId="125" fillId="0" borderId="0" xfId="59" applyFont="1" applyFill="1" applyBorder="1" applyAlignment="1" applyProtection="1">
      <alignment vertical="top" wrapText="1"/>
      <protection locked="0"/>
    </xf>
    <xf numFmtId="3" fontId="125" fillId="0" borderId="0" xfId="59" applyNumberFormat="1" applyFont="1" applyFill="1" applyAlignment="1" applyProtection="1">
      <alignment horizontal="right" vertical="center"/>
      <protection locked="0"/>
    </xf>
    <xf numFmtId="0" fontId="207" fillId="0" borderId="285" xfId="59" applyFont="1" applyBorder="1" applyAlignment="1">
      <alignment horizontal="right" wrapText="1"/>
    </xf>
    <xf numFmtId="3" fontId="207" fillId="0" borderId="139" xfId="59" applyNumberFormat="1" applyFont="1" applyBorder="1" applyAlignment="1">
      <alignment horizontal="center" wrapText="1"/>
    </xf>
    <xf numFmtId="3" fontId="207" fillId="0" borderId="36" xfId="59" applyNumberFormat="1" applyFont="1" applyBorder="1" applyAlignment="1">
      <alignment horizontal="center" wrapText="1"/>
    </xf>
    <xf numFmtId="0" fontId="207" fillId="0" borderId="160" xfId="59" applyFont="1" applyBorder="1" applyAlignment="1">
      <alignment horizontal="right" wrapText="1"/>
    </xf>
    <xf numFmtId="3" fontId="207" fillId="0" borderId="140" xfId="59" applyNumberFormat="1" applyFont="1" applyBorder="1" applyAlignment="1">
      <alignment horizontal="center" wrapText="1"/>
    </xf>
    <xf numFmtId="3" fontId="207" fillId="0" borderId="106" xfId="59" applyNumberFormat="1" applyFont="1" applyBorder="1" applyAlignment="1">
      <alignment horizontal="center" wrapText="1"/>
    </xf>
    <xf numFmtId="0" fontId="208" fillId="0" borderId="0" xfId="59" applyFont="1"/>
    <xf numFmtId="0" fontId="212" fillId="0" borderId="0" xfId="59" applyFont="1"/>
    <xf numFmtId="0" fontId="39" fillId="5" borderId="0" xfId="4" applyFont="1" applyFill="1" applyBorder="1"/>
    <xf numFmtId="3" fontId="29" fillId="7" borderId="123" xfId="6" applyNumberFormat="1" applyFont="1" applyFill="1" applyBorder="1" applyProtection="1">
      <protection hidden="1"/>
    </xf>
    <xf numFmtId="168" fontId="29" fillId="5" borderId="146" xfId="4" applyNumberFormat="1" applyFont="1" applyFill="1" applyBorder="1"/>
    <xf numFmtId="168" fontId="29" fillId="5" borderId="103" xfId="4" applyNumberFormat="1" applyFont="1" applyFill="1" applyBorder="1"/>
    <xf numFmtId="3" fontId="29" fillId="11" borderId="123" xfId="4" applyNumberFormat="1" applyFont="1" applyFill="1" applyBorder="1"/>
    <xf numFmtId="0" fontId="121" fillId="5" borderId="0" xfId="14" applyFont="1" applyFill="1" applyAlignment="1">
      <alignment vertical="center"/>
    </xf>
    <xf numFmtId="0" fontId="122" fillId="5" borderId="0" xfId="14" applyFont="1" applyFill="1" applyAlignment="1">
      <alignment vertical="center"/>
    </xf>
    <xf numFmtId="0" fontId="125" fillId="5" borderId="0" xfId="14" applyFont="1" applyFill="1" applyAlignment="1">
      <alignment vertical="center"/>
    </xf>
    <xf numFmtId="0" fontId="125" fillId="5" borderId="0" xfId="14" applyFont="1" applyFill="1" applyAlignment="1">
      <alignment horizontal="center" vertical="center"/>
    </xf>
    <xf numFmtId="0" fontId="124" fillId="5" borderId="0" xfId="14" applyFont="1" applyFill="1" applyBorder="1" applyAlignment="1">
      <alignment horizontal="right" vertical="center"/>
    </xf>
    <xf numFmtId="0" fontId="15" fillId="5" borderId="1" xfId="14" applyFont="1" applyFill="1" applyBorder="1" applyAlignment="1">
      <alignment horizontal="right" vertical="center"/>
    </xf>
    <xf numFmtId="0" fontId="10" fillId="5" borderId="0" xfId="14" applyFont="1" applyFill="1" applyAlignment="1">
      <alignment vertical="center" wrapText="1"/>
    </xf>
    <xf numFmtId="0" fontId="11" fillId="5" borderId="0" xfId="14" applyFont="1" applyFill="1" applyAlignment="1">
      <alignment vertical="center" wrapText="1"/>
    </xf>
    <xf numFmtId="0" fontId="16" fillId="4" borderId="291" xfId="14" applyFont="1" applyFill="1" applyBorder="1" applyAlignment="1">
      <alignment horizontal="center" vertical="center" wrapText="1"/>
    </xf>
    <xf numFmtId="0" fontId="23" fillId="4" borderId="291" xfId="14" applyFont="1" applyFill="1" applyBorder="1" applyAlignment="1">
      <alignment vertical="center" wrapText="1"/>
    </xf>
    <xf numFmtId="3" fontId="23" fillId="5" borderId="4" xfId="14" applyNumberFormat="1" applyFont="1" applyFill="1" applyBorder="1" applyAlignment="1">
      <alignment horizontal="center" vertical="center"/>
    </xf>
    <xf numFmtId="37" fontId="23" fillId="5" borderId="4" xfId="14" applyNumberFormat="1" applyFont="1" applyFill="1" applyBorder="1" applyAlignment="1">
      <alignment horizontal="center" vertical="center" wrapText="1"/>
    </xf>
    <xf numFmtId="170" fontId="11" fillId="5" borderId="0" xfId="14" applyNumberFormat="1" applyFont="1" applyFill="1" applyAlignment="1">
      <alignment vertical="center" wrapText="1"/>
    </xf>
    <xf numFmtId="0" fontId="25" fillId="4" borderId="291" xfId="14" applyFont="1" applyFill="1" applyBorder="1" applyAlignment="1">
      <alignment vertical="center" wrapText="1"/>
    </xf>
    <xf numFmtId="37" fontId="25" fillId="5" borderId="4" xfId="14" applyNumberFormat="1" applyFont="1" applyFill="1" applyBorder="1" applyAlignment="1">
      <alignment horizontal="center" vertical="center" wrapText="1"/>
    </xf>
    <xf numFmtId="3" fontId="25" fillId="5" borderId="4" xfId="14" applyNumberFormat="1" applyFont="1" applyFill="1" applyBorder="1" applyAlignment="1">
      <alignment horizontal="center" vertical="center"/>
    </xf>
    <xf numFmtId="3" fontId="25" fillId="0" borderId="4" xfId="14" applyNumberFormat="1" applyFont="1" applyFill="1" applyBorder="1" applyAlignment="1">
      <alignment horizontal="center" vertical="center"/>
    </xf>
    <xf numFmtId="203" fontId="10" fillId="5" borderId="0" xfId="60" applyNumberFormat="1" applyFont="1" applyFill="1" applyAlignment="1">
      <alignment vertical="center" wrapText="1"/>
    </xf>
    <xf numFmtId="203" fontId="153" fillId="5" borderId="0" xfId="60" applyNumberFormat="1" applyFont="1" applyFill="1" applyAlignment="1">
      <alignment vertical="center" wrapText="1"/>
    </xf>
    <xf numFmtId="3" fontId="16" fillId="5" borderId="294" xfId="14" applyNumberFormat="1" applyFont="1" applyFill="1" applyBorder="1" applyAlignment="1">
      <alignment horizontal="center" vertical="center"/>
    </xf>
    <xf numFmtId="0" fontId="35" fillId="5" borderId="295" xfId="14" applyFont="1" applyFill="1" applyBorder="1" applyAlignment="1">
      <alignment vertical="center"/>
    </xf>
    <xf numFmtId="0" fontId="11" fillId="5" borderId="0" xfId="14" applyFont="1" applyFill="1" applyAlignment="1">
      <alignment vertical="center"/>
    </xf>
    <xf numFmtId="0" fontId="15" fillId="5" borderId="0" xfId="14" applyFont="1" applyFill="1" applyBorder="1" applyAlignment="1">
      <alignment vertical="center"/>
    </xf>
    <xf numFmtId="0" fontId="35" fillId="5" borderId="0" xfId="14" applyFont="1" applyFill="1" applyBorder="1" applyAlignment="1">
      <alignment vertical="center"/>
    </xf>
    <xf numFmtId="0" fontId="124" fillId="5" borderId="0" xfId="14" applyFont="1" applyFill="1" applyAlignment="1">
      <alignment vertical="center"/>
    </xf>
    <xf numFmtId="203" fontId="124" fillId="5" borderId="0" xfId="14" applyNumberFormat="1" applyFont="1" applyFill="1" applyAlignment="1">
      <alignment horizontal="center" vertical="center"/>
    </xf>
    <xf numFmtId="0" fontId="122" fillId="5" borderId="0" xfId="14" applyFont="1" applyFill="1" applyAlignment="1">
      <alignment horizontal="center" vertical="center"/>
    </xf>
    <xf numFmtId="0" fontId="125" fillId="5" borderId="0" xfId="14" applyNumberFormat="1" applyFont="1" applyFill="1" applyAlignment="1">
      <alignment vertical="center"/>
    </xf>
    <xf numFmtId="3" fontId="125" fillId="5" borderId="0" xfId="14" applyNumberFormat="1" applyFont="1" applyFill="1" applyAlignment="1">
      <alignment vertical="center"/>
    </xf>
    <xf numFmtId="0" fontId="16" fillId="4" borderId="98" xfId="14" applyNumberFormat="1" applyFont="1" applyFill="1" applyBorder="1" applyAlignment="1">
      <alignment horizontal="center" vertical="center"/>
    </xf>
    <xf numFmtId="49" fontId="16" fillId="4" borderId="98" xfId="14" applyNumberFormat="1" applyFont="1" applyFill="1" applyBorder="1" applyAlignment="1">
      <alignment horizontal="center" vertical="center"/>
    </xf>
    <xf numFmtId="49" fontId="16" fillId="4" borderId="98" xfId="14" applyNumberFormat="1" applyFont="1" applyFill="1" applyBorder="1" applyAlignment="1">
      <alignment horizontal="center" vertical="center" wrapText="1"/>
    </xf>
    <xf numFmtId="0" fontId="16" fillId="4" borderId="158" xfId="14" applyFont="1" applyFill="1" applyBorder="1" applyAlignment="1">
      <alignment horizontal="left" vertical="center"/>
    </xf>
    <xf numFmtId="0" fontId="16" fillId="4" borderId="177" xfId="14" applyFont="1" applyFill="1" applyBorder="1" applyAlignment="1">
      <alignment horizontal="left" vertical="center"/>
    </xf>
    <xf numFmtId="3" fontId="16" fillId="5" borderId="4" xfId="60" applyNumberFormat="1" applyFont="1" applyFill="1" applyBorder="1" applyAlignment="1">
      <alignment horizontal="center" vertical="center"/>
    </xf>
    <xf numFmtId="3" fontId="10" fillId="5" borderId="0" xfId="14" applyNumberFormat="1" applyFont="1" applyFill="1" applyAlignment="1">
      <alignment vertical="center"/>
    </xf>
    <xf numFmtId="0" fontId="10" fillId="5" borderId="0" xfId="14" applyFont="1" applyFill="1" applyAlignment="1">
      <alignment vertical="center"/>
    </xf>
    <xf numFmtId="0" fontId="16" fillId="4" borderId="139" xfId="14" applyFont="1" applyFill="1" applyBorder="1" applyAlignment="1">
      <alignment horizontal="left" vertical="center"/>
    </xf>
    <xf numFmtId="0" fontId="23" fillId="4" borderId="37" xfId="14" applyFont="1" applyFill="1" applyBorder="1" applyAlignment="1">
      <alignment horizontal="left" vertical="center"/>
    </xf>
    <xf numFmtId="3" fontId="0" fillId="5" borderId="4" xfId="60" applyNumberFormat="1" applyFont="1" applyFill="1" applyBorder="1" applyAlignment="1">
      <alignment horizontal="center" vertical="center"/>
    </xf>
    <xf numFmtId="0" fontId="23" fillId="4" borderId="139" xfId="14" applyFont="1" applyFill="1" applyBorder="1" applyAlignment="1">
      <alignment horizontal="left" vertical="center"/>
    </xf>
    <xf numFmtId="164" fontId="0" fillId="5" borderId="4" xfId="61" applyNumberFormat="1" applyFont="1" applyFill="1" applyBorder="1" applyAlignment="1">
      <alignment horizontal="center" vertical="center"/>
    </xf>
    <xf numFmtId="3" fontId="23" fillId="5" borderId="0" xfId="14" applyNumberFormat="1" applyFont="1" applyFill="1" applyBorder="1" applyAlignment="1">
      <alignment horizontal="center" vertical="center"/>
    </xf>
    <xf numFmtId="3" fontId="0" fillId="5" borderId="4" xfId="61" applyNumberFormat="1" applyFont="1" applyFill="1" applyBorder="1" applyAlignment="1">
      <alignment horizontal="center" vertical="center"/>
    </xf>
    <xf numFmtId="0" fontId="23" fillId="4" borderId="139" xfId="14" applyFont="1" applyFill="1" applyBorder="1" applyAlignment="1">
      <alignment horizontal="right" vertical="center"/>
    </xf>
    <xf numFmtId="3" fontId="16" fillId="5" borderId="5" xfId="60" applyNumberFormat="1" applyFont="1" applyFill="1" applyBorder="1" applyAlignment="1">
      <alignment horizontal="center" vertical="center"/>
    </xf>
    <xf numFmtId="164" fontId="16" fillId="5" borderId="5" xfId="61" applyNumberFormat="1" applyFont="1" applyFill="1" applyBorder="1" applyAlignment="1">
      <alignment horizontal="center" vertical="center"/>
    </xf>
    <xf numFmtId="0" fontId="11" fillId="5" borderId="0" xfId="14" applyFont="1" applyFill="1" applyAlignment="1">
      <alignment horizontal="left" vertical="top"/>
    </xf>
    <xf numFmtId="0" fontId="15" fillId="5" borderId="0" xfId="14" applyFont="1" applyFill="1" applyAlignment="1">
      <alignment horizontal="left" vertical="top"/>
    </xf>
    <xf numFmtId="0" fontId="35" fillId="5" borderId="0" xfId="14" applyFont="1" applyFill="1" applyAlignment="1">
      <alignment horizontal="left" vertical="top"/>
    </xf>
    <xf numFmtId="0" fontId="15" fillId="5" borderId="0" xfId="23" applyFont="1" applyFill="1" applyBorder="1" applyAlignment="1">
      <alignment horizontal="left" vertical="top" wrapText="1"/>
    </xf>
    <xf numFmtId="0" fontId="11" fillId="5" borderId="0" xfId="14" applyFont="1" applyFill="1" applyAlignment="1">
      <alignment horizontal="center" vertical="center"/>
    </xf>
    <xf numFmtId="1" fontId="11" fillId="5" borderId="0" xfId="14" applyNumberFormat="1" applyFont="1" applyFill="1" applyAlignment="1">
      <alignment horizontal="center" vertical="center"/>
    </xf>
    <xf numFmtId="0" fontId="213" fillId="5" borderId="0" xfId="14" applyFont="1" applyFill="1" applyAlignment="1">
      <alignment vertical="center"/>
    </xf>
    <xf numFmtId="0" fontId="121" fillId="5" borderId="0" xfId="23" applyFont="1" applyFill="1" applyAlignment="1">
      <alignment vertical="center"/>
    </xf>
    <xf numFmtId="0" fontId="214" fillId="5" borderId="0" xfId="23" applyFont="1" applyFill="1" applyAlignment="1">
      <alignment vertical="center"/>
    </xf>
    <xf numFmtId="0" fontId="125" fillId="5" borderId="0" xfId="23" applyFont="1" applyFill="1" applyAlignment="1">
      <alignment vertical="center"/>
    </xf>
    <xf numFmtId="0" fontId="122" fillId="5" borderId="0" xfId="23" applyFont="1" applyFill="1" applyAlignment="1">
      <alignment vertical="center"/>
    </xf>
    <xf numFmtId="0" fontId="124" fillId="5" borderId="1" xfId="23" applyFont="1" applyFill="1" applyBorder="1" applyAlignment="1">
      <alignment horizontal="right" vertical="center"/>
    </xf>
    <xf numFmtId="0" fontId="15" fillId="5" borderId="1" xfId="23" applyFont="1" applyFill="1" applyBorder="1" applyAlignment="1">
      <alignment horizontal="right" vertical="center"/>
    </xf>
    <xf numFmtId="0" fontId="11" fillId="5" borderId="0" xfId="23" applyFont="1" applyFill="1" applyAlignment="1">
      <alignment vertical="center"/>
    </xf>
    <xf numFmtId="0" fontId="11" fillId="0" borderId="0" xfId="23" applyFont="1" applyAlignment="1">
      <alignment vertical="center"/>
    </xf>
    <xf numFmtId="0" fontId="16" fillId="4" borderId="296" xfId="23" applyFont="1" applyFill="1" applyBorder="1" applyAlignment="1">
      <alignment horizontal="center" vertical="center"/>
    </xf>
    <xf numFmtId="0" fontId="23" fillId="4" borderId="287" xfId="23" applyFont="1" applyFill="1" applyBorder="1" applyAlignment="1">
      <alignment vertical="center" wrapText="1"/>
    </xf>
    <xf numFmtId="3" fontId="23" fillId="0" borderId="297" xfId="23" applyNumberFormat="1" applyFont="1" applyFill="1" applyBorder="1" applyAlignment="1">
      <alignment horizontal="center" vertical="center"/>
    </xf>
    <xf numFmtId="3" fontId="23" fillId="5" borderId="297" xfId="23" applyNumberFormat="1" applyFont="1" applyFill="1" applyBorder="1" applyAlignment="1">
      <alignment horizontal="center" vertical="center"/>
    </xf>
    <xf numFmtId="3" fontId="0" fillId="5" borderId="297" xfId="23" applyNumberFormat="1" applyFont="1" applyFill="1" applyBorder="1" applyAlignment="1">
      <alignment horizontal="center" vertical="center"/>
    </xf>
    <xf numFmtId="0" fontId="16" fillId="4" borderId="291" xfId="23" applyFont="1" applyFill="1" applyBorder="1" applyAlignment="1">
      <alignment horizontal="center" vertical="center"/>
    </xf>
    <xf numFmtId="0" fontId="23" fillId="4" borderId="291" xfId="23" applyFont="1" applyFill="1" applyBorder="1" applyAlignment="1">
      <alignment vertical="center" wrapText="1"/>
    </xf>
    <xf numFmtId="37" fontId="23" fillId="0" borderId="4" xfId="23" applyNumberFormat="1" applyFont="1" applyFill="1" applyBorder="1" applyAlignment="1">
      <alignment horizontal="center" vertical="center" wrapText="1"/>
    </xf>
    <xf numFmtId="37" fontId="23" fillId="5" borderId="4" xfId="23" applyNumberFormat="1" applyFont="1" applyFill="1" applyBorder="1" applyAlignment="1">
      <alignment horizontal="center" vertical="center" wrapText="1"/>
    </xf>
    <xf numFmtId="37" fontId="11" fillId="5" borderId="0" xfId="23" applyNumberFormat="1" applyFont="1" applyFill="1" applyAlignment="1">
      <alignment vertical="center"/>
    </xf>
    <xf numFmtId="37" fontId="0" fillId="5" borderId="4" xfId="23" applyNumberFormat="1" applyFont="1" applyFill="1" applyBorder="1" applyAlignment="1">
      <alignment horizontal="center" vertical="center" wrapText="1"/>
    </xf>
    <xf numFmtId="0" fontId="10" fillId="5" borderId="0" xfId="23" applyFont="1" applyFill="1" applyAlignment="1">
      <alignment horizontal="center" vertical="center"/>
    </xf>
    <xf numFmtId="0" fontId="10" fillId="0" borderId="0" xfId="23" applyFont="1" applyAlignment="1">
      <alignment horizontal="center" vertical="center"/>
    </xf>
    <xf numFmtId="3" fontId="16" fillId="0" borderId="298" xfId="23" applyNumberFormat="1" applyFont="1" applyFill="1" applyBorder="1" applyAlignment="1">
      <alignment horizontal="center" vertical="center"/>
    </xf>
    <xf numFmtId="3" fontId="16" fillId="5" borderId="298" xfId="23" applyNumberFormat="1" applyFont="1" applyFill="1" applyBorder="1" applyAlignment="1">
      <alignment horizontal="center" vertical="center"/>
    </xf>
    <xf numFmtId="0" fontId="11" fillId="0" borderId="0" xfId="23" applyFont="1" applyFill="1" applyAlignment="1">
      <alignment vertical="center"/>
    </xf>
    <xf numFmtId="0" fontId="15" fillId="5" borderId="0" xfId="23" applyFont="1" applyFill="1" applyBorder="1" applyAlignment="1">
      <alignment horizontal="center" vertical="center" wrapText="1"/>
    </xf>
    <xf numFmtId="0" fontId="214" fillId="5" borderId="0" xfId="23" applyNumberFormat="1" applyFont="1" applyFill="1" applyAlignment="1">
      <alignment horizontal="centerContinuous" vertical="center"/>
    </xf>
    <xf numFmtId="0" fontId="15" fillId="5" borderId="0" xfId="23" applyFont="1" applyFill="1" applyAlignment="1">
      <alignment vertical="center"/>
    </xf>
    <xf numFmtId="3" fontId="125" fillId="5" borderId="0" xfId="23" applyNumberFormat="1" applyFont="1" applyFill="1" applyAlignment="1">
      <alignment vertical="center"/>
    </xf>
    <xf numFmtId="0" fontId="11" fillId="5" borderId="0" xfId="23" applyFont="1" applyFill="1" applyAlignment="1">
      <alignment horizontal="center" vertical="center"/>
    </xf>
    <xf numFmtId="0" fontId="16" fillId="4" borderId="98" xfId="23" applyNumberFormat="1" applyFont="1" applyFill="1" applyBorder="1" applyAlignment="1">
      <alignment horizontal="center" vertical="center"/>
    </xf>
    <xf numFmtId="49" fontId="16" fillId="4" borderId="98" xfId="23" applyNumberFormat="1" applyFont="1" applyFill="1" applyBorder="1" applyAlignment="1">
      <alignment horizontal="center" vertical="center"/>
    </xf>
    <xf numFmtId="49" fontId="16" fillId="4" borderId="98" xfId="23" applyNumberFormat="1" applyFont="1" applyFill="1" applyBorder="1" applyAlignment="1">
      <alignment horizontal="center" vertical="center" wrapText="1"/>
    </xf>
    <xf numFmtId="0" fontId="10" fillId="5" borderId="0" xfId="23" applyFont="1" applyFill="1" applyAlignment="1">
      <alignment vertical="center"/>
    </xf>
    <xf numFmtId="0" fontId="10" fillId="0" borderId="0" xfId="23" applyFont="1" applyFill="1" applyAlignment="1">
      <alignment vertical="center"/>
    </xf>
    <xf numFmtId="3" fontId="16" fillId="0" borderId="3" xfId="23" applyNumberFormat="1" applyFont="1" applyFill="1" applyBorder="1" applyAlignment="1">
      <alignment horizontal="center" vertical="center"/>
    </xf>
    <xf numFmtId="3" fontId="16" fillId="5" borderId="3" xfId="23" applyNumberFormat="1" applyFont="1" applyFill="1" applyBorder="1" applyAlignment="1">
      <alignment horizontal="center" vertical="center"/>
    </xf>
    <xf numFmtId="3" fontId="11" fillId="5" borderId="0" xfId="23" applyNumberFormat="1" applyFont="1" applyFill="1" applyAlignment="1">
      <alignment vertical="center"/>
    </xf>
    <xf numFmtId="3" fontId="16" fillId="0" borderId="4" xfId="23" applyNumberFormat="1" applyFont="1" applyFill="1" applyBorder="1" applyAlignment="1">
      <alignment horizontal="center" vertical="center"/>
    </xf>
    <xf numFmtId="3" fontId="16" fillId="0" borderId="139" xfId="23" applyNumberFormat="1" applyFont="1" applyFill="1" applyBorder="1" applyAlignment="1">
      <alignment horizontal="center" vertical="center"/>
    </xf>
    <xf numFmtId="3" fontId="16" fillId="5" borderId="139" xfId="23" applyNumberFormat="1" applyFont="1" applyFill="1" applyBorder="1" applyAlignment="1">
      <alignment horizontal="center" vertical="center"/>
    </xf>
    <xf numFmtId="3" fontId="16" fillId="5" borderId="4" xfId="23" applyNumberFormat="1" applyFont="1" applyFill="1" applyBorder="1" applyAlignment="1">
      <alignment horizontal="center" vertical="center"/>
    </xf>
    <xf numFmtId="0" fontId="23" fillId="4" borderId="139" xfId="23" applyFont="1" applyFill="1" applyBorder="1" applyAlignment="1">
      <alignment horizontal="left" vertical="center"/>
    </xf>
    <xf numFmtId="0" fontId="23" fillId="4" borderId="37" xfId="23" applyFont="1" applyFill="1" applyBorder="1" applyAlignment="1">
      <alignment vertical="center"/>
    </xf>
    <xf numFmtId="3" fontId="23" fillId="0" borderId="4" xfId="23" applyNumberFormat="1" applyFont="1" applyFill="1" applyBorder="1" applyAlignment="1">
      <alignment horizontal="center" vertical="center"/>
    </xf>
    <xf numFmtId="3" fontId="23" fillId="0" borderId="139" xfId="23" applyNumberFormat="1" applyFont="1" applyFill="1" applyBorder="1" applyAlignment="1">
      <alignment horizontal="center" vertical="center"/>
    </xf>
    <xf numFmtId="3" fontId="23" fillId="5" borderId="4" xfId="23" applyNumberFormat="1" applyFont="1" applyFill="1" applyBorder="1" applyAlignment="1">
      <alignment horizontal="center" vertical="center"/>
    </xf>
    <xf numFmtId="164" fontId="16" fillId="0" borderId="4" xfId="23" applyNumberFormat="1" applyFont="1" applyFill="1" applyBorder="1" applyAlignment="1">
      <alignment horizontal="center" vertical="center"/>
    </xf>
    <xf numFmtId="3" fontId="23" fillId="5" borderId="299" xfId="23" applyNumberFormat="1" applyFont="1" applyFill="1" applyBorder="1" applyAlignment="1">
      <alignment horizontal="center" vertical="center"/>
    </xf>
    <xf numFmtId="164" fontId="16" fillId="5" borderId="4" xfId="23" applyNumberFormat="1" applyFont="1" applyFill="1" applyBorder="1" applyAlignment="1">
      <alignment horizontal="center" vertical="center"/>
    </xf>
    <xf numFmtId="210" fontId="16" fillId="0" borderId="4" xfId="23" applyNumberFormat="1" applyFont="1" applyFill="1" applyBorder="1" applyAlignment="1">
      <alignment horizontal="center" vertical="center"/>
    </xf>
    <xf numFmtId="0" fontId="16" fillId="4" borderId="139" xfId="23" applyFont="1" applyFill="1" applyBorder="1" applyAlignment="1">
      <alignment horizontal="left" vertical="center"/>
    </xf>
    <xf numFmtId="164" fontId="23" fillId="0" borderId="4" xfId="23" applyNumberFormat="1" applyFont="1" applyFill="1" applyBorder="1" applyAlignment="1">
      <alignment horizontal="center" vertical="center"/>
    </xf>
    <xf numFmtId="164" fontId="23" fillId="5" borderId="4" xfId="23" applyNumberFormat="1" applyFont="1" applyFill="1" applyBorder="1" applyAlignment="1">
      <alignment horizontal="center" vertical="center"/>
    </xf>
    <xf numFmtId="3" fontId="0" fillId="5" borderId="4" xfId="23" applyNumberFormat="1" applyFont="1" applyFill="1" applyBorder="1" applyAlignment="1">
      <alignment horizontal="center" vertical="center"/>
    </xf>
    <xf numFmtId="3" fontId="23" fillId="5" borderId="139" xfId="23" applyNumberFormat="1" applyFont="1" applyFill="1" applyBorder="1" applyAlignment="1">
      <alignment horizontal="center" vertical="center"/>
    </xf>
    <xf numFmtId="164" fontId="24" fillId="0" borderId="4" xfId="23" applyNumberFormat="1" applyFont="1" applyFill="1" applyBorder="1" applyAlignment="1">
      <alignment horizontal="center" vertical="center"/>
    </xf>
    <xf numFmtId="164" fontId="24" fillId="5" borderId="4" xfId="23" applyNumberFormat="1" applyFont="1" applyFill="1" applyBorder="1" applyAlignment="1">
      <alignment horizontal="center" vertical="center"/>
    </xf>
    <xf numFmtId="3" fontId="25" fillId="5" borderId="4" xfId="23" applyNumberFormat="1" applyFont="1" applyFill="1" applyBorder="1" applyAlignment="1">
      <alignment horizontal="center" vertical="center"/>
    </xf>
    <xf numFmtId="3" fontId="15" fillId="5" borderId="0" xfId="23" applyNumberFormat="1" applyFont="1" applyFill="1" applyAlignment="1">
      <alignment vertical="center"/>
    </xf>
    <xf numFmtId="0" fontId="15" fillId="0" borderId="0" xfId="23" applyFont="1" applyFill="1" applyAlignment="1">
      <alignment vertical="center"/>
    </xf>
    <xf numFmtId="3" fontId="25" fillId="0" borderId="4" xfId="23" applyNumberFormat="1" applyFont="1" applyFill="1" applyBorder="1" applyAlignment="1">
      <alignment horizontal="center" vertical="center"/>
    </xf>
    <xf numFmtId="3" fontId="25" fillId="0" borderId="139" xfId="23" applyNumberFormat="1" applyFont="1" applyFill="1" applyBorder="1" applyAlignment="1">
      <alignment horizontal="center" vertical="center"/>
    </xf>
    <xf numFmtId="3" fontId="25" fillId="5" borderId="139" xfId="23" applyNumberFormat="1" applyFont="1" applyFill="1" applyBorder="1" applyAlignment="1">
      <alignment horizontal="center" vertical="center"/>
    </xf>
    <xf numFmtId="0" fontId="23" fillId="4" borderId="139" xfId="23" applyFont="1" applyFill="1" applyBorder="1" applyAlignment="1">
      <alignment horizontal="right" vertical="center"/>
    </xf>
    <xf numFmtId="0" fontId="23" fillId="4" borderId="37" xfId="23" applyFont="1" applyFill="1" applyBorder="1" applyAlignment="1">
      <alignment horizontal="left" vertical="center"/>
    </xf>
    <xf numFmtId="164" fontId="16" fillId="0" borderId="139" xfId="23" applyNumberFormat="1" applyFont="1" applyFill="1" applyBorder="1" applyAlignment="1">
      <alignment horizontal="center" vertical="center"/>
    </xf>
    <xf numFmtId="0" fontId="23" fillId="4" borderId="139" xfId="23" applyFont="1" applyFill="1" applyBorder="1" applyAlignment="1">
      <alignment horizontal="center" vertical="center"/>
    </xf>
    <xf numFmtId="0" fontId="16" fillId="4" borderId="180" xfId="23" applyFont="1" applyFill="1" applyBorder="1" applyAlignment="1">
      <alignment horizontal="left" vertical="center"/>
    </xf>
    <xf numFmtId="0" fontId="23" fillId="4" borderId="40" xfId="23" applyFont="1" applyFill="1" applyBorder="1" applyAlignment="1">
      <alignment vertical="center"/>
    </xf>
    <xf numFmtId="3" fontId="16" fillId="0" borderId="180" xfId="23" applyNumberFormat="1" applyFont="1" applyFill="1" applyBorder="1" applyAlignment="1">
      <alignment horizontal="center" vertical="center"/>
    </xf>
    <xf numFmtId="164" fontId="16" fillId="5" borderId="5" xfId="23" applyNumberFormat="1" applyFont="1" applyFill="1" applyBorder="1" applyAlignment="1">
      <alignment horizontal="center" vertical="center"/>
    </xf>
    <xf numFmtId="3" fontId="16" fillId="5" borderId="180" xfId="23" applyNumberFormat="1" applyFont="1" applyFill="1" applyBorder="1" applyAlignment="1">
      <alignment horizontal="center" vertical="center"/>
    </xf>
    <xf numFmtId="0" fontId="11" fillId="5" borderId="0" xfId="23" applyFont="1" applyFill="1" applyAlignment="1">
      <alignment horizontal="left" vertical="top"/>
    </xf>
    <xf numFmtId="211" fontId="11" fillId="5" borderId="0" xfId="23" applyNumberFormat="1" applyFont="1" applyFill="1" applyBorder="1" applyAlignment="1">
      <alignment horizontal="center" vertical="center"/>
    </xf>
    <xf numFmtId="0" fontId="15" fillId="5" borderId="0" xfId="23" applyFont="1" applyFill="1"/>
    <xf numFmtId="0" fontId="125" fillId="0" borderId="0" xfId="23" applyFont="1" applyAlignment="1">
      <alignment vertical="center"/>
    </xf>
    <xf numFmtId="0" fontId="215" fillId="0" borderId="0" xfId="62" applyFont="1" applyAlignment="1">
      <alignment wrapText="1"/>
    </xf>
    <xf numFmtId="0" fontId="216" fillId="0" borderId="0" xfId="14" applyFont="1" applyAlignment="1"/>
    <xf numFmtId="0" fontId="217" fillId="0" borderId="0" xfId="62" applyFont="1" applyAlignment="1">
      <alignment horizontal="right"/>
    </xf>
    <xf numFmtId="0" fontId="218" fillId="0" borderId="0" xfId="62" applyFont="1" applyAlignment="1">
      <alignment horizontal="right"/>
    </xf>
    <xf numFmtId="3" fontId="219" fillId="0" borderId="0" xfId="14" applyNumberFormat="1" applyFont="1" applyBorder="1" applyAlignment="1">
      <alignment horizontal="right"/>
    </xf>
    <xf numFmtId="0" fontId="220" fillId="34" borderId="282" xfId="62" applyFont="1" applyFill="1" applyBorder="1" applyAlignment="1">
      <alignment horizontal="center"/>
    </xf>
    <xf numFmtId="0" fontId="221" fillId="34" borderId="283" xfId="62" applyFont="1" applyFill="1" applyBorder="1" applyAlignment="1">
      <alignment horizontal="center" vertical="top" wrapText="1"/>
    </xf>
    <xf numFmtId="0" fontId="222" fillId="34" borderId="277" xfId="62" applyFont="1" applyFill="1" applyBorder="1" applyAlignment="1">
      <alignment horizontal="center" vertical="center"/>
    </xf>
    <xf numFmtId="0" fontId="224" fillId="0" borderId="0" xfId="14" applyFont="1" applyAlignment="1"/>
    <xf numFmtId="0" fontId="220" fillId="34" borderId="42" xfId="62" applyFont="1" applyFill="1" applyBorder="1" applyAlignment="1">
      <alignment horizontal="center"/>
    </xf>
    <xf numFmtId="0" fontId="221" fillId="34" borderId="180" xfId="62" applyFont="1" applyFill="1" applyBorder="1" applyAlignment="1">
      <alignment horizontal="center" vertical="top" wrapText="1"/>
    </xf>
    <xf numFmtId="0" fontId="222" fillId="34" borderId="43" xfId="62" applyFont="1" applyFill="1" applyBorder="1" applyAlignment="1">
      <alignment horizontal="center" vertical="center" wrapText="1"/>
    </xf>
    <xf numFmtId="0" fontId="222" fillId="34" borderId="218" xfId="62" applyFont="1" applyFill="1" applyBorder="1" applyAlignment="1">
      <alignment horizontal="center" vertical="center" wrapText="1"/>
    </xf>
    <xf numFmtId="0" fontId="220" fillId="34" borderId="285" xfId="62" applyFont="1" applyFill="1" applyBorder="1" applyAlignment="1"/>
    <xf numFmtId="0" fontId="221" fillId="34" borderId="139" xfId="62" applyFont="1" applyFill="1" applyBorder="1" applyAlignment="1">
      <alignment horizontal="center" vertical="top" wrapText="1"/>
    </xf>
    <xf numFmtId="0" fontId="221" fillId="0" borderId="166" xfId="14" applyFont="1" applyBorder="1" applyAlignment="1"/>
    <xf numFmtId="0" fontId="221" fillId="0" borderId="159" xfId="14" applyFont="1" applyBorder="1" applyAlignment="1"/>
    <xf numFmtId="0" fontId="221" fillId="0" borderId="0" xfId="14" applyFont="1" applyAlignment="1"/>
    <xf numFmtId="0" fontId="225" fillId="34" borderId="139" xfId="62" applyFont="1" applyFill="1" applyBorder="1" applyAlignment="1"/>
    <xf numFmtId="3" fontId="222" fillId="0" borderId="35" xfId="14" applyNumberFormat="1" applyFont="1" applyBorder="1" applyAlignment="1"/>
    <xf numFmtId="0" fontId="225" fillId="0" borderId="0" xfId="14" applyFont="1" applyAlignment="1"/>
    <xf numFmtId="170" fontId="225" fillId="0" borderId="0" xfId="14" applyNumberFormat="1" applyFont="1" applyAlignment="1"/>
    <xf numFmtId="0" fontId="221" fillId="34" borderId="139" xfId="62" applyFont="1" applyFill="1" applyBorder="1" applyAlignment="1"/>
    <xf numFmtId="3" fontId="226" fillId="0" borderId="35" xfId="14" applyNumberFormat="1" applyFont="1" applyFill="1" applyBorder="1" applyAlignment="1"/>
    <xf numFmtId="3" fontId="226" fillId="0" borderId="35" xfId="62" applyNumberFormat="1" applyFont="1" applyFill="1" applyBorder="1" applyAlignment="1"/>
    <xf numFmtId="0" fontId="227" fillId="34" borderId="285" xfId="62" applyFont="1" applyFill="1" applyBorder="1" applyAlignment="1"/>
    <xf numFmtId="3" fontId="222" fillId="0" borderId="35" xfId="14" applyNumberFormat="1" applyFont="1" applyFill="1" applyBorder="1" applyAlignment="1"/>
    <xf numFmtId="0" fontId="228" fillId="34" borderId="285" xfId="62" applyFont="1" applyFill="1" applyBorder="1" applyAlignment="1"/>
    <xf numFmtId="0" fontId="218" fillId="34" borderId="139" xfId="62" applyFont="1" applyFill="1" applyBorder="1" applyAlignment="1"/>
    <xf numFmtId="3" fontId="219" fillId="0" borderId="35" xfId="62" applyNumberFormat="1" applyFont="1" applyFill="1" applyBorder="1" applyAlignment="1"/>
    <xf numFmtId="0" fontId="218" fillId="0" borderId="0" xfId="14" applyFont="1" applyAlignment="1"/>
    <xf numFmtId="0" fontId="217" fillId="34" borderId="285" xfId="62" applyFont="1" applyFill="1" applyBorder="1" applyAlignment="1"/>
    <xf numFmtId="3" fontId="221" fillId="0" borderId="0" xfId="14" applyNumberFormat="1" applyFont="1" applyAlignment="1"/>
    <xf numFmtId="3" fontId="226" fillId="0" borderId="35" xfId="39" applyNumberFormat="1" applyFont="1" applyFill="1" applyBorder="1" applyAlignment="1"/>
    <xf numFmtId="3" fontId="219" fillId="0" borderId="35" xfId="14" applyNumberFormat="1" applyFont="1" applyFill="1" applyBorder="1" applyAlignment="1"/>
    <xf numFmtId="3" fontId="222" fillId="0" borderId="35" xfId="62" applyNumberFormat="1" applyFont="1" applyFill="1" applyBorder="1" applyAlignment="1"/>
    <xf numFmtId="0" fontId="226" fillId="0" borderId="35" xfId="14" applyFont="1" applyBorder="1" applyAlignment="1"/>
    <xf numFmtId="0" fontId="217" fillId="34" borderId="300" xfId="62" applyFont="1" applyFill="1" applyBorder="1" applyAlignment="1"/>
    <xf numFmtId="3" fontId="218" fillId="0" borderId="0" xfId="14" applyNumberFormat="1" applyFont="1" applyAlignment="1"/>
    <xf numFmtId="0" fontId="217" fillId="34" borderId="160" xfId="62" applyFont="1" applyFill="1" applyBorder="1" applyAlignment="1"/>
    <xf numFmtId="0" fontId="218" fillId="34" borderId="140" xfId="62" applyFont="1" applyFill="1" applyBorder="1" applyAlignment="1"/>
    <xf numFmtId="3" fontId="219" fillId="0" borderId="103" xfId="62" applyNumberFormat="1" applyFont="1" applyFill="1" applyBorder="1" applyAlignment="1"/>
    <xf numFmtId="1" fontId="229" fillId="0" borderId="0" xfId="14" applyNumberFormat="1" applyFont="1" applyAlignment="1"/>
    <xf numFmtId="0" fontId="228" fillId="0" borderId="0" xfId="14" applyFont="1" applyAlignment="1"/>
    <xf numFmtId="0" fontId="225" fillId="34" borderId="283" xfId="62" applyFont="1" applyFill="1" applyBorder="1" applyAlignment="1">
      <alignment horizontal="center"/>
    </xf>
    <xf numFmtId="0" fontId="225" fillId="34" borderId="180" xfId="62" applyFont="1" applyFill="1" applyBorder="1" applyAlignment="1">
      <alignment horizontal="center"/>
    </xf>
    <xf numFmtId="0" fontId="221" fillId="34" borderId="0" xfId="62" applyFont="1" applyFill="1" applyBorder="1" applyAlignment="1">
      <alignment horizontal="center" vertical="top" wrapText="1"/>
    </xf>
    <xf numFmtId="0" fontId="221" fillId="0" borderId="301" xfId="14" applyFont="1" applyBorder="1" applyAlignment="1"/>
    <xf numFmtId="0" fontId="220" fillId="34" borderId="300" xfId="62" applyFont="1" applyFill="1" applyBorder="1" applyAlignment="1"/>
    <xf numFmtId="3" fontId="226" fillId="0" borderId="35" xfId="14" applyNumberFormat="1" applyFont="1" applyBorder="1" applyAlignment="1"/>
    <xf numFmtId="3" fontId="222" fillId="0" borderId="35" xfId="62" applyNumberFormat="1" applyFont="1" applyBorder="1" applyAlignment="1"/>
    <xf numFmtId="3" fontId="219" fillId="0" borderId="35" xfId="14" applyNumberFormat="1" applyFont="1" applyBorder="1" applyAlignment="1"/>
    <xf numFmtId="0" fontId="221" fillId="0" borderId="0" xfId="14" applyFont="1" applyFill="1" applyAlignment="1"/>
    <xf numFmtId="0" fontId="220" fillId="34" borderId="160" xfId="62" applyFont="1" applyFill="1" applyBorder="1" applyAlignment="1"/>
    <xf numFmtId="0" fontId="225" fillId="34" borderId="140" xfId="62" applyFont="1" applyFill="1" applyBorder="1" applyAlignment="1"/>
    <xf numFmtId="3" fontId="221" fillId="0" borderId="103" xfId="14" applyNumberFormat="1" applyFont="1" applyBorder="1" applyAlignment="1"/>
    <xf numFmtId="0" fontId="221" fillId="0" borderId="103" xfId="14" applyFont="1" applyBorder="1" applyAlignment="1"/>
    <xf numFmtId="0" fontId="221" fillId="0" borderId="13" xfId="14" applyFont="1" applyBorder="1" applyAlignment="1"/>
    <xf numFmtId="0" fontId="230" fillId="0" borderId="0" xfId="14" applyFont="1" applyAlignment="1"/>
    <xf numFmtId="43" fontId="226" fillId="0" borderId="0" xfId="39" applyNumberFormat="1" applyFont="1" applyFill="1" applyAlignment="1"/>
    <xf numFmtId="174" fontId="226" fillId="0" borderId="0" xfId="39" applyNumberFormat="1" applyFont="1" applyFill="1" applyAlignment="1"/>
    <xf numFmtId="0" fontId="227" fillId="0" borderId="0" xfId="14" applyFont="1" applyAlignment="1"/>
    <xf numFmtId="0" fontId="45" fillId="5" borderId="0" xfId="23" quotePrefix="1" applyFont="1" applyFill="1" applyAlignment="1">
      <alignment horizontal="left" vertical="center" wrapText="1"/>
    </xf>
    <xf numFmtId="0" fontId="18" fillId="5" borderId="0" xfId="4" applyFont="1" applyFill="1" applyAlignment="1">
      <alignment horizontal="left"/>
    </xf>
    <xf numFmtId="0" fontId="37" fillId="3" borderId="53" xfId="4" applyFont="1" applyFill="1" applyBorder="1" applyAlignment="1">
      <alignment horizontal="center"/>
    </xf>
    <xf numFmtId="0" fontId="37" fillId="3" borderId="26" xfId="4" applyFont="1" applyFill="1" applyBorder="1" applyAlignment="1">
      <alignment horizontal="center"/>
    </xf>
    <xf numFmtId="0" fontId="45" fillId="5" borderId="88" xfId="4" applyFont="1" applyFill="1" applyBorder="1" applyAlignment="1">
      <alignment horizontal="center"/>
    </xf>
    <xf numFmtId="0" fontId="48" fillId="5" borderId="88" xfId="13" applyFont="1" applyFill="1" applyBorder="1" applyAlignment="1">
      <alignment horizontal="center" vertical="center"/>
    </xf>
    <xf numFmtId="0" fontId="45" fillId="5" borderId="9" xfId="13" applyFont="1" applyFill="1" applyBorder="1" applyAlignment="1">
      <alignment horizontal="left" vertical="top" wrapText="1"/>
    </xf>
    <xf numFmtId="0" fontId="3" fillId="0" borderId="9" xfId="8" applyBorder="1" applyAlignment="1">
      <alignment horizontal="left" wrapText="1"/>
    </xf>
    <xf numFmtId="4" fontId="37" fillId="3" borderId="121" xfId="13" applyNumberFormat="1" applyFont="1" applyFill="1" applyBorder="1" applyAlignment="1" applyProtection="1">
      <alignment horizontal="center" vertical="center"/>
    </xf>
    <xf numFmtId="4" fontId="37" fillId="3" borderId="26" xfId="13" applyNumberFormat="1" applyFont="1" applyFill="1" applyBorder="1" applyAlignment="1" applyProtection="1">
      <alignment horizontal="center" vertical="center"/>
    </xf>
    <xf numFmtId="0" fontId="37" fillId="3" borderId="53" xfId="13" applyFont="1" applyFill="1" applyBorder="1" applyAlignment="1" applyProtection="1">
      <alignment horizontal="center" vertical="center"/>
    </xf>
    <xf numFmtId="0" fontId="37" fillId="3" borderId="26" xfId="13" applyFont="1" applyFill="1" applyBorder="1" applyAlignment="1" applyProtection="1">
      <alignment horizontal="center" vertical="center"/>
    </xf>
    <xf numFmtId="0" fontId="45" fillId="5" borderId="12" xfId="16" applyFont="1" applyFill="1" applyBorder="1" applyAlignment="1">
      <alignment horizontal="right" vertical="center"/>
    </xf>
    <xf numFmtId="0" fontId="37" fillId="9" borderId="8" xfId="16" applyFont="1" applyFill="1" applyBorder="1" applyAlignment="1">
      <alignment horizontal="center" vertical="center"/>
    </xf>
    <xf numFmtId="0" fontId="37" fillId="9" borderId="10" xfId="16" applyFont="1" applyFill="1" applyBorder="1" applyAlignment="1">
      <alignment horizontal="center" vertical="center"/>
    </xf>
    <xf numFmtId="0" fontId="29" fillId="9" borderId="124" xfId="16" applyFont="1" applyFill="1" applyBorder="1" applyAlignment="1">
      <alignment horizontal="center" vertical="center"/>
    </xf>
    <xf numFmtId="0" fontId="29" fillId="9" borderId="125" xfId="16" applyFont="1" applyFill="1" applyBorder="1" applyAlignment="1">
      <alignment horizontal="center" vertical="center"/>
    </xf>
    <xf numFmtId="0" fontId="29" fillId="9" borderId="126" xfId="16" applyFont="1" applyFill="1" applyBorder="1" applyAlignment="1">
      <alignment horizontal="center" vertical="center"/>
    </xf>
    <xf numFmtId="0" fontId="45" fillId="17" borderId="136" xfId="16" applyFont="1" applyFill="1" applyBorder="1" applyAlignment="1">
      <alignment horizontal="center" vertical="center"/>
    </xf>
    <xf numFmtId="0" fontId="45" fillId="17" borderId="137" xfId="16" applyFont="1" applyFill="1" applyBorder="1" applyAlignment="1">
      <alignment horizontal="center" vertical="center"/>
    </xf>
    <xf numFmtId="0" fontId="62" fillId="17" borderId="124" xfId="16" applyFont="1" applyFill="1" applyBorder="1" applyAlignment="1">
      <alignment horizontal="center" vertical="center"/>
    </xf>
    <xf numFmtId="0" fontId="62" fillId="17" borderId="125" xfId="16" applyFont="1" applyFill="1" applyBorder="1" applyAlignment="1">
      <alignment horizontal="center" vertical="center"/>
    </xf>
    <xf numFmtId="0" fontId="62" fillId="17" borderId="126" xfId="16" applyFont="1" applyFill="1" applyBorder="1" applyAlignment="1">
      <alignment horizontal="center" vertical="center"/>
    </xf>
    <xf numFmtId="15" fontId="39" fillId="11" borderId="124" xfId="18" applyNumberFormat="1" applyFont="1" applyFill="1" applyBorder="1" applyAlignment="1">
      <alignment horizontal="center" vertical="center"/>
    </xf>
    <xf numFmtId="15" fontId="39" fillId="11" borderId="126" xfId="18" applyNumberFormat="1" applyFont="1" applyFill="1" applyBorder="1" applyAlignment="1">
      <alignment horizontal="center" vertical="center"/>
    </xf>
    <xf numFmtId="0" fontId="62" fillId="5" borderId="0" xfId="18" applyFont="1" applyFill="1" applyBorder="1" applyAlignment="1">
      <alignment horizontal="right" vertical="center"/>
    </xf>
    <xf numFmtId="0" fontId="39" fillId="18" borderId="124" xfId="18" applyFont="1" applyFill="1" applyBorder="1" applyAlignment="1">
      <alignment horizontal="center" vertical="center"/>
    </xf>
    <xf numFmtId="0" fontId="39" fillId="18" borderId="125" xfId="18" applyFont="1" applyFill="1" applyBorder="1" applyAlignment="1">
      <alignment horizontal="center" vertical="center"/>
    </xf>
    <xf numFmtId="0" fontId="39" fillId="18" borderId="126" xfId="18" applyFont="1" applyFill="1" applyBorder="1" applyAlignment="1">
      <alignment horizontal="center" vertical="center"/>
    </xf>
    <xf numFmtId="0" fontId="28" fillId="5" borderId="0" xfId="18" applyFont="1" applyFill="1" applyAlignment="1">
      <alignment horizontal="left" vertical="center"/>
    </xf>
    <xf numFmtId="168" fontId="37" fillId="18" borderId="124" xfId="18" applyNumberFormat="1" applyFont="1" applyFill="1" applyBorder="1" applyAlignment="1">
      <alignment horizontal="center" vertical="center"/>
    </xf>
    <xf numFmtId="168" fontId="37" fillId="18" borderId="126" xfId="18" applyNumberFormat="1" applyFont="1" applyFill="1" applyBorder="1" applyAlignment="1">
      <alignment horizontal="center" vertical="center"/>
    </xf>
    <xf numFmtId="184" fontId="39" fillId="5" borderId="8" xfId="19" applyNumberFormat="1" applyFont="1" applyFill="1" applyBorder="1" applyAlignment="1">
      <alignment horizontal="center" vertical="center"/>
    </xf>
    <xf numFmtId="184" fontId="39" fillId="5" borderId="10" xfId="19" applyNumberFormat="1" applyFont="1" applyFill="1" applyBorder="1" applyAlignment="1">
      <alignment horizontal="center" vertical="center"/>
    </xf>
    <xf numFmtId="184" fontId="39" fillId="5" borderId="6" xfId="19" applyNumberFormat="1" applyFont="1" applyFill="1" applyBorder="1" applyAlignment="1">
      <alignment horizontal="center" vertical="center"/>
    </xf>
    <xf numFmtId="184" fontId="39" fillId="5" borderId="7" xfId="19" applyNumberFormat="1" applyFont="1" applyFill="1" applyBorder="1" applyAlignment="1">
      <alignment horizontal="center" vertical="center"/>
    </xf>
    <xf numFmtId="2" fontId="39" fillId="5" borderId="6" xfId="19" applyNumberFormat="1" applyFont="1" applyFill="1" applyBorder="1" applyAlignment="1">
      <alignment horizontal="center" vertical="center"/>
    </xf>
    <xf numFmtId="2" fontId="39" fillId="5" borderId="7" xfId="19" applyNumberFormat="1" applyFont="1" applyFill="1" applyBorder="1" applyAlignment="1">
      <alignment horizontal="center" vertical="center"/>
    </xf>
    <xf numFmtId="38" fontId="37" fillId="5" borderId="11" xfId="18" applyNumberFormat="1" applyFont="1" applyFill="1" applyBorder="1" applyAlignment="1">
      <alignment horizontal="center" vertical="center"/>
    </xf>
    <xf numFmtId="38" fontId="37" fillId="5" borderId="13" xfId="18" applyNumberFormat="1" applyFont="1" applyFill="1" applyBorder="1" applyAlignment="1">
      <alignment horizontal="center" vertical="center"/>
    </xf>
    <xf numFmtId="0" fontId="18" fillId="5" borderId="0" xfId="18" applyFont="1" applyFill="1" applyAlignment="1">
      <alignment horizontal="left"/>
    </xf>
    <xf numFmtId="0" fontId="39" fillId="19" borderId="124" xfId="18" applyFont="1" applyFill="1" applyBorder="1" applyAlignment="1">
      <alignment horizontal="center" vertical="center"/>
    </xf>
    <xf numFmtId="0" fontId="39" fillId="19" borderId="125" xfId="18" applyFont="1" applyFill="1" applyBorder="1" applyAlignment="1">
      <alignment horizontal="center" vertical="center"/>
    </xf>
    <xf numFmtId="0" fontId="39" fillId="19" borderId="126" xfId="18" applyFont="1" applyFill="1" applyBorder="1" applyAlignment="1">
      <alignment horizontal="center" vertical="center"/>
    </xf>
    <xf numFmtId="40" fontId="39" fillId="5" borderId="6" xfId="19" applyNumberFormat="1" applyFont="1" applyFill="1" applyBorder="1" applyAlignment="1">
      <alignment horizontal="center" vertical="center"/>
    </xf>
    <xf numFmtId="40" fontId="39" fillId="5" borderId="7" xfId="19" applyNumberFormat="1" applyFont="1" applyFill="1" applyBorder="1" applyAlignment="1">
      <alignment horizontal="center" vertical="center"/>
    </xf>
    <xf numFmtId="49" fontId="39" fillId="5" borderId="6" xfId="19" applyNumberFormat="1" applyFont="1" applyFill="1" applyBorder="1" applyAlignment="1">
      <alignment horizontal="center" vertical="center"/>
    </xf>
    <xf numFmtId="49" fontId="39" fillId="5" borderId="7" xfId="19" applyNumberFormat="1" applyFont="1" applyFill="1" applyBorder="1" applyAlignment="1">
      <alignment horizontal="center" vertical="center"/>
    </xf>
    <xf numFmtId="0" fontId="18" fillId="15" borderId="0" xfId="16" applyFont="1" applyFill="1" applyBorder="1" applyAlignment="1">
      <alignment horizontal="left" vertical="center"/>
    </xf>
    <xf numFmtId="0" fontId="18" fillId="15" borderId="7" xfId="16" applyFont="1" applyFill="1" applyBorder="1" applyAlignment="1">
      <alignment horizontal="left" vertical="center"/>
    </xf>
    <xf numFmtId="186" fontId="18" fillId="5" borderId="8" xfId="20" applyNumberFormat="1" applyFont="1" applyFill="1" applyBorder="1" applyAlignment="1">
      <alignment horizontal="center" vertical="center"/>
    </xf>
    <xf numFmtId="186" fontId="18" fillId="5" borderId="10" xfId="20" applyNumberFormat="1" applyFont="1" applyFill="1" applyBorder="1" applyAlignment="1">
      <alignment horizontal="center" vertical="center"/>
    </xf>
    <xf numFmtId="0" fontId="18" fillId="5" borderId="0" xfId="16" applyFont="1" applyFill="1" applyAlignment="1">
      <alignment horizontal="left" wrapText="1"/>
    </xf>
    <xf numFmtId="0" fontId="18" fillId="18" borderId="8" xfId="16" applyFont="1" applyFill="1" applyBorder="1" applyAlignment="1">
      <alignment horizontal="center" vertical="center"/>
    </xf>
    <xf numFmtId="0" fontId="18" fillId="18" borderId="10" xfId="16" applyFont="1" applyFill="1" applyBorder="1" applyAlignment="1">
      <alignment horizontal="center" vertical="center"/>
    </xf>
    <xf numFmtId="15" fontId="18" fillId="18" borderId="11" xfId="16" applyNumberFormat="1" applyFont="1" applyFill="1" applyBorder="1" applyAlignment="1">
      <alignment horizontal="center" vertical="center"/>
    </xf>
    <xf numFmtId="15" fontId="18" fillId="18" borderId="13" xfId="16" applyNumberFormat="1" applyFont="1" applyFill="1" applyBorder="1" applyAlignment="1">
      <alignment horizontal="center" vertical="center"/>
    </xf>
    <xf numFmtId="186" fontId="18" fillId="5" borderId="6" xfId="21" applyNumberFormat="1" applyFont="1" applyFill="1" applyBorder="1" applyAlignment="1">
      <alignment horizontal="center" vertical="center"/>
    </xf>
    <xf numFmtId="186" fontId="18" fillId="5" borderId="7" xfId="21" applyNumberFormat="1" applyFont="1" applyFill="1" applyBorder="1" applyAlignment="1">
      <alignment horizontal="center" vertical="center"/>
    </xf>
    <xf numFmtId="40" fontId="18" fillId="5" borderId="6" xfId="21" applyNumberFormat="1" applyFont="1" applyFill="1" applyBorder="1" applyAlignment="1">
      <alignment horizontal="center" vertical="center"/>
    </xf>
    <xf numFmtId="40" fontId="18" fillId="5" borderId="7" xfId="21" applyNumberFormat="1" applyFont="1" applyFill="1" applyBorder="1" applyAlignment="1">
      <alignment horizontal="center" vertical="center"/>
    </xf>
    <xf numFmtId="185" fontId="18" fillId="5" borderId="6" xfId="21" applyNumberFormat="1" applyFont="1" applyFill="1" applyBorder="1" applyAlignment="1">
      <alignment horizontal="center" vertical="center"/>
    </xf>
    <xf numFmtId="185" fontId="18" fillId="5" borderId="7" xfId="21" applyNumberFormat="1" applyFont="1" applyFill="1" applyBorder="1" applyAlignment="1">
      <alignment horizontal="center" vertical="center"/>
    </xf>
    <xf numFmtId="184" fontId="18" fillId="5" borderId="6" xfId="21" applyNumberFormat="1" applyFont="1" applyFill="1" applyBorder="1" applyAlignment="1">
      <alignment horizontal="center" vertical="center"/>
    </xf>
    <xf numFmtId="184" fontId="18" fillId="5" borderId="7" xfId="21" applyNumberFormat="1" applyFont="1" applyFill="1" applyBorder="1" applyAlignment="1">
      <alignment horizontal="center" vertical="center"/>
    </xf>
    <xf numFmtId="0" fontId="21" fillId="5" borderId="11" xfId="16" applyFont="1" applyFill="1" applyBorder="1" applyAlignment="1">
      <alignment horizontal="center" vertical="center"/>
    </xf>
    <xf numFmtId="0" fontId="21" fillId="5" borderId="13" xfId="16" applyFont="1" applyFill="1" applyBorder="1" applyAlignment="1">
      <alignment horizontal="center" vertical="center"/>
    </xf>
    <xf numFmtId="0" fontId="18" fillId="15" borderId="9" xfId="16" applyFont="1" applyFill="1" applyBorder="1" applyAlignment="1">
      <alignment horizontal="left" vertical="center"/>
    </xf>
    <xf numFmtId="0" fontId="18" fillId="15" borderId="10" xfId="16" applyFont="1" applyFill="1" applyBorder="1" applyAlignment="1">
      <alignment horizontal="left" vertical="center"/>
    </xf>
    <xf numFmtId="0" fontId="28" fillId="5" borderId="0" xfId="16" applyFont="1" applyFill="1" applyAlignment="1">
      <alignment horizontal="left" wrapText="1"/>
    </xf>
    <xf numFmtId="187" fontId="74" fillId="4" borderId="6" xfId="22" applyNumberFormat="1" applyFont="1" applyFill="1" applyBorder="1" applyAlignment="1">
      <alignment horizontal="center" vertical="center"/>
    </xf>
    <xf numFmtId="0" fontId="114" fillId="4" borderId="37" xfId="22" applyFont="1" applyFill="1" applyBorder="1" applyAlignment="1">
      <alignment horizontal="center"/>
    </xf>
    <xf numFmtId="0" fontId="74" fillId="5" borderId="0" xfId="22" applyFont="1" applyFill="1" applyAlignment="1">
      <alignment horizontal="left" vertical="center"/>
    </xf>
    <xf numFmtId="0" fontId="74" fillId="4" borderId="8" xfId="22" applyFont="1" applyFill="1" applyBorder="1" applyAlignment="1">
      <alignment horizontal="center" vertical="center" wrapText="1"/>
    </xf>
    <xf numFmtId="0" fontId="74" fillId="4" borderId="31" xfId="22" applyFont="1" applyFill="1" applyBorder="1" applyAlignment="1">
      <alignment horizontal="center" vertical="center" wrapText="1"/>
    </xf>
    <xf numFmtId="0" fontId="74" fillId="4" borderId="11" xfId="22" applyFont="1" applyFill="1" applyBorder="1" applyAlignment="1">
      <alignment horizontal="center" vertical="center" wrapText="1"/>
    </xf>
    <xf numFmtId="0" fontId="74" fillId="4" borderId="104" xfId="22" applyFont="1" applyFill="1" applyBorder="1" applyAlignment="1">
      <alignment horizontal="center" vertical="center" wrapText="1"/>
    </xf>
    <xf numFmtId="187" fontId="74" fillId="5" borderId="8" xfId="22" applyNumberFormat="1" applyFont="1" applyFill="1" applyBorder="1" applyAlignment="1">
      <alignment horizontal="center" vertical="center"/>
    </xf>
    <xf numFmtId="0" fontId="114" fillId="5" borderId="31" xfId="22" applyFont="1" applyFill="1" applyBorder="1"/>
    <xf numFmtId="187" fontId="74" fillId="5" borderId="6" xfId="22" applyNumberFormat="1" applyFont="1" applyFill="1" applyBorder="1" applyAlignment="1">
      <alignment horizontal="center" vertical="center"/>
    </xf>
    <xf numFmtId="0" fontId="114" fillId="5" borderId="37" xfId="22" applyFont="1" applyFill="1" applyBorder="1"/>
    <xf numFmtId="188" fontId="74" fillId="4" borderId="6" xfId="22" applyNumberFormat="1" applyFont="1" applyFill="1" applyBorder="1" applyAlignment="1">
      <alignment horizontal="center" vertical="center"/>
    </xf>
    <xf numFmtId="188" fontId="74" fillId="4" borderId="37" xfId="22" applyNumberFormat="1" applyFont="1" applyFill="1" applyBorder="1" applyAlignment="1">
      <alignment horizontal="center" vertical="center"/>
    </xf>
    <xf numFmtId="187" fontId="74" fillId="4" borderId="11" xfId="22" applyNumberFormat="1" applyFont="1" applyFill="1" applyBorder="1" applyAlignment="1">
      <alignment horizontal="center"/>
    </xf>
    <xf numFmtId="0" fontId="114" fillId="4" borderId="104" xfId="22" applyFont="1" applyFill="1" applyBorder="1" applyAlignment="1">
      <alignment horizontal="center"/>
    </xf>
    <xf numFmtId="0" fontId="115" fillId="21" borderId="135" xfId="23" applyFont="1" applyFill="1" applyBorder="1" applyAlignment="1">
      <alignment horizontal="center" vertical="center"/>
    </xf>
    <xf numFmtId="0" fontId="115" fillId="21" borderId="136" xfId="23" applyFont="1" applyFill="1" applyBorder="1" applyAlignment="1">
      <alignment horizontal="center" vertical="center"/>
    </xf>
    <xf numFmtId="0" fontId="115" fillId="21" borderId="151" xfId="23" applyFont="1" applyFill="1" applyBorder="1" applyAlignment="1">
      <alignment horizontal="center" vertical="center"/>
    </xf>
    <xf numFmtId="0" fontId="115" fillId="21" borderId="153" xfId="23" applyFont="1" applyFill="1" applyBorder="1" applyAlignment="1">
      <alignment horizontal="center" vertical="center"/>
    </xf>
    <xf numFmtId="168" fontId="18" fillId="18" borderId="124" xfId="18" applyNumberFormat="1" applyFont="1" applyFill="1" applyBorder="1" applyAlignment="1">
      <alignment horizontal="center" vertical="center"/>
    </xf>
    <xf numFmtId="168" fontId="18" fillId="18" borderId="126" xfId="18" applyNumberFormat="1" applyFont="1" applyFill="1" applyBorder="1" applyAlignment="1">
      <alignment horizontal="center" vertical="center"/>
    </xf>
    <xf numFmtId="184" fontId="18" fillId="5" borderId="8" xfId="19" applyNumberFormat="1" applyFont="1" applyFill="1" applyBorder="1" applyAlignment="1">
      <alignment horizontal="center" vertical="center"/>
    </xf>
    <xf numFmtId="184" fontId="18" fillId="5" borderId="10" xfId="19" applyNumberFormat="1" applyFont="1" applyFill="1" applyBorder="1" applyAlignment="1">
      <alignment horizontal="center" vertical="center"/>
    </xf>
    <xf numFmtId="184" fontId="18" fillId="5" borderId="6" xfId="19" applyNumberFormat="1" applyFont="1" applyFill="1" applyBorder="1" applyAlignment="1">
      <alignment horizontal="center" vertical="center"/>
    </xf>
    <xf numFmtId="184" fontId="18" fillId="5" borderId="7" xfId="19" applyNumberFormat="1" applyFont="1" applyFill="1" applyBorder="1" applyAlignment="1">
      <alignment horizontal="center" vertical="center"/>
    </xf>
    <xf numFmtId="2" fontId="18" fillId="5" borderId="6" xfId="19" applyNumberFormat="1" applyFont="1" applyFill="1" applyBorder="1" applyAlignment="1">
      <alignment horizontal="center" vertical="center"/>
    </xf>
    <xf numFmtId="2" fontId="18" fillId="5" borderId="7" xfId="19" applyNumberFormat="1" applyFont="1" applyFill="1" applyBorder="1" applyAlignment="1">
      <alignment horizontal="center" vertical="center"/>
    </xf>
    <xf numFmtId="40" fontId="18" fillId="5" borderId="6" xfId="19" applyNumberFormat="1" applyFont="1" applyFill="1" applyBorder="1" applyAlignment="1">
      <alignment horizontal="center" vertical="center"/>
    </xf>
    <xf numFmtId="40" fontId="18" fillId="5" borderId="7" xfId="19" applyNumberFormat="1" applyFont="1" applyFill="1" applyBorder="1" applyAlignment="1">
      <alignment horizontal="center" vertical="center"/>
    </xf>
    <xf numFmtId="0" fontId="62" fillId="5" borderId="0" xfId="22" applyFont="1" applyFill="1" applyBorder="1" applyAlignment="1">
      <alignment horizontal="left" vertical="center"/>
    </xf>
    <xf numFmtId="0" fontId="110" fillId="5" borderId="0" xfId="22" applyFont="1" applyFill="1" applyBorder="1" applyAlignment="1">
      <alignment horizontal="left" vertical="center"/>
    </xf>
    <xf numFmtId="49" fontId="18" fillId="5" borderId="6" xfId="19" applyNumberFormat="1" applyFont="1" applyFill="1" applyBorder="1" applyAlignment="1">
      <alignment horizontal="center" vertical="center"/>
    </xf>
    <xf numFmtId="49" fontId="18" fillId="5" borderId="7" xfId="19" applyNumberFormat="1" applyFont="1" applyFill="1" applyBorder="1" applyAlignment="1">
      <alignment horizontal="center" vertical="center"/>
    </xf>
    <xf numFmtId="38" fontId="18" fillId="5" borderId="11" xfId="18" applyNumberFormat="1" applyFont="1" applyFill="1" applyBorder="1" applyAlignment="1">
      <alignment horizontal="center" vertical="center"/>
    </xf>
    <xf numFmtId="38" fontId="18" fillId="5" borderId="12" xfId="18" applyNumberFormat="1" applyFont="1" applyFill="1" applyBorder="1" applyAlignment="1">
      <alignment horizontal="center" vertical="center"/>
    </xf>
    <xf numFmtId="38" fontId="18" fillId="5" borderId="13" xfId="18" applyNumberFormat="1" applyFont="1" applyFill="1" applyBorder="1" applyAlignment="1">
      <alignment horizontal="center" vertical="center"/>
    </xf>
    <xf numFmtId="0" fontId="62" fillId="5" borderId="9" xfId="22" applyFont="1" applyFill="1" applyBorder="1" applyAlignment="1">
      <alignment horizontal="left" vertical="top"/>
    </xf>
    <xf numFmtId="0" fontId="120" fillId="5" borderId="0" xfId="22" applyFont="1" applyFill="1" applyBorder="1" applyAlignment="1">
      <alignment horizontal="left" vertical="top"/>
    </xf>
    <xf numFmtId="38" fontId="18" fillId="5" borderId="11" xfId="22" applyNumberFormat="1" applyFont="1" applyFill="1" applyBorder="1" applyAlignment="1">
      <alignment horizontal="center" vertical="center"/>
    </xf>
    <xf numFmtId="38" fontId="18" fillId="5" borderId="13" xfId="22" applyNumberFormat="1" applyFont="1" applyFill="1" applyBorder="1" applyAlignment="1">
      <alignment horizontal="center" vertical="center"/>
    </xf>
    <xf numFmtId="0" fontId="120" fillId="5" borderId="9" xfId="22" applyFont="1" applyFill="1" applyBorder="1" applyAlignment="1">
      <alignment horizontal="left" vertical="top"/>
    </xf>
    <xf numFmtId="2" fontId="18" fillId="5" borderId="6" xfId="24" applyNumberFormat="1" applyFont="1" applyFill="1" applyBorder="1" applyAlignment="1">
      <alignment horizontal="center" vertical="center"/>
    </xf>
    <xf numFmtId="2" fontId="18" fillId="5" borderId="7" xfId="24" applyNumberFormat="1" applyFont="1" applyFill="1" applyBorder="1" applyAlignment="1">
      <alignment horizontal="center" vertical="center"/>
    </xf>
    <xf numFmtId="40" fontId="18" fillId="5" borderId="6" xfId="24" applyNumberFormat="1" applyFont="1" applyFill="1" applyBorder="1" applyAlignment="1">
      <alignment horizontal="center" vertical="center"/>
    </xf>
    <xf numFmtId="40" fontId="18" fillId="5" borderId="7" xfId="24" applyNumberFormat="1" applyFont="1" applyFill="1" applyBorder="1" applyAlignment="1">
      <alignment horizontal="center" vertical="center"/>
    </xf>
    <xf numFmtId="189" fontId="18" fillId="5" borderId="6" xfId="24" applyNumberFormat="1" applyFont="1" applyFill="1" applyBorder="1" applyAlignment="1">
      <alignment horizontal="center" vertical="center"/>
    </xf>
    <xf numFmtId="189" fontId="18" fillId="5" borderId="7" xfId="24" applyNumberFormat="1" applyFont="1" applyFill="1" applyBorder="1" applyAlignment="1">
      <alignment horizontal="center" vertical="center"/>
    </xf>
    <xf numFmtId="168" fontId="18" fillId="18" borderId="124" xfId="22" applyNumberFormat="1" applyFont="1" applyFill="1" applyBorder="1" applyAlignment="1">
      <alignment horizontal="center" vertical="center"/>
    </xf>
    <xf numFmtId="168" fontId="18" fillId="18" borderId="126" xfId="22" applyNumberFormat="1" applyFont="1" applyFill="1" applyBorder="1" applyAlignment="1">
      <alignment horizontal="center" vertical="center"/>
    </xf>
    <xf numFmtId="15" fontId="18" fillId="11" borderId="124" xfId="22" applyNumberFormat="1" applyFont="1" applyFill="1" applyBorder="1" applyAlignment="1">
      <alignment horizontal="center" vertical="center"/>
    </xf>
    <xf numFmtId="15" fontId="18" fillId="11" borderId="126" xfId="22" applyNumberFormat="1" applyFont="1" applyFill="1" applyBorder="1" applyAlignment="1">
      <alignment horizontal="center" vertical="center"/>
    </xf>
    <xf numFmtId="184" fontId="18" fillId="5" borderId="8" xfId="24" applyNumberFormat="1" applyFont="1" applyFill="1" applyBorder="1" applyAlignment="1">
      <alignment horizontal="center" vertical="center"/>
    </xf>
    <xf numFmtId="184" fontId="18" fillId="5" borderId="10" xfId="24" applyNumberFormat="1" applyFont="1" applyFill="1" applyBorder="1" applyAlignment="1">
      <alignment horizontal="center" vertical="center"/>
    </xf>
    <xf numFmtId="0" fontId="45" fillId="5" borderId="9" xfId="22" applyFont="1" applyFill="1" applyBorder="1" applyAlignment="1">
      <alignment horizontal="left" vertical="top"/>
    </xf>
    <xf numFmtId="0" fontId="45" fillId="5" borderId="0" xfId="22" applyFont="1" applyFill="1" applyBorder="1" applyAlignment="1">
      <alignment horizontal="left" vertical="center"/>
    </xf>
    <xf numFmtId="0" fontId="44" fillId="5" borderId="0" xfId="22" applyFont="1" applyFill="1" applyBorder="1" applyAlignment="1">
      <alignment horizontal="left" vertical="center"/>
    </xf>
    <xf numFmtId="40" fontId="18" fillId="5" borderId="0" xfId="24" applyNumberFormat="1" applyFont="1" applyFill="1" applyBorder="1" applyAlignment="1">
      <alignment horizontal="center" vertical="center"/>
    </xf>
    <xf numFmtId="189" fontId="18" fillId="5" borderId="0" xfId="24" applyNumberFormat="1" applyFont="1" applyFill="1" applyBorder="1" applyAlignment="1">
      <alignment horizontal="center" vertical="center"/>
    </xf>
    <xf numFmtId="38" fontId="18" fillId="5" borderId="0" xfId="22" applyNumberFormat="1" applyFont="1" applyFill="1" applyBorder="1" applyAlignment="1">
      <alignment horizontal="center" vertical="center"/>
    </xf>
    <xf numFmtId="15" fontId="18" fillId="23" borderId="0" xfId="22" applyNumberFormat="1" applyFont="1" applyFill="1" applyBorder="1" applyAlignment="1">
      <alignment horizontal="center" vertical="center"/>
    </xf>
    <xf numFmtId="184" fontId="18" fillId="5" borderId="0" xfId="24" applyNumberFormat="1" applyFont="1" applyFill="1" applyBorder="1" applyAlignment="1">
      <alignment horizontal="center" vertical="center"/>
    </xf>
    <xf numFmtId="2" fontId="18" fillId="5" borderId="0" xfId="24" applyNumberFormat="1" applyFont="1" applyFill="1" applyBorder="1" applyAlignment="1">
      <alignment horizontal="center" vertical="center"/>
    </xf>
    <xf numFmtId="0" fontId="110" fillId="5" borderId="0" xfId="22" applyFont="1" applyFill="1" applyBorder="1" applyAlignment="1">
      <alignment vertical="center"/>
    </xf>
    <xf numFmtId="168" fontId="18" fillId="22" borderId="0" xfId="22" applyNumberFormat="1" applyFont="1" applyFill="1" applyBorder="1" applyAlignment="1">
      <alignment horizontal="center" vertical="center"/>
    </xf>
    <xf numFmtId="0" fontId="44" fillId="5" borderId="0" xfId="22" applyFont="1" applyFill="1" applyBorder="1" applyAlignment="1">
      <alignment vertical="center"/>
    </xf>
    <xf numFmtId="0" fontId="39" fillId="4" borderId="99" xfId="16" applyFont="1" applyFill="1" applyBorder="1" applyAlignment="1">
      <alignment horizontal="center" vertical="center"/>
    </xf>
    <xf numFmtId="0" fontId="15" fillId="5" borderId="0" xfId="25" applyFont="1" applyFill="1" applyAlignment="1">
      <alignment horizontal="left" vertical="center"/>
    </xf>
    <xf numFmtId="4" fontId="23" fillId="5" borderId="6" xfId="25" applyNumberFormat="1" applyFont="1" applyFill="1" applyBorder="1" applyAlignment="1">
      <alignment horizontal="center" vertical="center"/>
    </xf>
    <xf numFmtId="4" fontId="23" fillId="5" borderId="0" xfId="25" applyNumberFormat="1" applyFont="1" applyFill="1" applyBorder="1" applyAlignment="1">
      <alignment horizontal="center" vertical="center"/>
    </xf>
    <xf numFmtId="0" fontId="35" fillId="5" borderId="0" xfId="25" applyFont="1" applyFill="1" applyAlignment="1">
      <alignment horizontal="left" vertical="center"/>
    </xf>
    <xf numFmtId="0" fontId="104" fillId="21" borderId="163" xfId="13" applyFont="1" applyFill="1" applyBorder="1" applyAlignment="1">
      <alignment horizontal="center" vertical="center"/>
    </xf>
    <xf numFmtId="0" fontId="104" fillId="21" borderId="136" xfId="13" applyFont="1" applyFill="1" applyBorder="1" applyAlignment="1">
      <alignment horizontal="center" vertical="center"/>
    </xf>
    <xf numFmtId="0" fontId="104" fillId="21" borderId="137" xfId="13" applyFont="1" applyFill="1" applyBorder="1" applyAlignment="1">
      <alignment horizontal="center" vertical="center"/>
    </xf>
    <xf numFmtId="0" fontId="104" fillId="21" borderId="135" xfId="13" applyFont="1" applyFill="1" applyBorder="1" applyAlignment="1">
      <alignment horizontal="center" vertical="center"/>
    </xf>
    <xf numFmtId="0" fontId="104" fillId="21" borderId="124" xfId="13" applyFont="1" applyFill="1" applyBorder="1" applyAlignment="1">
      <alignment horizontal="center" vertical="center"/>
    </xf>
    <xf numFmtId="0" fontId="104" fillId="21" borderId="126" xfId="13" applyFont="1" applyFill="1" applyBorder="1" applyAlignment="1">
      <alignment horizontal="center" vertical="center"/>
    </xf>
    <xf numFmtId="0" fontId="30" fillId="5" borderId="0" xfId="26" applyFont="1" applyFill="1" applyAlignment="1">
      <alignment horizontal="left" vertical="center" wrapText="1"/>
    </xf>
    <xf numFmtId="0" fontId="30" fillId="0" borderId="0" xfId="26" applyFont="1" applyFill="1" applyAlignment="1">
      <alignment vertical="center" wrapText="1"/>
    </xf>
    <xf numFmtId="3" fontId="37" fillId="29" borderId="158" xfId="22" applyNumberFormat="1" applyFont="1" applyFill="1" applyBorder="1" applyAlignment="1">
      <alignment horizontal="center" vertical="top" wrapText="1"/>
    </xf>
    <xf numFmtId="3" fontId="37" fillId="29" borderId="176" xfId="22" applyNumberFormat="1" applyFont="1" applyFill="1" applyBorder="1" applyAlignment="1">
      <alignment horizontal="center" vertical="top" wrapText="1"/>
    </xf>
    <xf numFmtId="3" fontId="37" fillId="29" borderId="177" xfId="22" applyNumberFormat="1" applyFont="1" applyFill="1" applyBorder="1" applyAlignment="1">
      <alignment horizontal="center" vertical="top" wrapText="1"/>
    </xf>
    <xf numFmtId="3" fontId="37" fillId="29" borderId="180" xfId="22" applyNumberFormat="1" applyFont="1" applyFill="1" applyBorder="1" applyAlignment="1">
      <alignment horizontal="center" vertical="top" wrapText="1"/>
    </xf>
    <xf numFmtId="3" fontId="37" fillId="29" borderId="1" xfId="22" applyNumberFormat="1" applyFont="1" applyFill="1" applyBorder="1" applyAlignment="1">
      <alignment horizontal="center" vertical="top" wrapText="1"/>
    </xf>
    <xf numFmtId="3" fontId="37" fillId="29" borderId="40" xfId="22" applyNumberFormat="1" applyFont="1" applyFill="1" applyBorder="1" applyAlignment="1">
      <alignment horizontal="center" vertical="top" wrapText="1"/>
    </xf>
    <xf numFmtId="3" fontId="37" fillId="29" borderId="3" xfId="22" applyNumberFormat="1" applyFont="1" applyFill="1" applyBorder="1" applyAlignment="1">
      <alignment horizontal="center" vertical="top" wrapText="1"/>
    </xf>
    <xf numFmtId="3" fontId="37" fillId="29" borderId="4" xfId="22" applyNumberFormat="1" applyFont="1" applyFill="1" applyBorder="1" applyAlignment="1">
      <alignment horizontal="center" vertical="top" wrapText="1"/>
    </xf>
    <xf numFmtId="3" fontId="37" fillId="29" borderId="5" xfId="22" applyNumberFormat="1" applyFont="1" applyFill="1" applyBorder="1" applyAlignment="1">
      <alignment horizontal="center" vertical="top" wrapText="1"/>
    </xf>
    <xf numFmtId="3" fontId="37" fillId="29" borderId="178" xfId="22" applyNumberFormat="1" applyFont="1" applyFill="1" applyBorder="1" applyAlignment="1">
      <alignment horizontal="center" vertical="top"/>
    </xf>
    <xf numFmtId="3" fontId="37" fillId="29" borderId="20" xfId="22" applyNumberFormat="1" applyFont="1" applyFill="1" applyBorder="1" applyAlignment="1">
      <alignment horizontal="center" vertical="top"/>
    </xf>
    <xf numFmtId="3" fontId="37" fillId="29" borderId="179" xfId="22" applyNumberFormat="1" applyFont="1" applyFill="1" applyBorder="1" applyAlignment="1">
      <alignment horizontal="center" vertical="top"/>
    </xf>
    <xf numFmtId="3" fontId="6" fillId="5" borderId="0" xfId="3" applyNumberFormat="1" applyFont="1" applyFill="1" applyAlignment="1">
      <alignment horizontal="left" vertical="center" wrapText="1"/>
    </xf>
    <xf numFmtId="0" fontId="16" fillId="12" borderId="124" xfId="3" applyFont="1" applyFill="1" applyBorder="1" applyAlignment="1">
      <alignment horizontal="center" vertical="center"/>
    </xf>
    <xf numFmtId="0" fontId="16" fillId="12" borderId="125" xfId="3" applyFont="1" applyFill="1" applyBorder="1" applyAlignment="1">
      <alignment horizontal="center" vertical="center"/>
    </xf>
    <xf numFmtId="0" fontId="16" fillId="12" borderId="126" xfId="3" applyFont="1" applyFill="1" applyBorder="1" applyAlignment="1">
      <alignment horizontal="center" vertical="center"/>
    </xf>
    <xf numFmtId="0" fontId="16" fillId="12" borderId="125" xfId="3" applyFont="1" applyFill="1" applyBorder="1" applyAlignment="1">
      <alignment horizontal="left" vertical="center"/>
    </xf>
    <xf numFmtId="0" fontId="16" fillId="12" borderId="126" xfId="3" applyFont="1" applyFill="1" applyBorder="1" applyAlignment="1">
      <alignment horizontal="left" vertical="center"/>
    </xf>
    <xf numFmtId="0" fontId="35" fillId="5" borderId="0" xfId="3" applyFont="1" applyFill="1" applyBorder="1" applyAlignment="1">
      <alignment horizontal="left" vertical="top" wrapText="1"/>
    </xf>
    <xf numFmtId="0" fontId="15" fillId="5" borderId="0" xfId="3" applyFont="1" applyFill="1" applyBorder="1" applyAlignment="1">
      <alignment horizontal="left" vertical="top" wrapText="1"/>
    </xf>
    <xf numFmtId="0" fontId="16" fillId="12" borderId="66" xfId="22" applyFont="1" applyFill="1" applyBorder="1" applyAlignment="1" applyProtection="1">
      <alignment horizontal="center" vertical="center" wrapText="1"/>
    </xf>
    <xf numFmtId="0" fontId="16" fillId="12" borderId="64" xfId="22" applyFont="1" applyFill="1" applyBorder="1" applyAlignment="1" applyProtection="1">
      <alignment horizontal="center" vertical="center" wrapText="1"/>
    </xf>
    <xf numFmtId="0" fontId="16" fillId="12" borderId="197" xfId="22" applyFont="1" applyFill="1" applyBorder="1" applyAlignment="1" applyProtection="1">
      <alignment horizontal="center" vertical="center" wrapText="1"/>
    </xf>
    <xf numFmtId="168" fontId="14" fillId="5" borderId="35" xfId="36" applyNumberFormat="1" applyFont="1" applyFill="1" applyBorder="1" applyAlignment="1">
      <alignment horizontal="center" vertical="center"/>
    </xf>
    <xf numFmtId="168" fontId="14" fillId="5" borderId="6" xfId="36" applyNumberFormat="1" applyFont="1" applyFill="1" applyBorder="1" applyAlignment="1">
      <alignment horizontal="center" vertical="center"/>
    </xf>
    <xf numFmtId="168" fontId="14" fillId="5" borderId="7" xfId="36" applyNumberFormat="1" applyFont="1" applyFill="1" applyBorder="1" applyAlignment="1">
      <alignment horizontal="center" vertical="center"/>
    </xf>
    <xf numFmtId="168" fontId="14" fillId="5" borderId="103" xfId="36" applyNumberFormat="1" applyFont="1" applyFill="1" applyBorder="1" applyAlignment="1">
      <alignment horizontal="center" vertical="center"/>
    </xf>
    <xf numFmtId="0" fontId="48" fillId="5" borderId="0" xfId="36" applyFont="1" applyFill="1" applyBorder="1" applyAlignment="1">
      <alignment horizontal="center" vertical="center"/>
    </xf>
    <xf numFmtId="0" fontId="39" fillId="12" borderId="25" xfId="36" applyFont="1" applyFill="1" applyBorder="1" applyAlignment="1">
      <alignment horizontal="center" vertical="center" wrapText="1"/>
    </xf>
    <xf numFmtId="0" fontId="39" fillId="12" borderId="46" xfId="36" applyFont="1" applyFill="1" applyBorder="1" applyAlignment="1">
      <alignment horizontal="center" vertical="center" wrapText="1"/>
    </xf>
    <xf numFmtId="0" fontId="39" fillId="12" borderId="121" xfId="36" applyFont="1" applyFill="1" applyBorder="1" applyAlignment="1">
      <alignment horizontal="center" vertical="center"/>
    </xf>
    <xf numFmtId="0" fontId="39" fillId="12" borderId="26" xfId="36" applyFont="1" applyFill="1" applyBorder="1" applyAlignment="1">
      <alignment horizontal="center" vertical="center"/>
    </xf>
    <xf numFmtId="0" fontId="39" fillId="12" borderId="53" xfId="36" applyFont="1" applyFill="1" applyBorder="1" applyAlignment="1">
      <alignment horizontal="center" vertical="center"/>
    </xf>
    <xf numFmtId="0" fontId="39" fillId="12" borderId="198" xfId="36" applyFont="1" applyFill="1" applyBorder="1" applyAlignment="1">
      <alignment horizontal="center" vertical="center"/>
    </xf>
    <xf numFmtId="0" fontId="39" fillId="12" borderId="199" xfId="36" applyFont="1" applyFill="1" applyBorder="1" applyAlignment="1">
      <alignment horizontal="center" vertical="center"/>
    </xf>
    <xf numFmtId="0" fontId="16" fillId="12" borderId="201" xfId="13" applyFont="1" applyFill="1" applyBorder="1" applyAlignment="1">
      <alignment horizontal="center" vertical="center" wrapText="1"/>
    </xf>
    <xf numFmtId="0" fontId="3" fillId="4" borderId="204" xfId="22" applyFill="1" applyBorder="1" applyAlignment="1">
      <alignment horizontal="center" vertical="center" wrapText="1"/>
    </xf>
    <xf numFmtId="0" fontId="3" fillId="4" borderId="206" xfId="22" applyFill="1" applyBorder="1" applyAlignment="1">
      <alignment horizontal="center" vertical="center" wrapText="1"/>
    </xf>
    <xf numFmtId="0" fontId="16" fillId="12" borderId="25" xfId="13" applyFont="1" applyFill="1" applyBorder="1" applyAlignment="1">
      <alignment horizontal="center" vertical="center" wrapText="1"/>
    </xf>
    <xf numFmtId="0" fontId="3" fillId="4" borderId="30" xfId="22" applyFill="1" applyBorder="1" applyAlignment="1">
      <alignment horizontal="center" vertical="center" wrapText="1"/>
    </xf>
    <xf numFmtId="0" fontId="3" fillId="4" borderId="46" xfId="22" applyFill="1" applyBorder="1" applyAlignment="1">
      <alignment horizontal="center" vertical="center" wrapText="1"/>
    </xf>
    <xf numFmtId="0" fontId="16" fillId="12" borderId="204" xfId="13" applyFont="1" applyFill="1" applyBorder="1" applyAlignment="1">
      <alignment horizontal="center" vertical="center"/>
    </xf>
    <xf numFmtId="0" fontId="16" fillId="12" borderId="4" xfId="13" applyFont="1" applyFill="1" applyBorder="1" applyAlignment="1">
      <alignment horizontal="center" vertical="center"/>
    </xf>
    <xf numFmtId="0" fontId="16" fillId="12" borderId="205" xfId="13" applyFont="1" applyFill="1" applyBorder="1" applyAlignment="1">
      <alignment horizontal="center" vertical="center"/>
    </xf>
    <xf numFmtId="0" fontId="16" fillId="12" borderId="206" xfId="13" applyFont="1" applyFill="1" applyBorder="1" applyAlignment="1">
      <alignment horizontal="center" vertical="center"/>
    </xf>
    <xf numFmtId="0" fontId="16" fillId="12" borderId="48" xfId="13" applyFont="1" applyFill="1" applyBorder="1" applyAlignment="1">
      <alignment horizontal="center" vertical="center"/>
    </xf>
    <xf numFmtId="0" fontId="16" fillId="12" borderId="207" xfId="13" applyFont="1" applyFill="1" applyBorder="1" applyAlignment="1">
      <alignment horizontal="center" vertical="center"/>
    </xf>
    <xf numFmtId="0" fontId="25" fillId="12" borderId="68" xfId="13" applyFont="1" applyFill="1" applyBorder="1" applyAlignment="1">
      <alignment horizontal="center" vertical="center"/>
    </xf>
    <xf numFmtId="0" fontId="25" fillId="12" borderId="66" xfId="13" applyFont="1" applyFill="1" applyBorder="1" applyAlignment="1">
      <alignment horizontal="center" vertical="center"/>
    </xf>
    <xf numFmtId="0" fontId="25" fillId="12" borderId="67" xfId="13" applyFont="1" applyFill="1" applyBorder="1" applyAlignment="1">
      <alignment horizontal="center" vertical="center"/>
    </xf>
    <xf numFmtId="0" fontId="161" fillId="5" borderId="0" xfId="13" applyFont="1" applyFill="1" applyAlignment="1">
      <alignment wrapText="1"/>
    </xf>
    <xf numFmtId="0" fontId="3" fillId="0" borderId="0" xfId="22" applyAlignment="1">
      <alignment wrapText="1"/>
    </xf>
    <xf numFmtId="0" fontId="16" fillId="12" borderId="201" xfId="13" applyFont="1" applyFill="1" applyBorder="1" applyAlignment="1">
      <alignment horizontal="center" vertical="center"/>
    </xf>
    <xf numFmtId="0" fontId="16" fillId="12" borderId="202" xfId="13" applyFont="1" applyFill="1" applyBorder="1" applyAlignment="1">
      <alignment horizontal="center" vertical="center"/>
    </xf>
    <xf numFmtId="0" fontId="16" fillId="12" borderId="203" xfId="13" applyFont="1" applyFill="1" applyBorder="1" applyAlignment="1">
      <alignment horizontal="center" vertical="center"/>
    </xf>
    <xf numFmtId="0" fontId="164" fillId="17" borderId="200" xfId="13" applyFont="1" applyFill="1" applyBorder="1" applyAlignment="1">
      <alignment horizontal="center" vertical="center"/>
    </xf>
    <xf numFmtId="0" fontId="164" fillId="17" borderId="17" xfId="13" applyFont="1" applyFill="1" applyBorder="1" applyAlignment="1">
      <alignment horizontal="center" vertical="center"/>
    </xf>
    <xf numFmtId="0" fontId="164" fillId="17" borderId="6" xfId="13" applyFont="1" applyFill="1" applyBorder="1" applyAlignment="1">
      <alignment horizontal="center" vertical="center"/>
    </xf>
    <xf numFmtId="0" fontId="164" fillId="17" borderId="19" xfId="13" applyFont="1" applyFill="1" applyBorder="1" applyAlignment="1">
      <alignment horizontal="center" vertical="center"/>
    </xf>
    <xf numFmtId="0" fontId="168" fillId="17" borderId="59" xfId="13" applyFont="1" applyFill="1" applyBorder="1" applyAlignment="1">
      <alignment horizontal="center" vertical="center"/>
    </xf>
    <xf numFmtId="0" fontId="168" fillId="17" borderId="24" xfId="13" applyFont="1" applyFill="1" applyBorder="1" applyAlignment="1">
      <alignment horizontal="center" vertical="center"/>
    </xf>
    <xf numFmtId="0" fontId="29" fillId="5" borderId="16" xfId="13" applyFont="1" applyFill="1" applyBorder="1" applyAlignment="1">
      <alignment horizontal="center" vertical="center"/>
    </xf>
    <xf numFmtId="0" fontId="29" fillId="5" borderId="17" xfId="13" applyFont="1" applyFill="1" applyBorder="1" applyAlignment="1">
      <alignment horizontal="center" vertical="center"/>
    </xf>
    <xf numFmtId="2" fontId="26" fillId="5" borderId="0" xfId="13" applyNumberFormat="1" applyFont="1" applyFill="1" applyBorder="1" applyAlignment="1">
      <alignment horizontal="center" vertical="center"/>
    </xf>
    <xf numFmtId="2" fontId="26" fillId="5" borderId="19" xfId="13" applyNumberFormat="1" applyFont="1" applyFill="1" applyBorder="1" applyAlignment="1">
      <alignment horizontal="center" vertical="center"/>
    </xf>
    <xf numFmtId="200" fontId="26" fillId="5" borderId="6" xfId="13" applyNumberFormat="1" applyFont="1" applyFill="1" applyBorder="1" applyAlignment="1">
      <alignment horizontal="center" vertical="center"/>
    </xf>
    <xf numFmtId="200" fontId="26" fillId="5" borderId="19" xfId="13" applyNumberFormat="1" applyFont="1" applyFill="1" applyBorder="1" applyAlignment="1">
      <alignment horizontal="center" vertical="center"/>
    </xf>
    <xf numFmtId="200" fontId="26" fillId="5" borderId="2" xfId="13" applyNumberFormat="1" applyFont="1" applyFill="1" applyBorder="1" applyAlignment="1">
      <alignment horizontal="center" vertical="center"/>
    </xf>
    <xf numFmtId="200" fontId="26" fillId="5" borderId="214" xfId="13" applyNumberFormat="1" applyFont="1" applyFill="1" applyBorder="1" applyAlignment="1">
      <alignment horizontal="center" vertical="center"/>
    </xf>
    <xf numFmtId="200" fontId="26" fillId="5" borderId="0" xfId="13" applyNumberFormat="1" applyFont="1" applyFill="1" applyBorder="1" applyAlignment="1">
      <alignment horizontal="center" vertical="center"/>
    </xf>
    <xf numFmtId="200" fontId="26" fillId="5" borderId="37" xfId="13" applyNumberFormat="1" applyFont="1" applyFill="1" applyBorder="1" applyAlignment="1">
      <alignment horizontal="center" vertical="center"/>
    </xf>
    <xf numFmtId="200" fontId="26" fillId="5" borderId="205" xfId="13" applyNumberFormat="1" applyFont="1" applyFill="1" applyBorder="1" applyAlignment="1">
      <alignment horizontal="center" vertical="center"/>
    </xf>
    <xf numFmtId="200" fontId="26" fillId="5" borderId="47" xfId="13" applyNumberFormat="1" applyFont="1" applyFill="1" applyBorder="1" applyAlignment="1">
      <alignment horizontal="center" vertical="center"/>
    </xf>
    <xf numFmtId="200" fontId="26" fillId="5" borderId="207" xfId="13" applyNumberFormat="1" applyFont="1" applyFill="1" applyBorder="1" applyAlignment="1">
      <alignment horizontal="center" vertical="center"/>
    </xf>
    <xf numFmtId="0" fontId="45" fillId="3" borderId="35" xfId="18" applyFont="1" applyFill="1" applyBorder="1" applyAlignment="1">
      <alignment horizontal="center" vertical="center" wrapText="1"/>
    </xf>
    <xf numFmtId="0" fontId="45" fillId="3" borderId="51" xfId="18" applyFont="1" applyFill="1" applyBorder="1" applyAlignment="1">
      <alignment horizontal="center" vertical="center" wrapText="1"/>
    </xf>
    <xf numFmtId="0" fontId="37" fillId="7" borderId="20" xfId="46" applyFont="1" applyFill="1" applyBorder="1" applyAlignment="1">
      <alignment horizontal="center" vertical="center"/>
    </xf>
    <xf numFmtId="0" fontId="37" fillId="7" borderId="250" xfId="46" applyFont="1" applyFill="1" applyBorder="1" applyAlignment="1">
      <alignment horizontal="center" vertical="center"/>
    </xf>
    <xf numFmtId="0" fontId="37" fillId="7" borderId="251" xfId="46" applyFont="1" applyFill="1" applyBorder="1" applyAlignment="1">
      <alignment horizontal="center" vertical="center"/>
    </xf>
    <xf numFmtId="0" fontId="45" fillId="3" borderId="204" xfId="18" applyFont="1" applyFill="1" applyBorder="1" applyAlignment="1">
      <alignment horizontal="center" vertical="center" wrapText="1"/>
    </xf>
    <xf numFmtId="0" fontId="45" fillId="3" borderId="206" xfId="18" applyFont="1" applyFill="1" applyBorder="1" applyAlignment="1">
      <alignment horizontal="center" vertical="center" wrapText="1"/>
    </xf>
    <xf numFmtId="0" fontId="45" fillId="3" borderId="36" xfId="18" applyFont="1" applyFill="1" applyBorder="1" applyAlignment="1">
      <alignment horizontal="center" vertical="center" wrapText="1"/>
    </xf>
    <xf numFmtId="0" fontId="45" fillId="3" borderId="52" xfId="18" applyFont="1" applyFill="1" applyBorder="1" applyAlignment="1">
      <alignment horizontal="center" vertical="center" wrapText="1"/>
    </xf>
    <xf numFmtId="0" fontId="45" fillId="3" borderId="38" xfId="18" applyFont="1" applyFill="1" applyBorder="1" applyAlignment="1">
      <alignment horizontal="center" vertical="center" wrapText="1"/>
    </xf>
    <xf numFmtId="0" fontId="45" fillId="3" borderId="50" xfId="18" applyFont="1" applyFill="1" applyBorder="1" applyAlignment="1">
      <alignment horizontal="center" vertical="center" wrapText="1"/>
    </xf>
    <xf numFmtId="0" fontId="45" fillId="3" borderId="242" xfId="18" applyFont="1" applyFill="1" applyBorder="1" applyAlignment="1">
      <alignment horizontal="center" vertical="center" wrapText="1"/>
    </xf>
    <xf numFmtId="0" fontId="45" fillId="3" borderId="243" xfId="18" applyFont="1" applyFill="1" applyBorder="1" applyAlignment="1">
      <alignment horizontal="center" vertical="center" wrapText="1"/>
    </xf>
    <xf numFmtId="0" fontId="45" fillId="5" borderId="0" xfId="48" applyFont="1" applyFill="1" applyBorder="1" applyAlignment="1">
      <alignment horizontal="left" wrapText="1" readingOrder="1"/>
    </xf>
    <xf numFmtId="0" fontId="18" fillId="5" borderId="0" xfId="48" applyFont="1" applyFill="1" applyAlignment="1">
      <alignment horizontal="left" wrapText="1"/>
    </xf>
    <xf numFmtId="0" fontId="29" fillId="4" borderId="257" xfId="48" applyFont="1" applyFill="1" applyBorder="1" applyAlignment="1">
      <alignment horizontal="center"/>
    </xf>
    <xf numFmtId="0" fontId="29" fillId="4" borderId="258" xfId="48" applyFont="1" applyFill="1" applyBorder="1" applyAlignment="1">
      <alignment horizontal="center"/>
    </xf>
    <xf numFmtId="0" fontId="29" fillId="4" borderId="259" xfId="48" applyFont="1" applyFill="1" applyBorder="1" applyAlignment="1">
      <alignment horizontal="center"/>
    </xf>
    <xf numFmtId="0" fontId="29" fillId="4" borderId="260" xfId="48" applyFont="1" applyFill="1" applyBorder="1" applyAlignment="1">
      <alignment horizontal="center"/>
    </xf>
    <xf numFmtId="0" fontId="29" fillId="4" borderId="9" xfId="48" applyFont="1" applyFill="1" applyBorder="1" applyAlignment="1">
      <alignment horizontal="center"/>
    </xf>
    <xf numFmtId="0" fontId="29" fillId="4" borderId="31" xfId="48" applyFont="1" applyFill="1" applyBorder="1" applyAlignment="1">
      <alignment horizontal="center"/>
    </xf>
    <xf numFmtId="0" fontId="29" fillId="4" borderId="10" xfId="48" applyFont="1" applyFill="1" applyBorder="1" applyAlignment="1">
      <alignment horizontal="center"/>
    </xf>
    <xf numFmtId="0" fontId="29" fillId="32" borderId="257" xfId="48" applyFont="1" applyFill="1" applyBorder="1" applyAlignment="1">
      <alignment horizontal="center"/>
    </xf>
    <xf numFmtId="0" fontId="29" fillId="32" borderId="258" xfId="48" applyFont="1" applyFill="1" applyBorder="1" applyAlignment="1">
      <alignment horizontal="center"/>
    </xf>
    <xf numFmtId="0" fontId="29" fillId="32" borderId="259" xfId="48" applyFont="1" applyFill="1" applyBorder="1" applyAlignment="1">
      <alignment horizontal="center"/>
    </xf>
    <xf numFmtId="0" fontId="29" fillId="32" borderId="270" xfId="48" applyFont="1" applyFill="1" applyBorder="1" applyAlignment="1">
      <alignment horizontal="center"/>
    </xf>
    <xf numFmtId="0" fontId="29" fillId="32" borderId="219" xfId="48" applyFont="1" applyFill="1" applyBorder="1" applyAlignment="1">
      <alignment horizontal="center"/>
    </xf>
    <xf numFmtId="0" fontId="16" fillId="12" borderId="121" xfId="40" applyFont="1" applyFill="1" applyBorder="1" applyAlignment="1">
      <alignment horizontal="center" vertical="center"/>
    </xf>
    <xf numFmtId="0" fontId="16" fillId="12" borderId="199" xfId="40" applyFont="1" applyFill="1" applyBorder="1" applyAlignment="1">
      <alignment horizontal="center" vertical="center"/>
    </xf>
    <xf numFmtId="0" fontId="16" fillId="12" borderId="142" xfId="40" applyFont="1" applyFill="1" applyBorder="1" applyAlignment="1">
      <alignment horizontal="center" vertical="center"/>
    </xf>
    <xf numFmtId="0" fontId="16" fillId="12" borderId="61" xfId="40" applyFont="1" applyFill="1" applyBorder="1" applyAlignment="1">
      <alignment horizontal="center" vertical="center"/>
    </xf>
    <xf numFmtId="0" fontId="15" fillId="5" borderId="0" xfId="41" applyFont="1" applyFill="1" applyAlignment="1">
      <alignment horizontal="left" vertical="top" wrapText="1"/>
    </xf>
    <xf numFmtId="0" fontId="15" fillId="5" borderId="0" xfId="23" applyFont="1" applyFill="1" applyBorder="1" applyAlignment="1">
      <alignment horizontal="left" vertical="top" wrapText="1"/>
    </xf>
    <xf numFmtId="0" fontId="23" fillId="5" borderId="0" xfId="14" applyFill="1" applyBorder="1" applyAlignment="1">
      <alignment horizontal="left" vertical="top" wrapText="1"/>
    </xf>
    <xf numFmtId="0" fontId="23" fillId="4" borderId="139" xfId="14" applyFont="1" applyFill="1" applyBorder="1" applyAlignment="1">
      <alignment horizontal="left" vertical="center"/>
    </xf>
    <xf numFmtId="0" fontId="23" fillId="4" borderId="37" xfId="14" applyFont="1" applyFill="1" applyBorder="1" applyAlignment="1">
      <alignment horizontal="left" vertical="center"/>
    </xf>
    <xf numFmtId="0" fontId="16" fillId="4" borderId="180" xfId="14" applyFont="1" applyFill="1" applyBorder="1" applyAlignment="1">
      <alignment horizontal="left" vertical="center"/>
    </xf>
    <xf numFmtId="0" fontId="16" fillId="4" borderId="40" xfId="14" applyFont="1" applyFill="1" applyBorder="1" applyAlignment="1">
      <alignment horizontal="left" vertical="center"/>
    </xf>
    <xf numFmtId="0" fontId="35" fillId="5" borderId="176" xfId="14" applyFont="1" applyFill="1" applyBorder="1" applyAlignment="1">
      <alignment horizontal="left" vertical="top" wrapText="1"/>
    </xf>
    <xf numFmtId="0" fontId="35" fillId="5" borderId="0" xfId="14" applyFont="1" applyFill="1" applyBorder="1" applyAlignment="1">
      <alignment horizontal="left" vertical="top" wrapText="1"/>
    </xf>
    <xf numFmtId="203" fontId="16" fillId="5" borderId="292" xfId="60" applyNumberFormat="1" applyFont="1" applyFill="1" applyBorder="1" applyAlignment="1">
      <alignment horizontal="center" vertical="center" wrapText="1"/>
    </xf>
    <xf numFmtId="203" fontId="16" fillId="5" borderId="293" xfId="60" applyNumberFormat="1" applyFont="1" applyFill="1" applyBorder="1" applyAlignment="1">
      <alignment horizontal="center" vertical="center" wrapText="1"/>
    </xf>
    <xf numFmtId="0" fontId="16" fillId="4" borderId="178" xfId="14" applyFont="1" applyFill="1" applyBorder="1" applyAlignment="1">
      <alignment horizontal="center" vertical="center" wrapText="1"/>
    </xf>
    <xf numFmtId="0" fontId="23" fillId="4" borderId="179" xfId="14" applyFont="1" applyFill="1" applyBorder="1" applyAlignment="1">
      <alignment horizontal="center" vertical="center" wrapText="1"/>
    </xf>
    <xf numFmtId="49" fontId="16" fillId="4" borderId="3" xfId="14" applyNumberFormat="1" applyFont="1" applyFill="1" applyBorder="1" applyAlignment="1">
      <alignment horizontal="center" vertical="center" wrapText="1"/>
    </xf>
    <xf numFmtId="49" fontId="16" fillId="4" borderId="5" xfId="14" applyNumberFormat="1" applyFont="1" applyFill="1" applyBorder="1" applyAlignment="1">
      <alignment horizontal="center" vertical="center" wrapText="1"/>
    </xf>
    <xf numFmtId="49" fontId="16" fillId="4" borderId="287" xfId="14" applyNumberFormat="1" applyFont="1" applyFill="1" applyBorder="1" applyAlignment="1">
      <alignment horizontal="center" vertical="center" wrapText="1"/>
    </xf>
    <xf numFmtId="49" fontId="16" fillId="4" borderId="289" xfId="14" applyNumberFormat="1" applyFont="1" applyFill="1" applyBorder="1" applyAlignment="1">
      <alignment horizontal="center" vertical="center" wrapText="1"/>
    </xf>
    <xf numFmtId="0" fontId="16" fillId="4" borderId="288" xfId="14" applyFont="1" applyFill="1" applyBorder="1" applyAlignment="1">
      <alignment horizontal="center" vertical="center" wrapText="1"/>
    </xf>
    <xf numFmtId="0" fontId="16" fillId="4" borderId="290" xfId="14" applyFont="1" applyFill="1" applyBorder="1" applyAlignment="1">
      <alignment horizontal="center" vertical="center" wrapText="1"/>
    </xf>
    <xf numFmtId="0" fontId="25" fillId="4" borderId="139" xfId="23" applyFont="1" applyFill="1" applyBorder="1" applyAlignment="1">
      <alignment horizontal="left" vertical="center"/>
    </xf>
    <xf numFmtId="0" fontId="25" fillId="4" borderId="37" xfId="23" applyFont="1" applyFill="1" applyBorder="1" applyAlignment="1">
      <alignment horizontal="left" vertical="center"/>
    </xf>
    <xf numFmtId="0" fontId="16" fillId="4" borderId="292" xfId="23" applyFont="1" applyFill="1" applyBorder="1" applyAlignment="1">
      <alignment horizontal="center" vertical="center"/>
    </xf>
    <xf numFmtId="0" fontId="16" fillId="4" borderId="293" xfId="23" applyFont="1" applyFill="1" applyBorder="1" applyAlignment="1">
      <alignment horizontal="center" vertical="center"/>
    </xf>
    <xf numFmtId="0" fontId="15" fillId="5" borderId="295" xfId="23" applyFont="1" applyFill="1" applyBorder="1" applyAlignment="1">
      <alignment horizontal="left" vertical="center" wrapText="1"/>
    </xf>
    <xf numFmtId="0" fontId="23" fillId="0" borderId="295" xfId="14" applyBorder="1" applyAlignment="1">
      <alignment horizontal="left" vertical="center" wrapText="1"/>
    </xf>
    <xf numFmtId="0" fontId="16" fillId="4" borderId="178" xfId="23" applyFont="1" applyFill="1" applyBorder="1" applyAlignment="1">
      <alignment horizontal="center" vertical="center" wrapText="1"/>
    </xf>
    <xf numFmtId="0" fontId="23" fillId="4" borderId="179" xfId="23" applyFont="1" applyFill="1" applyBorder="1" applyAlignment="1">
      <alignment horizontal="center" vertical="center" wrapText="1"/>
    </xf>
    <xf numFmtId="0" fontId="16" fillId="4" borderId="158" xfId="23" applyFont="1" applyFill="1" applyBorder="1" applyAlignment="1">
      <alignment horizontal="left" vertical="center"/>
    </xf>
    <xf numFmtId="0" fontId="16" fillId="4" borderId="177" xfId="23" applyFont="1" applyFill="1" applyBorder="1" applyAlignment="1">
      <alignment horizontal="left" vertical="center"/>
    </xf>
    <xf numFmtId="0" fontId="16" fillId="4" borderId="139" xfId="23" applyFont="1" applyFill="1" applyBorder="1" applyAlignment="1">
      <alignment horizontal="left" vertical="center"/>
    </xf>
    <xf numFmtId="0" fontId="16" fillId="4" borderId="37" xfId="23" applyFont="1" applyFill="1" applyBorder="1" applyAlignment="1">
      <alignment horizontal="left" vertical="center"/>
    </xf>
    <xf numFmtId="0" fontId="23" fillId="4" borderId="139" xfId="23" applyFont="1" applyFill="1" applyBorder="1" applyAlignment="1">
      <alignment horizontal="left" vertical="center"/>
    </xf>
    <xf numFmtId="0" fontId="23" fillId="4" borderId="37" xfId="23" applyFont="1" applyFill="1" applyBorder="1" applyAlignment="1">
      <alignment horizontal="left" vertical="center"/>
    </xf>
    <xf numFmtId="49" fontId="16" fillId="4" borderId="3" xfId="23" applyNumberFormat="1" applyFont="1" applyFill="1" applyBorder="1" applyAlignment="1">
      <alignment horizontal="center" vertical="center" wrapText="1"/>
    </xf>
    <xf numFmtId="49" fontId="16" fillId="4" borderId="5" xfId="23" applyNumberFormat="1" applyFont="1" applyFill="1" applyBorder="1" applyAlignment="1">
      <alignment horizontal="center" vertical="center" wrapText="1"/>
    </xf>
    <xf numFmtId="49" fontId="16" fillId="4" borderId="287" xfId="23" applyNumberFormat="1" applyFont="1" applyFill="1" applyBorder="1" applyAlignment="1">
      <alignment horizontal="center" vertical="center" wrapText="1"/>
    </xf>
    <xf numFmtId="49" fontId="16" fillId="4" borderId="289" xfId="23" applyNumberFormat="1" applyFont="1" applyFill="1" applyBorder="1" applyAlignment="1">
      <alignment horizontal="center" vertical="center" wrapText="1"/>
    </xf>
    <xf numFmtId="0" fontId="16" fillId="4" borderId="288" xfId="23" applyFont="1" applyFill="1" applyBorder="1" applyAlignment="1">
      <alignment horizontal="center" vertical="center" wrapText="1"/>
    </xf>
    <xf numFmtId="0" fontId="16" fillId="4" borderId="290" xfId="23" applyFont="1" applyFill="1" applyBorder="1" applyAlignment="1">
      <alignment horizontal="center" vertical="center" wrapText="1"/>
    </xf>
    <xf numFmtId="0" fontId="203" fillId="0" borderId="0" xfId="59" applyFont="1" applyBorder="1" applyAlignment="1">
      <alignment horizontal="center" vertical="center" wrapText="1"/>
    </xf>
    <xf numFmtId="0" fontId="206" fillId="0" borderId="277" xfId="59" applyFont="1" applyBorder="1" applyAlignment="1">
      <alignment horizontal="center" vertical="center" wrapText="1"/>
    </xf>
    <xf numFmtId="0" fontId="206" fillId="0" borderId="278" xfId="59" applyFont="1" applyBorder="1" applyAlignment="1">
      <alignment horizontal="center" vertical="center" wrapText="1"/>
    </xf>
    <xf numFmtId="0" fontId="208" fillId="0" borderId="286" xfId="59" applyFont="1" applyBorder="1" applyAlignment="1">
      <alignment horizontal="left" wrapText="1"/>
    </xf>
    <xf numFmtId="0" fontId="215" fillId="0" borderId="0" xfId="62" applyFont="1" applyAlignment="1">
      <alignment wrapText="1"/>
    </xf>
    <xf numFmtId="0" fontId="23" fillId="0" borderId="0" xfId="14" applyAlignment="1">
      <alignment wrapText="1"/>
    </xf>
    <xf numFmtId="0" fontId="222" fillId="34" borderId="278" xfId="62" applyFont="1" applyFill="1" applyBorder="1" applyAlignment="1">
      <alignment horizontal="center" vertical="center" wrapText="1"/>
    </xf>
    <xf numFmtId="0" fontId="222" fillId="34" borderId="125" xfId="62" applyFont="1" applyFill="1" applyBorder="1" applyAlignment="1">
      <alignment horizontal="center" vertical="center" wrapText="1"/>
    </xf>
    <xf numFmtId="0" fontId="222" fillId="34" borderId="126" xfId="62" applyFont="1" applyFill="1" applyBorder="1" applyAlignment="1">
      <alignment horizontal="center" vertical="center" wrapText="1"/>
    </xf>
    <xf numFmtId="0" fontId="222" fillId="34" borderId="129" xfId="62" applyFont="1" applyFill="1" applyBorder="1" applyAlignment="1">
      <alignment horizontal="center" vertical="center" wrapText="1"/>
    </xf>
    <xf numFmtId="0" fontId="222" fillId="34" borderId="43" xfId="62" applyFont="1" applyFill="1" applyBorder="1" applyAlignment="1">
      <alignment horizontal="center" vertical="center" wrapText="1"/>
    </xf>
    <xf numFmtId="0" fontId="37" fillId="3" borderId="53" xfId="13" applyFont="1" applyFill="1" applyBorder="1" applyAlignment="1">
      <alignment horizontal="center" vertical="center"/>
    </xf>
    <xf numFmtId="0" fontId="37" fillId="3" borderId="199" xfId="13" applyFont="1" applyFill="1" applyBorder="1" applyAlignment="1">
      <alignment horizontal="center" vertical="center"/>
    </xf>
    <xf numFmtId="0" fontId="45" fillId="5" borderId="0" xfId="13" applyFont="1" applyFill="1" applyBorder="1" applyAlignment="1">
      <alignment horizontal="left" vertical="center" wrapText="1"/>
    </xf>
    <xf numFmtId="0" fontId="88" fillId="5" borderId="0" xfId="13" applyFont="1" applyFill="1" applyBorder="1" applyAlignment="1">
      <alignment vertical="center"/>
    </xf>
  </cellXfs>
  <cellStyles count="63">
    <cellStyle name="Comma" xfId="1" builtinId="3"/>
    <cellStyle name="Comma 14" xfId="60"/>
    <cellStyle name="Comma 2" xfId="2"/>
    <cellStyle name="Comma 2 2" xfId="5"/>
    <cellStyle name="Comma 2 2 2" xfId="43"/>
    <cellStyle name="Comma 2 3" xfId="39"/>
    <cellStyle name="Comma 282" xfId="53"/>
    <cellStyle name="Comma 283" xfId="30"/>
    <cellStyle name="Comma 3" xfId="7"/>
    <cellStyle name="Comma 3 2" xfId="52"/>
    <cellStyle name="Comma 4" xfId="31"/>
    <cellStyle name="Comma 4 2" xfId="45"/>
    <cellStyle name="Comma 4 3 2" xfId="21"/>
    <cellStyle name="Comma 5" xfId="20"/>
    <cellStyle name="Comma 6" xfId="19"/>
    <cellStyle name="Comma 7" xfId="24"/>
    <cellStyle name="Comma 8" xfId="33"/>
    <cellStyle name="Comma 9" xfId="50"/>
    <cellStyle name="Comma_Table 1 2" xfId="51"/>
    <cellStyle name="Comma_Table 1 2 2" xfId="55"/>
    <cellStyle name="Comma_Table 20-21" xfId="27"/>
    <cellStyle name="Comma_Table 41a-41b" xfId="61"/>
    <cellStyle name="Normal" xfId="0" builtinId="0"/>
    <cellStyle name="Normal 10 10" xfId="42"/>
    <cellStyle name="Normal 10 10 2" xfId="46"/>
    <cellStyle name="Normal 10 10 6" xfId="44"/>
    <cellStyle name="Normal 10 10 8 2 2 2 5" xfId="48"/>
    <cellStyle name="Normal 10 10 8 3 2 5" xfId="47"/>
    <cellStyle name="Normal 139" xfId="22"/>
    <cellStyle name="Normal 140" xfId="36"/>
    <cellStyle name="Normal 143" xfId="58"/>
    <cellStyle name="Normal 144" xfId="14"/>
    <cellStyle name="Normal 145" xfId="25"/>
    <cellStyle name="Normal 146" xfId="17"/>
    <cellStyle name="Normal 2" xfId="3"/>
    <cellStyle name="Normal 2 10" xfId="13"/>
    <cellStyle name="Normal 2 2" xfId="4"/>
    <cellStyle name="Normal 2 3" xfId="23"/>
    <cellStyle name="Normal 3" xfId="8"/>
    <cellStyle name="Normal 3 10" xfId="49"/>
    <cellStyle name="Normal 3 10 2" xfId="56"/>
    <cellStyle name="Normal 3 2" xfId="40"/>
    <cellStyle name="Normal 4" xfId="34"/>
    <cellStyle name="Normal 5" xfId="59"/>
    <cellStyle name="Normal 5 12" xfId="18"/>
    <cellStyle name="Normal 5 2" xfId="16"/>
    <cellStyle name="Normal_ODCS" xfId="10"/>
    <cellStyle name="Normal_Quarterly BOP 2001" xfId="62"/>
    <cellStyle name="Normal_RHABMCPC010731" xfId="6"/>
    <cellStyle name="Normal_Sheet1" xfId="35"/>
    <cellStyle name="Normal_Sheet1 2" xfId="38"/>
    <cellStyle name="Normal_TAB2.11" xfId="28"/>
    <cellStyle name="Normal_Tab2.3" xfId="15"/>
    <cellStyle name="Normal_Table 1 2" xfId="41"/>
    <cellStyle name="Normal_Table 1 2 2" xfId="54"/>
    <cellStyle name="Normal_Table 20-21" xfId="26"/>
    <cellStyle name="Normal_Table 25f" xfId="9"/>
    <cellStyle name="Normal_Table 25f 2" xfId="12"/>
    <cellStyle name="Normal_Table 30" xfId="29"/>
    <cellStyle name="Percent 2" xfId="11"/>
    <cellStyle name="Percent 25" xfId="37"/>
    <cellStyle name="Percent 3" xfId="32"/>
    <cellStyle name="Percent 4" xfId="5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26"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sharedStrings" Target="sharedStrings.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5/Electronic%20Banking%20December%202015%20XBRL.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upervision/Off%20Site/BANKS/CONSOLIDATION/ELECTRONIC%20BANKING/Consolidation/2016/Jan-16-Electronic%20banking.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upervision/Off%20Site/BANKS/CONSOLIDATION/IMPAIRED%20CREDITS/2015/CONSOLIDATION-2015/SIC-DECEMBER%20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9">
          <cell r="B9">
            <v>2288.2717847100002</v>
          </cell>
        </row>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9">
          <cell r="B9">
            <v>20499991125.9375</v>
          </cell>
        </row>
        <row r="147">
          <cell r="E147">
            <v>2535919984.1785002</v>
          </cell>
        </row>
        <row r="148">
          <cell r="E148">
            <v>26014205287.0485</v>
          </cell>
        </row>
        <row r="149">
          <cell r="E149">
            <v>49651359854.466934</v>
          </cell>
        </row>
      </sheetData>
      <sheetData sheetId="3"/>
      <sheetData sheetId="4">
        <row r="13">
          <cell r="G13">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54">
          <cell r="D54">
            <v>1.5484363636363634</v>
          </cell>
          <cell r="E54">
            <v>36.794404545454547</v>
          </cell>
          <cell r="F54">
            <v>15156.7</v>
          </cell>
          <cell r="G54">
            <v>40.024168181818183</v>
          </cell>
          <cell r="H54">
            <v>8.7803818181818176</v>
          </cell>
          <cell r="I54">
            <v>1326.5472727272727</v>
          </cell>
          <cell r="J54">
            <v>52.936863636363633</v>
          </cell>
          <cell r="L54">
            <v>17.28850454545454</v>
          </cell>
          <cell r="M54">
            <v>40.712061538461541</v>
          </cell>
        </row>
      </sheetData>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15"/>
      <sheetName val="working"/>
    </sheetNames>
    <sheetDataSet>
      <sheetData sheetId="0">
        <row r="8">
          <cell r="W8">
            <v>464</v>
          </cell>
        </row>
        <row r="9">
          <cell r="W9">
            <v>1669951</v>
          </cell>
        </row>
        <row r="10">
          <cell r="W10">
            <v>268819</v>
          </cell>
        </row>
        <row r="11">
          <cell r="W11">
            <v>1288206</v>
          </cell>
        </row>
        <row r="12">
          <cell r="W12">
            <v>112926</v>
          </cell>
        </row>
        <row r="48">
          <cell r="W48">
            <v>332711</v>
          </cell>
        </row>
        <row r="49">
          <cell r="W49">
            <v>752770</v>
          </cell>
        </row>
        <row r="52">
          <cell r="W52">
            <v>351154714710.41998</v>
          </cell>
        </row>
        <row r="81">
          <cell r="W81">
            <v>7340347</v>
          </cell>
        </row>
        <row r="82">
          <cell r="W82">
            <v>17686962684.089996</v>
          </cell>
        </row>
        <row r="85">
          <cell r="W85">
            <v>2392261258.96</v>
          </cell>
        </row>
        <row r="86">
          <cell r="W86">
            <v>2180434349.1199999</v>
          </cell>
        </row>
      </sheetData>
      <sheetData sheetId="1">
        <row r="32">
          <cell r="AW32">
            <v>224481088057.75986</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16"/>
      <sheetName val="working"/>
    </sheetNames>
    <sheetDataSet>
      <sheetData sheetId="0">
        <row r="8">
          <cell r="U8">
            <v>464</v>
          </cell>
        </row>
        <row r="9">
          <cell r="U9">
            <v>1678653</v>
          </cell>
        </row>
        <row r="10">
          <cell r="U10">
            <v>265463</v>
          </cell>
        </row>
        <row r="11">
          <cell r="U11">
            <v>1298271</v>
          </cell>
        </row>
        <row r="12">
          <cell r="U12">
            <v>114919</v>
          </cell>
        </row>
        <row r="48">
          <cell r="U48">
            <v>336839</v>
          </cell>
        </row>
        <row r="49">
          <cell r="U49">
            <v>566194</v>
          </cell>
        </row>
        <row r="52">
          <cell r="U52">
            <v>181541178125.25</v>
          </cell>
        </row>
        <row r="81">
          <cell r="U81">
            <v>5541738</v>
          </cell>
        </row>
        <row r="82">
          <cell r="U82">
            <v>12299681057.25</v>
          </cell>
        </row>
        <row r="85">
          <cell r="U85">
            <v>2750551969.73</v>
          </cell>
        </row>
        <row r="86">
          <cell r="U86">
            <v>2464659910.9100003</v>
          </cell>
        </row>
      </sheetData>
      <sheetData sheetId="1">
        <row r="32">
          <cell r="AX32">
            <v>181541178125.25</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 Mtius"/>
      <sheetName val="outside Mtius"/>
      <sheetName val="impaired by continent"/>
      <sheetName val="continent"/>
      <sheetName val="comparative figures"/>
      <sheetName val="list"/>
    </sheetNames>
    <sheetDataSet>
      <sheetData sheetId="0"/>
      <sheetData sheetId="1">
        <row r="30">
          <cell r="CQ30">
            <v>196.97286250069999</v>
          </cell>
        </row>
        <row r="33">
          <cell r="CQ33">
            <v>5.7619999999999996</v>
          </cell>
        </row>
      </sheetData>
      <sheetData sheetId="2"/>
      <sheetData sheetId="3"/>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zoomScaleNormal="100" workbookViewId="0">
      <pane xSplit="2" ySplit="3" topLeftCell="C4" activePane="bottomRight" state="frozen"/>
      <selection pane="topRight" activeCell="C1" sqref="C1"/>
      <selection pane="bottomLeft" activeCell="A4" sqref="A4"/>
      <selection pane="bottomRight" activeCell="G15" sqref="G15"/>
    </sheetView>
  </sheetViews>
  <sheetFormatPr defaultRowHeight="15" x14ac:dyDescent="0.2"/>
  <cols>
    <col min="1" max="1" width="71.5703125" style="2892" customWidth="1"/>
    <col min="2" max="2" width="16" style="2892" customWidth="1"/>
    <col min="3" max="3" width="11.7109375" style="2892" customWidth="1"/>
    <col min="4" max="11" width="10.42578125" style="2893" bestFit="1" customWidth="1"/>
    <col min="12" max="13" width="11.42578125" style="2893" bestFit="1" customWidth="1"/>
    <col min="14" max="14" width="10.7109375" style="2893" customWidth="1"/>
    <col min="15" max="15" width="10.140625" style="2893" bestFit="1" customWidth="1"/>
    <col min="16" max="55" width="9.140625" style="2893"/>
    <col min="56" max="16384" width="9.140625" style="2892"/>
  </cols>
  <sheetData>
    <row r="1" spans="1:16" ht="18" customHeight="1" x14ac:dyDescent="0.2">
      <c r="A1" s="2891" t="s">
        <v>4466</v>
      </c>
      <c r="E1" s="2894"/>
      <c r="F1" s="2894"/>
      <c r="G1" s="2894"/>
      <c r="H1" s="2894"/>
      <c r="I1" s="2894"/>
      <c r="J1" s="2894"/>
      <c r="K1" s="2894"/>
      <c r="L1" s="2894"/>
      <c r="M1" s="2894"/>
      <c r="N1" s="2895"/>
      <c r="O1" s="2895"/>
      <c r="P1" s="2895"/>
    </row>
    <row r="2" spans="1:16" ht="13.5" customHeight="1" thickBot="1" x14ac:dyDescent="0.25"/>
    <row r="3" spans="1:16" ht="28.5" customHeight="1" thickBot="1" x14ac:dyDescent="0.25">
      <c r="A3" s="2896"/>
      <c r="B3" s="2897" t="s">
        <v>211</v>
      </c>
      <c r="C3" s="2898" t="s">
        <v>4467</v>
      </c>
      <c r="D3" s="2898">
        <v>2005</v>
      </c>
      <c r="E3" s="2897">
        <v>2006</v>
      </c>
      <c r="F3" s="2898">
        <v>2007</v>
      </c>
      <c r="G3" s="2898">
        <v>2008</v>
      </c>
      <c r="H3" s="2898">
        <v>2009</v>
      </c>
      <c r="I3" s="2897">
        <v>2010</v>
      </c>
      <c r="J3" s="2899">
        <v>2011</v>
      </c>
      <c r="K3" s="2899">
        <v>2012</v>
      </c>
      <c r="L3" s="2899">
        <v>2013</v>
      </c>
      <c r="M3" s="2899">
        <v>2014</v>
      </c>
      <c r="N3" s="2900">
        <v>2015</v>
      </c>
    </row>
    <row r="4" spans="1:16" ht="18" customHeight="1" x14ac:dyDescent="0.2">
      <c r="A4" s="2901" t="s">
        <v>4468</v>
      </c>
      <c r="B4" s="2902" t="s">
        <v>4469</v>
      </c>
      <c r="C4" s="2903"/>
      <c r="D4" s="2904">
        <v>1228254</v>
      </c>
      <c r="E4" s="2905">
        <v>1233996</v>
      </c>
      <c r="F4" s="2906">
        <v>1239630</v>
      </c>
      <c r="G4" s="2906">
        <v>1244121</v>
      </c>
      <c r="H4" s="2907">
        <v>1247429</v>
      </c>
      <c r="I4" s="2907">
        <v>1250400</v>
      </c>
      <c r="J4" s="2907">
        <v>1252404</v>
      </c>
      <c r="K4" s="2908">
        <v>1255882</v>
      </c>
      <c r="L4" s="2908">
        <v>1258653</v>
      </c>
      <c r="M4" s="2908">
        <v>1260934</v>
      </c>
      <c r="N4" s="2909" t="s">
        <v>4470</v>
      </c>
    </row>
    <row r="5" spans="1:16" ht="18" customHeight="1" x14ac:dyDescent="0.2">
      <c r="A5" s="2901" t="s">
        <v>4471</v>
      </c>
      <c r="B5" s="2910" t="s">
        <v>4472</v>
      </c>
      <c r="C5" s="2911"/>
      <c r="D5" s="2906">
        <v>761063</v>
      </c>
      <c r="E5" s="2912">
        <v>788276</v>
      </c>
      <c r="F5" s="2906">
        <v>906971</v>
      </c>
      <c r="G5" s="2906">
        <v>930456</v>
      </c>
      <c r="H5" s="2913">
        <v>871356</v>
      </c>
      <c r="I5" s="2913">
        <v>934827</v>
      </c>
      <c r="J5" s="2914" t="s">
        <v>4473</v>
      </c>
      <c r="K5" s="2915" t="s">
        <v>4474</v>
      </c>
      <c r="L5" s="2915" t="s">
        <v>4475</v>
      </c>
      <c r="M5" s="2916" t="s">
        <v>4476</v>
      </c>
      <c r="N5" s="2917" t="s">
        <v>4477</v>
      </c>
    </row>
    <row r="6" spans="1:16" ht="15.75" x14ac:dyDescent="0.2">
      <c r="A6" s="2901" t="s">
        <v>4478</v>
      </c>
      <c r="B6" s="2910" t="s">
        <v>4472</v>
      </c>
      <c r="C6" s="2911" t="s">
        <v>73</v>
      </c>
      <c r="D6" s="2906">
        <v>25704</v>
      </c>
      <c r="E6" s="2912">
        <v>31942</v>
      </c>
      <c r="F6" s="2906">
        <v>40687</v>
      </c>
      <c r="G6" s="2906">
        <v>41213</v>
      </c>
      <c r="H6" s="2906">
        <v>35693</v>
      </c>
      <c r="I6" s="2906">
        <v>39457</v>
      </c>
      <c r="J6" s="2918" t="s">
        <v>4479</v>
      </c>
      <c r="K6" s="2919" t="s">
        <v>4480</v>
      </c>
      <c r="L6" s="2919" t="s">
        <v>4481</v>
      </c>
      <c r="M6" s="2920" t="s">
        <v>4482</v>
      </c>
      <c r="N6" s="2917">
        <v>50191</v>
      </c>
    </row>
    <row r="7" spans="1:16" ht="18.75" x14ac:dyDescent="0.2">
      <c r="A7" s="2901" t="s">
        <v>4483</v>
      </c>
      <c r="B7" s="2921" t="s">
        <v>4472</v>
      </c>
      <c r="C7" s="2922" t="s">
        <v>1350</v>
      </c>
      <c r="D7" s="2923">
        <v>2.7</v>
      </c>
      <c r="E7" s="2924">
        <v>5.6</v>
      </c>
      <c r="F7" s="2923">
        <v>5.7</v>
      </c>
      <c r="G7" s="2923">
        <v>5.5</v>
      </c>
      <c r="H7" s="2923">
        <v>3.1</v>
      </c>
      <c r="I7" s="2923">
        <v>4.2</v>
      </c>
      <c r="J7" s="2923">
        <v>3.6</v>
      </c>
      <c r="K7" s="2925">
        <v>3.4</v>
      </c>
      <c r="L7" s="2926" t="s">
        <v>4484</v>
      </c>
      <c r="M7" s="2927">
        <v>3.4</v>
      </c>
      <c r="N7" s="2917" t="s">
        <v>4485</v>
      </c>
    </row>
    <row r="8" spans="1:16" ht="18" customHeight="1" x14ac:dyDescent="0.2">
      <c r="A8" s="2901" t="s">
        <v>4486</v>
      </c>
      <c r="B8" s="2921" t="s">
        <v>4472</v>
      </c>
      <c r="C8" s="2922" t="s">
        <v>73</v>
      </c>
      <c r="D8" s="2928">
        <v>191393</v>
      </c>
      <c r="E8" s="2929">
        <v>213444</v>
      </c>
      <c r="F8" s="2928">
        <v>243998</v>
      </c>
      <c r="G8" s="2930">
        <v>274316</v>
      </c>
      <c r="H8" s="2928">
        <v>282354</v>
      </c>
      <c r="I8" s="2928">
        <v>299171</v>
      </c>
      <c r="J8" s="2930">
        <v>323310</v>
      </c>
      <c r="K8" s="2931">
        <v>343942</v>
      </c>
      <c r="L8" s="2919" t="s">
        <v>4487</v>
      </c>
      <c r="M8" s="2919" t="s">
        <v>4488</v>
      </c>
      <c r="N8" s="2932" t="s">
        <v>4489</v>
      </c>
    </row>
    <row r="9" spans="1:16" ht="18" customHeight="1" x14ac:dyDescent="0.2">
      <c r="A9" s="2901" t="s">
        <v>4490</v>
      </c>
      <c r="B9" s="2921" t="s">
        <v>4472</v>
      </c>
      <c r="C9" s="2922" t="s">
        <v>73</v>
      </c>
      <c r="D9" s="2928">
        <v>190214</v>
      </c>
      <c r="E9" s="2929">
        <v>214216</v>
      </c>
      <c r="F9" s="2928">
        <v>249577</v>
      </c>
      <c r="G9" s="2928">
        <v>276389</v>
      </c>
      <c r="H9" s="2928">
        <v>281021</v>
      </c>
      <c r="I9" s="2928">
        <v>302773</v>
      </c>
      <c r="J9" s="2933">
        <v>324148</v>
      </c>
      <c r="K9" s="2931" t="s">
        <v>4491</v>
      </c>
      <c r="L9" s="2919" t="s">
        <v>4492</v>
      </c>
      <c r="M9" s="2919" t="s">
        <v>4493</v>
      </c>
      <c r="N9" s="2932" t="s">
        <v>4494</v>
      </c>
    </row>
    <row r="10" spans="1:16" ht="18" customHeight="1" x14ac:dyDescent="0.2">
      <c r="A10" s="2901" t="s">
        <v>4495</v>
      </c>
      <c r="B10" s="2921" t="s">
        <v>4496</v>
      </c>
      <c r="C10" s="2922" t="s">
        <v>3554</v>
      </c>
      <c r="D10" s="2928">
        <v>152961</v>
      </c>
      <c r="E10" s="2929">
        <v>173200</v>
      </c>
      <c r="F10" s="2928">
        <v>200968</v>
      </c>
      <c r="G10" s="2928">
        <v>221861</v>
      </c>
      <c r="H10" s="2928">
        <v>225012</v>
      </c>
      <c r="I10" s="2928">
        <v>241947</v>
      </c>
      <c r="J10" s="2930">
        <v>258463</v>
      </c>
      <c r="K10" s="2931" t="s">
        <v>4497</v>
      </c>
      <c r="L10" s="2919" t="s">
        <v>4498</v>
      </c>
      <c r="M10" s="2919" t="s">
        <v>4499</v>
      </c>
      <c r="N10" s="2932" t="s">
        <v>4500</v>
      </c>
    </row>
    <row r="11" spans="1:16" ht="18" customHeight="1" x14ac:dyDescent="0.2">
      <c r="A11" s="2901" t="s">
        <v>4501</v>
      </c>
      <c r="B11" s="2910" t="s">
        <v>4502</v>
      </c>
      <c r="C11" s="2911" t="s">
        <v>1350</v>
      </c>
      <c r="D11" s="2934">
        <v>5.6</v>
      </c>
      <c r="E11" s="2935">
        <v>5.0999999999999996</v>
      </c>
      <c r="F11" s="2936">
        <v>10.7</v>
      </c>
      <c r="G11" s="2936">
        <v>8.8000000000000007</v>
      </c>
      <c r="H11" s="2936">
        <v>6.9</v>
      </c>
      <c r="I11" s="2936">
        <v>1.7</v>
      </c>
      <c r="J11" s="2936">
        <v>5.0999999999999996</v>
      </c>
      <c r="K11" s="2937">
        <v>5.0999999999999996</v>
      </c>
      <c r="L11" s="2927">
        <v>3.6</v>
      </c>
      <c r="M11" s="2927">
        <v>4</v>
      </c>
      <c r="N11" s="2938">
        <v>1.7</v>
      </c>
    </row>
    <row r="12" spans="1:16" ht="18" customHeight="1" x14ac:dyDescent="0.2">
      <c r="A12" s="2901" t="s">
        <v>4503</v>
      </c>
      <c r="B12" s="2910" t="s">
        <v>4496</v>
      </c>
      <c r="C12" s="2911" t="s">
        <v>1350</v>
      </c>
      <c r="D12" s="2934">
        <v>4.9000000000000004</v>
      </c>
      <c r="E12" s="2937">
        <v>8.9</v>
      </c>
      <c r="F12" s="2936">
        <v>8.8000000000000007</v>
      </c>
      <c r="G12" s="2936">
        <v>9.6999999999999993</v>
      </c>
      <c r="H12" s="2936">
        <v>2.5</v>
      </c>
      <c r="I12" s="2936">
        <v>2.9</v>
      </c>
      <c r="J12" s="2936">
        <v>6.5</v>
      </c>
      <c r="K12" s="2937">
        <v>3.9</v>
      </c>
      <c r="L12" s="2939">
        <v>3.5</v>
      </c>
      <c r="M12" s="2939">
        <v>3.2</v>
      </c>
      <c r="N12" s="2940">
        <v>1.3</v>
      </c>
    </row>
    <row r="13" spans="1:16" ht="18" customHeight="1" x14ac:dyDescent="0.2">
      <c r="A13" s="2901" t="s">
        <v>4504</v>
      </c>
      <c r="B13" s="2921" t="s">
        <v>4496</v>
      </c>
      <c r="C13" s="2922" t="s">
        <v>1350</v>
      </c>
      <c r="D13" s="2923">
        <v>9.6</v>
      </c>
      <c r="E13" s="2924">
        <v>9</v>
      </c>
      <c r="F13" s="2923">
        <v>8.5</v>
      </c>
      <c r="G13" s="2923">
        <v>7.2</v>
      </c>
      <c r="H13" s="2923">
        <v>7.3</v>
      </c>
      <c r="I13" s="2923">
        <v>7.6</v>
      </c>
      <c r="J13" s="2923">
        <v>7.8</v>
      </c>
      <c r="K13" s="2925">
        <v>8</v>
      </c>
      <c r="L13" s="2920" t="s">
        <v>4505</v>
      </c>
      <c r="M13" s="2920" t="s">
        <v>4506</v>
      </c>
      <c r="N13" s="2917" t="s">
        <v>4507</v>
      </c>
    </row>
    <row r="14" spans="1:16" ht="18" customHeight="1" x14ac:dyDescent="0.2">
      <c r="A14" s="2901" t="s">
        <v>4508</v>
      </c>
      <c r="B14" s="2910" t="s">
        <v>4502</v>
      </c>
      <c r="C14" s="2911" t="s">
        <v>73</v>
      </c>
      <c r="D14" s="2941" t="s">
        <v>4509</v>
      </c>
      <c r="E14" s="2942" t="s">
        <v>4510</v>
      </c>
      <c r="F14" s="2941" t="s">
        <v>4511</v>
      </c>
      <c r="G14" s="2941" t="s">
        <v>4512</v>
      </c>
      <c r="H14" s="2941" t="s">
        <v>4513</v>
      </c>
      <c r="I14" s="2941" t="s">
        <v>4514</v>
      </c>
      <c r="J14" s="2943" t="s">
        <v>4515</v>
      </c>
      <c r="K14" s="2944" t="s">
        <v>4516</v>
      </c>
      <c r="L14" s="2944" t="s">
        <v>4517</v>
      </c>
      <c r="M14" s="2944" t="s">
        <v>4518</v>
      </c>
      <c r="N14" s="2945" t="s">
        <v>4519</v>
      </c>
    </row>
    <row r="15" spans="1:16" ht="18" customHeight="1" x14ac:dyDescent="0.2">
      <c r="A15" s="2901" t="s">
        <v>4520</v>
      </c>
      <c r="B15" s="2910" t="s">
        <v>4496</v>
      </c>
      <c r="C15" s="2911" t="s">
        <v>73</v>
      </c>
      <c r="D15" s="2941" t="s">
        <v>4521</v>
      </c>
      <c r="E15" s="2942" t="s">
        <v>4522</v>
      </c>
      <c r="F15" s="2918" t="s">
        <v>4523</v>
      </c>
      <c r="G15" s="2946">
        <v>-27633</v>
      </c>
      <c r="H15" s="2918">
        <v>-20836</v>
      </c>
      <c r="I15" s="2918" t="s">
        <v>4524</v>
      </c>
      <c r="J15" s="2946" t="s">
        <v>4525</v>
      </c>
      <c r="K15" s="2947" t="s">
        <v>4526</v>
      </c>
      <c r="L15" s="2944" t="s">
        <v>4527</v>
      </c>
      <c r="M15" s="2944" t="s">
        <v>4528</v>
      </c>
      <c r="N15" s="2945" t="s">
        <v>4529</v>
      </c>
    </row>
    <row r="16" spans="1:16" ht="18" customHeight="1" x14ac:dyDescent="0.2">
      <c r="A16" s="2901" t="s">
        <v>4530</v>
      </c>
      <c r="B16" s="2910" t="s">
        <v>4502</v>
      </c>
      <c r="C16" s="2911" t="s">
        <v>73</v>
      </c>
      <c r="D16" s="2941" t="s">
        <v>4531</v>
      </c>
      <c r="E16" s="2942" t="s">
        <v>4532</v>
      </c>
      <c r="F16" s="2948">
        <v>6603</v>
      </c>
      <c r="G16" s="2948">
        <v>9110</v>
      </c>
      <c r="H16" s="2948">
        <v>2484</v>
      </c>
      <c r="I16" s="2949" t="s">
        <v>4533</v>
      </c>
      <c r="J16" s="2949" t="s">
        <v>4534</v>
      </c>
      <c r="K16" s="2950" t="s">
        <v>4535</v>
      </c>
      <c r="L16" s="2950" t="s">
        <v>4536</v>
      </c>
      <c r="M16" s="2944" t="s">
        <v>4537</v>
      </c>
      <c r="N16" s="2945" t="s">
        <v>4538</v>
      </c>
    </row>
    <row r="17" spans="1:15" ht="18" customHeight="1" x14ac:dyDescent="0.2">
      <c r="A17" s="2951" t="s">
        <v>4539</v>
      </c>
      <c r="B17" s="2910" t="s">
        <v>4496</v>
      </c>
      <c r="C17" s="2911" t="s">
        <v>73</v>
      </c>
      <c r="D17" s="2941" t="s">
        <v>4540</v>
      </c>
      <c r="E17" s="2952">
        <v>-4573</v>
      </c>
      <c r="F17" s="2948">
        <v>13880</v>
      </c>
      <c r="G17" s="2948">
        <v>4624</v>
      </c>
      <c r="H17" s="2948">
        <v>12103</v>
      </c>
      <c r="I17" s="2949" t="s">
        <v>4541</v>
      </c>
      <c r="J17" s="2949" t="s">
        <v>4542</v>
      </c>
      <c r="K17" s="2950" t="s">
        <v>4543</v>
      </c>
      <c r="L17" s="2950" t="s">
        <v>4544</v>
      </c>
      <c r="M17" s="2950">
        <v>23019</v>
      </c>
      <c r="N17" s="2953">
        <v>19960</v>
      </c>
    </row>
    <row r="18" spans="1:15" ht="18" customHeight="1" x14ac:dyDescent="0.25">
      <c r="A18" s="2951" t="s">
        <v>4545</v>
      </c>
      <c r="B18" s="2954" t="s">
        <v>4546</v>
      </c>
      <c r="C18" s="2911" t="s">
        <v>73</v>
      </c>
      <c r="D18" s="2955">
        <v>41884</v>
      </c>
      <c r="E18" s="2956">
        <v>44670</v>
      </c>
      <c r="F18" s="2957">
        <v>51386</v>
      </c>
      <c r="G18" s="2957">
        <v>56535</v>
      </c>
      <c r="H18" s="2957">
        <v>69742</v>
      </c>
      <c r="I18" s="2955">
        <v>79044</v>
      </c>
      <c r="J18" s="2955">
        <v>81474</v>
      </c>
      <c r="K18" s="2958">
        <v>92988</v>
      </c>
      <c r="L18" s="2958">
        <v>105009</v>
      </c>
      <c r="M18" s="2958">
        <v>124344</v>
      </c>
      <c r="N18" s="2959" t="s">
        <v>4547</v>
      </c>
      <c r="O18" s="2960"/>
    </row>
    <row r="19" spans="1:15" ht="18" customHeight="1" x14ac:dyDescent="0.2">
      <c r="A19" s="2951" t="s">
        <v>4548</v>
      </c>
      <c r="B19" s="2910" t="s">
        <v>4472</v>
      </c>
      <c r="C19" s="2911" t="s">
        <v>73</v>
      </c>
      <c r="D19" s="2952">
        <v>93282</v>
      </c>
      <c r="E19" s="2952">
        <v>115502</v>
      </c>
      <c r="F19" s="2906">
        <v>121037</v>
      </c>
      <c r="G19" s="2906">
        <v>132165</v>
      </c>
      <c r="H19" s="2913">
        <v>118444</v>
      </c>
      <c r="I19" s="2914" t="s">
        <v>4549</v>
      </c>
      <c r="J19" s="2914" t="s">
        <v>4550</v>
      </c>
      <c r="K19" s="2916" t="s">
        <v>4551</v>
      </c>
      <c r="L19" s="2916" t="s">
        <v>4552</v>
      </c>
      <c r="M19" s="2916" t="s">
        <v>4553</v>
      </c>
      <c r="N19" s="2917" t="s">
        <v>4554</v>
      </c>
    </row>
    <row r="20" spans="1:15" ht="18" customHeight="1" x14ac:dyDescent="0.2">
      <c r="A20" s="2951" t="s">
        <v>4555</v>
      </c>
      <c r="B20" s="2921" t="s">
        <v>4472</v>
      </c>
      <c r="C20" s="2922" t="s">
        <v>73</v>
      </c>
      <c r="D20" s="2931">
        <v>63219</v>
      </c>
      <c r="E20" s="2931">
        <v>74037</v>
      </c>
      <c r="F20" s="2928">
        <v>69708</v>
      </c>
      <c r="G20" s="2928">
        <v>67970</v>
      </c>
      <c r="H20" s="2961">
        <v>61681</v>
      </c>
      <c r="I20" s="2962" t="s">
        <v>4556</v>
      </c>
      <c r="J20" s="2962" t="s">
        <v>4557</v>
      </c>
      <c r="K20" s="2916" t="s">
        <v>4558</v>
      </c>
      <c r="L20" s="2916" t="s">
        <v>4559</v>
      </c>
      <c r="M20" s="2916" t="s">
        <v>4560</v>
      </c>
      <c r="N20" s="2917" t="s">
        <v>4561</v>
      </c>
    </row>
    <row r="21" spans="1:15" ht="18" customHeight="1" x14ac:dyDescent="0.2">
      <c r="A21" s="2951" t="s">
        <v>4562</v>
      </c>
      <c r="B21" s="2921" t="s">
        <v>4563</v>
      </c>
      <c r="C21" s="2922" t="s">
        <v>1350</v>
      </c>
      <c r="D21" s="2923">
        <v>-5</v>
      </c>
      <c r="E21" s="2963" t="s">
        <v>4564</v>
      </c>
      <c r="F21" s="2964" t="s">
        <v>4565</v>
      </c>
      <c r="G21" s="2964" t="s">
        <v>4566</v>
      </c>
      <c r="H21" s="2964" t="s">
        <v>4567</v>
      </c>
      <c r="I21" s="2964" t="s">
        <v>4568</v>
      </c>
      <c r="J21" s="2964" t="s">
        <v>4569</v>
      </c>
      <c r="K21" s="2963" t="s">
        <v>4570</v>
      </c>
      <c r="L21" s="2916" t="s">
        <v>4571</v>
      </c>
      <c r="M21" s="2916" t="s">
        <v>4572</v>
      </c>
      <c r="N21" s="2965" t="s">
        <v>4573</v>
      </c>
    </row>
    <row r="22" spans="1:15" ht="18" customHeight="1" x14ac:dyDescent="0.2">
      <c r="A22" s="2951" t="s">
        <v>4574</v>
      </c>
      <c r="B22" s="2910" t="s">
        <v>4575</v>
      </c>
      <c r="C22" s="2911" t="s">
        <v>73</v>
      </c>
      <c r="D22" s="2906">
        <v>9906</v>
      </c>
      <c r="E22" s="2952">
        <v>9255</v>
      </c>
      <c r="F22" s="2906">
        <v>14207</v>
      </c>
      <c r="G22" s="2918">
        <v>13152</v>
      </c>
      <c r="H22" s="2906">
        <v>21617</v>
      </c>
      <c r="I22" s="2906">
        <v>26791</v>
      </c>
      <c r="J22" s="2906">
        <v>31351</v>
      </c>
      <c r="K22" s="2952">
        <v>35947</v>
      </c>
      <c r="L22" s="2915" t="s">
        <v>4576</v>
      </c>
      <c r="M22" s="2915">
        <v>51429</v>
      </c>
      <c r="N22" s="2965" t="s">
        <v>4577</v>
      </c>
    </row>
    <row r="23" spans="1:15" ht="18" customHeight="1" x14ac:dyDescent="0.2">
      <c r="A23" s="2951" t="s">
        <v>4578</v>
      </c>
      <c r="B23" s="2910" t="s">
        <v>4575</v>
      </c>
      <c r="C23" s="2911" t="s">
        <v>1350</v>
      </c>
      <c r="D23" s="2934">
        <v>5.3456872733552068</v>
      </c>
      <c r="E23" s="2937">
        <v>4.5955769173477394</v>
      </c>
      <c r="F23" s="2936">
        <v>6.2463946535349981</v>
      </c>
      <c r="G23" s="2936">
        <v>5.0550590948400114</v>
      </c>
      <c r="H23" s="2936">
        <v>7.6560192383293257</v>
      </c>
      <c r="I23" s="2936">
        <v>8.9550792021953995</v>
      </c>
      <c r="J23" s="2936">
        <v>9.7058914584687788</v>
      </c>
      <c r="K23" s="2937">
        <v>10.5</v>
      </c>
      <c r="L23" s="2939">
        <v>12.877770132267329</v>
      </c>
      <c r="M23" s="2939">
        <v>13.289058848742902</v>
      </c>
      <c r="N23" s="2966">
        <v>13.5</v>
      </c>
    </row>
    <row r="24" spans="1:15" ht="18" customHeight="1" x14ac:dyDescent="0.2">
      <c r="A24" s="2951" t="s">
        <v>4579</v>
      </c>
      <c r="B24" s="2910" t="s">
        <v>4575</v>
      </c>
      <c r="C24" s="2911" t="s">
        <v>73</v>
      </c>
      <c r="D24" s="2906">
        <v>96584</v>
      </c>
      <c r="E24" s="2906">
        <v>104829</v>
      </c>
      <c r="F24" s="2906">
        <v>108668</v>
      </c>
      <c r="G24" s="2906">
        <v>109836</v>
      </c>
      <c r="H24" s="2906">
        <v>125644</v>
      </c>
      <c r="I24" s="2906">
        <v>128557</v>
      </c>
      <c r="J24" s="2906">
        <v>137219</v>
      </c>
      <c r="K24" s="2906">
        <v>140806</v>
      </c>
      <c r="L24" s="2906" t="s">
        <v>4580</v>
      </c>
      <c r="M24" s="2915">
        <v>165285</v>
      </c>
      <c r="N24" s="2917" t="s">
        <v>4581</v>
      </c>
    </row>
    <row r="25" spans="1:15" ht="18" customHeight="1" x14ac:dyDescent="0.2">
      <c r="A25" s="2951" t="s">
        <v>4582</v>
      </c>
      <c r="B25" s="2910" t="s">
        <v>4575</v>
      </c>
      <c r="C25" s="2911" t="s">
        <v>1350</v>
      </c>
      <c r="D25" s="2934">
        <v>52.119452598860306</v>
      </c>
      <c r="E25" s="2934">
        <v>52.050467234034102</v>
      </c>
      <c r="F25" s="2934">
        <v>47.778930706999645</v>
      </c>
      <c r="G25" s="2934">
        <v>42.216162198520223</v>
      </c>
      <c r="H25" s="2934">
        <v>44.498907396060957</v>
      </c>
      <c r="I25" s="2934">
        <v>42.9710767420639</v>
      </c>
      <c r="J25" s="2934">
        <v>42.4</v>
      </c>
      <c r="K25" s="2934">
        <v>40.9</v>
      </c>
      <c r="L25" s="2934">
        <v>40.9</v>
      </c>
      <c r="M25" s="2967">
        <v>42.8</v>
      </c>
      <c r="N25" s="2968">
        <v>45</v>
      </c>
    </row>
    <row r="26" spans="1:15" ht="18" customHeight="1" x14ac:dyDescent="0.25">
      <c r="A26" s="2951" t="s">
        <v>4583</v>
      </c>
      <c r="B26" s="2969" t="s">
        <v>4546</v>
      </c>
      <c r="C26" s="2911" t="s">
        <v>73</v>
      </c>
      <c r="D26" s="2970">
        <v>116014.277660686</v>
      </c>
      <c r="E26" s="2970">
        <v>131332.53047524224</v>
      </c>
      <c r="F26" s="2971">
        <v>145312.16251779645</v>
      </c>
      <c r="G26" s="2971">
        <v>178924.55683905896</v>
      </c>
      <c r="H26" s="2972">
        <v>184650</v>
      </c>
      <c r="I26" s="2972">
        <v>209570</v>
      </c>
      <c r="J26" s="2972">
        <v>227044</v>
      </c>
      <c r="K26" s="2972">
        <v>256025</v>
      </c>
      <c r="L26" s="2972">
        <v>271247.48784599046</v>
      </c>
      <c r="M26" s="2972">
        <v>274646.60771470465</v>
      </c>
      <c r="N26" s="2973">
        <v>286171.56923292112</v>
      </c>
    </row>
    <row r="27" spans="1:15" ht="18" customHeight="1" x14ac:dyDescent="0.25">
      <c r="A27" s="2951" t="s">
        <v>4584</v>
      </c>
      <c r="B27" s="2969" t="s">
        <v>4496</v>
      </c>
      <c r="C27" s="2911" t="s">
        <v>1350</v>
      </c>
      <c r="D27" s="2974">
        <v>18</v>
      </c>
      <c r="E27" s="2975">
        <f t="shared" ref="E27:K27" si="0">((E26-D26)/D26)*100</f>
        <v>13.203765194624118</v>
      </c>
      <c r="F27" s="2975">
        <f t="shared" si="0"/>
        <v>10.644454951082768</v>
      </c>
      <c r="G27" s="2975">
        <f t="shared" si="0"/>
        <v>23.131163791706694</v>
      </c>
      <c r="H27" s="2975">
        <f t="shared" si="0"/>
        <v>3.1999202692400814</v>
      </c>
      <c r="I27" s="2975">
        <f t="shared" si="0"/>
        <v>13.495802870295154</v>
      </c>
      <c r="J27" s="2975">
        <f t="shared" si="0"/>
        <v>8.3380254807462908</v>
      </c>
      <c r="K27" s="2975">
        <f t="shared" si="0"/>
        <v>12.764486178890436</v>
      </c>
      <c r="L27" s="2975">
        <f>((L26-K26)/K26)*100</f>
        <v>5.9457036797150504</v>
      </c>
      <c r="M27" s="2975">
        <f>((M26-L26)/L26)*100</f>
        <v>1.2531433546931678</v>
      </c>
      <c r="N27" s="2976">
        <f>((N26-M26)/M26)*100</f>
        <v>4.1962875908477573</v>
      </c>
      <c r="O27" s="2977"/>
    </row>
    <row r="28" spans="1:15" ht="18" customHeight="1" x14ac:dyDescent="0.25">
      <c r="A28" s="2951" t="s">
        <v>4585</v>
      </c>
      <c r="B28" s="2969" t="s">
        <v>4546</v>
      </c>
      <c r="C28" s="2911" t="s">
        <v>73</v>
      </c>
      <c r="D28" s="2970">
        <v>11664</v>
      </c>
      <c r="E28" s="2970">
        <v>13028</v>
      </c>
      <c r="F28" s="2971">
        <v>14260</v>
      </c>
      <c r="G28" s="2971">
        <v>16156</v>
      </c>
      <c r="H28" s="2972">
        <v>17153</v>
      </c>
      <c r="I28" s="2972">
        <v>18975</v>
      </c>
      <c r="J28" s="2972">
        <v>20308</v>
      </c>
      <c r="K28" s="2972">
        <v>22170</v>
      </c>
      <c r="L28" s="2972">
        <v>23316.684992015878</v>
      </c>
      <c r="M28" s="2978">
        <v>25391.16857677501</v>
      </c>
      <c r="N28" s="2979">
        <v>27638</v>
      </c>
    </row>
    <row r="29" spans="1:15" ht="18" customHeight="1" x14ac:dyDescent="0.25">
      <c r="A29" s="2951" t="s">
        <v>4586</v>
      </c>
      <c r="B29" s="2969" t="s">
        <v>4546</v>
      </c>
      <c r="C29" s="2911" t="s">
        <v>73</v>
      </c>
      <c r="D29" s="2970">
        <v>128856</v>
      </c>
      <c r="E29" s="2970">
        <v>139733</v>
      </c>
      <c r="F29" s="2971">
        <v>162026</v>
      </c>
      <c r="G29" s="2971">
        <v>185322</v>
      </c>
      <c r="H29" s="2972">
        <v>206889.68900000001</v>
      </c>
      <c r="I29" s="2972">
        <v>227415</v>
      </c>
      <c r="J29" s="2972">
        <v>240640</v>
      </c>
      <c r="K29" s="2972">
        <v>266199</v>
      </c>
      <c r="L29" s="2972">
        <v>277355.75724473817</v>
      </c>
      <c r="M29" s="2972">
        <v>300582.34951734595</v>
      </c>
      <c r="N29" s="2973">
        <v>323789.47171243711</v>
      </c>
      <c r="O29" s="2980"/>
    </row>
    <row r="30" spans="1:15" ht="18" customHeight="1" x14ac:dyDescent="0.25">
      <c r="A30" s="2951" t="s">
        <v>4587</v>
      </c>
      <c r="B30" s="2969" t="s">
        <v>4546</v>
      </c>
      <c r="C30" s="2911" t="s">
        <v>73</v>
      </c>
      <c r="D30" s="2970">
        <v>189440</v>
      </c>
      <c r="E30" s="2970">
        <v>207523</v>
      </c>
      <c r="F30" s="2971">
        <v>239318</v>
      </c>
      <c r="G30" s="2971">
        <v>274314</v>
      </c>
      <c r="H30" s="2972">
        <v>296480</v>
      </c>
      <c r="I30" s="2972">
        <v>300231.38741758827</v>
      </c>
      <c r="J30" s="2972">
        <v>319536.66994800232</v>
      </c>
      <c r="K30" s="2972">
        <v>345617</v>
      </c>
      <c r="L30" s="2972">
        <v>365608.73772902408</v>
      </c>
      <c r="M30" s="2972">
        <v>397556.54743014235</v>
      </c>
      <c r="N30" s="2973">
        <v>437999</v>
      </c>
      <c r="O30" s="2980"/>
    </row>
    <row r="31" spans="1:15" ht="18" customHeight="1" x14ac:dyDescent="0.25">
      <c r="A31" s="2951" t="s">
        <v>4588</v>
      </c>
      <c r="B31" s="2969" t="s">
        <v>4496</v>
      </c>
      <c r="C31" s="2911" t="s">
        <v>1350</v>
      </c>
      <c r="D31" s="2981">
        <v>6.6</v>
      </c>
      <c r="E31" s="2975">
        <f t="shared" ref="E31:L31" si="1">((E30-D30)/D30)*100</f>
        <v>9.5455025337837842</v>
      </c>
      <c r="F31" s="2975">
        <f t="shared" si="1"/>
        <v>15.321193313512238</v>
      </c>
      <c r="G31" s="2975">
        <f t="shared" si="1"/>
        <v>14.623220986302742</v>
      </c>
      <c r="H31" s="2975">
        <f t="shared" si="1"/>
        <v>8.0805208629526746</v>
      </c>
      <c r="I31" s="2975">
        <f t="shared" si="1"/>
        <v>1.2653087620035979</v>
      </c>
      <c r="J31" s="2975">
        <f t="shared" si="1"/>
        <v>6.4301346692851178</v>
      </c>
      <c r="K31" s="2975">
        <f t="shared" si="1"/>
        <v>8.1619208387699871</v>
      </c>
      <c r="L31" s="2975">
        <f t="shared" si="1"/>
        <v>5.7843618019437946</v>
      </c>
      <c r="M31" s="2975">
        <f>((M30-L30)/L30)*100</f>
        <v>8.738251142344641</v>
      </c>
      <c r="N31" s="2976">
        <f>((N30-M30)/M30)*100</f>
        <v>10.172754751816557</v>
      </c>
      <c r="O31" s="2977"/>
    </row>
    <row r="32" spans="1:15" ht="18.75" x14ac:dyDescent="0.25">
      <c r="A32" s="2951" t="s">
        <v>4589</v>
      </c>
      <c r="B32" s="2969" t="s">
        <v>4546</v>
      </c>
      <c r="C32" s="2911" t="s">
        <v>73</v>
      </c>
      <c r="D32" s="2970">
        <v>142228</v>
      </c>
      <c r="E32" s="2970">
        <v>160176</v>
      </c>
      <c r="F32" s="2971">
        <v>179168</v>
      </c>
      <c r="G32" s="2971">
        <v>225468</v>
      </c>
      <c r="H32" s="2972">
        <v>227569</v>
      </c>
      <c r="I32" s="2972">
        <v>279011.9005774298</v>
      </c>
      <c r="J32" s="2972">
        <v>311128.60589472816</v>
      </c>
      <c r="K32" s="2972">
        <v>364273.63872408587</v>
      </c>
      <c r="L32" s="2972">
        <v>413415.51091962057</v>
      </c>
      <c r="M32" s="2972">
        <v>402034.57576756674</v>
      </c>
      <c r="N32" s="2973">
        <v>434672</v>
      </c>
    </row>
    <row r="33" spans="1:15" ht="18.75" x14ac:dyDescent="0.25">
      <c r="A33" s="2951" t="s">
        <v>4590</v>
      </c>
      <c r="B33" s="2969" t="s">
        <v>4496</v>
      </c>
      <c r="C33" s="2911" t="s">
        <v>1350</v>
      </c>
      <c r="D33" s="2981">
        <v>15.8</v>
      </c>
      <c r="E33" s="2982">
        <f t="shared" ref="E33:L33" si="2">((E32-D32)/D32)*100</f>
        <v>12.619174846021879</v>
      </c>
      <c r="F33" s="2982">
        <f t="shared" si="2"/>
        <v>11.85695734691839</v>
      </c>
      <c r="G33" s="2982">
        <f t="shared" si="2"/>
        <v>25.841668155027687</v>
      </c>
      <c r="H33" s="2982">
        <f t="shared" si="2"/>
        <v>0.93183955151063569</v>
      </c>
      <c r="I33" s="2982">
        <f t="shared" si="2"/>
        <v>22.605407844403146</v>
      </c>
      <c r="J33" s="2982">
        <f t="shared" si="2"/>
        <v>11.510872923639152</v>
      </c>
      <c r="K33" s="2982">
        <f t="shared" si="2"/>
        <v>17.081371440123895</v>
      </c>
      <c r="L33" s="2982">
        <f t="shared" si="2"/>
        <v>13.490372887717122</v>
      </c>
      <c r="M33" s="2982">
        <f>((M32-L32)/L32)*100</f>
        <v>-2.7529047293696247</v>
      </c>
      <c r="N33" s="2983">
        <f>((N32-M32)/M32)*100</f>
        <v>8.1180640172855032</v>
      </c>
      <c r="O33" s="2977"/>
    </row>
    <row r="34" spans="1:15" ht="3.75" customHeight="1" thickBot="1" x14ac:dyDescent="0.25">
      <c r="A34" s="2984"/>
      <c r="B34" s="2985"/>
      <c r="C34" s="2986"/>
      <c r="D34" s="2987"/>
      <c r="E34" s="2987"/>
      <c r="F34" s="2987"/>
      <c r="G34" s="2987"/>
      <c r="H34" s="2987"/>
      <c r="I34" s="2987"/>
      <c r="J34" s="2987"/>
      <c r="K34" s="2988"/>
      <c r="L34" s="2988"/>
      <c r="M34" s="2988"/>
      <c r="N34" s="2989"/>
    </row>
    <row r="35" spans="1:15" ht="18" x14ac:dyDescent="0.2">
      <c r="A35" s="2990" t="s">
        <v>4591</v>
      </c>
      <c r="C35" s="2991" t="s">
        <v>4592</v>
      </c>
      <c r="D35" s="2990"/>
      <c r="E35" s="2990"/>
      <c r="F35" s="2990"/>
      <c r="G35" s="2990"/>
      <c r="H35" s="2990"/>
      <c r="I35" s="2990"/>
    </row>
    <row r="36" spans="1:15" ht="18" x14ac:dyDescent="0.2">
      <c r="A36" s="2990" t="s">
        <v>4593</v>
      </c>
      <c r="C36" s="2892" t="s">
        <v>4594</v>
      </c>
      <c r="D36" s="2892"/>
      <c r="E36" s="2892"/>
      <c r="F36" s="2892"/>
      <c r="G36" s="2892"/>
      <c r="H36" s="2892"/>
      <c r="I36" s="2892"/>
      <c r="J36" s="2992"/>
      <c r="K36" s="2992"/>
      <c r="L36" s="2992"/>
    </row>
    <row r="37" spans="1:15" ht="18" x14ac:dyDescent="0.2">
      <c r="A37" s="2993" t="s">
        <v>4595</v>
      </c>
      <c r="C37" s="2990"/>
      <c r="D37" s="2994"/>
      <c r="E37" s="2994"/>
      <c r="F37" s="2994"/>
      <c r="G37" s="2994"/>
      <c r="H37" s="2994"/>
      <c r="I37" s="2994"/>
    </row>
    <row r="38" spans="1:15" ht="18" x14ac:dyDescent="0.2">
      <c r="A38" s="2993" t="s">
        <v>4596</v>
      </c>
      <c r="C38" s="2990"/>
      <c r="D38" s="2994"/>
      <c r="E38" s="2994"/>
      <c r="F38" s="2994"/>
      <c r="G38" s="2994"/>
      <c r="H38" s="2994"/>
      <c r="I38" s="2994"/>
    </row>
    <row r="39" spans="1:15" ht="18" x14ac:dyDescent="0.2">
      <c r="A39" s="2993" t="s">
        <v>4597</v>
      </c>
      <c r="C39" s="2990"/>
      <c r="D39" s="2892"/>
    </row>
    <row r="40" spans="1:15" ht="18" x14ac:dyDescent="0.2">
      <c r="A40" s="2993" t="s">
        <v>4598</v>
      </c>
      <c r="C40" s="2990"/>
      <c r="D40" s="2892"/>
    </row>
    <row r="41" spans="1:15" ht="29.25" customHeight="1" x14ac:dyDescent="0.2">
      <c r="A41" s="3220" t="s">
        <v>4599</v>
      </c>
      <c r="B41" s="3220"/>
      <c r="C41" s="3220"/>
      <c r="D41" s="3220"/>
      <c r="E41" s="3220"/>
      <c r="F41" s="3220"/>
      <c r="G41" s="3220"/>
      <c r="H41" s="3220"/>
      <c r="I41" s="3220"/>
      <c r="J41" s="3220"/>
      <c r="K41" s="3220"/>
    </row>
    <row r="42" spans="1:15" s="2997" customFormat="1" x14ac:dyDescent="0.2">
      <c r="A42" s="2995" t="s">
        <v>4600</v>
      </c>
      <c r="B42" s="2996"/>
      <c r="C42" s="2996"/>
      <c r="D42" s="2996"/>
      <c r="E42" s="2996"/>
      <c r="F42" s="2996"/>
      <c r="G42" s="2996"/>
      <c r="H42" s="2996"/>
      <c r="I42" s="2996"/>
      <c r="J42" s="2996"/>
      <c r="K42" s="2996"/>
      <c r="L42" s="2893"/>
      <c r="M42" s="2893"/>
    </row>
    <row r="43" spans="1:15" x14ac:dyDescent="0.2">
      <c r="A43" s="2998" t="s">
        <v>4601</v>
      </c>
      <c r="B43" s="2999"/>
      <c r="C43" s="2999"/>
      <c r="D43" s="2996"/>
      <c r="E43" s="2996"/>
      <c r="F43" s="2996"/>
      <c r="G43" s="2996"/>
      <c r="H43" s="2996"/>
      <c r="I43" s="2996"/>
      <c r="J43" s="2996"/>
      <c r="K43" s="2996"/>
    </row>
    <row r="44" spans="1:15" ht="18" x14ac:dyDescent="0.2">
      <c r="A44" s="3000" t="s">
        <v>4602</v>
      </c>
      <c r="B44" s="2993"/>
      <c r="C44" s="3000" t="s">
        <v>4603</v>
      </c>
      <c r="D44" s="2993"/>
      <c r="E44" s="2993"/>
      <c r="F44" s="2993"/>
      <c r="G44" s="2993"/>
      <c r="H44" s="2993"/>
      <c r="I44" s="2993"/>
      <c r="J44" s="2993"/>
      <c r="K44" s="2993"/>
      <c r="L44" s="2993"/>
      <c r="M44" s="2993"/>
    </row>
    <row r="45" spans="1:15" ht="18" x14ac:dyDescent="0.2">
      <c r="A45" s="2991" t="s">
        <v>4604</v>
      </c>
      <c r="B45" s="2990"/>
      <c r="D45" s="2892"/>
    </row>
    <row r="46" spans="1:15" x14ac:dyDescent="0.2">
      <c r="A46" s="2991" t="s">
        <v>4605</v>
      </c>
      <c r="B46" s="2991"/>
      <c r="D46" s="2892"/>
    </row>
    <row r="47" spans="1:15" ht="18" x14ac:dyDescent="0.2">
      <c r="A47" s="2991"/>
      <c r="B47" s="2990"/>
      <c r="D47" s="2892"/>
    </row>
    <row r="48" spans="1:15" x14ac:dyDescent="0.2">
      <c r="A48" s="3001"/>
    </row>
    <row r="49" spans="1:1" x14ac:dyDescent="0.2">
      <c r="A49" s="3001"/>
    </row>
    <row r="50" spans="1:1" x14ac:dyDescent="0.2">
      <c r="A50" s="3001"/>
    </row>
    <row r="51" spans="1:1" x14ac:dyDescent="0.2">
      <c r="A51" s="3001"/>
    </row>
    <row r="52" spans="1:1" x14ac:dyDescent="0.2">
      <c r="A52" s="3001"/>
    </row>
    <row r="53" spans="1:1" x14ac:dyDescent="0.2">
      <c r="A53" s="3001"/>
    </row>
    <row r="54" spans="1:1" x14ac:dyDescent="0.2">
      <c r="A54" s="3001"/>
    </row>
    <row r="55" spans="1:1" x14ac:dyDescent="0.2">
      <c r="A55" s="3001"/>
    </row>
    <row r="56" spans="1:1" x14ac:dyDescent="0.2">
      <c r="A56" s="3001"/>
    </row>
    <row r="57" spans="1:1" x14ac:dyDescent="0.2">
      <c r="A57" s="3001"/>
    </row>
    <row r="58" spans="1:1" x14ac:dyDescent="0.2">
      <c r="A58" s="3001"/>
    </row>
    <row r="59" spans="1:1" x14ac:dyDescent="0.2">
      <c r="A59" s="3001"/>
    </row>
    <row r="60" spans="1:1" x14ac:dyDescent="0.2">
      <c r="A60" s="3001"/>
    </row>
    <row r="61" spans="1:1" x14ac:dyDescent="0.2">
      <c r="A61" s="3001"/>
    </row>
    <row r="62" spans="1:1" x14ac:dyDescent="0.2">
      <c r="A62" s="3001"/>
    </row>
  </sheetData>
  <mergeCells count="1">
    <mergeCell ref="A41:K41"/>
  </mergeCells>
  <printOptions horizontalCentered="1" verticalCentered="1"/>
  <pageMargins left="0" right="0" top="0" bottom="0" header="0" footer="0"/>
  <pageSetup paperSize="9" scale="6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C133"/>
  <sheetViews>
    <sheetView zoomScaleNormal="100" workbookViewId="0">
      <pane xSplit="105" ySplit="4" topLeftCell="DQ5" activePane="bottomRight" state="frozen"/>
      <selection pane="topRight" activeCell="DB1" sqref="DB1"/>
      <selection pane="bottomLeft" activeCell="A5" sqref="A5"/>
      <selection pane="bottomRight" activeCell="ED65" sqref="A1:ED65"/>
    </sheetView>
  </sheetViews>
  <sheetFormatPr defaultRowHeight="15" x14ac:dyDescent="0.25"/>
  <cols>
    <col min="1" max="1" width="8.28515625" style="518" customWidth="1"/>
    <col min="2" max="2" width="57.28515625" style="518" customWidth="1"/>
    <col min="3" max="26" width="8.140625" style="518" hidden="1" customWidth="1"/>
    <col min="27" max="27" width="8.28515625" style="518" hidden="1" customWidth="1"/>
    <col min="28" max="43" width="8.140625" style="518" hidden="1" customWidth="1"/>
    <col min="44" max="44" width="8" style="518" hidden="1" customWidth="1"/>
    <col min="45" max="53" width="8.140625" style="518" hidden="1" customWidth="1"/>
    <col min="54" max="54" width="8.28515625" style="518" hidden="1" customWidth="1"/>
    <col min="55" max="58" width="8.140625" style="518" hidden="1" customWidth="1"/>
    <col min="59" max="60" width="8" style="518" hidden="1" customWidth="1"/>
    <col min="61" max="62" width="7.85546875" style="518" hidden="1" customWidth="1"/>
    <col min="63" max="65" width="10.7109375" style="518" hidden="1" customWidth="1"/>
    <col min="66" max="66" width="10.42578125" style="518" hidden="1" customWidth="1"/>
    <col min="67" max="96" width="10.7109375" style="518" hidden="1" customWidth="1"/>
    <col min="97" max="120" width="14.28515625" style="518" hidden="1" customWidth="1"/>
    <col min="121" max="133" width="14.28515625" style="518" customWidth="1"/>
    <col min="134" max="276" width="9.140625" style="518"/>
    <col min="277" max="277" width="5.85546875" style="518" customWidth="1"/>
    <col min="278" max="278" width="55.42578125" style="518" bestFit="1" customWidth="1"/>
    <col min="279" max="371" width="0" style="518" hidden="1" customWidth="1"/>
    <col min="372" max="382" width="10.7109375" style="518" customWidth="1"/>
    <col min="383" max="532" width="9.140625" style="518"/>
    <col min="533" max="533" width="5.85546875" style="518" customWidth="1"/>
    <col min="534" max="534" width="55.42578125" style="518" bestFit="1" customWidth="1"/>
    <col min="535" max="627" width="0" style="518" hidden="1" customWidth="1"/>
    <col min="628" max="638" width="10.7109375" style="518" customWidth="1"/>
    <col min="639" max="788" width="9.140625" style="518"/>
    <col min="789" max="789" width="5.85546875" style="518" customWidth="1"/>
    <col min="790" max="790" width="55.42578125" style="518" bestFit="1" customWidth="1"/>
    <col min="791" max="883" width="0" style="518" hidden="1" customWidth="1"/>
    <col min="884" max="894" width="10.7109375" style="518" customWidth="1"/>
    <col min="895" max="1044" width="9.140625" style="518"/>
    <col min="1045" max="1045" width="5.85546875" style="518" customWidth="1"/>
    <col min="1046" max="1046" width="55.42578125" style="518" bestFit="1" customWidth="1"/>
    <col min="1047" max="1139" width="0" style="518" hidden="1" customWidth="1"/>
    <col min="1140" max="1150" width="10.7109375" style="518" customWidth="1"/>
    <col min="1151" max="1300" width="9.140625" style="518"/>
    <col min="1301" max="1301" width="5.85546875" style="518" customWidth="1"/>
    <col min="1302" max="1302" width="55.42578125" style="518" bestFit="1" customWidth="1"/>
    <col min="1303" max="1395" width="0" style="518" hidden="1" customWidth="1"/>
    <col min="1396" max="1406" width="10.7109375" style="518" customWidth="1"/>
    <col min="1407" max="1556" width="9.140625" style="518"/>
    <col min="1557" max="1557" width="5.85546875" style="518" customWidth="1"/>
    <col min="1558" max="1558" width="55.42578125" style="518" bestFit="1" customWidth="1"/>
    <col min="1559" max="1651" width="0" style="518" hidden="1" customWidth="1"/>
    <col min="1652" max="1662" width="10.7109375" style="518" customWidth="1"/>
    <col min="1663" max="1812" width="9.140625" style="518"/>
    <col min="1813" max="1813" width="5.85546875" style="518" customWidth="1"/>
    <col min="1814" max="1814" width="55.42578125" style="518" bestFit="1" customWidth="1"/>
    <col min="1815" max="1907" width="0" style="518" hidden="1" customWidth="1"/>
    <col min="1908" max="1918" width="10.7109375" style="518" customWidth="1"/>
    <col min="1919" max="2068" width="9.140625" style="518"/>
    <col min="2069" max="2069" width="5.85546875" style="518" customWidth="1"/>
    <col min="2070" max="2070" width="55.42578125" style="518" bestFit="1" customWidth="1"/>
    <col min="2071" max="2163" width="0" style="518" hidden="1" customWidth="1"/>
    <col min="2164" max="2174" width="10.7109375" style="518" customWidth="1"/>
    <col min="2175" max="2324" width="9.140625" style="518"/>
    <col min="2325" max="2325" width="5.85546875" style="518" customWidth="1"/>
    <col min="2326" max="2326" width="55.42578125" style="518" bestFit="1" customWidth="1"/>
    <col min="2327" max="2419" width="0" style="518" hidden="1" customWidth="1"/>
    <col min="2420" max="2430" width="10.7109375" style="518" customWidth="1"/>
    <col min="2431" max="2580" width="9.140625" style="518"/>
    <col min="2581" max="2581" width="5.85546875" style="518" customWidth="1"/>
    <col min="2582" max="2582" width="55.42578125" style="518" bestFit="1" customWidth="1"/>
    <col min="2583" max="2675" width="0" style="518" hidden="1" customWidth="1"/>
    <col min="2676" max="2686" width="10.7109375" style="518" customWidth="1"/>
    <col min="2687" max="2836" width="9.140625" style="518"/>
    <col min="2837" max="2837" width="5.85546875" style="518" customWidth="1"/>
    <col min="2838" max="2838" width="55.42578125" style="518" bestFit="1" customWidth="1"/>
    <col min="2839" max="2931" width="0" style="518" hidden="1" customWidth="1"/>
    <col min="2932" max="2942" width="10.7109375" style="518" customWidth="1"/>
    <col min="2943" max="3092" width="9.140625" style="518"/>
    <col min="3093" max="3093" width="5.85546875" style="518" customWidth="1"/>
    <col min="3094" max="3094" width="55.42578125" style="518" bestFit="1" customWidth="1"/>
    <col min="3095" max="3187" width="0" style="518" hidden="1" customWidth="1"/>
    <col min="3188" max="3198" width="10.7109375" style="518" customWidth="1"/>
    <col min="3199" max="3348" width="9.140625" style="518"/>
    <col min="3349" max="3349" width="5.85546875" style="518" customWidth="1"/>
    <col min="3350" max="3350" width="55.42578125" style="518" bestFit="1" customWidth="1"/>
    <col min="3351" max="3443" width="0" style="518" hidden="1" customWidth="1"/>
    <col min="3444" max="3454" width="10.7109375" style="518" customWidth="1"/>
    <col min="3455" max="3604" width="9.140625" style="518"/>
    <col min="3605" max="3605" width="5.85546875" style="518" customWidth="1"/>
    <col min="3606" max="3606" width="55.42578125" style="518" bestFit="1" customWidth="1"/>
    <col min="3607" max="3699" width="0" style="518" hidden="1" customWidth="1"/>
    <col min="3700" max="3710" width="10.7109375" style="518" customWidth="1"/>
    <col min="3711" max="3860" width="9.140625" style="518"/>
    <col min="3861" max="3861" width="5.85546875" style="518" customWidth="1"/>
    <col min="3862" max="3862" width="55.42578125" style="518" bestFit="1" customWidth="1"/>
    <col min="3863" max="3955" width="0" style="518" hidden="1" customWidth="1"/>
    <col min="3956" max="3966" width="10.7109375" style="518" customWidth="1"/>
    <col min="3967" max="4116" width="9.140625" style="518"/>
    <col min="4117" max="4117" width="5.85546875" style="518" customWidth="1"/>
    <col min="4118" max="4118" width="55.42578125" style="518" bestFit="1" customWidth="1"/>
    <col min="4119" max="4211" width="0" style="518" hidden="1" customWidth="1"/>
    <col min="4212" max="4222" width="10.7109375" style="518" customWidth="1"/>
    <col min="4223" max="4372" width="9.140625" style="518"/>
    <col min="4373" max="4373" width="5.85546875" style="518" customWidth="1"/>
    <col min="4374" max="4374" width="55.42578125" style="518" bestFit="1" customWidth="1"/>
    <col min="4375" max="4467" width="0" style="518" hidden="1" customWidth="1"/>
    <col min="4468" max="4478" width="10.7109375" style="518" customWidth="1"/>
    <col min="4479" max="4628" width="9.140625" style="518"/>
    <col min="4629" max="4629" width="5.85546875" style="518" customWidth="1"/>
    <col min="4630" max="4630" width="55.42578125" style="518" bestFit="1" customWidth="1"/>
    <col min="4631" max="4723" width="0" style="518" hidden="1" customWidth="1"/>
    <col min="4724" max="4734" width="10.7109375" style="518" customWidth="1"/>
    <col min="4735" max="4884" width="9.140625" style="518"/>
    <col min="4885" max="4885" width="5.85546875" style="518" customWidth="1"/>
    <col min="4886" max="4886" width="55.42578125" style="518" bestFit="1" customWidth="1"/>
    <col min="4887" max="4979" width="0" style="518" hidden="1" customWidth="1"/>
    <col min="4980" max="4990" width="10.7109375" style="518" customWidth="1"/>
    <col min="4991" max="5140" width="9.140625" style="518"/>
    <col min="5141" max="5141" width="5.85546875" style="518" customWidth="1"/>
    <col min="5142" max="5142" width="55.42578125" style="518" bestFit="1" customWidth="1"/>
    <col min="5143" max="5235" width="0" style="518" hidden="1" customWidth="1"/>
    <col min="5236" max="5246" width="10.7109375" style="518" customWidth="1"/>
    <col min="5247" max="5396" width="9.140625" style="518"/>
    <col min="5397" max="5397" width="5.85546875" style="518" customWidth="1"/>
    <col min="5398" max="5398" width="55.42578125" style="518" bestFit="1" customWidth="1"/>
    <col min="5399" max="5491" width="0" style="518" hidden="1" customWidth="1"/>
    <col min="5492" max="5502" width="10.7109375" style="518" customWidth="1"/>
    <col min="5503" max="5652" width="9.140625" style="518"/>
    <col min="5653" max="5653" width="5.85546875" style="518" customWidth="1"/>
    <col min="5654" max="5654" width="55.42578125" style="518" bestFit="1" customWidth="1"/>
    <col min="5655" max="5747" width="0" style="518" hidden="1" customWidth="1"/>
    <col min="5748" max="5758" width="10.7109375" style="518" customWidth="1"/>
    <col min="5759" max="5908" width="9.140625" style="518"/>
    <col min="5909" max="5909" width="5.85546875" style="518" customWidth="1"/>
    <col min="5910" max="5910" width="55.42578125" style="518" bestFit="1" customWidth="1"/>
    <col min="5911" max="6003" width="0" style="518" hidden="1" customWidth="1"/>
    <col min="6004" max="6014" width="10.7109375" style="518" customWidth="1"/>
    <col min="6015" max="6164" width="9.140625" style="518"/>
    <col min="6165" max="6165" width="5.85546875" style="518" customWidth="1"/>
    <col min="6166" max="6166" width="55.42578125" style="518" bestFit="1" customWidth="1"/>
    <col min="6167" max="6259" width="0" style="518" hidden="1" customWidth="1"/>
    <col min="6260" max="6270" width="10.7109375" style="518" customWidth="1"/>
    <col min="6271" max="6420" width="9.140625" style="518"/>
    <col min="6421" max="6421" width="5.85546875" style="518" customWidth="1"/>
    <col min="6422" max="6422" width="55.42578125" style="518" bestFit="1" customWidth="1"/>
    <col min="6423" max="6515" width="0" style="518" hidden="1" customWidth="1"/>
    <col min="6516" max="6526" width="10.7109375" style="518" customWidth="1"/>
    <col min="6527" max="6676" width="9.140625" style="518"/>
    <col min="6677" max="6677" width="5.85546875" style="518" customWidth="1"/>
    <col min="6678" max="6678" width="55.42578125" style="518" bestFit="1" customWidth="1"/>
    <col min="6679" max="6771" width="0" style="518" hidden="1" customWidth="1"/>
    <col min="6772" max="6782" width="10.7109375" style="518" customWidth="1"/>
    <col min="6783" max="6932" width="9.140625" style="518"/>
    <col min="6933" max="6933" width="5.85546875" style="518" customWidth="1"/>
    <col min="6934" max="6934" width="55.42578125" style="518" bestFit="1" customWidth="1"/>
    <col min="6935" max="7027" width="0" style="518" hidden="1" customWidth="1"/>
    <col min="7028" max="7038" width="10.7109375" style="518" customWidth="1"/>
    <col min="7039" max="7188" width="9.140625" style="518"/>
    <col min="7189" max="7189" width="5.85546875" style="518" customWidth="1"/>
    <col min="7190" max="7190" width="55.42578125" style="518" bestFit="1" customWidth="1"/>
    <col min="7191" max="7283" width="0" style="518" hidden="1" customWidth="1"/>
    <col min="7284" max="7294" width="10.7109375" style="518" customWidth="1"/>
    <col min="7295" max="7444" width="9.140625" style="518"/>
    <col min="7445" max="7445" width="5.85546875" style="518" customWidth="1"/>
    <col min="7446" max="7446" width="55.42578125" style="518" bestFit="1" customWidth="1"/>
    <col min="7447" max="7539" width="0" style="518" hidden="1" customWidth="1"/>
    <col min="7540" max="7550" width="10.7109375" style="518" customWidth="1"/>
    <col min="7551" max="7700" width="9.140625" style="518"/>
    <col min="7701" max="7701" width="5.85546875" style="518" customWidth="1"/>
    <col min="7702" max="7702" width="55.42578125" style="518" bestFit="1" customWidth="1"/>
    <col min="7703" max="7795" width="0" style="518" hidden="1" customWidth="1"/>
    <col min="7796" max="7806" width="10.7109375" style="518" customWidth="1"/>
    <col min="7807" max="7956" width="9.140625" style="518"/>
    <col min="7957" max="7957" width="5.85546875" style="518" customWidth="1"/>
    <col min="7958" max="7958" width="55.42578125" style="518" bestFit="1" customWidth="1"/>
    <col min="7959" max="8051" width="0" style="518" hidden="1" customWidth="1"/>
    <col min="8052" max="8062" width="10.7109375" style="518" customWidth="1"/>
    <col min="8063" max="8212" width="9.140625" style="518"/>
    <col min="8213" max="8213" width="5.85546875" style="518" customWidth="1"/>
    <col min="8214" max="8214" width="55.42578125" style="518" bestFit="1" customWidth="1"/>
    <col min="8215" max="8307" width="0" style="518" hidden="1" customWidth="1"/>
    <col min="8308" max="8318" width="10.7109375" style="518" customWidth="1"/>
    <col min="8319" max="8468" width="9.140625" style="518"/>
    <col min="8469" max="8469" width="5.85546875" style="518" customWidth="1"/>
    <col min="8470" max="8470" width="55.42578125" style="518" bestFit="1" customWidth="1"/>
    <col min="8471" max="8563" width="0" style="518" hidden="1" customWidth="1"/>
    <col min="8564" max="8574" width="10.7109375" style="518" customWidth="1"/>
    <col min="8575" max="8724" width="9.140625" style="518"/>
    <col min="8725" max="8725" width="5.85546875" style="518" customWidth="1"/>
    <col min="8726" max="8726" width="55.42578125" style="518" bestFit="1" customWidth="1"/>
    <col min="8727" max="8819" width="0" style="518" hidden="1" customWidth="1"/>
    <col min="8820" max="8830" width="10.7109375" style="518" customWidth="1"/>
    <col min="8831" max="8980" width="9.140625" style="518"/>
    <col min="8981" max="8981" width="5.85546875" style="518" customWidth="1"/>
    <col min="8982" max="8982" width="55.42578125" style="518" bestFit="1" customWidth="1"/>
    <col min="8983" max="9075" width="0" style="518" hidden="1" customWidth="1"/>
    <col min="9076" max="9086" width="10.7109375" style="518" customWidth="1"/>
    <col min="9087" max="9236" width="9.140625" style="518"/>
    <col min="9237" max="9237" width="5.85546875" style="518" customWidth="1"/>
    <col min="9238" max="9238" width="55.42578125" style="518" bestFit="1" customWidth="1"/>
    <col min="9239" max="9331" width="0" style="518" hidden="1" customWidth="1"/>
    <col min="9332" max="9342" width="10.7109375" style="518" customWidth="1"/>
    <col min="9343" max="9492" width="9.140625" style="518"/>
    <col min="9493" max="9493" width="5.85546875" style="518" customWidth="1"/>
    <col min="9494" max="9494" width="55.42578125" style="518" bestFit="1" customWidth="1"/>
    <col min="9495" max="9587" width="0" style="518" hidden="1" customWidth="1"/>
    <col min="9588" max="9598" width="10.7109375" style="518" customWidth="1"/>
    <col min="9599" max="9748" width="9.140625" style="518"/>
    <col min="9749" max="9749" width="5.85546875" style="518" customWidth="1"/>
    <col min="9750" max="9750" width="55.42578125" style="518" bestFit="1" customWidth="1"/>
    <col min="9751" max="9843" width="0" style="518" hidden="1" customWidth="1"/>
    <col min="9844" max="9854" width="10.7109375" style="518" customWidth="1"/>
    <col min="9855" max="10004" width="9.140625" style="518"/>
    <col min="10005" max="10005" width="5.85546875" style="518" customWidth="1"/>
    <col min="10006" max="10006" width="55.42578125" style="518" bestFit="1" customWidth="1"/>
    <col min="10007" max="10099" width="0" style="518" hidden="1" customWidth="1"/>
    <col min="10100" max="10110" width="10.7109375" style="518" customWidth="1"/>
    <col min="10111" max="10260" width="9.140625" style="518"/>
    <col min="10261" max="10261" width="5.85546875" style="518" customWidth="1"/>
    <col min="10262" max="10262" width="55.42578125" style="518" bestFit="1" customWidth="1"/>
    <col min="10263" max="10355" width="0" style="518" hidden="1" customWidth="1"/>
    <col min="10356" max="10366" width="10.7109375" style="518" customWidth="1"/>
    <col min="10367" max="10516" width="9.140625" style="518"/>
    <col min="10517" max="10517" width="5.85546875" style="518" customWidth="1"/>
    <col min="10518" max="10518" width="55.42578125" style="518" bestFit="1" customWidth="1"/>
    <col min="10519" max="10611" width="0" style="518" hidden="1" customWidth="1"/>
    <col min="10612" max="10622" width="10.7109375" style="518" customWidth="1"/>
    <col min="10623" max="10772" width="9.140625" style="518"/>
    <col min="10773" max="10773" width="5.85546875" style="518" customWidth="1"/>
    <col min="10774" max="10774" width="55.42578125" style="518" bestFit="1" customWidth="1"/>
    <col min="10775" max="10867" width="0" style="518" hidden="1" customWidth="1"/>
    <col min="10868" max="10878" width="10.7109375" style="518" customWidth="1"/>
    <col min="10879" max="11028" width="9.140625" style="518"/>
    <col min="11029" max="11029" width="5.85546875" style="518" customWidth="1"/>
    <col min="11030" max="11030" width="55.42578125" style="518" bestFit="1" customWidth="1"/>
    <col min="11031" max="11123" width="0" style="518" hidden="1" customWidth="1"/>
    <col min="11124" max="11134" width="10.7109375" style="518" customWidth="1"/>
    <col min="11135" max="11284" width="9.140625" style="518"/>
    <col min="11285" max="11285" width="5.85546875" style="518" customWidth="1"/>
    <col min="11286" max="11286" width="55.42578125" style="518" bestFit="1" customWidth="1"/>
    <col min="11287" max="11379" width="0" style="518" hidden="1" customWidth="1"/>
    <col min="11380" max="11390" width="10.7109375" style="518" customWidth="1"/>
    <col min="11391" max="11540" width="9.140625" style="518"/>
    <col min="11541" max="11541" width="5.85546875" style="518" customWidth="1"/>
    <col min="11542" max="11542" width="55.42578125" style="518" bestFit="1" customWidth="1"/>
    <col min="11543" max="11635" width="0" style="518" hidden="1" customWidth="1"/>
    <col min="11636" max="11646" width="10.7109375" style="518" customWidth="1"/>
    <col min="11647" max="11796" width="9.140625" style="518"/>
    <col min="11797" max="11797" width="5.85546875" style="518" customWidth="1"/>
    <col min="11798" max="11798" width="55.42578125" style="518" bestFit="1" customWidth="1"/>
    <col min="11799" max="11891" width="0" style="518" hidden="1" customWidth="1"/>
    <col min="11892" max="11902" width="10.7109375" style="518" customWidth="1"/>
    <col min="11903" max="12052" width="9.140625" style="518"/>
    <col min="12053" max="12053" width="5.85546875" style="518" customWidth="1"/>
    <col min="12054" max="12054" width="55.42578125" style="518" bestFit="1" customWidth="1"/>
    <col min="12055" max="12147" width="0" style="518" hidden="1" customWidth="1"/>
    <col min="12148" max="12158" width="10.7109375" style="518" customWidth="1"/>
    <col min="12159" max="12308" width="9.140625" style="518"/>
    <col min="12309" max="12309" width="5.85546875" style="518" customWidth="1"/>
    <col min="12310" max="12310" width="55.42578125" style="518" bestFit="1" customWidth="1"/>
    <col min="12311" max="12403" width="0" style="518" hidden="1" customWidth="1"/>
    <col min="12404" max="12414" width="10.7109375" style="518" customWidth="1"/>
    <col min="12415" max="12564" width="9.140625" style="518"/>
    <col min="12565" max="12565" width="5.85546875" style="518" customWidth="1"/>
    <col min="12566" max="12566" width="55.42578125" style="518" bestFit="1" customWidth="1"/>
    <col min="12567" max="12659" width="0" style="518" hidden="1" customWidth="1"/>
    <col min="12660" max="12670" width="10.7109375" style="518" customWidth="1"/>
    <col min="12671" max="12820" width="9.140625" style="518"/>
    <col min="12821" max="12821" width="5.85546875" style="518" customWidth="1"/>
    <col min="12822" max="12822" width="55.42578125" style="518" bestFit="1" customWidth="1"/>
    <col min="12823" max="12915" width="0" style="518" hidden="1" customWidth="1"/>
    <col min="12916" max="12926" width="10.7109375" style="518" customWidth="1"/>
    <col min="12927" max="13076" width="9.140625" style="518"/>
    <col min="13077" max="13077" width="5.85546875" style="518" customWidth="1"/>
    <col min="13078" max="13078" width="55.42578125" style="518" bestFit="1" customWidth="1"/>
    <col min="13079" max="13171" width="0" style="518" hidden="1" customWidth="1"/>
    <col min="13172" max="13182" width="10.7109375" style="518" customWidth="1"/>
    <col min="13183" max="13332" width="9.140625" style="518"/>
    <col min="13333" max="13333" width="5.85546875" style="518" customWidth="1"/>
    <col min="13334" max="13334" width="55.42578125" style="518" bestFit="1" customWidth="1"/>
    <col min="13335" max="13427" width="0" style="518" hidden="1" customWidth="1"/>
    <col min="13428" max="13438" width="10.7109375" style="518" customWidth="1"/>
    <col min="13439" max="13588" width="9.140625" style="518"/>
    <col min="13589" max="13589" width="5.85546875" style="518" customWidth="1"/>
    <col min="13590" max="13590" width="55.42578125" style="518" bestFit="1" customWidth="1"/>
    <col min="13591" max="13683" width="0" style="518" hidden="1" customWidth="1"/>
    <col min="13684" max="13694" width="10.7109375" style="518" customWidth="1"/>
    <col min="13695" max="13844" width="9.140625" style="518"/>
    <col min="13845" max="13845" width="5.85546875" style="518" customWidth="1"/>
    <col min="13846" max="13846" width="55.42578125" style="518" bestFit="1" customWidth="1"/>
    <col min="13847" max="13939" width="0" style="518" hidden="1" customWidth="1"/>
    <col min="13940" max="13950" width="10.7109375" style="518" customWidth="1"/>
    <col min="13951" max="14100" width="9.140625" style="518"/>
    <col min="14101" max="14101" width="5.85546875" style="518" customWidth="1"/>
    <col min="14102" max="14102" width="55.42578125" style="518" bestFit="1" customWidth="1"/>
    <col min="14103" max="14195" width="0" style="518" hidden="1" customWidth="1"/>
    <col min="14196" max="14206" width="10.7109375" style="518" customWidth="1"/>
    <col min="14207" max="14356" width="9.140625" style="518"/>
    <col min="14357" max="14357" width="5.85546875" style="518" customWidth="1"/>
    <col min="14358" max="14358" width="55.42578125" style="518" bestFit="1" customWidth="1"/>
    <col min="14359" max="14451" width="0" style="518" hidden="1" customWidth="1"/>
    <col min="14452" max="14462" width="10.7109375" style="518" customWidth="1"/>
    <col min="14463" max="14612" width="9.140625" style="518"/>
    <col min="14613" max="14613" width="5.85546875" style="518" customWidth="1"/>
    <col min="14614" max="14614" width="55.42578125" style="518" bestFit="1" customWidth="1"/>
    <col min="14615" max="14707" width="0" style="518" hidden="1" customWidth="1"/>
    <col min="14708" max="14718" width="10.7109375" style="518" customWidth="1"/>
    <col min="14719" max="14868" width="9.140625" style="518"/>
    <col min="14869" max="14869" width="5.85546875" style="518" customWidth="1"/>
    <col min="14870" max="14870" width="55.42578125" style="518" bestFit="1" customWidth="1"/>
    <col min="14871" max="14963" width="0" style="518" hidden="1" customWidth="1"/>
    <col min="14964" max="14974" width="10.7109375" style="518" customWidth="1"/>
    <col min="14975" max="15124" width="9.140625" style="518"/>
    <col min="15125" max="15125" width="5.85546875" style="518" customWidth="1"/>
    <col min="15126" max="15126" width="55.42578125" style="518" bestFit="1" customWidth="1"/>
    <col min="15127" max="15219" width="0" style="518" hidden="1" customWidth="1"/>
    <col min="15220" max="15230" width="10.7109375" style="518" customWidth="1"/>
    <col min="15231" max="15380" width="9.140625" style="518"/>
    <col min="15381" max="15381" width="5.85546875" style="518" customWidth="1"/>
    <col min="15382" max="15382" width="55.42578125" style="518" bestFit="1" customWidth="1"/>
    <col min="15383" max="15475" width="0" style="518" hidden="1" customWidth="1"/>
    <col min="15476" max="15486" width="10.7109375" style="518" customWidth="1"/>
    <col min="15487" max="15636" width="9.140625" style="518"/>
    <col min="15637" max="15637" width="5.85546875" style="518" customWidth="1"/>
    <col min="15638" max="15638" width="55.42578125" style="518" bestFit="1" customWidth="1"/>
    <col min="15639" max="15731" width="0" style="518" hidden="1" customWidth="1"/>
    <col min="15732" max="15742" width="10.7109375" style="518" customWidth="1"/>
    <col min="15743" max="15892" width="9.140625" style="518"/>
    <col min="15893" max="15893" width="5.85546875" style="518" customWidth="1"/>
    <col min="15894" max="15894" width="55.42578125" style="518" bestFit="1" customWidth="1"/>
    <col min="15895" max="15987" width="0" style="518" hidden="1" customWidth="1"/>
    <col min="15988" max="15998" width="10.7109375" style="518" customWidth="1"/>
    <col min="15999" max="16148" width="9.140625" style="518"/>
    <col min="16149" max="16149" width="5.85546875" style="518" customWidth="1"/>
    <col min="16150" max="16150" width="55.42578125" style="518" bestFit="1" customWidth="1"/>
    <col min="16151" max="16243" width="0" style="518" hidden="1" customWidth="1"/>
    <col min="16244" max="16254" width="10.7109375" style="518" customWidth="1"/>
    <col min="16255" max="16384" width="9.140625" style="518"/>
  </cols>
  <sheetData>
    <row r="1" spans="1:133" ht="18.75" x14ac:dyDescent="0.3">
      <c r="A1" s="458" t="s">
        <v>466</v>
      </c>
      <c r="B1" s="459"/>
      <c r="C1" s="569"/>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0"/>
      <c r="CM1" s="570"/>
      <c r="CN1" s="570"/>
      <c r="CO1" s="570"/>
      <c r="CP1" s="570"/>
      <c r="CQ1" s="570"/>
      <c r="CR1" s="570"/>
      <c r="CS1" s="570"/>
      <c r="CT1" s="570"/>
      <c r="CU1" s="570"/>
      <c r="CV1" s="570"/>
      <c r="CW1" s="570"/>
      <c r="CX1" s="570"/>
    </row>
    <row r="2" spans="1:133" hidden="1" x14ac:dyDescent="0.25">
      <c r="A2" s="519"/>
      <c r="B2" s="520"/>
      <c r="C2" s="521"/>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row>
    <row r="3" spans="1:133" ht="15.75" thickBot="1" x14ac:dyDescent="0.3">
      <c r="A3" s="461"/>
      <c r="B3" s="461"/>
      <c r="C3" s="172"/>
      <c r="D3" s="172"/>
      <c r="E3" s="172"/>
      <c r="F3" s="172"/>
      <c r="G3" s="172"/>
      <c r="H3" s="172"/>
      <c r="I3" s="172"/>
      <c r="J3" s="172"/>
      <c r="K3" s="172"/>
      <c r="L3" s="172"/>
      <c r="M3" s="172"/>
      <c r="N3" s="172"/>
      <c r="O3" s="172"/>
      <c r="P3" s="172"/>
      <c r="Q3" s="172"/>
      <c r="R3" s="172"/>
      <c r="S3" s="172"/>
      <c r="T3" s="172"/>
      <c r="V3" s="172"/>
      <c r="W3" s="172"/>
      <c r="X3" s="172"/>
      <c r="Y3" s="172"/>
      <c r="Z3" s="172"/>
      <c r="AA3" s="172"/>
      <c r="AB3" s="172"/>
      <c r="AC3" s="172"/>
      <c r="AG3" s="260"/>
      <c r="AN3" s="3224"/>
      <c r="AO3" s="3224"/>
      <c r="AQ3" s="3224"/>
      <c r="AR3" s="3224"/>
      <c r="AS3" s="3224"/>
      <c r="AT3" s="3224"/>
      <c r="AU3" s="3224"/>
      <c r="AV3" s="3224"/>
      <c r="AZ3" s="3224"/>
      <c r="BA3" s="3224"/>
      <c r="BB3" s="3224"/>
      <c r="BC3" s="3224"/>
      <c r="BI3" s="3224"/>
      <c r="BJ3" s="3224"/>
      <c r="BM3" s="397"/>
      <c r="BN3" s="397"/>
      <c r="BO3" s="397"/>
      <c r="BP3" s="3224"/>
      <c r="BQ3" s="3224"/>
      <c r="BR3" s="397"/>
      <c r="BV3" s="571"/>
      <c r="BW3" s="572"/>
      <c r="BX3" s="572"/>
      <c r="BY3" s="572"/>
      <c r="BZ3" s="572"/>
      <c r="CA3" s="572"/>
      <c r="CB3" s="572"/>
      <c r="CC3" s="572"/>
      <c r="CD3" s="572"/>
      <c r="CE3" s="572"/>
      <c r="CF3" s="572"/>
      <c r="CG3" s="572"/>
      <c r="CH3" s="572"/>
      <c r="CI3" s="572"/>
      <c r="CJ3" s="572"/>
      <c r="CK3" s="572"/>
      <c r="CL3" s="572"/>
      <c r="CM3" s="572"/>
      <c r="CN3" s="572"/>
      <c r="CO3" s="572"/>
      <c r="CP3" s="572"/>
      <c r="CQ3" s="572"/>
      <c r="CR3" s="572"/>
      <c r="CS3" s="572"/>
      <c r="CT3" s="572"/>
      <c r="CU3" s="572"/>
      <c r="CV3" s="572"/>
      <c r="CW3" s="572"/>
      <c r="CY3" s="572"/>
      <c r="CZ3" s="572"/>
      <c r="DA3" s="572"/>
      <c r="DE3" s="573"/>
      <c r="DF3" s="573"/>
      <c r="DG3" s="573"/>
      <c r="DH3" s="573"/>
      <c r="DI3" s="573"/>
      <c r="DJ3" s="573"/>
      <c r="DK3" s="573"/>
      <c r="DL3" s="573"/>
      <c r="DM3" s="573"/>
      <c r="DN3" s="573"/>
      <c r="DO3" s="573"/>
      <c r="DP3" s="573"/>
      <c r="DQ3" s="573"/>
      <c r="DR3" s="573"/>
      <c r="DS3" s="573"/>
      <c r="DT3" s="573"/>
      <c r="DU3" s="573"/>
      <c r="DV3" s="573"/>
      <c r="DW3" s="573"/>
      <c r="DX3" s="573"/>
      <c r="DY3" s="573"/>
      <c r="DZ3" s="573"/>
      <c r="EA3" s="573"/>
      <c r="EB3" s="573"/>
      <c r="EC3" s="573" t="s">
        <v>73</v>
      </c>
    </row>
    <row r="4" spans="1:133" ht="25.5" customHeight="1" thickTop="1" thickBot="1" x14ac:dyDescent="0.3">
      <c r="A4" s="463" t="s">
        <v>400</v>
      </c>
      <c r="B4" s="464" t="s">
        <v>401</v>
      </c>
      <c r="C4" s="467">
        <v>38504</v>
      </c>
      <c r="D4" s="467">
        <v>38534</v>
      </c>
      <c r="E4" s="467">
        <v>38565</v>
      </c>
      <c r="F4" s="525">
        <v>38596</v>
      </c>
      <c r="G4" s="467">
        <v>38626</v>
      </c>
      <c r="H4" s="526">
        <v>38657</v>
      </c>
      <c r="I4" s="467">
        <v>38687</v>
      </c>
      <c r="J4" s="467">
        <v>38718</v>
      </c>
      <c r="K4" s="467">
        <v>38749</v>
      </c>
      <c r="L4" s="467">
        <v>38777</v>
      </c>
      <c r="M4" s="525">
        <v>38808</v>
      </c>
      <c r="N4" s="467">
        <v>38838</v>
      </c>
      <c r="O4" s="467">
        <v>38869</v>
      </c>
      <c r="P4" s="467">
        <v>38899</v>
      </c>
      <c r="Q4" s="467">
        <v>38930</v>
      </c>
      <c r="R4" s="467">
        <v>38961</v>
      </c>
      <c r="S4" s="467">
        <v>38991</v>
      </c>
      <c r="T4" s="467">
        <v>39022</v>
      </c>
      <c r="U4" s="467">
        <v>39052</v>
      </c>
      <c r="V4" s="467">
        <v>39083</v>
      </c>
      <c r="W4" s="467">
        <v>39114</v>
      </c>
      <c r="X4" s="467">
        <v>39142</v>
      </c>
      <c r="Y4" s="467">
        <v>39173</v>
      </c>
      <c r="Z4" s="467">
        <v>39203</v>
      </c>
      <c r="AA4" s="467">
        <v>39234</v>
      </c>
      <c r="AB4" s="467">
        <v>39264</v>
      </c>
      <c r="AC4" s="467">
        <v>39295</v>
      </c>
      <c r="AD4" s="526">
        <v>39326</v>
      </c>
      <c r="AE4" s="467">
        <v>39356</v>
      </c>
      <c r="AF4" s="467">
        <v>39387</v>
      </c>
      <c r="AG4" s="467">
        <v>39417</v>
      </c>
      <c r="AH4" s="467">
        <v>39448</v>
      </c>
      <c r="AI4" s="467">
        <v>39479</v>
      </c>
      <c r="AJ4" s="467">
        <v>39508</v>
      </c>
      <c r="AK4" s="467">
        <v>39539</v>
      </c>
      <c r="AL4" s="467">
        <v>39569</v>
      </c>
      <c r="AM4" s="467">
        <v>39600</v>
      </c>
      <c r="AN4" s="467">
        <v>39630</v>
      </c>
      <c r="AO4" s="526">
        <v>39661</v>
      </c>
      <c r="AP4" s="467">
        <v>39692</v>
      </c>
      <c r="AQ4" s="467">
        <v>39722</v>
      </c>
      <c r="AR4" s="467">
        <v>39753</v>
      </c>
      <c r="AS4" s="467">
        <v>39783</v>
      </c>
      <c r="AT4" s="467">
        <v>39814</v>
      </c>
      <c r="AU4" s="467">
        <v>39845</v>
      </c>
      <c r="AV4" s="467">
        <v>39873</v>
      </c>
      <c r="AW4" s="467">
        <v>39904</v>
      </c>
      <c r="AX4" s="467">
        <v>39934</v>
      </c>
      <c r="AY4" s="467">
        <v>39965</v>
      </c>
      <c r="AZ4" s="467">
        <v>39995</v>
      </c>
      <c r="BA4" s="467">
        <v>40026</v>
      </c>
      <c r="BB4" s="467">
        <v>40057</v>
      </c>
      <c r="BC4" s="467">
        <v>40087</v>
      </c>
      <c r="BD4" s="467">
        <v>40118</v>
      </c>
      <c r="BE4" s="467">
        <v>40148</v>
      </c>
      <c r="BF4" s="467">
        <v>40179</v>
      </c>
      <c r="BG4" s="467">
        <v>40210</v>
      </c>
      <c r="BH4" s="467">
        <v>40238</v>
      </c>
      <c r="BI4" s="467">
        <v>40269</v>
      </c>
      <c r="BJ4" s="467">
        <v>40299</v>
      </c>
      <c r="BK4" s="467">
        <v>40330</v>
      </c>
      <c r="BL4" s="467">
        <v>40360</v>
      </c>
      <c r="BM4" s="467">
        <v>40391</v>
      </c>
      <c r="BN4" s="467">
        <v>40422</v>
      </c>
      <c r="BO4" s="467">
        <v>40452</v>
      </c>
      <c r="BP4" s="467">
        <v>40483</v>
      </c>
      <c r="BQ4" s="467">
        <v>40513</v>
      </c>
      <c r="BR4" s="467">
        <v>40544</v>
      </c>
      <c r="BS4" s="467">
        <v>40575</v>
      </c>
      <c r="BT4" s="467">
        <v>40603</v>
      </c>
      <c r="BU4" s="467">
        <v>40634</v>
      </c>
      <c r="BV4" s="467">
        <v>40664</v>
      </c>
      <c r="BW4" s="467">
        <v>40695</v>
      </c>
      <c r="BX4" s="467">
        <v>40725</v>
      </c>
      <c r="BY4" s="467">
        <v>40756</v>
      </c>
      <c r="BZ4" s="467">
        <v>40787</v>
      </c>
      <c r="CA4" s="467">
        <v>40817</v>
      </c>
      <c r="CB4" s="467">
        <v>40848</v>
      </c>
      <c r="CC4" s="467">
        <v>40878</v>
      </c>
      <c r="CD4" s="467">
        <v>40909</v>
      </c>
      <c r="CE4" s="467">
        <v>40940</v>
      </c>
      <c r="CF4" s="467">
        <v>40969</v>
      </c>
      <c r="CG4" s="467">
        <v>41000</v>
      </c>
      <c r="CH4" s="467">
        <v>41030</v>
      </c>
      <c r="CI4" s="467">
        <v>41061</v>
      </c>
      <c r="CJ4" s="467">
        <v>41091</v>
      </c>
      <c r="CK4" s="467">
        <v>41122</v>
      </c>
      <c r="CL4" s="467">
        <v>41153</v>
      </c>
      <c r="CM4" s="467">
        <v>41183</v>
      </c>
      <c r="CN4" s="467">
        <v>41214</v>
      </c>
      <c r="CO4" s="467">
        <v>41244</v>
      </c>
      <c r="CP4" s="467">
        <v>41275</v>
      </c>
      <c r="CQ4" s="467">
        <v>41306</v>
      </c>
      <c r="CR4" s="467">
        <v>41334</v>
      </c>
      <c r="CS4" s="467">
        <v>41365</v>
      </c>
      <c r="CT4" s="467">
        <v>41395</v>
      </c>
      <c r="CU4" s="467">
        <v>41426</v>
      </c>
      <c r="CV4" s="467">
        <v>41456</v>
      </c>
      <c r="CW4" s="467">
        <v>41487</v>
      </c>
      <c r="CX4" s="467">
        <v>41518</v>
      </c>
      <c r="CY4" s="467">
        <v>41548</v>
      </c>
      <c r="CZ4" s="467">
        <v>41579</v>
      </c>
      <c r="DA4" s="467">
        <v>41609</v>
      </c>
      <c r="DB4" s="467">
        <v>41640</v>
      </c>
      <c r="DC4" s="465">
        <v>41671</v>
      </c>
      <c r="DD4" s="465">
        <v>41699</v>
      </c>
      <c r="DE4" s="465">
        <v>41730</v>
      </c>
      <c r="DF4" s="465">
        <v>41760</v>
      </c>
      <c r="DG4" s="465">
        <v>41791</v>
      </c>
      <c r="DH4" s="465">
        <v>41821</v>
      </c>
      <c r="DI4" s="465">
        <v>41852</v>
      </c>
      <c r="DJ4" s="465">
        <v>41883</v>
      </c>
      <c r="DK4" s="465">
        <v>41913</v>
      </c>
      <c r="DL4" s="465">
        <v>41944</v>
      </c>
      <c r="DM4" s="465">
        <v>41974</v>
      </c>
      <c r="DN4" s="465">
        <v>42005</v>
      </c>
      <c r="DO4" s="465">
        <v>42036</v>
      </c>
      <c r="DP4" s="465">
        <v>42064</v>
      </c>
      <c r="DQ4" s="465">
        <v>42095</v>
      </c>
      <c r="DR4" s="465">
        <v>42125</v>
      </c>
      <c r="DS4" s="465">
        <v>42156</v>
      </c>
      <c r="DT4" s="465">
        <v>42186</v>
      </c>
      <c r="DU4" s="465">
        <v>42217</v>
      </c>
      <c r="DV4" s="465">
        <v>42248</v>
      </c>
      <c r="DW4" s="465">
        <v>42278</v>
      </c>
      <c r="DX4" s="465">
        <v>42309</v>
      </c>
      <c r="DY4" s="465">
        <v>42339</v>
      </c>
      <c r="DZ4" s="465">
        <v>42370</v>
      </c>
      <c r="EA4" s="465">
        <v>42401</v>
      </c>
      <c r="EB4" s="465">
        <v>42430</v>
      </c>
      <c r="EC4" s="465">
        <v>42461</v>
      </c>
    </row>
    <row r="5" spans="1:133" ht="15.75" thickTop="1" x14ac:dyDescent="0.25">
      <c r="A5" s="574"/>
      <c r="B5" s="575"/>
      <c r="C5" s="576"/>
      <c r="D5" s="576"/>
      <c r="E5" s="576"/>
      <c r="F5" s="431"/>
      <c r="G5" s="576"/>
      <c r="H5" s="577"/>
      <c r="I5" s="576"/>
      <c r="J5" s="576"/>
      <c r="K5" s="576"/>
      <c r="L5" s="576"/>
      <c r="M5" s="431"/>
      <c r="N5" s="576"/>
      <c r="O5" s="576"/>
      <c r="P5" s="576"/>
      <c r="Q5" s="576"/>
      <c r="R5" s="576"/>
      <c r="S5" s="576"/>
      <c r="T5" s="576"/>
      <c r="U5" s="576"/>
      <c r="V5" s="576"/>
      <c r="W5" s="576"/>
      <c r="X5" s="576"/>
      <c r="Y5" s="576"/>
      <c r="Z5" s="576"/>
      <c r="AA5" s="576"/>
      <c r="AB5" s="576"/>
      <c r="AC5" s="576"/>
      <c r="AD5" s="577"/>
      <c r="AE5" s="576"/>
      <c r="AF5" s="576"/>
      <c r="AG5" s="576"/>
      <c r="AH5" s="576"/>
      <c r="AI5" s="576"/>
      <c r="AJ5" s="576"/>
      <c r="AK5" s="576"/>
      <c r="AL5" s="576"/>
      <c r="AM5" s="576"/>
      <c r="AN5" s="576"/>
      <c r="AO5" s="577"/>
      <c r="AP5" s="578"/>
      <c r="AQ5" s="578"/>
      <c r="AR5" s="576"/>
      <c r="AS5" s="576"/>
      <c r="AT5" s="576"/>
      <c r="AU5" s="576"/>
      <c r="AV5" s="576"/>
      <c r="AW5" s="576"/>
      <c r="AX5" s="576"/>
      <c r="AY5" s="576"/>
      <c r="AZ5" s="576"/>
      <c r="BA5" s="576"/>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E5" s="579"/>
      <c r="CF5" s="579"/>
      <c r="CG5" s="579"/>
      <c r="CH5" s="579"/>
      <c r="CI5" s="579"/>
      <c r="CJ5" s="579"/>
      <c r="CK5" s="579"/>
      <c r="CL5" s="579"/>
      <c r="CM5" s="579"/>
      <c r="CN5" s="579"/>
      <c r="CO5" s="579"/>
      <c r="CP5" s="579"/>
      <c r="CQ5" s="579"/>
      <c r="CR5" s="579"/>
      <c r="CS5" s="579"/>
      <c r="CT5" s="579"/>
      <c r="CU5" s="579"/>
      <c r="CV5" s="579"/>
      <c r="CW5" s="579"/>
      <c r="CX5" s="579"/>
      <c r="CY5" s="579"/>
      <c r="CZ5" s="579"/>
      <c r="DA5" s="579"/>
      <c r="DB5" s="579"/>
      <c r="DC5" s="580"/>
      <c r="DD5" s="580"/>
      <c r="DE5" s="580"/>
      <c r="DF5" s="580"/>
      <c r="DG5" s="580"/>
      <c r="DH5" s="580"/>
      <c r="DI5" s="580"/>
      <c r="DJ5" s="580"/>
      <c r="DK5" s="580"/>
      <c r="DL5" s="580"/>
      <c r="DM5" s="580"/>
      <c r="DN5" s="580"/>
      <c r="DO5" s="580"/>
      <c r="DP5" s="580"/>
      <c r="DQ5" s="580"/>
      <c r="DR5" s="580"/>
      <c r="DS5" s="580"/>
      <c r="DT5" s="580"/>
      <c r="DU5" s="580"/>
      <c r="DV5" s="580"/>
      <c r="DW5" s="580"/>
      <c r="DX5" s="580"/>
      <c r="DY5" s="580"/>
      <c r="DZ5" s="580"/>
      <c r="EA5" s="580"/>
      <c r="EB5" s="580"/>
      <c r="EC5" s="580"/>
    </row>
    <row r="6" spans="1:133" ht="17.45" customHeight="1" x14ac:dyDescent="0.25">
      <c r="A6" s="477" t="s">
        <v>402</v>
      </c>
      <c r="B6" s="478" t="s">
        <v>403</v>
      </c>
      <c r="C6" s="533">
        <v>0</v>
      </c>
      <c r="D6" s="533">
        <v>0</v>
      </c>
      <c r="E6" s="533">
        <v>0</v>
      </c>
      <c r="F6" s="534">
        <v>0</v>
      </c>
      <c r="G6" s="533">
        <v>0</v>
      </c>
      <c r="H6" s="535">
        <v>0</v>
      </c>
      <c r="I6" s="533">
        <v>0</v>
      </c>
      <c r="J6" s="533">
        <v>0</v>
      </c>
      <c r="K6" s="533">
        <v>0</v>
      </c>
      <c r="L6" s="533">
        <v>0</v>
      </c>
      <c r="M6" s="534">
        <v>0</v>
      </c>
      <c r="N6" s="533">
        <v>0</v>
      </c>
      <c r="O6" s="533">
        <v>0</v>
      </c>
      <c r="P6" s="533">
        <v>0</v>
      </c>
      <c r="Q6" s="533">
        <v>0</v>
      </c>
      <c r="R6" s="533">
        <v>0</v>
      </c>
      <c r="S6" s="533">
        <v>0</v>
      </c>
      <c r="T6" s="533">
        <v>0</v>
      </c>
      <c r="U6" s="533">
        <v>0</v>
      </c>
      <c r="V6" s="533">
        <v>0</v>
      </c>
      <c r="W6" s="533">
        <v>0</v>
      </c>
      <c r="X6" s="533">
        <v>0</v>
      </c>
      <c r="Y6" s="533">
        <v>0</v>
      </c>
      <c r="Z6" s="533">
        <v>0</v>
      </c>
      <c r="AA6" s="533">
        <v>0</v>
      </c>
      <c r="AB6" s="533">
        <v>0</v>
      </c>
      <c r="AC6" s="533">
        <v>0</v>
      </c>
      <c r="AD6" s="535">
        <v>0</v>
      </c>
      <c r="AE6" s="533">
        <v>0</v>
      </c>
      <c r="AF6" s="533">
        <v>0</v>
      </c>
      <c r="AG6" s="533">
        <v>0</v>
      </c>
      <c r="AH6" s="533">
        <v>0</v>
      </c>
      <c r="AI6" s="533">
        <v>0</v>
      </c>
      <c r="AJ6" s="533">
        <v>0</v>
      </c>
      <c r="AK6" s="533">
        <v>0</v>
      </c>
      <c r="AL6" s="533">
        <v>0</v>
      </c>
      <c r="AM6" s="533">
        <v>0</v>
      </c>
      <c r="AN6" s="533">
        <v>0</v>
      </c>
      <c r="AO6" s="535">
        <v>0</v>
      </c>
      <c r="AP6" s="533">
        <v>0</v>
      </c>
      <c r="AQ6" s="533">
        <v>0</v>
      </c>
      <c r="AR6" s="533">
        <v>0</v>
      </c>
      <c r="AS6" s="533">
        <v>0</v>
      </c>
      <c r="AT6" s="533">
        <v>0</v>
      </c>
      <c r="AU6" s="533">
        <v>0</v>
      </c>
      <c r="AV6" s="533">
        <v>0</v>
      </c>
      <c r="AW6" s="533">
        <v>0</v>
      </c>
      <c r="AX6" s="533">
        <v>0</v>
      </c>
      <c r="AY6" s="533">
        <v>0</v>
      </c>
      <c r="AZ6" s="533">
        <v>0</v>
      </c>
      <c r="BA6" s="533">
        <v>0</v>
      </c>
      <c r="BB6" s="533">
        <v>0</v>
      </c>
      <c r="BC6" s="533">
        <v>0</v>
      </c>
      <c r="BD6" s="533">
        <v>0</v>
      </c>
      <c r="BE6" s="533">
        <v>0</v>
      </c>
      <c r="BF6" s="533">
        <v>0</v>
      </c>
      <c r="BG6" s="533">
        <v>0</v>
      </c>
      <c r="BH6" s="533">
        <v>0</v>
      </c>
      <c r="BI6" s="533">
        <v>0</v>
      </c>
      <c r="BJ6" s="533">
        <v>0</v>
      </c>
      <c r="BK6" s="533">
        <v>0</v>
      </c>
      <c r="BL6" s="533">
        <v>0</v>
      </c>
      <c r="BM6" s="533">
        <v>0</v>
      </c>
      <c r="BN6" s="533">
        <v>0</v>
      </c>
      <c r="BO6" s="533">
        <v>0</v>
      </c>
      <c r="BP6" s="533">
        <v>0</v>
      </c>
      <c r="BQ6" s="533">
        <v>0</v>
      </c>
      <c r="BR6" s="533">
        <v>0</v>
      </c>
      <c r="BS6" s="533">
        <v>0</v>
      </c>
      <c r="BT6" s="533">
        <v>0</v>
      </c>
      <c r="BU6" s="533">
        <v>0</v>
      </c>
      <c r="BV6" s="533">
        <v>0</v>
      </c>
      <c r="BW6" s="533">
        <v>0</v>
      </c>
      <c r="BX6" s="533">
        <v>0</v>
      </c>
      <c r="BY6" s="533">
        <v>0</v>
      </c>
      <c r="BZ6" s="533">
        <v>0</v>
      </c>
      <c r="CA6" s="533">
        <v>0</v>
      </c>
      <c r="CB6" s="533">
        <v>0</v>
      </c>
      <c r="CC6" s="533">
        <v>0</v>
      </c>
      <c r="CD6" s="533">
        <v>0</v>
      </c>
      <c r="CE6" s="533">
        <v>0</v>
      </c>
      <c r="CF6" s="533">
        <v>0</v>
      </c>
      <c r="CG6" s="533">
        <v>0</v>
      </c>
      <c r="CH6" s="533">
        <v>0</v>
      </c>
      <c r="CI6" s="533">
        <v>0</v>
      </c>
      <c r="CJ6" s="533">
        <v>0</v>
      </c>
      <c r="CK6" s="533">
        <v>0</v>
      </c>
      <c r="CL6" s="533">
        <v>0</v>
      </c>
      <c r="CM6" s="533">
        <v>0</v>
      </c>
      <c r="CN6" s="533">
        <v>0</v>
      </c>
      <c r="CO6" s="533">
        <v>0</v>
      </c>
      <c r="CP6" s="533">
        <v>0</v>
      </c>
      <c r="CQ6" s="533">
        <v>0</v>
      </c>
      <c r="CR6" s="533">
        <v>0</v>
      </c>
      <c r="CS6" s="533">
        <v>0</v>
      </c>
      <c r="CT6" s="533">
        <v>0</v>
      </c>
      <c r="CU6" s="533">
        <v>0</v>
      </c>
      <c r="CV6" s="533">
        <v>0</v>
      </c>
      <c r="CW6" s="533">
        <v>0</v>
      </c>
      <c r="CX6" s="533">
        <v>0</v>
      </c>
      <c r="CY6" s="533">
        <v>0</v>
      </c>
      <c r="CZ6" s="533">
        <v>0</v>
      </c>
      <c r="DA6" s="533">
        <v>0</v>
      </c>
      <c r="DB6" s="533">
        <v>0</v>
      </c>
      <c r="DC6" s="479">
        <v>0</v>
      </c>
      <c r="DD6" s="479">
        <v>0</v>
      </c>
      <c r="DE6" s="479">
        <v>0</v>
      </c>
      <c r="DF6" s="479">
        <v>0</v>
      </c>
      <c r="DG6" s="479">
        <v>0</v>
      </c>
      <c r="DH6" s="479">
        <v>0</v>
      </c>
      <c r="DI6" s="479">
        <v>0</v>
      </c>
      <c r="DJ6" s="479">
        <v>0</v>
      </c>
      <c r="DK6" s="479">
        <v>0</v>
      </c>
      <c r="DL6" s="479">
        <v>0</v>
      </c>
      <c r="DM6" s="479">
        <v>0</v>
      </c>
      <c r="DN6" s="479">
        <v>0</v>
      </c>
      <c r="DO6" s="479">
        <v>0</v>
      </c>
      <c r="DP6" s="479">
        <v>0</v>
      </c>
      <c r="DQ6" s="479">
        <v>0</v>
      </c>
      <c r="DR6" s="479">
        <v>0</v>
      </c>
      <c r="DS6" s="479">
        <v>0</v>
      </c>
      <c r="DT6" s="479">
        <v>0</v>
      </c>
      <c r="DU6" s="479">
        <v>0</v>
      </c>
      <c r="DV6" s="479">
        <v>0</v>
      </c>
      <c r="DW6" s="479">
        <v>0</v>
      </c>
      <c r="DX6" s="479">
        <v>0</v>
      </c>
      <c r="DY6" s="479">
        <v>0</v>
      </c>
      <c r="DZ6" s="479">
        <v>0</v>
      </c>
      <c r="EA6" s="479">
        <v>0</v>
      </c>
      <c r="EB6" s="479">
        <v>0</v>
      </c>
      <c r="EC6" s="479">
        <v>0</v>
      </c>
    </row>
    <row r="7" spans="1:133" ht="17.45" customHeight="1" x14ac:dyDescent="0.25">
      <c r="A7" s="481"/>
      <c r="B7" s="482"/>
      <c r="C7" s="537"/>
      <c r="D7" s="537"/>
      <c r="E7" s="537"/>
      <c r="F7" s="538"/>
      <c r="G7" s="537"/>
      <c r="H7" s="539"/>
      <c r="I7" s="537"/>
      <c r="J7" s="537"/>
      <c r="K7" s="537"/>
      <c r="L7" s="537"/>
      <c r="M7" s="538"/>
      <c r="N7" s="537"/>
      <c r="O7" s="537"/>
      <c r="P7" s="537"/>
      <c r="Q7" s="537"/>
      <c r="R7" s="537"/>
      <c r="S7" s="537"/>
      <c r="T7" s="537"/>
      <c r="U7" s="537"/>
      <c r="V7" s="537"/>
      <c r="W7" s="537"/>
      <c r="X7" s="537"/>
      <c r="Y7" s="537"/>
      <c r="Z7" s="537"/>
      <c r="AA7" s="537"/>
      <c r="AB7" s="537"/>
      <c r="AC7" s="537"/>
      <c r="AD7" s="539"/>
      <c r="AE7" s="537"/>
      <c r="AF7" s="537"/>
      <c r="AG7" s="537"/>
      <c r="AH7" s="537"/>
      <c r="AI7" s="537"/>
      <c r="AJ7" s="537"/>
      <c r="AK7" s="537"/>
      <c r="AL7" s="537"/>
      <c r="AM7" s="537"/>
      <c r="AN7" s="537"/>
      <c r="AO7" s="539"/>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483"/>
      <c r="DD7" s="483"/>
      <c r="DE7" s="483"/>
      <c r="DF7" s="483"/>
      <c r="DG7" s="483"/>
      <c r="DH7" s="483"/>
      <c r="DI7" s="483"/>
      <c r="DJ7" s="483"/>
      <c r="DK7" s="483"/>
      <c r="DL7" s="483"/>
      <c r="DM7" s="483"/>
      <c r="DN7" s="483"/>
      <c r="DO7" s="483"/>
      <c r="DP7" s="483"/>
      <c r="DQ7" s="483"/>
      <c r="DR7" s="483"/>
      <c r="DS7" s="483"/>
      <c r="DT7" s="483"/>
      <c r="DU7" s="483"/>
      <c r="DV7" s="483"/>
      <c r="DW7" s="483"/>
      <c r="DX7" s="483"/>
      <c r="DY7" s="483"/>
      <c r="DZ7" s="483"/>
      <c r="EA7" s="483"/>
      <c r="EB7" s="483"/>
      <c r="EC7" s="483"/>
    </row>
    <row r="8" spans="1:133" ht="17.45" customHeight="1" x14ac:dyDescent="0.25">
      <c r="A8" s="477" t="s">
        <v>404</v>
      </c>
      <c r="B8" s="478" t="s">
        <v>405</v>
      </c>
      <c r="C8" s="533">
        <v>1207.5941332191794</v>
      </c>
      <c r="D8" s="533">
        <v>1169.3140098843271</v>
      </c>
      <c r="E8" s="533">
        <v>992.91258254432705</v>
      </c>
      <c r="F8" s="534">
        <v>1198.609898054327</v>
      </c>
      <c r="G8" s="533">
        <v>1644.2891013443273</v>
      </c>
      <c r="H8" s="535">
        <v>1734.824023805671</v>
      </c>
      <c r="I8" s="533">
        <v>1834.5720484756712</v>
      </c>
      <c r="J8" s="533">
        <v>1961.88872173246</v>
      </c>
      <c r="K8" s="533">
        <v>2341.3958519126513</v>
      </c>
      <c r="L8" s="533">
        <v>2128.8771590397255</v>
      </c>
      <c r="M8" s="534">
        <v>2105.2880649290082</v>
      </c>
      <c r="N8" s="533">
        <v>2054.0058321224997</v>
      </c>
      <c r="O8" s="533">
        <v>2234.3593438034395</v>
      </c>
      <c r="P8" s="533">
        <v>2207.0196231888999</v>
      </c>
      <c r="Q8" s="533">
        <v>2178.5085163901749</v>
      </c>
      <c r="R8" s="533">
        <v>2028.3305845411151</v>
      </c>
      <c r="S8" s="533">
        <v>2143.4420798757255</v>
      </c>
      <c r="T8" s="533">
        <v>2071.4782679852269</v>
      </c>
      <c r="U8" s="533">
        <v>2070.5044693114196</v>
      </c>
      <c r="V8" s="533">
        <v>2116.932351689426</v>
      </c>
      <c r="W8" s="533">
        <v>2025.9462067436184</v>
      </c>
      <c r="X8" s="533">
        <v>2220.6206529704268</v>
      </c>
      <c r="Y8" s="533">
        <v>2165.4956665696654</v>
      </c>
      <c r="Z8" s="533">
        <v>2168.2080023572453</v>
      </c>
      <c r="AA8" s="533">
        <v>2315.7004667044071</v>
      </c>
      <c r="AB8" s="533">
        <v>2451.9068899611289</v>
      </c>
      <c r="AC8" s="533">
        <v>2908.8353703098255</v>
      </c>
      <c r="AD8" s="535">
        <v>2851.4056544009604</v>
      </c>
      <c r="AE8" s="533">
        <v>2799.5777638437412</v>
      </c>
      <c r="AF8" s="533">
        <v>3075.457067543789</v>
      </c>
      <c r="AG8" s="533">
        <v>3404.4025624615028</v>
      </c>
      <c r="AH8" s="533">
        <v>4140.4894746187583</v>
      </c>
      <c r="AI8" s="533">
        <v>4143.1476186510372</v>
      </c>
      <c r="AJ8" s="533">
        <v>4992.5430241069389</v>
      </c>
      <c r="AK8" s="533">
        <v>4662.0759049025146</v>
      </c>
      <c r="AL8" s="533">
        <v>4645.2477973798577</v>
      </c>
      <c r="AM8" s="533">
        <v>4763.067357440872</v>
      </c>
      <c r="AN8" s="533">
        <v>5078.0112470027007</v>
      </c>
      <c r="AO8" s="535">
        <v>5097.4471863669023</v>
      </c>
      <c r="AP8" s="533">
        <v>4744.6221060068447</v>
      </c>
      <c r="AQ8" s="533">
        <v>4572.8296630475006</v>
      </c>
      <c r="AR8" s="533">
        <v>4409.0259711448789</v>
      </c>
      <c r="AS8" s="533">
        <v>4346.3346976313705</v>
      </c>
      <c r="AT8" s="533">
        <v>4221.6819360652316</v>
      </c>
      <c r="AU8" s="533">
        <v>4114.911983316937</v>
      </c>
      <c r="AV8" s="533">
        <v>4526.0890101948889</v>
      </c>
      <c r="AW8" s="533">
        <v>4739.5692683599991</v>
      </c>
      <c r="AX8" s="533">
        <v>4933.8751206899997</v>
      </c>
      <c r="AY8" s="533">
        <v>5148.3490968012047</v>
      </c>
      <c r="AZ8" s="533">
        <v>5925.9618539430003</v>
      </c>
      <c r="BA8" s="533">
        <v>6603.2744083842153</v>
      </c>
      <c r="BB8" s="533">
        <v>6371.8904146083787</v>
      </c>
      <c r="BC8" s="533">
        <v>6510.9091048880691</v>
      </c>
      <c r="BD8" s="533">
        <v>6441.2311635090273</v>
      </c>
      <c r="BE8" s="533">
        <v>6414.364242695</v>
      </c>
      <c r="BF8" s="533">
        <v>6277.95380572667</v>
      </c>
      <c r="BG8" s="533">
        <v>6538.7854937177653</v>
      </c>
      <c r="BH8" s="533">
        <v>6695.2168719289721</v>
      </c>
      <c r="BI8" s="533">
        <v>6964.7055060365892</v>
      </c>
      <c r="BJ8" s="533">
        <v>7160.9680286951134</v>
      </c>
      <c r="BK8" s="533">
        <v>7159.2679581132779</v>
      </c>
      <c r="BL8" s="533">
        <v>6743.1424956017418</v>
      </c>
      <c r="BM8" s="533">
        <v>6669.584891773141</v>
      </c>
      <c r="BN8" s="533">
        <v>6868.7494596974011</v>
      </c>
      <c r="BO8" s="533">
        <v>6674.5396071422092</v>
      </c>
      <c r="BP8" s="533">
        <v>6504.2656434804157</v>
      </c>
      <c r="BQ8" s="533">
        <v>6306.4675671872719</v>
      </c>
      <c r="BR8" s="533">
        <v>6865.8521646270055</v>
      </c>
      <c r="BS8" s="533">
        <v>6982.4244499202923</v>
      </c>
      <c r="BT8" s="533">
        <v>7014.2318001042349</v>
      </c>
      <c r="BU8" s="533">
        <v>6730.9543862314986</v>
      </c>
      <c r="BV8" s="533">
        <v>7131.5675773788207</v>
      </c>
      <c r="BW8" s="533">
        <v>7755.6404121184996</v>
      </c>
      <c r="BX8" s="533">
        <v>7475.3726773763146</v>
      </c>
      <c r="BY8" s="533">
        <v>7694.6521771541284</v>
      </c>
      <c r="BZ8" s="533">
        <v>7899.4116672389991</v>
      </c>
      <c r="CA8" s="533">
        <v>7450.2529309299989</v>
      </c>
      <c r="CB8" s="533">
        <v>7450.9943186599994</v>
      </c>
      <c r="CC8" s="533">
        <v>7486.398109669999</v>
      </c>
      <c r="CD8" s="533">
        <v>7545.9346201299995</v>
      </c>
      <c r="CE8" s="533">
        <v>7572.0952121888358</v>
      </c>
      <c r="CF8" s="533">
        <v>7859.0611242675595</v>
      </c>
      <c r="CG8" s="533">
        <v>7834.6147919393825</v>
      </c>
      <c r="CH8" s="533">
        <v>7374.5078700393842</v>
      </c>
      <c r="CI8" s="533">
        <v>7309.1368180799991</v>
      </c>
      <c r="CJ8" s="533">
        <v>7493.8330639744245</v>
      </c>
      <c r="CK8" s="533">
        <v>7716.931297341006</v>
      </c>
      <c r="CL8" s="533">
        <v>7973.9142444551371</v>
      </c>
      <c r="CM8" s="533">
        <v>8370.4267425410071</v>
      </c>
      <c r="CN8" s="533">
        <v>8220.5994920110061</v>
      </c>
      <c r="CO8" s="533">
        <v>8604.0737390434715</v>
      </c>
      <c r="CP8" s="533">
        <v>9103.2459471044313</v>
      </c>
      <c r="CQ8" s="533">
        <v>9195.5997455210054</v>
      </c>
      <c r="CR8" s="533">
        <v>9112.9738819810063</v>
      </c>
      <c r="CS8" s="533">
        <v>8315.2625640110073</v>
      </c>
      <c r="CT8" s="533">
        <v>8066.1691370311037</v>
      </c>
      <c r="CU8" s="533">
        <v>8292.7330295571701</v>
      </c>
      <c r="CV8" s="533">
        <v>7962.9407559723322</v>
      </c>
      <c r="CW8" s="533">
        <v>8020.4558036602666</v>
      </c>
      <c r="CX8" s="533">
        <v>8541.6909174208977</v>
      </c>
      <c r="CY8" s="533">
        <v>8389.2294163678489</v>
      </c>
      <c r="CZ8" s="533">
        <v>8174.7015492568971</v>
      </c>
      <c r="DA8" s="533">
        <v>8276.1752153927027</v>
      </c>
      <c r="DB8" s="533">
        <v>7913.5198818192794</v>
      </c>
      <c r="DC8" s="479">
        <v>8097.1224328508706</v>
      </c>
      <c r="DD8" s="479">
        <v>8385.299775664349</v>
      </c>
      <c r="DE8" s="479">
        <v>8638.9039429218847</v>
      </c>
      <c r="DF8" s="479">
        <v>8664.565280335275</v>
      </c>
      <c r="DG8" s="479">
        <v>9199.1563773563339</v>
      </c>
      <c r="DH8" s="479">
        <v>8801.7055890570482</v>
      </c>
      <c r="DI8" s="479">
        <v>8478.505363557224</v>
      </c>
      <c r="DJ8" s="479">
        <v>9499.0023978047848</v>
      </c>
      <c r="DK8" s="479">
        <v>9479.2820477519308</v>
      </c>
      <c r="DL8" s="479">
        <v>9598.7574111365593</v>
      </c>
      <c r="DM8" s="479">
        <v>9760.3080720006001</v>
      </c>
      <c r="DN8" s="479">
        <v>9608.6998233446011</v>
      </c>
      <c r="DO8" s="479">
        <v>9457.8114874836683</v>
      </c>
      <c r="DP8" s="479">
        <v>9787.5771501346899</v>
      </c>
      <c r="DQ8" s="479">
        <v>9395.8257310084045</v>
      </c>
      <c r="DR8" s="479">
        <v>8688.2610685416767</v>
      </c>
      <c r="DS8" s="479">
        <v>8917.8520770170908</v>
      </c>
      <c r="DT8" s="479">
        <v>8867.894669737303</v>
      </c>
      <c r="DU8" s="479">
        <v>9042.4647583019141</v>
      </c>
      <c r="DV8" s="479">
        <v>9488.1562812095144</v>
      </c>
      <c r="DW8" s="479">
        <v>9105.5487699199166</v>
      </c>
      <c r="DX8" s="479">
        <v>9694.0326983031791</v>
      </c>
      <c r="DY8" s="479">
        <v>9785.4679205832035</v>
      </c>
      <c r="DZ8" s="479">
        <v>9714.9593781210133</v>
      </c>
      <c r="EA8" s="479">
        <v>9907.16804123978</v>
      </c>
      <c r="EB8" s="479">
        <v>9831.7461637599154</v>
      </c>
      <c r="EC8" s="479">
        <v>9517.1057977897217</v>
      </c>
    </row>
    <row r="9" spans="1:133" ht="17.45" customHeight="1" x14ac:dyDescent="0.25">
      <c r="A9" s="481" t="s">
        <v>406</v>
      </c>
      <c r="B9" s="482" t="s">
        <v>256</v>
      </c>
      <c r="C9" s="502">
        <v>0.136798</v>
      </c>
      <c r="D9" s="502">
        <v>0.13377839999999999</v>
      </c>
      <c r="E9" s="502">
        <v>0.1290866</v>
      </c>
      <c r="F9" s="541">
        <v>0.14135320000000001</v>
      </c>
      <c r="G9" s="502">
        <v>0.14374520000000002</v>
      </c>
      <c r="H9" s="542">
        <v>0.14154120000000001</v>
      </c>
      <c r="I9" s="502">
        <v>0.13423236</v>
      </c>
      <c r="J9" s="502">
        <v>0.13775066</v>
      </c>
      <c r="K9" s="502">
        <v>0.13323370000000001</v>
      </c>
      <c r="L9" s="502">
        <v>0.13779868000000001</v>
      </c>
      <c r="M9" s="541">
        <v>0.13608776</v>
      </c>
      <c r="N9" s="502">
        <v>0.13424576000000002</v>
      </c>
      <c r="O9" s="502">
        <v>0.14117195999999999</v>
      </c>
      <c r="P9" s="502">
        <v>0.13529314000000001</v>
      </c>
      <c r="Q9" s="502">
        <v>0.13767499999999999</v>
      </c>
      <c r="R9" s="502">
        <v>0.13331179999999998</v>
      </c>
      <c r="S9" s="502">
        <v>0.13081680000000001</v>
      </c>
      <c r="T9" s="502">
        <v>0.16068175000000001</v>
      </c>
      <c r="U9" s="502">
        <v>0.13693776000000002</v>
      </c>
      <c r="V9" s="502">
        <v>0.13876416999999999</v>
      </c>
      <c r="W9" s="502">
        <v>0.13994671</v>
      </c>
      <c r="X9" s="502">
        <v>0.14068666999999999</v>
      </c>
      <c r="Y9" s="502">
        <v>0.14070187000000001</v>
      </c>
      <c r="Z9" s="502">
        <v>0.13231327000000001</v>
      </c>
      <c r="AA9" s="502">
        <v>0.13099569</v>
      </c>
      <c r="AB9" s="502">
        <v>0.13989024999999999</v>
      </c>
      <c r="AC9" s="502">
        <v>0.14362048000000002</v>
      </c>
      <c r="AD9" s="542">
        <v>0.13761479999999998</v>
      </c>
      <c r="AE9" s="502">
        <v>0.13965229999999998</v>
      </c>
      <c r="AF9" s="502">
        <v>0.13140895000000002</v>
      </c>
      <c r="AG9" s="502">
        <v>0.13067265</v>
      </c>
      <c r="AH9" s="502">
        <v>0.12752050000000001</v>
      </c>
      <c r="AI9" s="502">
        <v>0.12940771000000001</v>
      </c>
      <c r="AJ9" s="502">
        <v>0.13104557999999999</v>
      </c>
      <c r="AK9" s="502">
        <v>0.13242966999999997</v>
      </c>
      <c r="AL9" s="502">
        <v>0.13351503000000001</v>
      </c>
      <c r="AM9" s="502">
        <v>0.13456847</v>
      </c>
      <c r="AN9" s="502">
        <v>0.24863014999999999</v>
      </c>
      <c r="AO9" s="542">
        <v>0.60041800000000001</v>
      </c>
      <c r="AP9" s="502">
        <v>0.18663107000000001</v>
      </c>
      <c r="AQ9" s="502">
        <v>1.2458031899999999</v>
      </c>
      <c r="AR9" s="502">
        <v>7.9225805500000002</v>
      </c>
      <c r="AS9" s="502">
        <v>4.3852080000000004</v>
      </c>
      <c r="AT9" s="502">
        <v>1.92856217</v>
      </c>
      <c r="AU9" s="502">
        <v>0.58993375999999997</v>
      </c>
      <c r="AV9" s="502">
        <v>0.99077411000000004</v>
      </c>
      <c r="AW9" s="502">
        <v>0.64135385999999994</v>
      </c>
      <c r="AX9" s="502">
        <v>0.82659742999999997</v>
      </c>
      <c r="AY9" s="502">
        <v>0.74386967999999998</v>
      </c>
      <c r="AZ9" s="502">
        <v>4.2991701200000003</v>
      </c>
      <c r="BA9" s="502">
        <v>0.53958837000000004</v>
      </c>
      <c r="BB9" s="502">
        <v>0.44831434000000003</v>
      </c>
      <c r="BC9" s="502">
        <v>0.43327086999999997</v>
      </c>
      <c r="BD9" s="502">
        <v>0.49215487000000002</v>
      </c>
      <c r="BE9" s="502">
        <v>0.44504549999999998</v>
      </c>
      <c r="BF9" s="502">
        <v>0.45835286999999997</v>
      </c>
      <c r="BG9" s="502">
        <v>0.47558250000000002</v>
      </c>
      <c r="BH9" s="502">
        <v>0.51804998000000002</v>
      </c>
      <c r="BI9" s="502">
        <v>0.48696898</v>
      </c>
      <c r="BJ9" s="502">
        <v>0.53973290000000007</v>
      </c>
      <c r="BK9" s="502">
        <v>0.47216130000000001</v>
      </c>
      <c r="BL9" s="502">
        <v>0.48760900000000001</v>
      </c>
      <c r="BM9" s="502">
        <v>0.46953503999999996</v>
      </c>
      <c r="BN9" s="502">
        <v>0.51091067999999995</v>
      </c>
      <c r="BO9" s="502">
        <v>0.48699755</v>
      </c>
      <c r="BP9" s="502">
        <v>0.47057603000000003</v>
      </c>
      <c r="BQ9" s="502">
        <v>0.49740463000000001</v>
      </c>
      <c r="BR9" s="502">
        <v>0.48092333000000004</v>
      </c>
      <c r="BS9" s="502">
        <v>0.53937548000000002</v>
      </c>
      <c r="BT9" s="502">
        <v>0.52450744999999999</v>
      </c>
      <c r="BU9" s="502">
        <v>0.52026499000000004</v>
      </c>
      <c r="BV9" s="502">
        <v>0.47035330000000003</v>
      </c>
      <c r="BW9" s="502">
        <v>0.55148105000000003</v>
      </c>
      <c r="BX9" s="502">
        <v>0.53301871999999995</v>
      </c>
      <c r="BY9" s="502">
        <v>0.59360968999999997</v>
      </c>
      <c r="BZ9" s="502">
        <v>0.60386452000000002</v>
      </c>
      <c r="CA9" s="502">
        <v>0.62539370999999999</v>
      </c>
      <c r="CB9" s="502">
        <v>0.58118192999999996</v>
      </c>
      <c r="CC9" s="502">
        <v>0.66350315000000004</v>
      </c>
      <c r="CD9" s="502">
        <v>0.62708301</v>
      </c>
      <c r="CE9" s="502">
        <v>0.68965433000000009</v>
      </c>
      <c r="CF9" s="502">
        <v>0.61038177000000005</v>
      </c>
      <c r="CG9" s="502">
        <v>0.64981306000000005</v>
      </c>
      <c r="CH9" s="502">
        <v>0.67600545000000001</v>
      </c>
      <c r="CI9" s="502">
        <v>0.74728974000000004</v>
      </c>
      <c r="CJ9" s="502">
        <v>0.67823204000000004</v>
      </c>
      <c r="CK9" s="502">
        <v>0.78455043999999996</v>
      </c>
      <c r="CL9" s="502">
        <v>0.74912519</v>
      </c>
      <c r="CM9" s="502">
        <v>0.75282227000000002</v>
      </c>
      <c r="CN9" s="502">
        <v>0.81664368999999992</v>
      </c>
      <c r="CO9" s="502">
        <v>0.91252921999999992</v>
      </c>
      <c r="CP9" s="502">
        <v>0.85935381999999993</v>
      </c>
      <c r="CQ9" s="502">
        <v>0.83725646999999992</v>
      </c>
      <c r="CR9" s="502">
        <v>0.77935228000000001</v>
      </c>
      <c r="CS9" s="502">
        <v>0.78700070999999994</v>
      </c>
      <c r="CT9" s="502">
        <v>0.80291180000000006</v>
      </c>
      <c r="CU9" s="502">
        <v>0.76096269999999999</v>
      </c>
      <c r="CV9" s="502">
        <v>0.94520529000000009</v>
      </c>
      <c r="CW9" s="502">
        <v>0.87856173999999998</v>
      </c>
      <c r="CX9" s="502">
        <v>0.78481054000000006</v>
      </c>
      <c r="CY9" s="502">
        <v>0.80464106000000002</v>
      </c>
      <c r="CZ9" s="502">
        <v>0.72384230000000005</v>
      </c>
      <c r="DA9" s="502">
        <v>0.87234237999999997</v>
      </c>
      <c r="DB9" s="502">
        <v>0.88549264999999988</v>
      </c>
      <c r="DC9" s="484">
        <v>1.01794235</v>
      </c>
      <c r="DD9" s="484">
        <v>0.79105698000000013</v>
      </c>
      <c r="DE9" s="484">
        <v>1.02546918</v>
      </c>
      <c r="DF9" s="484">
        <v>0.82872807000000004</v>
      </c>
      <c r="DG9" s="484">
        <v>0.85107277999999997</v>
      </c>
      <c r="DH9" s="484">
        <v>0.85891731999999998</v>
      </c>
      <c r="DI9" s="484">
        <v>0.86252665000000006</v>
      </c>
      <c r="DJ9" s="484">
        <v>0.81834479999999998</v>
      </c>
      <c r="DK9" s="484">
        <v>0.87430700999999988</v>
      </c>
      <c r="DL9" s="484">
        <v>1.1479108499999999</v>
      </c>
      <c r="DM9" s="484">
        <v>0.88450478999999993</v>
      </c>
      <c r="DN9" s="484">
        <v>1.14829213</v>
      </c>
      <c r="DO9" s="484">
        <v>0.94218608999999998</v>
      </c>
      <c r="DP9" s="484">
        <v>1.1747516299999998</v>
      </c>
      <c r="DQ9" s="484">
        <v>1.0967426499999999</v>
      </c>
      <c r="DR9" s="484">
        <v>0.95672462999999985</v>
      </c>
      <c r="DS9" s="484">
        <v>1.0984298499999998</v>
      </c>
      <c r="DT9" s="484">
        <v>1.1062404099999998</v>
      </c>
      <c r="DU9" s="484">
        <v>1.2478287100000001</v>
      </c>
      <c r="DV9" s="484">
        <v>1.07415561</v>
      </c>
      <c r="DW9" s="484">
        <v>1.3941963100000001</v>
      </c>
      <c r="DX9" s="484">
        <v>1.4628805200000001</v>
      </c>
      <c r="DY9" s="484">
        <v>1.31813428</v>
      </c>
      <c r="DZ9" s="484">
        <v>1.4764676000000001</v>
      </c>
      <c r="EA9" s="484">
        <v>1.42003898</v>
      </c>
      <c r="EB9" s="484">
        <v>2.3845921800000003</v>
      </c>
      <c r="EC9" s="484">
        <v>1.2610136500000002</v>
      </c>
    </row>
    <row r="10" spans="1:133" ht="17.45" customHeight="1" x14ac:dyDescent="0.25">
      <c r="A10" s="481" t="s">
        <v>408</v>
      </c>
      <c r="B10" s="482" t="s">
        <v>459</v>
      </c>
      <c r="C10" s="502">
        <v>602.5831153691795</v>
      </c>
      <c r="D10" s="502">
        <v>535.44971606432716</v>
      </c>
      <c r="E10" s="502">
        <v>335.88269305432709</v>
      </c>
      <c r="F10" s="541">
        <v>377.39918996432709</v>
      </c>
      <c r="G10" s="502">
        <v>756.21661557432708</v>
      </c>
      <c r="H10" s="542">
        <v>799.78411217567088</v>
      </c>
      <c r="I10" s="502">
        <v>952.44549318567101</v>
      </c>
      <c r="J10" s="502">
        <v>849.03084875245986</v>
      </c>
      <c r="K10" s="502">
        <v>1041.2642462425736</v>
      </c>
      <c r="L10" s="502">
        <v>535.11257146725177</v>
      </c>
      <c r="M10" s="541">
        <v>373.29821518025176</v>
      </c>
      <c r="N10" s="502">
        <v>319.35145348025173</v>
      </c>
      <c r="O10" s="502">
        <v>381.37694892093668</v>
      </c>
      <c r="P10" s="502">
        <v>326.26637740093673</v>
      </c>
      <c r="Q10" s="502">
        <v>324.81329154118612</v>
      </c>
      <c r="R10" s="502">
        <v>171.73779741118611</v>
      </c>
      <c r="S10" s="502">
        <v>251.64649767493668</v>
      </c>
      <c r="T10" s="502">
        <v>149.7201244811861</v>
      </c>
      <c r="U10" s="502">
        <v>237.45449411593665</v>
      </c>
      <c r="V10" s="502">
        <v>400.38913668999999</v>
      </c>
      <c r="W10" s="502">
        <v>262.19748087000005</v>
      </c>
      <c r="X10" s="502">
        <v>305.01808734118606</v>
      </c>
      <c r="Y10" s="502">
        <v>282.89005056893666</v>
      </c>
      <c r="Z10" s="502">
        <v>288.47058529675058</v>
      </c>
      <c r="AA10" s="502">
        <v>341.93267334899997</v>
      </c>
      <c r="AB10" s="502">
        <v>395.38881842675056</v>
      </c>
      <c r="AC10" s="502">
        <v>630.78627846675056</v>
      </c>
      <c r="AD10" s="542">
        <v>521.60702317598611</v>
      </c>
      <c r="AE10" s="502">
        <v>286.57811782876701</v>
      </c>
      <c r="AF10" s="502">
        <v>416.10564258684917</v>
      </c>
      <c r="AG10" s="502">
        <v>616.30119900684917</v>
      </c>
      <c r="AH10" s="502">
        <v>927.75296842584908</v>
      </c>
      <c r="AI10" s="502">
        <v>1008.6797707300957</v>
      </c>
      <c r="AJ10" s="502">
        <v>1342.4605875583961</v>
      </c>
      <c r="AK10" s="502">
        <v>1018.6712297208943</v>
      </c>
      <c r="AL10" s="502">
        <v>1090.0411010983962</v>
      </c>
      <c r="AM10" s="502">
        <v>1015.3031527793963</v>
      </c>
      <c r="AN10" s="502">
        <v>1088.1355009148565</v>
      </c>
      <c r="AO10" s="542">
        <v>994.7121213074015</v>
      </c>
      <c r="AP10" s="502">
        <v>798.0093193790002</v>
      </c>
      <c r="AQ10" s="502">
        <v>644.94183145</v>
      </c>
      <c r="AR10" s="502">
        <v>439.66720171000003</v>
      </c>
      <c r="AS10" s="502">
        <v>515.69360505299994</v>
      </c>
      <c r="AT10" s="502">
        <v>395.27437466199996</v>
      </c>
      <c r="AU10" s="502">
        <v>359.40538953679999</v>
      </c>
      <c r="AV10" s="502">
        <v>576.62277908000021</v>
      </c>
      <c r="AW10" s="502">
        <v>1450.5630528299998</v>
      </c>
      <c r="AX10" s="502">
        <v>858.51732602999994</v>
      </c>
      <c r="AY10" s="502">
        <v>933.79281333000006</v>
      </c>
      <c r="AZ10" s="502">
        <v>807.57585788300003</v>
      </c>
      <c r="BA10" s="502">
        <v>1418.3349737829999</v>
      </c>
      <c r="BB10" s="502">
        <v>1141.3919988129999</v>
      </c>
      <c r="BC10" s="502">
        <v>1102.8045247129999</v>
      </c>
      <c r="BD10" s="502">
        <v>993.61120435299983</v>
      </c>
      <c r="BE10" s="502">
        <v>987.94501984199985</v>
      </c>
      <c r="BF10" s="502">
        <v>831.29559185199969</v>
      </c>
      <c r="BG10" s="502">
        <v>580.16398265199973</v>
      </c>
      <c r="BH10" s="502">
        <v>855.04543547199944</v>
      </c>
      <c r="BI10" s="502">
        <v>981.78352783199932</v>
      </c>
      <c r="BJ10" s="502">
        <v>956.74111568064814</v>
      </c>
      <c r="BK10" s="502">
        <v>1317.4926197586478</v>
      </c>
      <c r="BL10" s="502">
        <v>867.96021520864792</v>
      </c>
      <c r="BM10" s="502">
        <v>991.64572975864769</v>
      </c>
      <c r="BN10" s="502">
        <v>1091.7730966156478</v>
      </c>
      <c r="BO10" s="502">
        <v>1011.8523868956479</v>
      </c>
      <c r="BP10" s="502">
        <v>1069.1402223798464</v>
      </c>
      <c r="BQ10" s="502">
        <v>734.35416765564764</v>
      </c>
      <c r="BR10" s="502">
        <v>973.38263891894189</v>
      </c>
      <c r="BS10" s="502">
        <v>889.81715641894198</v>
      </c>
      <c r="BT10" s="502">
        <v>800.93572807081671</v>
      </c>
      <c r="BU10" s="502">
        <v>697.51102734794199</v>
      </c>
      <c r="BV10" s="502">
        <v>672.42356670526476</v>
      </c>
      <c r="BW10" s="502">
        <v>1152.4903325779412</v>
      </c>
      <c r="BX10" s="502">
        <v>767.06861123794124</v>
      </c>
      <c r="BY10" s="502">
        <v>1014.261118427941</v>
      </c>
      <c r="BZ10" s="502">
        <v>1242.413149969</v>
      </c>
      <c r="CA10" s="502">
        <v>742.18282027999999</v>
      </c>
      <c r="CB10" s="502">
        <v>707.13198963000002</v>
      </c>
      <c r="CC10" s="502">
        <v>1035.2208082100001</v>
      </c>
      <c r="CD10" s="502">
        <v>844.28711847999989</v>
      </c>
      <c r="CE10" s="502">
        <v>715.69862252500002</v>
      </c>
      <c r="CF10" s="502">
        <v>825.14680075499996</v>
      </c>
      <c r="CG10" s="502">
        <v>794.53933980500005</v>
      </c>
      <c r="CH10" s="502">
        <v>769.00867489500024</v>
      </c>
      <c r="CI10" s="502">
        <v>823.08528254999999</v>
      </c>
      <c r="CJ10" s="502">
        <v>778.43748957100001</v>
      </c>
      <c r="CK10" s="502">
        <v>737.05626528100595</v>
      </c>
      <c r="CL10" s="502">
        <v>883.49283740100611</v>
      </c>
      <c r="CM10" s="502">
        <v>991.45785896100608</v>
      </c>
      <c r="CN10" s="502">
        <v>1029.787382989454</v>
      </c>
      <c r="CO10" s="502">
        <v>1285.3095852010063</v>
      </c>
      <c r="CP10" s="502">
        <v>1513.5141562410058</v>
      </c>
      <c r="CQ10" s="502">
        <v>1558.534078711006</v>
      </c>
      <c r="CR10" s="502">
        <v>1518.960896271006</v>
      </c>
      <c r="CS10" s="502">
        <v>1052.0363982410061</v>
      </c>
      <c r="CT10" s="502">
        <v>787.25113021050595</v>
      </c>
      <c r="CU10" s="502">
        <v>917.90866650470616</v>
      </c>
      <c r="CV10" s="502">
        <v>688.6812006289091</v>
      </c>
      <c r="CW10" s="502">
        <v>557.02667668953097</v>
      </c>
      <c r="CX10" s="502">
        <v>791.16557072089813</v>
      </c>
      <c r="CY10" s="502">
        <v>577.73171626784801</v>
      </c>
      <c r="CZ10" s="502">
        <v>578.46317282689802</v>
      </c>
      <c r="DA10" s="502">
        <v>845.53811679270416</v>
      </c>
      <c r="DB10" s="502">
        <v>636.39701468270403</v>
      </c>
      <c r="DC10" s="484">
        <v>655.47778804229597</v>
      </c>
      <c r="DD10" s="484">
        <v>671.65114382229592</v>
      </c>
      <c r="DE10" s="484">
        <v>674.88759530229618</v>
      </c>
      <c r="DF10" s="484">
        <v>733.55883586455514</v>
      </c>
      <c r="DG10" s="484">
        <v>967.84140610825114</v>
      </c>
      <c r="DH10" s="484">
        <v>742.93604614005096</v>
      </c>
      <c r="DI10" s="484">
        <v>470.939257474751</v>
      </c>
      <c r="DJ10" s="484">
        <v>1256.445613204751</v>
      </c>
      <c r="DK10" s="484">
        <v>965.65666468475092</v>
      </c>
      <c r="DL10" s="484">
        <v>915.15604085875111</v>
      </c>
      <c r="DM10" s="484">
        <v>1159.4644090337511</v>
      </c>
      <c r="DN10" s="484">
        <v>1113.5885229184371</v>
      </c>
      <c r="DO10" s="484">
        <v>1138.8654935781881</v>
      </c>
      <c r="DP10" s="484">
        <v>1472.4762970583877</v>
      </c>
      <c r="DQ10" s="484">
        <v>1048.3309391283879</v>
      </c>
      <c r="DR10" s="484">
        <v>1208.0267428783882</v>
      </c>
      <c r="DS10" s="484">
        <v>1612.9464406816121</v>
      </c>
      <c r="DT10" s="484">
        <v>1514.8662544051117</v>
      </c>
      <c r="DU10" s="484">
        <v>1648.0540199423242</v>
      </c>
      <c r="DV10" s="484">
        <v>1945.856256757324</v>
      </c>
      <c r="DW10" s="484">
        <v>1604.7285321777244</v>
      </c>
      <c r="DX10" s="484">
        <v>2131.2187576011247</v>
      </c>
      <c r="DY10" s="484">
        <v>2237.2499477877241</v>
      </c>
      <c r="DZ10" s="484">
        <v>2159.3032034077246</v>
      </c>
      <c r="EA10" s="484">
        <v>2338.8463407377244</v>
      </c>
      <c r="EB10" s="484">
        <v>2491.414203327724</v>
      </c>
      <c r="EC10" s="484">
        <v>1864.24275729753</v>
      </c>
    </row>
    <row r="11" spans="1:133" ht="17.45" customHeight="1" x14ac:dyDescent="0.25">
      <c r="A11" s="481" t="s">
        <v>410</v>
      </c>
      <c r="B11" s="482" t="s">
        <v>467</v>
      </c>
      <c r="C11" s="502">
        <v>147.85975862999999</v>
      </c>
      <c r="D11" s="502">
        <v>118.27296021000001</v>
      </c>
      <c r="E11" s="502">
        <v>126.05374291</v>
      </c>
      <c r="F11" s="541">
        <v>139.43077625000001</v>
      </c>
      <c r="G11" s="502">
        <v>143.7236029</v>
      </c>
      <c r="H11" s="542">
        <v>181.86861393000001</v>
      </c>
      <c r="I11" s="502">
        <v>128.33290374000001</v>
      </c>
      <c r="J11" s="502">
        <v>276.87750923000004</v>
      </c>
      <c r="K11" s="502">
        <v>212.91996096999998</v>
      </c>
      <c r="L11" s="502">
        <v>171.96835718</v>
      </c>
      <c r="M11" s="541">
        <v>177.63391278</v>
      </c>
      <c r="N11" s="502">
        <v>207.78508337000002</v>
      </c>
      <c r="O11" s="502">
        <v>299.85714434999994</v>
      </c>
      <c r="P11" s="502">
        <v>335.55330135999975</v>
      </c>
      <c r="Q11" s="502">
        <v>286.32163782999976</v>
      </c>
      <c r="R11" s="502">
        <v>288.94357381999976</v>
      </c>
      <c r="S11" s="502">
        <v>357.29351283999978</v>
      </c>
      <c r="T11" s="502">
        <v>311.58080574999974</v>
      </c>
      <c r="U11" s="502">
        <v>155.68019319999985</v>
      </c>
      <c r="V11" s="502">
        <v>247.21087684</v>
      </c>
      <c r="W11" s="502">
        <v>283.97970787000003</v>
      </c>
      <c r="X11" s="502">
        <v>265.68570657949982</v>
      </c>
      <c r="Y11" s="502">
        <v>261.37781761949987</v>
      </c>
      <c r="Z11" s="502">
        <v>281.88948801549981</v>
      </c>
      <c r="AA11" s="502">
        <v>337.89291353549987</v>
      </c>
      <c r="AB11" s="502">
        <v>267.28963810549988</v>
      </c>
      <c r="AC11" s="502">
        <v>296.66929348549985</v>
      </c>
      <c r="AD11" s="542">
        <v>288.96005666549991</v>
      </c>
      <c r="AE11" s="502">
        <v>360.49034149549988</v>
      </c>
      <c r="AF11" s="502">
        <v>431.71562858549981</v>
      </c>
      <c r="AG11" s="502">
        <v>382.28732294749989</v>
      </c>
      <c r="AH11" s="502">
        <v>781.44031197749996</v>
      </c>
      <c r="AI11" s="502">
        <v>774.52023403549981</v>
      </c>
      <c r="AJ11" s="502">
        <v>1107.1689004554999</v>
      </c>
      <c r="AK11" s="502">
        <v>856.28326820749976</v>
      </c>
      <c r="AL11" s="502">
        <v>760.49558163949985</v>
      </c>
      <c r="AM11" s="502">
        <v>901.8402582294998</v>
      </c>
      <c r="AN11" s="502">
        <v>792.74774708949997</v>
      </c>
      <c r="AO11" s="542">
        <v>817.3962234695</v>
      </c>
      <c r="AP11" s="502">
        <v>575.8489090700001</v>
      </c>
      <c r="AQ11" s="502">
        <v>564.10851364999996</v>
      </c>
      <c r="AR11" s="502">
        <v>718.90112993000002</v>
      </c>
      <c r="AS11" s="502">
        <v>582.67890176000003</v>
      </c>
      <c r="AT11" s="502">
        <v>612.37702178999996</v>
      </c>
      <c r="AU11" s="502">
        <v>226.77217009999998</v>
      </c>
      <c r="AV11" s="502">
        <v>280.36112960000003</v>
      </c>
      <c r="AW11" s="502">
        <v>247.67850559999999</v>
      </c>
      <c r="AX11" s="502">
        <v>182.18343411000001</v>
      </c>
      <c r="AY11" s="502">
        <v>400.89687820120446</v>
      </c>
      <c r="AZ11" s="502">
        <v>470.99189879999994</v>
      </c>
      <c r="BA11" s="502">
        <v>528.57329583000001</v>
      </c>
      <c r="BB11" s="502">
        <v>432.51449483000005</v>
      </c>
      <c r="BC11" s="502">
        <v>549.22732209999992</v>
      </c>
      <c r="BD11" s="502">
        <v>428.13262670000006</v>
      </c>
      <c r="BE11" s="502">
        <v>317.42161484299999</v>
      </c>
      <c r="BF11" s="502">
        <v>310.18084548299998</v>
      </c>
      <c r="BG11" s="502">
        <v>582.88419610299991</v>
      </c>
      <c r="BH11" s="502">
        <v>635.25021299299999</v>
      </c>
      <c r="BI11" s="502">
        <v>687.69342827600008</v>
      </c>
      <c r="BJ11" s="502">
        <v>814.12875540775235</v>
      </c>
      <c r="BK11" s="502">
        <v>334.47204617599999</v>
      </c>
      <c r="BL11" s="502">
        <v>340.78409806775238</v>
      </c>
      <c r="BM11" s="502">
        <v>457.40605834599995</v>
      </c>
      <c r="BN11" s="502">
        <v>523.21195728599992</v>
      </c>
      <c r="BO11" s="502">
        <v>606.38622986299993</v>
      </c>
      <c r="BP11" s="502">
        <v>362.84371618299997</v>
      </c>
      <c r="BQ11" s="502">
        <v>384.54459495299994</v>
      </c>
      <c r="BR11" s="502">
        <v>518.77405243299995</v>
      </c>
      <c r="BS11" s="502">
        <v>595.65707920299997</v>
      </c>
      <c r="BT11" s="502">
        <v>710.61603026</v>
      </c>
      <c r="BU11" s="502">
        <v>750.00098806999995</v>
      </c>
      <c r="BV11" s="502">
        <v>881.12443212000005</v>
      </c>
      <c r="BW11" s="502">
        <v>704.36448890999998</v>
      </c>
      <c r="BX11" s="502">
        <v>741.86453553000001</v>
      </c>
      <c r="BY11" s="502">
        <v>838.03370045278677</v>
      </c>
      <c r="BZ11" s="502">
        <v>785.75288425999997</v>
      </c>
      <c r="CA11" s="502">
        <v>739.52244490999999</v>
      </c>
      <c r="CB11" s="502">
        <v>681.90087348999998</v>
      </c>
      <c r="CC11" s="502">
        <v>606.79243150000013</v>
      </c>
      <c r="CD11" s="502">
        <v>670.90542106999999</v>
      </c>
      <c r="CE11" s="502">
        <v>611.94721517999994</v>
      </c>
      <c r="CF11" s="502">
        <v>737.10745859000008</v>
      </c>
      <c r="CG11" s="502">
        <v>904.27344923999999</v>
      </c>
      <c r="CH11" s="502">
        <v>435.92119885</v>
      </c>
      <c r="CI11" s="502">
        <v>396.46943016000006</v>
      </c>
      <c r="CJ11" s="502">
        <v>342.44433203000006</v>
      </c>
      <c r="CK11" s="502">
        <v>407.73355939000004</v>
      </c>
      <c r="CL11" s="502">
        <v>410.49309282000007</v>
      </c>
      <c r="CM11" s="502">
        <v>477.16841971000002</v>
      </c>
      <c r="CN11" s="502">
        <v>384.15260738155212</v>
      </c>
      <c r="CO11" s="502">
        <v>417.18328244000008</v>
      </c>
      <c r="CP11" s="502">
        <v>298.00961064000006</v>
      </c>
      <c r="CQ11" s="502">
        <v>404.05215901000008</v>
      </c>
      <c r="CR11" s="502">
        <v>414.27833944000008</v>
      </c>
      <c r="CS11" s="502">
        <v>431.66331083000011</v>
      </c>
      <c r="CT11" s="502">
        <v>379.13339237000002</v>
      </c>
      <c r="CU11" s="502">
        <v>342.83035370000005</v>
      </c>
      <c r="CV11" s="502">
        <v>454.85196814000005</v>
      </c>
      <c r="CW11" s="502">
        <v>574.78603601999998</v>
      </c>
      <c r="CX11" s="502">
        <v>516.06497110999999</v>
      </c>
      <c r="CY11" s="502">
        <v>551.11659469000006</v>
      </c>
      <c r="CZ11" s="502">
        <v>384.52716314000003</v>
      </c>
      <c r="DA11" s="502">
        <v>467.79181010000002</v>
      </c>
      <c r="DB11" s="502">
        <v>351.56968322</v>
      </c>
      <c r="DC11" s="484">
        <v>405.54849143000001</v>
      </c>
      <c r="DD11" s="484">
        <v>418.39600915999995</v>
      </c>
      <c r="DE11" s="484">
        <v>625.87053139</v>
      </c>
      <c r="DF11" s="484">
        <v>406.72300498373261</v>
      </c>
      <c r="DG11" s="484">
        <v>371.41950620999995</v>
      </c>
      <c r="DH11" s="484">
        <v>379.92483817000004</v>
      </c>
      <c r="DI11" s="484">
        <v>337.57482494999999</v>
      </c>
      <c r="DJ11" s="484">
        <v>386.16410673000001</v>
      </c>
      <c r="DK11" s="484">
        <v>390.16332543999999</v>
      </c>
      <c r="DL11" s="484">
        <v>467.43305558000003</v>
      </c>
      <c r="DM11" s="484">
        <v>382.25167830999999</v>
      </c>
      <c r="DN11" s="484">
        <v>430.89867773999998</v>
      </c>
      <c r="DO11" s="484">
        <v>466.32167580000004</v>
      </c>
      <c r="DP11" s="484">
        <v>539.22572155</v>
      </c>
      <c r="DQ11" s="484">
        <v>660.16542309810006</v>
      </c>
      <c r="DR11" s="484">
        <v>785.46575278</v>
      </c>
      <c r="DS11" s="484">
        <v>615.50210756999991</v>
      </c>
      <c r="DT11" s="484">
        <v>506.38230389999995</v>
      </c>
      <c r="DU11" s="484">
        <v>537.58718703</v>
      </c>
      <c r="DV11" s="484">
        <v>549.88377320000006</v>
      </c>
      <c r="DW11" s="484">
        <v>656.27951743000006</v>
      </c>
      <c r="DX11" s="484">
        <v>859.35963650999997</v>
      </c>
      <c r="DY11" s="484">
        <v>928.67503750000003</v>
      </c>
      <c r="DZ11" s="484">
        <v>827.05818569999997</v>
      </c>
      <c r="EA11" s="484">
        <v>749.75974474999998</v>
      </c>
      <c r="EB11" s="484">
        <v>824.68922481999994</v>
      </c>
      <c r="EC11" s="484">
        <v>866.61706040000001</v>
      </c>
    </row>
    <row r="12" spans="1:133" ht="17.45" customHeight="1" x14ac:dyDescent="0.25">
      <c r="A12" s="481" t="s">
        <v>412</v>
      </c>
      <c r="B12" s="482" t="s">
        <v>468</v>
      </c>
      <c r="C12" s="502">
        <v>457.01446121999999</v>
      </c>
      <c r="D12" s="502">
        <v>515.45755521000001</v>
      </c>
      <c r="E12" s="502">
        <v>530.84705997999993</v>
      </c>
      <c r="F12" s="541">
        <v>681.63857863999999</v>
      </c>
      <c r="G12" s="502">
        <v>744.20513767</v>
      </c>
      <c r="H12" s="542">
        <v>753.02975649999996</v>
      </c>
      <c r="I12" s="502">
        <v>753.65941918999999</v>
      </c>
      <c r="J12" s="502">
        <v>835.84261308999987</v>
      </c>
      <c r="K12" s="502">
        <v>1087.0784110000779</v>
      </c>
      <c r="L12" s="502">
        <v>1421.6584317124737</v>
      </c>
      <c r="M12" s="541">
        <v>1554.2198492087562</v>
      </c>
      <c r="N12" s="502">
        <v>1526.7350495122478</v>
      </c>
      <c r="O12" s="502">
        <v>1552.9840785725028</v>
      </c>
      <c r="P12" s="502">
        <v>1545.0646512879634</v>
      </c>
      <c r="Q12" s="502">
        <v>1567.2359120189892</v>
      </c>
      <c r="R12" s="502">
        <v>1567.5159015099291</v>
      </c>
      <c r="S12" s="502">
        <v>1534.3712525607889</v>
      </c>
      <c r="T12" s="502">
        <v>1610.0166560040411</v>
      </c>
      <c r="U12" s="502">
        <v>1677.2328442354831</v>
      </c>
      <c r="V12" s="502">
        <v>1469.1935739894261</v>
      </c>
      <c r="W12" s="502">
        <v>1479.6290712936184</v>
      </c>
      <c r="X12" s="502">
        <v>1649.7761723797412</v>
      </c>
      <c r="Y12" s="502">
        <v>1621.087096511229</v>
      </c>
      <c r="Z12" s="502">
        <v>1597.7156157749948</v>
      </c>
      <c r="AA12" s="502">
        <v>1635.7438841299072</v>
      </c>
      <c r="AB12" s="502">
        <v>1789.0885431788784</v>
      </c>
      <c r="AC12" s="502">
        <v>1981.2361778775753</v>
      </c>
      <c r="AD12" s="542">
        <v>2040.7009597594742</v>
      </c>
      <c r="AE12" s="502">
        <v>2152.3696522194741</v>
      </c>
      <c r="AF12" s="502">
        <v>2227.5043874214402</v>
      </c>
      <c r="AG12" s="502">
        <v>2405.6833678571538</v>
      </c>
      <c r="AH12" s="502">
        <v>2431.1686737154096</v>
      </c>
      <c r="AI12" s="502">
        <v>2359.8182061754419</v>
      </c>
      <c r="AJ12" s="502">
        <v>2542.7824905130428</v>
      </c>
      <c r="AK12" s="502">
        <v>2786.98897730412</v>
      </c>
      <c r="AL12" s="502">
        <v>2794.5775996119623</v>
      </c>
      <c r="AM12" s="502">
        <v>2845.7893779619762</v>
      </c>
      <c r="AN12" s="502">
        <v>3196.8793688483443</v>
      </c>
      <c r="AO12" s="542">
        <v>3284.7384235900004</v>
      </c>
      <c r="AP12" s="502">
        <v>3370.5772464878446</v>
      </c>
      <c r="AQ12" s="502">
        <v>3362.5335147575006</v>
      </c>
      <c r="AR12" s="502">
        <v>3242.5350589548789</v>
      </c>
      <c r="AS12" s="502">
        <v>3243.5769828183707</v>
      </c>
      <c r="AT12" s="502">
        <v>3212.101977443232</v>
      </c>
      <c r="AU12" s="502">
        <v>3528.1444899201374</v>
      </c>
      <c r="AV12" s="502">
        <v>3668.1143274048891</v>
      </c>
      <c r="AW12" s="502">
        <v>3040.6863560699999</v>
      </c>
      <c r="AX12" s="502">
        <v>3892.3477631199999</v>
      </c>
      <c r="AY12" s="502">
        <v>3812.9155355900002</v>
      </c>
      <c r="AZ12" s="502">
        <v>4643.0949271400004</v>
      </c>
      <c r="BA12" s="502">
        <v>4655.8265504012152</v>
      </c>
      <c r="BB12" s="502">
        <v>4797.5356066253789</v>
      </c>
      <c r="BC12" s="502">
        <v>4858.4439872050689</v>
      </c>
      <c r="BD12" s="502">
        <v>5018.9951775860272</v>
      </c>
      <c r="BE12" s="502">
        <v>5108.5525625099999</v>
      </c>
      <c r="BF12" s="502">
        <v>5136.0190155216706</v>
      </c>
      <c r="BG12" s="502">
        <v>5375.2617324627663</v>
      </c>
      <c r="BH12" s="502">
        <v>5204.4031734839728</v>
      </c>
      <c r="BI12" s="502">
        <v>5294.7415809485901</v>
      </c>
      <c r="BJ12" s="502">
        <v>5389.5584247067127</v>
      </c>
      <c r="BK12" s="502">
        <v>5506.8311308786306</v>
      </c>
      <c r="BL12" s="502">
        <v>5533.9105733253418</v>
      </c>
      <c r="BM12" s="502">
        <v>5220.0635686284932</v>
      </c>
      <c r="BN12" s="502">
        <v>5253.2534951157531</v>
      </c>
      <c r="BO12" s="502">
        <v>5055.8139928335613</v>
      </c>
      <c r="BP12" s="502">
        <v>5071.8111288875698</v>
      </c>
      <c r="BQ12" s="502">
        <v>5187.0713999486243</v>
      </c>
      <c r="BR12" s="502">
        <v>5373.2145499450635</v>
      </c>
      <c r="BS12" s="502">
        <v>5496.4108388183504</v>
      </c>
      <c r="BT12" s="502">
        <v>5502.1555343234186</v>
      </c>
      <c r="BU12" s="502">
        <v>5282.9221058235562</v>
      </c>
      <c r="BV12" s="502">
        <v>5577.549225253556</v>
      </c>
      <c r="BW12" s="502">
        <v>5898.2341095805587</v>
      </c>
      <c r="BX12" s="502">
        <v>5965.9065118883736</v>
      </c>
      <c r="BY12" s="502">
        <v>5841.7637485834011</v>
      </c>
      <c r="BZ12" s="502">
        <v>5870.6417684899998</v>
      </c>
      <c r="CA12" s="502">
        <v>5967.9222720299986</v>
      </c>
      <c r="CB12" s="502">
        <v>6061.3802736099997</v>
      </c>
      <c r="CC12" s="502">
        <v>5843.7213668099994</v>
      </c>
      <c r="CD12" s="502">
        <v>6030.11499757</v>
      </c>
      <c r="CE12" s="502">
        <v>6243.7597201538356</v>
      </c>
      <c r="CF12" s="502">
        <v>6296.1964831525593</v>
      </c>
      <c r="CG12" s="502">
        <v>6135.1521898343826</v>
      </c>
      <c r="CH12" s="502">
        <v>6168.9019908443834</v>
      </c>
      <c r="CI12" s="502">
        <v>6088.834815629999</v>
      </c>
      <c r="CJ12" s="502">
        <v>6372.2730103334243</v>
      </c>
      <c r="CK12" s="502">
        <v>6571.3569222300002</v>
      </c>
      <c r="CL12" s="502">
        <v>6679.1791890441309</v>
      </c>
      <c r="CM12" s="502">
        <v>6901.047641600001</v>
      </c>
      <c r="CN12" s="502">
        <v>6805.8428579500005</v>
      </c>
      <c r="CO12" s="502">
        <v>6900.6683421824655</v>
      </c>
      <c r="CP12" s="502">
        <v>7290.8628264034251</v>
      </c>
      <c r="CQ12" s="502">
        <v>7232.17625133</v>
      </c>
      <c r="CR12" s="502">
        <v>7178.9552939900004</v>
      </c>
      <c r="CS12" s="502">
        <v>6830.7758542300007</v>
      </c>
      <c r="CT12" s="502">
        <v>6898.981702650598</v>
      </c>
      <c r="CU12" s="502">
        <v>7031.2330466524645</v>
      </c>
      <c r="CV12" s="502">
        <v>6818.4623819134231</v>
      </c>
      <c r="CW12" s="502">
        <v>6887.7645292107354</v>
      </c>
      <c r="CX12" s="502">
        <v>7233.675565049999</v>
      </c>
      <c r="CY12" s="502">
        <v>7259.5764643500006</v>
      </c>
      <c r="CZ12" s="502">
        <v>7210.9873709899994</v>
      </c>
      <c r="DA12" s="502">
        <v>6961.9729461199986</v>
      </c>
      <c r="DB12" s="502">
        <v>6924.6676912665753</v>
      </c>
      <c r="DC12" s="484">
        <v>7035.0782110285745</v>
      </c>
      <c r="DD12" s="484">
        <v>7294.461565702054</v>
      </c>
      <c r="DE12" s="484">
        <v>7337.1203470495884</v>
      </c>
      <c r="DF12" s="484">
        <v>7523.4547114169864</v>
      </c>
      <c r="DG12" s="484">
        <v>7859.0443922580826</v>
      </c>
      <c r="DH12" s="484">
        <v>7677.9857874269974</v>
      </c>
      <c r="DI12" s="484">
        <v>7669.1287544824727</v>
      </c>
      <c r="DJ12" s="484">
        <v>7855.5743330700334</v>
      </c>
      <c r="DK12" s="484">
        <v>8122.5877506171801</v>
      </c>
      <c r="DL12" s="484">
        <v>8215.0204038478078</v>
      </c>
      <c r="DM12" s="484">
        <v>8217.7074798668491</v>
      </c>
      <c r="DN12" s="484">
        <v>8063.0643305561644</v>
      </c>
      <c r="DO12" s="484">
        <v>7851.6821320154795</v>
      </c>
      <c r="DP12" s="484">
        <v>7774.7003798963015</v>
      </c>
      <c r="DQ12" s="484">
        <v>7686.2326261319176</v>
      </c>
      <c r="DR12" s="484">
        <v>6693.8118482532882</v>
      </c>
      <c r="DS12" s="484">
        <v>6688.305098915479</v>
      </c>
      <c r="DT12" s="484">
        <v>6845.5398710221916</v>
      </c>
      <c r="DU12" s="484">
        <v>6855.5757226195892</v>
      </c>
      <c r="DV12" s="484">
        <v>6991.3420956421915</v>
      </c>
      <c r="DW12" s="484">
        <v>6843.1465240021917</v>
      </c>
      <c r="DX12" s="484">
        <v>6701.9914236720542</v>
      </c>
      <c r="DY12" s="484">
        <v>6618.2248010154799</v>
      </c>
      <c r="DZ12" s="484">
        <v>6727.1215214132881</v>
      </c>
      <c r="EA12" s="484">
        <v>6817.1419167720551</v>
      </c>
      <c r="EB12" s="484">
        <v>6513.2581434321919</v>
      </c>
      <c r="EC12" s="484">
        <v>6784.9849664421918</v>
      </c>
    </row>
    <row r="13" spans="1:133" ht="17.45" customHeight="1" x14ac:dyDescent="0.25">
      <c r="A13" s="481"/>
      <c r="B13" s="482"/>
      <c r="C13" s="537"/>
      <c r="D13" s="537"/>
      <c r="E13" s="537"/>
      <c r="F13" s="538"/>
      <c r="G13" s="537"/>
      <c r="H13" s="539"/>
      <c r="I13" s="537"/>
      <c r="J13" s="537"/>
      <c r="K13" s="537"/>
      <c r="L13" s="537"/>
      <c r="M13" s="538"/>
      <c r="N13" s="537"/>
      <c r="O13" s="537"/>
      <c r="P13" s="537"/>
      <c r="Q13" s="537"/>
      <c r="R13" s="537"/>
      <c r="S13" s="537"/>
      <c r="T13" s="537"/>
      <c r="U13" s="537"/>
      <c r="V13" s="537"/>
      <c r="W13" s="537"/>
      <c r="X13" s="537"/>
      <c r="Y13" s="537"/>
      <c r="Z13" s="537"/>
      <c r="AA13" s="537"/>
      <c r="AB13" s="537"/>
      <c r="AC13" s="537"/>
      <c r="AD13" s="539"/>
      <c r="AE13" s="537"/>
      <c r="AF13" s="537"/>
      <c r="AG13" s="537"/>
      <c r="AH13" s="537"/>
      <c r="AI13" s="537"/>
      <c r="AJ13" s="537"/>
      <c r="AK13" s="537"/>
      <c r="AL13" s="537"/>
      <c r="AM13" s="537"/>
      <c r="AN13" s="537"/>
      <c r="AO13" s="539"/>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483"/>
      <c r="DD13" s="483"/>
      <c r="DE13" s="483"/>
      <c r="DF13" s="483"/>
      <c r="DG13" s="483"/>
      <c r="DH13" s="483"/>
      <c r="DI13" s="483"/>
      <c r="DJ13" s="483"/>
      <c r="DK13" s="483"/>
      <c r="DL13" s="483"/>
      <c r="DM13" s="483"/>
      <c r="DN13" s="483"/>
      <c r="DO13" s="483"/>
      <c r="DP13" s="483"/>
      <c r="DQ13" s="483"/>
      <c r="DR13" s="483"/>
      <c r="DS13" s="483"/>
      <c r="DT13" s="483"/>
      <c r="DU13" s="483"/>
      <c r="DV13" s="483"/>
      <c r="DW13" s="483"/>
      <c r="DX13" s="483"/>
      <c r="DY13" s="483"/>
      <c r="DZ13" s="483"/>
      <c r="EA13" s="483"/>
      <c r="EB13" s="483"/>
      <c r="EC13" s="483"/>
    </row>
    <row r="14" spans="1:133" ht="17.45" customHeight="1" x14ac:dyDescent="0.25">
      <c r="A14" s="477" t="s">
        <v>414</v>
      </c>
      <c r="B14" s="478" t="s">
        <v>415</v>
      </c>
      <c r="C14" s="533">
        <v>3141.7412288734417</v>
      </c>
      <c r="D14" s="533">
        <v>3158.4869030572645</v>
      </c>
      <c r="E14" s="533">
        <v>3198.7408681926768</v>
      </c>
      <c r="F14" s="534">
        <v>3019.9938490326763</v>
      </c>
      <c r="G14" s="533">
        <v>2826.5538611226757</v>
      </c>
      <c r="H14" s="535">
        <v>2799.7486643388174</v>
      </c>
      <c r="I14" s="533">
        <v>2749.5444257012132</v>
      </c>
      <c r="J14" s="533">
        <v>2575.7187005012133</v>
      </c>
      <c r="K14" s="533">
        <v>2041.4957546528001</v>
      </c>
      <c r="L14" s="533">
        <v>2094.8271464709474</v>
      </c>
      <c r="M14" s="534">
        <v>2225.6804032560376</v>
      </c>
      <c r="N14" s="533">
        <v>2350.3789442984998</v>
      </c>
      <c r="O14" s="533">
        <v>2221.7086997548354</v>
      </c>
      <c r="P14" s="533">
        <v>2225.8757117201462</v>
      </c>
      <c r="Q14" s="533">
        <v>2301.1639691281403</v>
      </c>
      <c r="R14" s="533">
        <v>2346.7748384911879</v>
      </c>
      <c r="S14" s="533">
        <v>2244.0625431743097</v>
      </c>
      <c r="T14" s="533">
        <v>2131.419913247481</v>
      </c>
      <c r="U14" s="533">
        <v>2143.713592826371</v>
      </c>
      <c r="V14" s="533">
        <v>2186.1390085502549</v>
      </c>
      <c r="W14" s="533">
        <v>2301.9831274509706</v>
      </c>
      <c r="X14" s="533">
        <v>2321.86058746246</v>
      </c>
      <c r="Y14" s="533">
        <v>2471.76681323808</v>
      </c>
      <c r="Z14" s="533">
        <v>2536.299899499299</v>
      </c>
      <c r="AA14" s="533">
        <v>2516.8508154133183</v>
      </c>
      <c r="AB14" s="533">
        <v>2427.2330756263427</v>
      </c>
      <c r="AC14" s="533">
        <v>2270.0078690333789</v>
      </c>
      <c r="AD14" s="535">
        <v>2365.1709751035214</v>
      </c>
      <c r="AE14" s="533">
        <v>2334.9689097226233</v>
      </c>
      <c r="AF14" s="533">
        <v>2310.6937722622688</v>
      </c>
      <c r="AG14" s="533">
        <v>2139.971821948056</v>
      </c>
      <c r="AH14" s="533">
        <v>1976.2289690552557</v>
      </c>
      <c r="AI14" s="533">
        <v>1965.6124717309676</v>
      </c>
      <c r="AJ14" s="533">
        <v>1745.7364813708782</v>
      </c>
      <c r="AK14" s="533">
        <v>1616.5023866291365</v>
      </c>
      <c r="AL14" s="533">
        <v>1637.1462251732382</v>
      </c>
      <c r="AM14" s="533">
        <v>1628.8841910976505</v>
      </c>
      <c r="AN14" s="533">
        <v>1658.2967303723017</v>
      </c>
      <c r="AO14" s="535">
        <v>1692.3171174499998</v>
      </c>
      <c r="AP14" s="533">
        <v>1994.5838696299363</v>
      </c>
      <c r="AQ14" s="533">
        <v>2017.4659075461332</v>
      </c>
      <c r="AR14" s="533">
        <v>2038.9810114042459</v>
      </c>
      <c r="AS14" s="533">
        <v>1744.6942894492549</v>
      </c>
      <c r="AT14" s="533">
        <v>1836.0300834528859</v>
      </c>
      <c r="AU14" s="533">
        <v>1890.04722036</v>
      </c>
      <c r="AV14" s="533">
        <v>1805.6448480298918</v>
      </c>
      <c r="AW14" s="533">
        <v>1777.091374311319</v>
      </c>
      <c r="AX14" s="533">
        <v>1748.1520837916485</v>
      </c>
      <c r="AY14" s="533">
        <v>1648.7069554700001</v>
      </c>
      <c r="AZ14" s="533">
        <v>1597.3564816750697</v>
      </c>
      <c r="BA14" s="533">
        <v>1602.2370017178173</v>
      </c>
      <c r="BB14" s="533">
        <v>1616.0677548951646</v>
      </c>
      <c r="BC14" s="533">
        <v>1589.4390290758242</v>
      </c>
      <c r="BD14" s="533">
        <v>1593.1882786071428</v>
      </c>
      <c r="BE14" s="533">
        <v>1544.1289795604396</v>
      </c>
      <c r="BF14" s="533">
        <v>1534.7776348191451</v>
      </c>
      <c r="BG14" s="533">
        <v>1550.6753865483333</v>
      </c>
      <c r="BH14" s="533">
        <v>1388.9837204238659</v>
      </c>
      <c r="BI14" s="533">
        <v>1382.9648998331868</v>
      </c>
      <c r="BJ14" s="533">
        <v>1357.56706467546</v>
      </c>
      <c r="BK14" s="533">
        <v>1311.6844934912328</v>
      </c>
      <c r="BL14" s="533">
        <v>1309.3671006326374</v>
      </c>
      <c r="BM14" s="533">
        <v>1306.9037394030634</v>
      </c>
      <c r="BN14" s="533">
        <v>1309.1511247393</v>
      </c>
      <c r="BO14" s="533">
        <v>1494.8586652332981</v>
      </c>
      <c r="BP14" s="533">
        <v>1717.6923635299593</v>
      </c>
      <c r="BQ14" s="533">
        <v>1706.6328342610359</v>
      </c>
      <c r="BR14" s="533">
        <v>1428.1947687079648</v>
      </c>
      <c r="BS14" s="533">
        <v>1422.240900619875</v>
      </c>
      <c r="BT14" s="533">
        <v>1424.9215065481003</v>
      </c>
      <c r="BU14" s="533">
        <v>1689.8318971611109</v>
      </c>
      <c r="BV14" s="533">
        <v>1536.3879081813907</v>
      </c>
      <c r="BW14" s="533">
        <v>1497.3001113685109</v>
      </c>
      <c r="BX14" s="533">
        <v>1496.2893116786543</v>
      </c>
      <c r="BY14" s="533">
        <v>1497.8713312785776</v>
      </c>
      <c r="BZ14" s="533">
        <v>1492.2001580841759</v>
      </c>
      <c r="CA14" s="533">
        <v>1491.1442447524175</v>
      </c>
      <c r="CB14" s="533">
        <v>1494.0817110507694</v>
      </c>
      <c r="CC14" s="533">
        <v>983.03197204417575</v>
      </c>
      <c r="CD14" s="533">
        <v>899.83751579747252</v>
      </c>
      <c r="CE14" s="533">
        <v>901.09174694087915</v>
      </c>
      <c r="CF14" s="533">
        <v>856.63633345417566</v>
      </c>
      <c r="CG14" s="533">
        <v>835.12837561252741</v>
      </c>
      <c r="CH14" s="533">
        <v>762.25248887582404</v>
      </c>
      <c r="CI14" s="533">
        <v>597.45794412999999</v>
      </c>
      <c r="CJ14" s="533">
        <v>577.03089347747255</v>
      </c>
      <c r="CK14" s="533">
        <v>576.93882955076924</v>
      </c>
      <c r="CL14" s="533">
        <v>544.39697262483514</v>
      </c>
      <c r="CM14" s="533">
        <v>320.38611489813184</v>
      </c>
      <c r="CN14" s="533">
        <v>322.69040618648353</v>
      </c>
      <c r="CO14" s="533">
        <v>270.52531707999998</v>
      </c>
      <c r="CP14" s="533">
        <v>346.89328178</v>
      </c>
      <c r="CQ14" s="533">
        <v>343.94443731000001</v>
      </c>
      <c r="CR14" s="533">
        <v>343.65978201000001</v>
      </c>
      <c r="CS14" s="533">
        <v>369.47067464999998</v>
      </c>
      <c r="CT14" s="533">
        <v>370.42300564999999</v>
      </c>
      <c r="CU14" s="533">
        <v>382.08043149000002</v>
      </c>
      <c r="CV14" s="533">
        <v>381.86276723000003</v>
      </c>
      <c r="CW14" s="533">
        <v>378.78838701000001</v>
      </c>
      <c r="CX14" s="533">
        <v>382.15068615999996</v>
      </c>
      <c r="CY14" s="533">
        <v>352.98757789000001</v>
      </c>
      <c r="CZ14" s="533">
        <v>293.83717693</v>
      </c>
      <c r="DA14" s="533">
        <v>255.40701999999999</v>
      </c>
      <c r="DB14" s="533">
        <v>254.450526</v>
      </c>
      <c r="DC14" s="479">
        <v>150.57144</v>
      </c>
      <c r="DD14" s="479">
        <v>148.98216400000001</v>
      </c>
      <c r="DE14" s="479">
        <v>150.072889</v>
      </c>
      <c r="DF14" s="479">
        <v>151.163613</v>
      </c>
      <c r="DG14" s="479">
        <v>152.25433799999999</v>
      </c>
      <c r="DH14" s="479">
        <v>150.57006127142859</v>
      </c>
      <c r="DI14" s="479">
        <v>150.83178580714289</v>
      </c>
      <c r="DJ14" s="479">
        <v>149.24251034285712</v>
      </c>
      <c r="DK14" s="479">
        <v>150.33323487857143</v>
      </c>
      <c r="DL14" s="479">
        <v>151.423959</v>
      </c>
      <c r="DM14" s="479">
        <v>152.51468399999999</v>
      </c>
      <c r="DN14" s="479">
        <v>150.83040800000001</v>
      </c>
      <c r="DO14" s="479">
        <v>151.09213299999999</v>
      </c>
      <c r="DP14" s="479">
        <v>149.502858</v>
      </c>
      <c r="DQ14" s="479">
        <v>150.593582</v>
      </c>
      <c r="DR14" s="479">
        <v>151.68430699999999</v>
      </c>
      <c r="DS14" s="479">
        <v>152.77503100000001</v>
      </c>
      <c r="DT14" s="479">
        <v>95.724566999999993</v>
      </c>
      <c r="DU14" s="479">
        <v>95.496750000000006</v>
      </c>
      <c r="DV14" s="479">
        <v>96.097932</v>
      </c>
      <c r="DW14" s="479">
        <v>366.21671300000003</v>
      </c>
      <c r="DX14" s="479">
        <v>368.44042300000001</v>
      </c>
      <c r="DY14" s="479">
        <v>364.232463</v>
      </c>
      <c r="DZ14" s="479">
        <v>363.13970799999998</v>
      </c>
      <c r="EA14" s="479">
        <v>363.992952</v>
      </c>
      <c r="EB14" s="479">
        <v>365.67519700000003</v>
      </c>
      <c r="EC14" s="479">
        <v>367.35744199999999</v>
      </c>
    </row>
    <row r="15" spans="1:133" ht="17.45" customHeight="1" x14ac:dyDescent="0.25">
      <c r="A15" s="481"/>
      <c r="B15" s="482"/>
      <c r="C15" s="537"/>
      <c r="D15" s="537"/>
      <c r="E15" s="537"/>
      <c r="F15" s="538"/>
      <c r="G15" s="537"/>
      <c r="H15" s="539"/>
      <c r="I15" s="537"/>
      <c r="J15" s="537"/>
      <c r="K15" s="537"/>
      <c r="L15" s="537"/>
      <c r="M15" s="538"/>
      <c r="N15" s="537"/>
      <c r="O15" s="537"/>
      <c r="P15" s="537"/>
      <c r="Q15" s="537"/>
      <c r="R15" s="537"/>
      <c r="S15" s="537"/>
      <c r="T15" s="537"/>
      <c r="U15" s="537"/>
      <c r="V15" s="537"/>
      <c r="W15" s="537"/>
      <c r="X15" s="537"/>
      <c r="Y15" s="537"/>
      <c r="Z15" s="537"/>
      <c r="AA15" s="537"/>
      <c r="AB15" s="537"/>
      <c r="AC15" s="537"/>
      <c r="AD15" s="539"/>
      <c r="AE15" s="537"/>
      <c r="AF15" s="537"/>
      <c r="AG15" s="537"/>
      <c r="AH15" s="537"/>
      <c r="AI15" s="537"/>
      <c r="AJ15" s="537"/>
      <c r="AK15" s="537"/>
      <c r="AL15" s="537"/>
      <c r="AM15" s="537"/>
      <c r="AN15" s="537"/>
      <c r="AO15" s="539"/>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483"/>
      <c r="DD15" s="483"/>
      <c r="DE15" s="483"/>
      <c r="DF15" s="483"/>
      <c r="DG15" s="483"/>
      <c r="DH15" s="483"/>
      <c r="DI15" s="483"/>
      <c r="DJ15" s="483"/>
      <c r="DK15" s="483"/>
      <c r="DL15" s="483"/>
      <c r="DM15" s="483"/>
      <c r="DN15" s="483"/>
      <c r="DO15" s="483"/>
      <c r="DP15" s="483"/>
      <c r="DQ15" s="483"/>
      <c r="DR15" s="483"/>
      <c r="DS15" s="483"/>
      <c r="DT15" s="483"/>
      <c r="DU15" s="483"/>
      <c r="DV15" s="483"/>
      <c r="DW15" s="483"/>
      <c r="DX15" s="483"/>
      <c r="DY15" s="483"/>
      <c r="DZ15" s="483"/>
      <c r="EA15" s="483"/>
      <c r="EB15" s="483"/>
      <c r="EC15" s="483"/>
    </row>
    <row r="16" spans="1:133" ht="17.45" customHeight="1" x14ac:dyDescent="0.25">
      <c r="A16" s="477" t="s">
        <v>416</v>
      </c>
      <c r="B16" s="478" t="s">
        <v>200</v>
      </c>
      <c r="C16" s="533">
        <v>19280.686609455002</v>
      </c>
      <c r="D16" s="533">
        <v>19682.263737385001</v>
      </c>
      <c r="E16" s="533">
        <v>20095.335074604998</v>
      </c>
      <c r="F16" s="534">
        <v>20441.747822915</v>
      </c>
      <c r="G16" s="533">
        <v>20780.148270494999</v>
      </c>
      <c r="H16" s="535">
        <v>21427.871552655</v>
      </c>
      <c r="I16" s="533">
        <v>21669.938592495004</v>
      </c>
      <c r="J16" s="533">
        <v>21829.047462724899</v>
      </c>
      <c r="K16" s="533">
        <v>22185.69245881835</v>
      </c>
      <c r="L16" s="533">
        <v>22558.82191060828</v>
      </c>
      <c r="M16" s="534">
        <v>22766.005455108334</v>
      </c>
      <c r="N16" s="533">
        <v>23074.362108668334</v>
      </c>
      <c r="O16" s="533">
        <v>23573.191331509999</v>
      </c>
      <c r="P16" s="533">
        <v>23838.098927788335</v>
      </c>
      <c r="Q16" s="533">
        <v>24177.23605715482</v>
      </c>
      <c r="R16" s="533">
        <v>24260.79051913966</v>
      </c>
      <c r="S16" s="533">
        <v>24437.149945565579</v>
      </c>
      <c r="T16" s="533">
        <v>24416.239853871451</v>
      </c>
      <c r="U16" s="533">
        <v>24775.490089183892</v>
      </c>
      <c r="V16" s="533">
        <v>24877.945276231261</v>
      </c>
      <c r="W16" s="533">
        <v>25120.538099127254</v>
      </c>
      <c r="X16" s="533">
        <v>25114.490238064249</v>
      </c>
      <c r="Y16" s="533">
        <v>25256.256243402084</v>
      </c>
      <c r="Z16" s="533">
        <v>25481.765030134087</v>
      </c>
      <c r="AA16" s="533">
        <v>25667.983855303781</v>
      </c>
      <c r="AB16" s="533">
        <v>25792.365500695756</v>
      </c>
      <c r="AC16" s="533">
        <v>26040.12614954347</v>
      </c>
      <c r="AD16" s="535">
        <v>25663.439008322261</v>
      </c>
      <c r="AE16" s="533">
        <v>25770.759532202264</v>
      </c>
      <c r="AF16" s="533">
        <v>25937.977353974002</v>
      </c>
      <c r="AG16" s="533">
        <v>26169.60233799852</v>
      </c>
      <c r="AH16" s="533">
        <v>26405.511088405387</v>
      </c>
      <c r="AI16" s="533">
        <v>26563.529757496541</v>
      </c>
      <c r="AJ16" s="533">
        <v>27228.746922904633</v>
      </c>
      <c r="AK16" s="533">
        <v>27167.981810980313</v>
      </c>
      <c r="AL16" s="533">
        <v>27368.44370091848</v>
      </c>
      <c r="AM16" s="533">
        <v>27554.190427132624</v>
      </c>
      <c r="AN16" s="533">
        <v>27922.958616314037</v>
      </c>
      <c r="AO16" s="535">
        <v>28976.56596627878</v>
      </c>
      <c r="AP16" s="533">
        <v>28536.239430975584</v>
      </c>
      <c r="AQ16" s="533">
        <v>30690.461290447347</v>
      </c>
      <c r="AR16" s="533">
        <v>31053.694298561571</v>
      </c>
      <c r="AS16" s="533">
        <v>31650.981623799351</v>
      </c>
      <c r="AT16" s="533">
        <v>31588.001687477969</v>
      </c>
      <c r="AU16" s="533">
        <v>31747.432400730002</v>
      </c>
      <c r="AV16" s="533">
        <v>31710.719602555924</v>
      </c>
      <c r="AW16" s="533">
        <v>31833.034198610003</v>
      </c>
      <c r="AX16" s="533">
        <v>31904.786749660001</v>
      </c>
      <c r="AY16" s="533">
        <v>31840.432635949997</v>
      </c>
      <c r="AZ16" s="533">
        <v>31938.005386186665</v>
      </c>
      <c r="BA16" s="533">
        <v>31970.764195243606</v>
      </c>
      <c r="BB16" s="533">
        <v>32229.28689672667</v>
      </c>
      <c r="BC16" s="533">
        <v>32917.23159522756</v>
      </c>
      <c r="BD16" s="533">
        <v>32957.186442291677</v>
      </c>
      <c r="BE16" s="533">
        <v>32142.775760440079</v>
      </c>
      <c r="BF16" s="533">
        <v>32238.896928697581</v>
      </c>
      <c r="BG16" s="533">
        <v>32141.241751251986</v>
      </c>
      <c r="BH16" s="533">
        <v>32310.131745688977</v>
      </c>
      <c r="BI16" s="533">
        <v>32446.340152611516</v>
      </c>
      <c r="BJ16" s="533">
        <v>32538.128343344084</v>
      </c>
      <c r="BK16" s="533">
        <v>30674.473151837272</v>
      </c>
      <c r="BL16" s="533">
        <v>31011.421933601414</v>
      </c>
      <c r="BM16" s="533">
        <v>31198.389450033043</v>
      </c>
      <c r="BN16" s="533">
        <v>31306.999086148087</v>
      </c>
      <c r="BO16" s="533">
        <v>31542.615906547366</v>
      </c>
      <c r="BP16" s="533">
        <v>31782.78837332538</v>
      </c>
      <c r="BQ16" s="533">
        <v>32132.173073309463</v>
      </c>
      <c r="BR16" s="533">
        <v>32422.938862338746</v>
      </c>
      <c r="BS16" s="533">
        <v>32558.177056714216</v>
      </c>
      <c r="BT16" s="533">
        <v>33466.647589161446</v>
      </c>
      <c r="BU16" s="533">
        <v>34115.828833809268</v>
      </c>
      <c r="BV16" s="533">
        <v>34487.366723820065</v>
      </c>
      <c r="BW16" s="533">
        <v>34728.556922494121</v>
      </c>
      <c r="BX16" s="533">
        <v>35027.178391814639</v>
      </c>
      <c r="BY16" s="533">
        <v>35226.666012681577</v>
      </c>
      <c r="BZ16" s="533">
        <v>35566.117407309997</v>
      </c>
      <c r="CA16" s="533">
        <v>36266.410718365492</v>
      </c>
      <c r="CB16" s="533">
        <v>36656.435974315507</v>
      </c>
      <c r="CC16" s="533">
        <v>36231.389484940497</v>
      </c>
      <c r="CD16" s="533">
        <v>36259.015244370501</v>
      </c>
      <c r="CE16" s="533">
        <v>36690.646576840503</v>
      </c>
      <c r="CF16" s="533">
        <v>36901.119479850502</v>
      </c>
      <c r="CG16" s="533">
        <v>37287.475629000495</v>
      </c>
      <c r="CH16" s="533">
        <v>35797.569851870496</v>
      </c>
      <c r="CI16" s="533">
        <v>36258.0757674345</v>
      </c>
      <c r="CJ16" s="533">
        <v>36665.628977974506</v>
      </c>
      <c r="CK16" s="533">
        <v>36902.350835028687</v>
      </c>
      <c r="CL16" s="533">
        <v>37232.396207974496</v>
      </c>
      <c r="CM16" s="533">
        <v>37573.278528558367</v>
      </c>
      <c r="CN16" s="533">
        <v>37873.332235133777</v>
      </c>
      <c r="CO16" s="533">
        <v>38393.795160858266</v>
      </c>
      <c r="CP16" s="533">
        <v>38456.460590937633</v>
      </c>
      <c r="CQ16" s="533">
        <v>40230.224848859463</v>
      </c>
      <c r="CR16" s="533">
        <v>40855.545771395591</v>
      </c>
      <c r="CS16" s="533">
        <v>41222.454580285594</v>
      </c>
      <c r="CT16" s="533">
        <v>41810.098423441894</v>
      </c>
      <c r="CU16" s="533">
        <v>42530.720588094489</v>
      </c>
      <c r="CV16" s="533">
        <v>42823.916854008188</v>
      </c>
      <c r="CW16" s="533">
        <v>43778.738088250575</v>
      </c>
      <c r="CX16" s="533">
        <v>44212.171640411209</v>
      </c>
      <c r="CY16" s="533">
        <v>44754.68898334961</v>
      </c>
      <c r="CZ16" s="533">
        <v>45354.600058453805</v>
      </c>
      <c r="DA16" s="533">
        <v>45911.101409883806</v>
      </c>
      <c r="DB16" s="533">
        <v>46092.867616790805</v>
      </c>
      <c r="DC16" s="479">
        <v>46407.16287974421</v>
      </c>
      <c r="DD16" s="479">
        <v>46893.642887624213</v>
      </c>
      <c r="DE16" s="479">
        <v>47231.245784361956</v>
      </c>
      <c r="DF16" s="479">
        <v>47774.257493931946</v>
      </c>
      <c r="DG16" s="479">
        <v>48299.801104958256</v>
      </c>
      <c r="DH16" s="479">
        <v>48831.623051423165</v>
      </c>
      <c r="DI16" s="479">
        <v>49398.941442213159</v>
      </c>
      <c r="DJ16" s="479">
        <v>49712.915051324846</v>
      </c>
      <c r="DK16" s="479">
        <v>50062.369881504856</v>
      </c>
      <c r="DL16" s="479">
        <v>50553.780137902759</v>
      </c>
      <c r="DM16" s="479">
        <v>50923.637094155958</v>
      </c>
      <c r="DN16" s="479">
        <v>50936.866253094246</v>
      </c>
      <c r="DO16" s="479">
        <v>51220.978017891874</v>
      </c>
      <c r="DP16" s="479">
        <v>51689.211443446569</v>
      </c>
      <c r="DQ16" s="479">
        <v>52281.806783266569</v>
      </c>
      <c r="DR16" s="479">
        <v>52745.10187621427</v>
      </c>
      <c r="DS16" s="479">
        <v>53067.288984176288</v>
      </c>
      <c r="DT16" s="479">
        <v>53237.300493228548</v>
      </c>
      <c r="DU16" s="479">
        <v>53747.520927323327</v>
      </c>
      <c r="DV16" s="479">
        <v>54207.878643724078</v>
      </c>
      <c r="DW16" s="479">
        <v>54526.215795772674</v>
      </c>
      <c r="DX16" s="479">
        <v>54818.553989855922</v>
      </c>
      <c r="DY16" s="479">
        <v>55660.135224820217</v>
      </c>
      <c r="DZ16" s="479">
        <v>55758.226386383409</v>
      </c>
      <c r="EA16" s="479">
        <v>55824.586123909015</v>
      </c>
      <c r="EB16" s="479">
        <v>55986.574169129926</v>
      </c>
      <c r="EC16" s="479">
        <v>56243.188997914775</v>
      </c>
    </row>
    <row r="17" spans="1:133" ht="17.45" customHeight="1" x14ac:dyDescent="0.25">
      <c r="A17" s="481"/>
      <c r="B17" s="482"/>
      <c r="C17" s="537"/>
      <c r="D17" s="537"/>
      <c r="E17" s="537"/>
      <c r="F17" s="538"/>
      <c r="G17" s="537"/>
      <c r="H17" s="539"/>
      <c r="I17" s="537"/>
      <c r="J17" s="537"/>
      <c r="K17" s="537"/>
      <c r="L17" s="537"/>
      <c r="M17" s="538"/>
      <c r="N17" s="537"/>
      <c r="O17" s="537"/>
      <c r="P17" s="537"/>
      <c r="Q17" s="537"/>
      <c r="R17" s="537"/>
      <c r="S17" s="537"/>
      <c r="T17" s="537"/>
      <c r="U17" s="537"/>
      <c r="V17" s="537"/>
      <c r="W17" s="537"/>
      <c r="X17" s="537"/>
      <c r="Y17" s="537"/>
      <c r="Z17" s="537"/>
      <c r="AA17" s="537"/>
      <c r="AB17" s="537"/>
      <c r="AC17" s="537"/>
      <c r="AD17" s="539"/>
      <c r="AE17" s="537"/>
      <c r="AF17" s="537"/>
      <c r="AG17" s="537"/>
      <c r="AH17" s="537"/>
      <c r="AI17" s="537"/>
      <c r="AJ17" s="537"/>
      <c r="AK17" s="537"/>
      <c r="AL17" s="537"/>
      <c r="AM17" s="537"/>
      <c r="AN17" s="537"/>
      <c r="AO17" s="539"/>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483"/>
      <c r="DD17" s="483"/>
      <c r="DE17" s="483"/>
      <c r="DF17" s="483"/>
      <c r="DG17" s="483"/>
      <c r="DH17" s="483"/>
      <c r="DI17" s="483"/>
      <c r="DJ17" s="483"/>
      <c r="DK17" s="483"/>
      <c r="DL17" s="483"/>
      <c r="DM17" s="483"/>
      <c r="DN17" s="483"/>
      <c r="DO17" s="483"/>
      <c r="DP17" s="483"/>
      <c r="DQ17" s="483"/>
      <c r="DR17" s="483"/>
      <c r="DS17" s="483"/>
      <c r="DT17" s="483"/>
      <c r="DU17" s="483"/>
      <c r="DV17" s="483"/>
      <c r="DW17" s="483"/>
      <c r="DX17" s="483"/>
      <c r="DY17" s="483"/>
      <c r="DZ17" s="483"/>
      <c r="EA17" s="483"/>
      <c r="EB17" s="483"/>
      <c r="EC17" s="483"/>
    </row>
    <row r="18" spans="1:133" ht="17.45" customHeight="1" x14ac:dyDescent="0.25">
      <c r="A18" s="477" t="s">
        <v>417</v>
      </c>
      <c r="B18" s="478" t="s">
        <v>418</v>
      </c>
      <c r="C18" s="533">
        <v>249.33754500999999</v>
      </c>
      <c r="D18" s="533">
        <v>264.05557626000001</v>
      </c>
      <c r="E18" s="533">
        <v>282.63213625999998</v>
      </c>
      <c r="F18" s="534">
        <v>295.31597005999998</v>
      </c>
      <c r="G18" s="533">
        <v>268.50543526000001</v>
      </c>
      <c r="H18" s="535">
        <v>236.63516826</v>
      </c>
      <c r="I18" s="533">
        <v>219.25531925999999</v>
      </c>
      <c r="J18" s="533">
        <v>87.311757260000007</v>
      </c>
      <c r="K18" s="533">
        <v>115.57686126</v>
      </c>
      <c r="L18" s="533">
        <v>115.65866626</v>
      </c>
      <c r="M18" s="534">
        <v>115.72814726</v>
      </c>
      <c r="N18" s="533">
        <v>115.71674726000001</v>
      </c>
      <c r="O18" s="533">
        <v>98.185628260000001</v>
      </c>
      <c r="P18" s="533">
        <v>97.894697260000001</v>
      </c>
      <c r="Q18" s="533">
        <v>99.396492260000002</v>
      </c>
      <c r="R18" s="533">
        <v>99.915569260000012</v>
      </c>
      <c r="S18" s="533">
        <v>101.43657702103678</v>
      </c>
      <c r="T18" s="533">
        <v>103.10802426000001</v>
      </c>
      <c r="U18" s="533">
        <v>114.30672826</v>
      </c>
      <c r="V18" s="533">
        <v>114.7917113</v>
      </c>
      <c r="W18" s="533">
        <v>112.68156833157674</v>
      </c>
      <c r="X18" s="533">
        <v>116.20933165546708</v>
      </c>
      <c r="Y18" s="533">
        <v>115.14950657999999</v>
      </c>
      <c r="Z18" s="533">
        <v>114.80572158</v>
      </c>
      <c r="AA18" s="533">
        <v>116.01910428000001</v>
      </c>
      <c r="AB18" s="533">
        <v>117.12312128000001</v>
      </c>
      <c r="AC18" s="533">
        <v>118.72713528</v>
      </c>
      <c r="AD18" s="535">
        <v>119.80985028000001</v>
      </c>
      <c r="AE18" s="533">
        <v>122.54243328</v>
      </c>
      <c r="AF18" s="533">
        <v>149.63137528000001</v>
      </c>
      <c r="AG18" s="533">
        <v>161.49389927999999</v>
      </c>
      <c r="AH18" s="533">
        <v>160.12539828000001</v>
      </c>
      <c r="AI18" s="533">
        <v>144.78691628000001</v>
      </c>
      <c r="AJ18" s="533">
        <v>143.44226227999999</v>
      </c>
      <c r="AK18" s="533">
        <v>278.87764827999996</v>
      </c>
      <c r="AL18" s="533">
        <v>284.88362527999999</v>
      </c>
      <c r="AM18" s="533">
        <v>292.43977027999995</v>
      </c>
      <c r="AN18" s="533">
        <v>292.31112622964417</v>
      </c>
      <c r="AO18" s="535">
        <v>162.08623628000001</v>
      </c>
      <c r="AP18" s="533">
        <v>160.46530868000002</v>
      </c>
      <c r="AQ18" s="533">
        <v>160.37438928</v>
      </c>
      <c r="AR18" s="533">
        <v>158.96110628</v>
      </c>
      <c r="AS18" s="533">
        <v>170.63793128</v>
      </c>
      <c r="AT18" s="533">
        <v>200.33315328</v>
      </c>
      <c r="AU18" s="533">
        <v>196.35077527999999</v>
      </c>
      <c r="AV18" s="533">
        <v>199.52542027999999</v>
      </c>
      <c r="AW18" s="533">
        <v>201.61337728000001</v>
      </c>
      <c r="AX18" s="533">
        <v>203.72184128000001</v>
      </c>
      <c r="AY18" s="533">
        <v>195.21189828000001</v>
      </c>
      <c r="AZ18" s="533">
        <v>195.68911628000001</v>
      </c>
      <c r="BA18" s="533">
        <v>195.87071578000001</v>
      </c>
      <c r="BB18" s="533">
        <v>198.48957028000001</v>
      </c>
      <c r="BC18" s="533">
        <v>198.51568327999999</v>
      </c>
      <c r="BD18" s="533">
        <v>198.79167228</v>
      </c>
      <c r="BE18" s="533">
        <v>200.21129628</v>
      </c>
      <c r="BF18" s="533">
        <v>200.20880728</v>
      </c>
      <c r="BG18" s="533">
        <v>199.87773028000001</v>
      </c>
      <c r="BH18" s="533">
        <v>197.62053528000001</v>
      </c>
      <c r="BI18" s="533">
        <v>198.08945528000001</v>
      </c>
      <c r="BJ18" s="533">
        <v>197.67891327999999</v>
      </c>
      <c r="BK18" s="533">
        <v>186.66825628000001</v>
      </c>
      <c r="BL18" s="533">
        <v>186.62867428000001</v>
      </c>
      <c r="BM18" s="533">
        <v>186.76575928</v>
      </c>
      <c r="BN18" s="533">
        <v>157.23791027999999</v>
      </c>
      <c r="BO18" s="533">
        <v>160.66269428000001</v>
      </c>
      <c r="BP18" s="533">
        <v>160.59662028</v>
      </c>
      <c r="BQ18" s="533">
        <v>161.74217028000001</v>
      </c>
      <c r="BR18" s="533">
        <v>161.77023828</v>
      </c>
      <c r="BS18" s="533">
        <v>156.77844927999999</v>
      </c>
      <c r="BT18" s="533">
        <v>153.57595050788547</v>
      </c>
      <c r="BU18" s="533">
        <v>153.66006150788544</v>
      </c>
      <c r="BV18" s="533">
        <v>153.54583050788546</v>
      </c>
      <c r="BW18" s="533">
        <v>153.17732850788545</v>
      </c>
      <c r="BX18" s="533">
        <v>152.55508650788545</v>
      </c>
      <c r="BY18" s="533">
        <v>152.51616350788547</v>
      </c>
      <c r="BZ18" s="533">
        <v>151.20087450788546</v>
      </c>
      <c r="CA18" s="533">
        <v>152.45278150788545</v>
      </c>
      <c r="CB18" s="533">
        <v>152.02979650788546</v>
      </c>
      <c r="CC18" s="533">
        <v>142.46591828000001</v>
      </c>
      <c r="CD18" s="533">
        <v>143.37853128</v>
      </c>
      <c r="CE18" s="533">
        <v>147.06950028</v>
      </c>
      <c r="CF18" s="533">
        <v>129.44820827999999</v>
      </c>
      <c r="CG18" s="533">
        <v>129.41604328</v>
      </c>
      <c r="CH18" s="533">
        <v>29.07319</v>
      </c>
      <c r="CI18" s="533">
        <v>29.432873000000001</v>
      </c>
      <c r="CJ18" s="533">
        <v>29.306000999999998</v>
      </c>
      <c r="CK18" s="533">
        <v>29.147027999999999</v>
      </c>
      <c r="CL18" s="533">
        <v>29.707805</v>
      </c>
      <c r="CM18" s="533">
        <v>30.178381999999999</v>
      </c>
      <c r="CN18" s="533">
        <v>30.147749000000001</v>
      </c>
      <c r="CO18" s="533">
        <v>31.180561999999998</v>
      </c>
      <c r="CP18" s="533">
        <v>31.965938000000001</v>
      </c>
      <c r="CQ18" s="533">
        <v>32.355226000000002</v>
      </c>
      <c r="CR18" s="533">
        <v>33.077812000000002</v>
      </c>
      <c r="CS18" s="533">
        <v>32.854852000000001</v>
      </c>
      <c r="CT18" s="533">
        <v>33.050890000000003</v>
      </c>
      <c r="CU18" s="533">
        <v>32.887822</v>
      </c>
      <c r="CV18" s="533">
        <v>32.465772000000001</v>
      </c>
      <c r="CW18" s="533">
        <v>33.215324000000003</v>
      </c>
      <c r="CX18" s="533">
        <v>34.334909000000003</v>
      </c>
      <c r="CY18" s="533">
        <v>35.026667000000003</v>
      </c>
      <c r="CZ18" s="533">
        <v>35.356037000000001</v>
      </c>
      <c r="DA18" s="533">
        <v>35.864004000000001</v>
      </c>
      <c r="DB18" s="533">
        <v>35.611902999999998</v>
      </c>
      <c r="DC18" s="479">
        <v>36.130251000000001</v>
      </c>
      <c r="DD18" s="479">
        <v>35.901780000000002</v>
      </c>
      <c r="DE18" s="479">
        <v>36.136063</v>
      </c>
      <c r="DF18" s="479">
        <v>36.867193999999998</v>
      </c>
      <c r="DG18" s="479">
        <v>30.581300500000001</v>
      </c>
      <c r="DH18" s="479">
        <v>30.6401425</v>
      </c>
      <c r="DI18" s="479">
        <v>30.6648505</v>
      </c>
      <c r="DJ18" s="479">
        <v>30.842667500000001</v>
      </c>
      <c r="DK18" s="479">
        <v>31.344297999999998</v>
      </c>
      <c r="DL18" s="479">
        <v>31.077601999999999</v>
      </c>
      <c r="DM18" s="479">
        <v>31.508797000000001</v>
      </c>
      <c r="DN18" s="479">
        <v>31.684699999999999</v>
      </c>
      <c r="DO18" s="479">
        <v>32.096375000000002</v>
      </c>
      <c r="DP18" s="479">
        <v>33.674729999999997</v>
      </c>
      <c r="DQ18" s="479">
        <v>34.300924999999999</v>
      </c>
      <c r="DR18" s="479">
        <v>35.149085999999997</v>
      </c>
      <c r="DS18" s="479">
        <v>33.355187000000001</v>
      </c>
      <c r="DT18" s="479">
        <v>33.618775999999997</v>
      </c>
      <c r="DU18" s="479">
        <v>32.853158999999998</v>
      </c>
      <c r="DV18" s="479">
        <v>33.650849000000001</v>
      </c>
      <c r="DW18" s="479">
        <v>33.904522</v>
      </c>
      <c r="DX18" s="479">
        <v>33.867114000000001</v>
      </c>
      <c r="DY18" s="479">
        <v>33.665609000000003</v>
      </c>
      <c r="DZ18" s="479">
        <v>32.197952000000001</v>
      </c>
      <c r="EA18" s="479">
        <v>31.531504000000002</v>
      </c>
      <c r="EB18" s="479">
        <v>32.355826999999998</v>
      </c>
      <c r="EC18" s="479">
        <v>32.598132999999997</v>
      </c>
    </row>
    <row r="19" spans="1:133" ht="17.45" customHeight="1" x14ac:dyDescent="0.25">
      <c r="A19" s="481"/>
      <c r="B19" s="486"/>
      <c r="C19" s="537"/>
      <c r="D19" s="537"/>
      <c r="E19" s="537"/>
      <c r="F19" s="538"/>
      <c r="G19" s="537"/>
      <c r="H19" s="539"/>
      <c r="I19" s="537"/>
      <c r="J19" s="537"/>
      <c r="K19" s="537"/>
      <c r="L19" s="537"/>
      <c r="M19" s="538"/>
      <c r="N19" s="537"/>
      <c r="O19" s="537"/>
      <c r="P19" s="537"/>
      <c r="Q19" s="537"/>
      <c r="R19" s="537"/>
      <c r="S19" s="537"/>
      <c r="T19" s="537"/>
      <c r="U19" s="537"/>
      <c r="V19" s="537"/>
      <c r="W19" s="537"/>
      <c r="X19" s="537"/>
      <c r="Y19" s="537"/>
      <c r="Z19" s="537"/>
      <c r="AA19" s="537"/>
      <c r="AB19" s="537"/>
      <c r="AC19" s="537"/>
      <c r="AD19" s="539"/>
      <c r="AE19" s="537"/>
      <c r="AF19" s="537"/>
      <c r="AG19" s="537"/>
      <c r="AH19" s="537"/>
      <c r="AI19" s="537"/>
      <c r="AJ19" s="537"/>
      <c r="AK19" s="537"/>
      <c r="AL19" s="537"/>
      <c r="AM19" s="537"/>
      <c r="AN19" s="537"/>
      <c r="AO19" s="539"/>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483"/>
      <c r="DD19" s="483"/>
      <c r="DE19" s="483"/>
      <c r="DF19" s="483"/>
      <c r="DG19" s="483"/>
      <c r="DH19" s="483"/>
      <c r="DI19" s="483"/>
      <c r="DJ19" s="483"/>
      <c r="DK19" s="483"/>
      <c r="DL19" s="483"/>
      <c r="DM19" s="483"/>
      <c r="DN19" s="483"/>
      <c r="DO19" s="483"/>
      <c r="DP19" s="483"/>
      <c r="DQ19" s="483"/>
      <c r="DR19" s="483"/>
      <c r="DS19" s="483"/>
      <c r="DT19" s="483"/>
      <c r="DU19" s="483"/>
      <c r="DV19" s="483"/>
      <c r="DW19" s="483"/>
      <c r="DX19" s="483"/>
      <c r="DY19" s="483"/>
      <c r="DZ19" s="483"/>
      <c r="EA19" s="483"/>
      <c r="EB19" s="483"/>
      <c r="EC19" s="483"/>
    </row>
    <row r="20" spans="1:133" ht="17.45" customHeight="1" x14ac:dyDescent="0.25">
      <c r="A20" s="477" t="s">
        <v>419</v>
      </c>
      <c r="B20" s="478" t="s">
        <v>420</v>
      </c>
      <c r="C20" s="533">
        <v>0</v>
      </c>
      <c r="D20" s="533">
        <v>0</v>
      </c>
      <c r="E20" s="533">
        <v>0</v>
      </c>
      <c r="F20" s="534">
        <v>0</v>
      </c>
      <c r="G20" s="533">
        <v>0</v>
      </c>
      <c r="H20" s="535">
        <v>0</v>
      </c>
      <c r="I20" s="533">
        <v>0</v>
      </c>
      <c r="J20" s="533">
        <v>0</v>
      </c>
      <c r="K20" s="533">
        <v>0</v>
      </c>
      <c r="L20" s="533">
        <v>0</v>
      </c>
      <c r="M20" s="534">
        <v>0</v>
      </c>
      <c r="N20" s="533">
        <v>0</v>
      </c>
      <c r="O20" s="533">
        <v>0</v>
      </c>
      <c r="P20" s="533">
        <v>0</v>
      </c>
      <c r="Q20" s="533">
        <v>0</v>
      </c>
      <c r="R20" s="533">
        <v>0</v>
      </c>
      <c r="S20" s="533">
        <v>0</v>
      </c>
      <c r="T20" s="533">
        <v>0</v>
      </c>
      <c r="U20" s="533">
        <v>0</v>
      </c>
      <c r="V20" s="533">
        <v>0</v>
      </c>
      <c r="W20" s="533">
        <v>0</v>
      </c>
      <c r="X20" s="533">
        <v>0</v>
      </c>
      <c r="Y20" s="533">
        <v>0</v>
      </c>
      <c r="Z20" s="533">
        <v>0</v>
      </c>
      <c r="AA20" s="533">
        <v>0</v>
      </c>
      <c r="AB20" s="533">
        <v>0</v>
      </c>
      <c r="AC20" s="533">
        <v>0</v>
      </c>
      <c r="AD20" s="535">
        <v>0</v>
      </c>
      <c r="AE20" s="533">
        <v>0</v>
      </c>
      <c r="AF20" s="533">
        <v>0</v>
      </c>
      <c r="AG20" s="533">
        <v>0</v>
      </c>
      <c r="AH20" s="533">
        <v>0</v>
      </c>
      <c r="AI20" s="533">
        <v>0</v>
      </c>
      <c r="AJ20" s="533">
        <v>0</v>
      </c>
      <c r="AK20" s="533">
        <v>0</v>
      </c>
      <c r="AL20" s="533">
        <v>0</v>
      </c>
      <c r="AM20" s="533">
        <v>0</v>
      </c>
      <c r="AN20" s="533">
        <v>0</v>
      </c>
      <c r="AO20" s="535">
        <v>0</v>
      </c>
      <c r="AP20" s="533">
        <v>0</v>
      </c>
      <c r="AQ20" s="533">
        <v>0</v>
      </c>
      <c r="AR20" s="533">
        <v>0</v>
      </c>
      <c r="AS20" s="533">
        <v>0</v>
      </c>
      <c r="AT20" s="533">
        <v>0</v>
      </c>
      <c r="AU20" s="533">
        <v>0</v>
      </c>
      <c r="AV20" s="533">
        <v>0</v>
      </c>
      <c r="AW20" s="533">
        <v>0</v>
      </c>
      <c r="AX20" s="533">
        <v>0</v>
      </c>
      <c r="AY20" s="533">
        <v>0</v>
      </c>
      <c r="AZ20" s="533">
        <v>0</v>
      </c>
      <c r="BA20" s="533">
        <v>0</v>
      </c>
      <c r="BB20" s="533">
        <v>0</v>
      </c>
      <c r="BC20" s="533">
        <v>0</v>
      </c>
      <c r="BD20" s="533">
        <v>0</v>
      </c>
      <c r="BE20" s="533">
        <v>0</v>
      </c>
      <c r="BF20" s="533">
        <v>0</v>
      </c>
      <c r="BG20" s="533">
        <v>0</v>
      </c>
      <c r="BH20" s="533">
        <v>0</v>
      </c>
      <c r="BI20" s="533">
        <v>0</v>
      </c>
      <c r="BJ20" s="533">
        <v>0</v>
      </c>
      <c r="BK20" s="533">
        <v>0</v>
      </c>
      <c r="BL20" s="533">
        <v>0</v>
      </c>
      <c r="BM20" s="533">
        <v>0</v>
      </c>
      <c r="BN20" s="533">
        <v>0</v>
      </c>
      <c r="BO20" s="533">
        <v>0</v>
      </c>
      <c r="BP20" s="533">
        <v>0</v>
      </c>
      <c r="BQ20" s="533">
        <v>0</v>
      </c>
      <c r="BR20" s="533">
        <v>0</v>
      </c>
      <c r="BS20" s="533">
        <v>0</v>
      </c>
      <c r="BT20" s="533">
        <v>0</v>
      </c>
      <c r="BU20" s="533">
        <v>0</v>
      </c>
      <c r="BV20" s="533">
        <v>0</v>
      </c>
      <c r="BW20" s="533">
        <v>0</v>
      </c>
      <c r="BX20" s="533">
        <v>0</v>
      </c>
      <c r="BY20" s="533">
        <v>0</v>
      </c>
      <c r="BZ20" s="533">
        <v>0</v>
      </c>
      <c r="CA20" s="533">
        <v>0</v>
      </c>
      <c r="CB20" s="533">
        <v>0</v>
      </c>
      <c r="CC20" s="533">
        <v>0</v>
      </c>
      <c r="CD20" s="533">
        <v>0</v>
      </c>
      <c r="CE20" s="533">
        <v>0</v>
      </c>
      <c r="CF20" s="533">
        <v>0</v>
      </c>
      <c r="CG20" s="533">
        <v>0</v>
      </c>
      <c r="CH20" s="533">
        <v>0</v>
      </c>
      <c r="CI20" s="533">
        <v>0</v>
      </c>
      <c r="CJ20" s="533">
        <v>0</v>
      </c>
      <c r="CK20" s="533">
        <v>0</v>
      </c>
      <c r="CL20" s="533">
        <v>0</v>
      </c>
      <c r="CM20" s="533">
        <v>0</v>
      </c>
      <c r="CN20" s="533">
        <v>0</v>
      </c>
      <c r="CO20" s="533">
        <v>0</v>
      </c>
      <c r="CP20" s="533">
        <v>0</v>
      </c>
      <c r="CQ20" s="533">
        <v>0</v>
      </c>
      <c r="CR20" s="533">
        <v>0</v>
      </c>
      <c r="CS20" s="533">
        <v>0</v>
      </c>
      <c r="CT20" s="533">
        <v>0</v>
      </c>
      <c r="CU20" s="533">
        <v>0</v>
      </c>
      <c r="CV20" s="533">
        <v>0</v>
      </c>
      <c r="CW20" s="533">
        <v>0</v>
      </c>
      <c r="CX20" s="533">
        <v>0</v>
      </c>
      <c r="CY20" s="533">
        <v>0</v>
      </c>
      <c r="CZ20" s="533">
        <v>0</v>
      </c>
      <c r="DA20" s="533">
        <v>0</v>
      </c>
      <c r="DB20" s="533">
        <v>0</v>
      </c>
      <c r="DC20" s="479">
        <v>0</v>
      </c>
      <c r="DD20" s="479">
        <v>0</v>
      </c>
      <c r="DE20" s="479">
        <v>0</v>
      </c>
      <c r="DF20" s="479">
        <v>0</v>
      </c>
      <c r="DG20" s="479">
        <v>0</v>
      </c>
      <c r="DH20" s="479">
        <v>0</v>
      </c>
      <c r="DI20" s="479">
        <v>0</v>
      </c>
      <c r="DJ20" s="479">
        <v>0</v>
      </c>
      <c r="DK20" s="479">
        <v>0</v>
      </c>
      <c r="DL20" s="479">
        <v>0</v>
      </c>
      <c r="DM20" s="479">
        <v>0</v>
      </c>
      <c r="DN20" s="479">
        <v>0</v>
      </c>
      <c r="DO20" s="479">
        <v>0</v>
      </c>
      <c r="DP20" s="479">
        <v>0</v>
      </c>
      <c r="DQ20" s="479">
        <v>0</v>
      </c>
      <c r="DR20" s="479">
        <v>0</v>
      </c>
      <c r="DS20" s="479">
        <v>0</v>
      </c>
      <c r="DT20" s="479">
        <v>0</v>
      </c>
      <c r="DU20" s="479">
        <v>0</v>
      </c>
      <c r="DV20" s="479">
        <v>0</v>
      </c>
      <c r="DW20" s="479">
        <v>0</v>
      </c>
      <c r="DX20" s="479">
        <v>0</v>
      </c>
      <c r="DY20" s="479">
        <v>0</v>
      </c>
      <c r="DZ20" s="479">
        <v>0</v>
      </c>
      <c r="EA20" s="479">
        <v>0</v>
      </c>
      <c r="EB20" s="479">
        <v>0</v>
      </c>
      <c r="EC20" s="479">
        <v>0</v>
      </c>
    </row>
    <row r="21" spans="1:133" ht="17.45" customHeight="1" x14ac:dyDescent="0.25">
      <c r="A21" s="481"/>
      <c r="B21" s="482"/>
      <c r="C21" s="537"/>
      <c r="D21" s="537"/>
      <c r="E21" s="537"/>
      <c r="F21" s="538"/>
      <c r="G21" s="537"/>
      <c r="H21" s="539"/>
      <c r="I21" s="537"/>
      <c r="J21" s="537"/>
      <c r="K21" s="537"/>
      <c r="L21" s="537"/>
      <c r="M21" s="538"/>
      <c r="N21" s="537"/>
      <c r="O21" s="537"/>
      <c r="P21" s="537"/>
      <c r="Q21" s="537"/>
      <c r="R21" s="537"/>
      <c r="S21" s="537"/>
      <c r="T21" s="537"/>
      <c r="U21" s="537"/>
      <c r="V21" s="537"/>
      <c r="W21" s="537"/>
      <c r="X21" s="537"/>
      <c r="Y21" s="537"/>
      <c r="Z21" s="537"/>
      <c r="AA21" s="537"/>
      <c r="AB21" s="537"/>
      <c r="AC21" s="537"/>
      <c r="AD21" s="539"/>
      <c r="AE21" s="537"/>
      <c r="AF21" s="537"/>
      <c r="AG21" s="537"/>
      <c r="AH21" s="537"/>
      <c r="AI21" s="537"/>
      <c r="AJ21" s="537"/>
      <c r="AK21" s="537"/>
      <c r="AL21" s="537"/>
      <c r="AM21" s="537"/>
      <c r="AN21" s="537"/>
      <c r="AO21" s="539"/>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483"/>
      <c r="DD21" s="483"/>
      <c r="DE21" s="483"/>
      <c r="DF21" s="483"/>
      <c r="DG21" s="483"/>
      <c r="DH21" s="483"/>
      <c r="DI21" s="483"/>
      <c r="DJ21" s="483"/>
      <c r="DK21" s="483"/>
      <c r="DL21" s="483"/>
      <c r="DM21" s="483"/>
      <c r="DN21" s="483"/>
      <c r="DO21" s="483"/>
      <c r="DP21" s="483"/>
      <c r="DQ21" s="483"/>
      <c r="DR21" s="483"/>
      <c r="DS21" s="483"/>
      <c r="DT21" s="483"/>
      <c r="DU21" s="483"/>
      <c r="DV21" s="483"/>
      <c r="DW21" s="483"/>
      <c r="DX21" s="483"/>
      <c r="DY21" s="483"/>
      <c r="DZ21" s="483"/>
      <c r="EA21" s="483"/>
      <c r="EB21" s="483"/>
      <c r="EC21" s="483"/>
    </row>
    <row r="22" spans="1:133" ht="17.45" customHeight="1" x14ac:dyDescent="0.25">
      <c r="A22" s="477" t="s">
        <v>421</v>
      </c>
      <c r="B22" s="478" t="s">
        <v>422</v>
      </c>
      <c r="C22" s="533">
        <v>0</v>
      </c>
      <c r="D22" s="533">
        <v>0</v>
      </c>
      <c r="E22" s="533">
        <v>0</v>
      </c>
      <c r="F22" s="534">
        <v>0</v>
      </c>
      <c r="G22" s="533">
        <v>0</v>
      </c>
      <c r="H22" s="535">
        <v>0</v>
      </c>
      <c r="I22" s="533">
        <v>0</v>
      </c>
      <c r="J22" s="533">
        <v>0</v>
      </c>
      <c r="K22" s="533">
        <v>0</v>
      </c>
      <c r="L22" s="533">
        <v>0</v>
      </c>
      <c r="M22" s="534">
        <v>0</v>
      </c>
      <c r="N22" s="533">
        <v>0</v>
      </c>
      <c r="O22" s="533">
        <v>0</v>
      </c>
      <c r="P22" s="533">
        <v>0</v>
      </c>
      <c r="Q22" s="533">
        <v>0</v>
      </c>
      <c r="R22" s="533">
        <v>0</v>
      </c>
      <c r="S22" s="533">
        <v>0</v>
      </c>
      <c r="T22" s="533">
        <v>0</v>
      </c>
      <c r="U22" s="533">
        <v>0</v>
      </c>
      <c r="V22" s="533">
        <v>0</v>
      </c>
      <c r="W22" s="533">
        <v>0</v>
      </c>
      <c r="X22" s="533">
        <v>0</v>
      </c>
      <c r="Y22" s="533">
        <v>0</v>
      </c>
      <c r="Z22" s="533">
        <v>0</v>
      </c>
      <c r="AA22" s="533">
        <v>0</v>
      </c>
      <c r="AB22" s="533">
        <v>0</v>
      </c>
      <c r="AC22" s="533">
        <v>0</v>
      </c>
      <c r="AD22" s="535">
        <v>0</v>
      </c>
      <c r="AE22" s="533">
        <v>0</v>
      </c>
      <c r="AF22" s="533">
        <v>0</v>
      </c>
      <c r="AG22" s="533">
        <v>0</v>
      </c>
      <c r="AH22" s="533">
        <v>0</v>
      </c>
      <c r="AI22" s="533">
        <v>0</v>
      </c>
      <c r="AJ22" s="533">
        <v>0</v>
      </c>
      <c r="AK22" s="533">
        <v>0</v>
      </c>
      <c r="AL22" s="533">
        <v>0</v>
      </c>
      <c r="AM22" s="533">
        <v>0</v>
      </c>
      <c r="AN22" s="533">
        <v>0</v>
      </c>
      <c r="AO22" s="535">
        <v>0</v>
      </c>
      <c r="AP22" s="533">
        <v>0</v>
      </c>
      <c r="AQ22" s="533">
        <v>0</v>
      </c>
      <c r="AR22" s="533">
        <v>0</v>
      </c>
      <c r="AS22" s="533">
        <v>0</v>
      </c>
      <c r="AT22" s="533">
        <v>0</v>
      </c>
      <c r="AU22" s="533">
        <v>0</v>
      </c>
      <c r="AV22" s="533">
        <v>0</v>
      </c>
      <c r="AW22" s="533">
        <v>0</v>
      </c>
      <c r="AX22" s="533">
        <v>0</v>
      </c>
      <c r="AY22" s="533">
        <v>0</v>
      </c>
      <c r="AZ22" s="533">
        <v>0</v>
      </c>
      <c r="BA22" s="533">
        <v>0</v>
      </c>
      <c r="BB22" s="533">
        <v>0</v>
      </c>
      <c r="BC22" s="533">
        <v>0</v>
      </c>
      <c r="BD22" s="533">
        <v>0</v>
      </c>
      <c r="BE22" s="533">
        <v>0</v>
      </c>
      <c r="BF22" s="533">
        <v>0</v>
      </c>
      <c r="BG22" s="533">
        <v>0</v>
      </c>
      <c r="BH22" s="533">
        <v>0</v>
      </c>
      <c r="BI22" s="533">
        <v>0</v>
      </c>
      <c r="BJ22" s="533">
        <v>0</v>
      </c>
      <c r="BK22" s="533">
        <v>0</v>
      </c>
      <c r="BL22" s="533">
        <v>0</v>
      </c>
      <c r="BM22" s="533">
        <v>0</v>
      </c>
      <c r="BN22" s="533">
        <v>0</v>
      </c>
      <c r="BO22" s="533">
        <v>0</v>
      </c>
      <c r="BP22" s="533">
        <v>0</v>
      </c>
      <c r="BQ22" s="533">
        <v>0</v>
      </c>
      <c r="BR22" s="533">
        <v>0</v>
      </c>
      <c r="BS22" s="533">
        <v>0</v>
      </c>
      <c r="BT22" s="533">
        <v>0</v>
      </c>
      <c r="BU22" s="533">
        <v>0</v>
      </c>
      <c r="BV22" s="533">
        <v>0</v>
      </c>
      <c r="BW22" s="533">
        <v>0</v>
      </c>
      <c r="BX22" s="533">
        <v>0</v>
      </c>
      <c r="BY22" s="533">
        <v>0</v>
      </c>
      <c r="BZ22" s="533">
        <v>0</v>
      </c>
      <c r="CA22" s="533">
        <v>0</v>
      </c>
      <c r="CB22" s="533">
        <v>0</v>
      </c>
      <c r="CC22" s="533">
        <v>0</v>
      </c>
      <c r="CD22" s="533">
        <v>0</v>
      </c>
      <c r="CE22" s="533">
        <v>0</v>
      </c>
      <c r="CF22" s="533">
        <v>0</v>
      </c>
      <c r="CG22" s="533">
        <v>0</v>
      </c>
      <c r="CH22" s="533">
        <v>0</v>
      </c>
      <c r="CI22" s="533">
        <v>0</v>
      </c>
      <c r="CJ22" s="533">
        <v>0</v>
      </c>
      <c r="CK22" s="533">
        <v>0</v>
      </c>
      <c r="CL22" s="533">
        <v>0</v>
      </c>
      <c r="CM22" s="533">
        <v>0</v>
      </c>
      <c r="CN22" s="533">
        <v>0</v>
      </c>
      <c r="CO22" s="533">
        <v>0</v>
      </c>
      <c r="CP22" s="533">
        <v>0</v>
      </c>
      <c r="CQ22" s="533">
        <v>0</v>
      </c>
      <c r="CR22" s="533">
        <v>0</v>
      </c>
      <c r="CS22" s="533">
        <v>0</v>
      </c>
      <c r="CT22" s="533">
        <v>0</v>
      </c>
      <c r="CU22" s="533">
        <v>0</v>
      </c>
      <c r="CV22" s="533">
        <v>0</v>
      </c>
      <c r="CW22" s="533">
        <v>0</v>
      </c>
      <c r="CX22" s="533">
        <v>0</v>
      </c>
      <c r="CY22" s="533">
        <v>0</v>
      </c>
      <c r="CZ22" s="533">
        <v>0</v>
      </c>
      <c r="DA22" s="533">
        <v>0</v>
      </c>
      <c r="DB22" s="533">
        <v>0</v>
      </c>
      <c r="DC22" s="479">
        <v>0</v>
      </c>
      <c r="DD22" s="479">
        <v>0</v>
      </c>
      <c r="DE22" s="479">
        <v>0</v>
      </c>
      <c r="DF22" s="479">
        <v>0</v>
      </c>
      <c r="DG22" s="479">
        <v>0</v>
      </c>
      <c r="DH22" s="479">
        <v>0</v>
      </c>
      <c r="DI22" s="479">
        <v>0</v>
      </c>
      <c r="DJ22" s="479">
        <v>0</v>
      </c>
      <c r="DK22" s="479">
        <v>0</v>
      </c>
      <c r="DL22" s="479">
        <v>0</v>
      </c>
      <c r="DM22" s="479">
        <v>0</v>
      </c>
      <c r="DN22" s="479">
        <v>0</v>
      </c>
      <c r="DO22" s="479">
        <v>0</v>
      </c>
      <c r="DP22" s="479">
        <v>0</v>
      </c>
      <c r="DQ22" s="479">
        <v>0</v>
      </c>
      <c r="DR22" s="479">
        <v>0</v>
      </c>
      <c r="DS22" s="479">
        <v>0</v>
      </c>
      <c r="DT22" s="479">
        <v>0</v>
      </c>
      <c r="DU22" s="479">
        <v>0</v>
      </c>
      <c r="DV22" s="479">
        <v>0</v>
      </c>
      <c r="DW22" s="479">
        <v>0</v>
      </c>
      <c r="DX22" s="479">
        <v>0</v>
      </c>
      <c r="DY22" s="479">
        <v>0</v>
      </c>
      <c r="DZ22" s="479">
        <v>0</v>
      </c>
      <c r="EA22" s="479">
        <v>0</v>
      </c>
      <c r="EB22" s="479">
        <v>0</v>
      </c>
      <c r="EC22" s="479">
        <v>0</v>
      </c>
    </row>
    <row r="23" spans="1:133" ht="17.45" customHeight="1" x14ac:dyDescent="0.25">
      <c r="A23" s="481"/>
      <c r="B23" s="482"/>
      <c r="C23" s="537"/>
      <c r="D23" s="537"/>
      <c r="E23" s="537"/>
      <c r="F23" s="538"/>
      <c r="G23" s="537"/>
      <c r="H23" s="539"/>
      <c r="I23" s="537"/>
      <c r="J23" s="537"/>
      <c r="K23" s="537"/>
      <c r="L23" s="537"/>
      <c r="M23" s="538"/>
      <c r="N23" s="537"/>
      <c r="O23" s="537"/>
      <c r="P23" s="537"/>
      <c r="Q23" s="537"/>
      <c r="R23" s="537"/>
      <c r="S23" s="537"/>
      <c r="T23" s="537"/>
      <c r="U23" s="537"/>
      <c r="V23" s="537"/>
      <c r="W23" s="537"/>
      <c r="X23" s="537"/>
      <c r="Y23" s="537"/>
      <c r="Z23" s="537"/>
      <c r="AA23" s="537"/>
      <c r="AB23" s="537"/>
      <c r="AC23" s="537"/>
      <c r="AD23" s="539"/>
      <c r="AE23" s="537"/>
      <c r="AF23" s="537"/>
      <c r="AG23" s="537"/>
      <c r="AH23" s="537"/>
      <c r="AI23" s="537"/>
      <c r="AJ23" s="537"/>
      <c r="AK23" s="537"/>
      <c r="AL23" s="537"/>
      <c r="AM23" s="537"/>
      <c r="AN23" s="537"/>
      <c r="AO23" s="539"/>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483"/>
      <c r="DD23" s="483"/>
      <c r="DE23" s="483"/>
      <c r="DF23" s="483"/>
      <c r="DG23" s="483"/>
      <c r="DH23" s="483"/>
      <c r="DI23" s="483"/>
      <c r="DJ23" s="483"/>
      <c r="DK23" s="483"/>
      <c r="DL23" s="483"/>
      <c r="DM23" s="483"/>
      <c r="DN23" s="483"/>
      <c r="DO23" s="483"/>
      <c r="DP23" s="483"/>
      <c r="DQ23" s="483"/>
      <c r="DR23" s="483"/>
      <c r="DS23" s="483"/>
      <c r="DT23" s="483"/>
      <c r="DU23" s="483"/>
      <c r="DV23" s="483"/>
      <c r="DW23" s="483"/>
      <c r="DX23" s="483"/>
      <c r="DY23" s="483"/>
      <c r="DZ23" s="483"/>
      <c r="EA23" s="483"/>
      <c r="EB23" s="483"/>
      <c r="EC23" s="483"/>
    </row>
    <row r="24" spans="1:133" ht="17.45" customHeight="1" x14ac:dyDescent="0.25">
      <c r="A24" s="477" t="s">
        <v>423</v>
      </c>
      <c r="B24" s="478" t="s">
        <v>424</v>
      </c>
      <c r="C24" s="533">
        <v>796.45017094000002</v>
      </c>
      <c r="D24" s="533">
        <v>979.60223954999992</v>
      </c>
      <c r="E24" s="533">
        <v>997.21485293000012</v>
      </c>
      <c r="F24" s="534">
        <v>1040.0917218500001</v>
      </c>
      <c r="G24" s="533">
        <v>1037.1268500700003</v>
      </c>
      <c r="H24" s="535">
        <v>851.31036162612952</v>
      </c>
      <c r="I24" s="533">
        <v>684.74970462039494</v>
      </c>
      <c r="J24" s="533">
        <v>834.82869019000009</v>
      </c>
      <c r="K24" s="533">
        <v>825.47678508000001</v>
      </c>
      <c r="L24" s="533">
        <v>786.37434413999995</v>
      </c>
      <c r="M24" s="534">
        <v>816.18042160999994</v>
      </c>
      <c r="N24" s="533">
        <v>748.20225219000008</v>
      </c>
      <c r="O24" s="533">
        <v>691.23186471999998</v>
      </c>
      <c r="P24" s="533">
        <v>734.29449133999992</v>
      </c>
      <c r="Q24" s="533">
        <v>693.50511310351249</v>
      </c>
      <c r="R24" s="533">
        <v>734.63536805998967</v>
      </c>
      <c r="S24" s="533">
        <v>634.9800554031475</v>
      </c>
      <c r="T24" s="533">
        <v>720.25609540999994</v>
      </c>
      <c r="U24" s="533">
        <v>777.06029805181356</v>
      </c>
      <c r="V24" s="533">
        <v>767.7393184078735</v>
      </c>
      <c r="W24" s="533">
        <v>772.07908175103421</v>
      </c>
      <c r="X24" s="533">
        <v>856.20225807838733</v>
      </c>
      <c r="Y24" s="533">
        <v>925.02108482320375</v>
      </c>
      <c r="Z24" s="533">
        <v>892.02379216481938</v>
      </c>
      <c r="AA24" s="533">
        <v>927.1397270835663</v>
      </c>
      <c r="AB24" s="533">
        <v>1036.5313028243825</v>
      </c>
      <c r="AC24" s="533">
        <v>1068.8092082708285</v>
      </c>
      <c r="AD24" s="535">
        <v>1279.551493030277</v>
      </c>
      <c r="AE24" s="533">
        <v>1286.691945000277</v>
      </c>
      <c r="AF24" s="533">
        <v>1230.7113013721319</v>
      </c>
      <c r="AG24" s="533">
        <v>1381.7642724575787</v>
      </c>
      <c r="AH24" s="533">
        <v>1393.0794404117642</v>
      </c>
      <c r="AI24" s="533">
        <v>1423.5031556360602</v>
      </c>
      <c r="AJ24" s="533">
        <v>1181.9338197842546</v>
      </c>
      <c r="AK24" s="533">
        <v>1261.424219451611</v>
      </c>
      <c r="AL24" s="533">
        <v>1179.1348022560735</v>
      </c>
      <c r="AM24" s="533">
        <v>1397.2041944211985</v>
      </c>
      <c r="AN24" s="533">
        <v>1382.5741406239601</v>
      </c>
      <c r="AO24" s="535">
        <v>1387.7046340845739</v>
      </c>
      <c r="AP24" s="533">
        <v>2160.671940274106</v>
      </c>
      <c r="AQ24" s="533">
        <v>2128.7386232803319</v>
      </c>
      <c r="AR24" s="533">
        <v>2086.6556444546864</v>
      </c>
      <c r="AS24" s="533">
        <v>1850.8103068426046</v>
      </c>
      <c r="AT24" s="533">
        <v>1953.2600513717628</v>
      </c>
      <c r="AU24" s="533">
        <v>1990.3129869679904</v>
      </c>
      <c r="AV24" s="533">
        <v>1906.8970532572232</v>
      </c>
      <c r="AW24" s="533">
        <v>2011.2033058009724</v>
      </c>
      <c r="AX24" s="533">
        <v>2175.8463446300002</v>
      </c>
      <c r="AY24" s="533">
        <v>1997.4325572499999</v>
      </c>
      <c r="AZ24" s="533">
        <v>2100.8721968333334</v>
      </c>
      <c r="BA24" s="533">
        <v>2284.5153966385801</v>
      </c>
      <c r="BB24" s="533">
        <v>2280.0041008364469</v>
      </c>
      <c r="BC24" s="533">
        <v>1715.6539560495194</v>
      </c>
      <c r="BD24" s="533">
        <v>1855.0126362557824</v>
      </c>
      <c r="BE24" s="533">
        <v>2012.4117108127623</v>
      </c>
      <c r="BF24" s="533">
        <v>1977.3696567283503</v>
      </c>
      <c r="BG24" s="533">
        <v>2019.6368099713454</v>
      </c>
      <c r="BH24" s="533">
        <v>1980.2170409746971</v>
      </c>
      <c r="BI24" s="533">
        <v>2024.92274571247</v>
      </c>
      <c r="BJ24" s="533">
        <v>2062.3232602187622</v>
      </c>
      <c r="BK24" s="533">
        <v>1928.8736858257407</v>
      </c>
      <c r="BL24" s="533">
        <v>1896.327042390162</v>
      </c>
      <c r="BM24" s="533">
        <v>1873.0985046410417</v>
      </c>
      <c r="BN24" s="533">
        <v>2021.7389907063207</v>
      </c>
      <c r="BO24" s="533">
        <v>2046.9895553013121</v>
      </c>
      <c r="BP24" s="533">
        <v>2141.7473167060466</v>
      </c>
      <c r="BQ24" s="533">
        <v>2091.3122061056529</v>
      </c>
      <c r="BR24" s="533">
        <v>1850.2173850255388</v>
      </c>
      <c r="BS24" s="533">
        <v>1973.6947827536092</v>
      </c>
      <c r="BT24" s="533">
        <v>1660.2013850518927</v>
      </c>
      <c r="BU24" s="533">
        <v>1749.3678259069081</v>
      </c>
      <c r="BV24" s="533">
        <v>1699.8519465643112</v>
      </c>
      <c r="BW24" s="533">
        <v>1576.6767759677052</v>
      </c>
      <c r="BX24" s="533">
        <v>1601.9137615094533</v>
      </c>
      <c r="BY24" s="533">
        <v>1571.8714865879758</v>
      </c>
      <c r="BZ24" s="533">
        <v>1575.9284538835002</v>
      </c>
      <c r="CA24" s="533">
        <v>1653.0016384955002</v>
      </c>
      <c r="CB24" s="533">
        <v>1656.2085299939999</v>
      </c>
      <c r="CC24" s="533">
        <v>1582.1377434999999</v>
      </c>
      <c r="CD24" s="533">
        <v>1633.1906272199999</v>
      </c>
      <c r="CE24" s="533">
        <v>1627.1667092961643</v>
      </c>
      <c r="CF24" s="533">
        <v>1858.2166388756166</v>
      </c>
      <c r="CG24" s="533">
        <v>1813.5019208456163</v>
      </c>
      <c r="CH24" s="533">
        <v>1038.1824123056165</v>
      </c>
      <c r="CI24" s="533">
        <v>1209.2406902499999</v>
      </c>
      <c r="CJ24" s="533">
        <v>1103.7259265200003</v>
      </c>
      <c r="CK24" s="533">
        <v>1164.51618261</v>
      </c>
      <c r="CL24" s="533">
        <v>1205.99803557</v>
      </c>
      <c r="CM24" s="533">
        <v>1189.1800216900001</v>
      </c>
      <c r="CN24" s="533">
        <v>1304.2535200900002</v>
      </c>
      <c r="CO24" s="533">
        <v>1443.5806009375342</v>
      </c>
      <c r="CP24" s="533">
        <v>1241.0286417765753</v>
      </c>
      <c r="CQ24" s="533">
        <v>1140.64547971</v>
      </c>
      <c r="CR24" s="533">
        <v>1306.2146795900001</v>
      </c>
      <c r="CS24" s="533">
        <v>1353.2887174699997</v>
      </c>
      <c r="CT24" s="533">
        <v>1365.13883278</v>
      </c>
      <c r="CU24" s="533">
        <v>1440.4637070875342</v>
      </c>
      <c r="CV24" s="533">
        <v>1389.6069717765754</v>
      </c>
      <c r="CW24" s="533">
        <v>1472.8845017099998</v>
      </c>
      <c r="CX24" s="533">
        <v>1244.9441663399998</v>
      </c>
      <c r="CY24" s="533">
        <v>1387.78332901</v>
      </c>
      <c r="CZ24" s="533">
        <v>1412.97049021</v>
      </c>
      <c r="DA24" s="533">
        <v>1599.0416995099999</v>
      </c>
      <c r="DB24" s="533">
        <v>1373.6181660034247</v>
      </c>
      <c r="DC24" s="479">
        <v>1367.4705816014248</v>
      </c>
      <c r="DD24" s="479">
        <v>1320.4646063879452</v>
      </c>
      <c r="DE24" s="479">
        <v>1480.2132683904108</v>
      </c>
      <c r="DF24" s="479">
        <v>1428.2344244930139</v>
      </c>
      <c r="DG24" s="479">
        <v>1376.8976037119176</v>
      </c>
      <c r="DH24" s="479">
        <v>1414.2095592515643</v>
      </c>
      <c r="DI24" s="479">
        <v>1610.1936594377028</v>
      </c>
      <c r="DJ24" s="479">
        <v>1451.6148618058958</v>
      </c>
      <c r="DK24" s="479">
        <v>1617.1391638934417</v>
      </c>
      <c r="DL24" s="479">
        <v>1653.5111843821919</v>
      </c>
      <c r="DM24" s="479">
        <v>1961.9657673531508</v>
      </c>
      <c r="DN24" s="479">
        <v>1894.6533350238356</v>
      </c>
      <c r="DO24" s="479">
        <v>1699.6603194045208</v>
      </c>
      <c r="DP24" s="479">
        <v>1660.1134926336988</v>
      </c>
      <c r="DQ24" s="479">
        <v>1700.7376829480822</v>
      </c>
      <c r="DR24" s="479">
        <v>1720.416857196712</v>
      </c>
      <c r="DS24" s="479">
        <v>1600.8578537345206</v>
      </c>
      <c r="DT24" s="479">
        <v>1652.4400587278085</v>
      </c>
      <c r="DU24" s="479">
        <v>1563.432075070411</v>
      </c>
      <c r="DV24" s="479">
        <v>1283.8674995878084</v>
      </c>
      <c r="DW24" s="479">
        <v>1416.7263996723084</v>
      </c>
      <c r="DX24" s="479">
        <v>1310.0473670524455</v>
      </c>
      <c r="DY24" s="479">
        <v>1694.7221630145207</v>
      </c>
      <c r="DZ24" s="479">
        <v>1493.1180268200455</v>
      </c>
      <c r="EA24" s="479">
        <v>1427.6887314034452</v>
      </c>
      <c r="EB24" s="479">
        <v>1416.0711640078082</v>
      </c>
      <c r="EC24" s="479">
        <v>1690.8648222478084</v>
      </c>
    </row>
    <row r="25" spans="1:133" ht="17.45" customHeight="1" x14ac:dyDescent="0.25">
      <c r="A25" s="481"/>
      <c r="B25" s="482"/>
      <c r="C25" s="537"/>
      <c r="D25" s="537"/>
      <c r="E25" s="537"/>
      <c r="F25" s="538"/>
      <c r="G25" s="537"/>
      <c r="H25" s="539"/>
      <c r="I25" s="537"/>
      <c r="J25" s="537"/>
      <c r="K25" s="537"/>
      <c r="L25" s="537"/>
      <c r="M25" s="538"/>
      <c r="N25" s="537"/>
      <c r="O25" s="537"/>
      <c r="P25" s="537"/>
      <c r="Q25" s="537"/>
      <c r="R25" s="537"/>
      <c r="S25" s="537"/>
      <c r="T25" s="537"/>
      <c r="U25" s="537"/>
      <c r="V25" s="537"/>
      <c r="W25" s="537"/>
      <c r="X25" s="537"/>
      <c r="Y25" s="537"/>
      <c r="Z25" s="537"/>
      <c r="AA25" s="537"/>
      <c r="AB25" s="537"/>
      <c r="AC25" s="537"/>
      <c r="AD25" s="539"/>
      <c r="AE25" s="537"/>
      <c r="AF25" s="537"/>
      <c r="AG25" s="537"/>
      <c r="AH25" s="537"/>
      <c r="AI25" s="537"/>
      <c r="AJ25" s="537"/>
      <c r="AK25" s="537"/>
      <c r="AL25" s="537"/>
      <c r="AM25" s="537"/>
      <c r="AN25" s="537"/>
      <c r="AO25" s="539"/>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483"/>
      <c r="DD25" s="483"/>
      <c r="DE25" s="483"/>
      <c r="DF25" s="483"/>
      <c r="DG25" s="483"/>
      <c r="DH25" s="483"/>
      <c r="DI25" s="483"/>
      <c r="DJ25" s="483"/>
      <c r="DK25" s="483"/>
      <c r="DL25" s="483"/>
      <c r="DM25" s="483"/>
      <c r="DN25" s="483"/>
      <c r="DO25" s="483"/>
      <c r="DP25" s="483"/>
      <c r="DQ25" s="483"/>
      <c r="DR25" s="483"/>
      <c r="DS25" s="483"/>
      <c r="DT25" s="483"/>
      <c r="DU25" s="483"/>
      <c r="DV25" s="483"/>
      <c r="DW25" s="483"/>
      <c r="DX25" s="483"/>
      <c r="DY25" s="483"/>
      <c r="DZ25" s="483"/>
      <c r="EA25" s="483"/>
      <c r="EB25" s="483"/>
      <c r="EC25" s="483"/>
    </row>
    <row r="26" spans="1:133" ht="17.45" customHeight="1" x14ac:dyDescent="0.25">
      <c r="A26" s="477" t="s">
        <v>425</v>
      </c>
      <c r="B26" s="478" t="s">
        <v>426</v>
      </c>
      <c r="C26" s="533">
        <v>798.66176589000008</v>
      </c>
      <c r="D26" s="533">
        <v>818.34143132999998</v>
      </c>
      <c r="E26" s="533">
        <v>848.50894108</v>
      </c>
      <c r="F26" s="534">
        <v>860.65597262000006</v>
      </c>
      <c r="G26" s="533">
        <v>938.34058129999994</v>
      </c>
      <c r="H26" s="535">
        <v>905.55076182000016</v>
      </c>
      <c r="I26" s="533">
        <v>1036.3015116499998</v>
      </c>
      <c r="J26" s="533">
        <v>1048.0975827416664</v>
      </c>
      <c r="K26" s="533">
        <v>1053.7272173733331</v>
      </c>
      <c r="L26" s="533">
        <v>1055.8021501362084</v>
      </c>
      <c r="M26" s="534">
        <v>1067.4697196761667</v>
      </c>
      <c r="N26" s="533">
        <v>1080.6473663107499</v>
      </c>
      <c r="O26" s="533">
        <v>1085.7434252170001</v>
      </c>
      <c r="P26" s="533">
        <v>1089.240368233</v>
      </c>
      <c r="Q26" s="533">
        <v>1084.7053925769999</v>
      </c>
      <c r="R26" s="533">
        <v>1174.859283947</v>
      </c>
      <c r="S26" s="533">
        <v>1162.0716037369998</v>
      </c>
      <c r="T26" s="533">
        <v>1140.1834163269998</v>
      </c>
      <c r="U26" s="533">
        <v>1144.9760381469998</v>
      </c>
      <c r="V26" s="533">
        <v>1141.42018381</v>
      </c>
      <c r="W26" s="533">
        <v>1103.5606694299997</v>
      </c>
      <c r="X26" s="533">
        <v>1136.844533967</v>
      </c>
      <c r="Y26" s="533">
        <v>1172.2972192870002</v>
      </c>
      <c r="Z26" s="533">
        <v>1188.103346397</v>
      </c>
      <c r="AA26" s="533">
        <v>1206.9947149098193</v>
      </c>
      <c r="AB26" s="533">
        <v>1202.9055809078752</v>
      </c>
      <c r="AC26" s="533">
        <v>1190.7798150578751</v>
      </c>
      <c r="AD26" s="535">
        <v>1200.2358515878748</v>
      </c>
      <c r="AE26" s="533">
        <v>1213.6941418578751</v>
      </c>
      <c r="AF26" s="533">
        <v>1240.7815538555972</v>
      </c>
      <c r="AG26" s="533">
        <v>1273.9334446088862</v>
      </c>
      <c r="AH26" s="533">
        <v>1301.9613797762777</v>
      </c>
      <c r="AI26" s="533">
        <v>1305.7342663722363</v>
      </c>
      <c r="AJ26" s="533">
        <v>1319.3778603422361</v>
      </c>
      <c r="AK26" s="533">
        <v>1450.174192102236</v>
      </c>
      <c r="AL26" s="533">
        <v>1464.5845102111111</v>
      </c>
      <c r="AM26" s="533">
        <v>1506.7209418017806</v>
      </c>
      <c r="AN26" s="533">
        <v>1509.6718067533195</v>
      </c>
      <c r="AO26" s="535">
        <v>1640.9017202633195</v>
      </c>
      <c r="AP26" s="533">
        <v>1649.8358558927016</v>
      </c>
      <c r="AQ26" s="533">
        <v>1723.713901850921</v>
      </c>
      <c r="AR26" s="533">
        <v>1741.9454046300002</v>
      </c>
      <c r="AS26" s="533">
        <v>1794.5815746000001</v>
      </c>
      <c r="AT26" s="533">
        <v>1784.1996902719227</v>
      </c>
      <c r="AU26" s="533">
        <v>1785.3555368525717</v>
      </c>
      <c r="AV26" s="533">
        <v>1781.6669637746033</v>
      </c>
      <c r="AW26" s="533">
        <v>1832.3927418669684</v>
      </c>
      <c r="AX26" s="533">
        <v>1871.5281054031452</v>
      </c>
      <c r="AY26" s="533">
        <v>1897.6633507960003</v>
      </c>
      <c r="AZ26" s="533">
        <v>1898.7623180645771</v>
      </c>
      <c r="BA26" s="533">
        <v>1909.6142821245771</v>
      </c>
      <c r="BB26" s="533">
        <v>1904.3829170375905</v>
      </c>
      <c r="BC26" s="533">
        <v>1917.9099131275907</v>
      </c>
      <c r="BD26" s="533">
        <v>1919.3687765999998</v>
      </c>
      <c r="BE26" s="533">
        <v>1952.0619545875902</v>
      </c>
      <c r="BF26" s="533">
        <v>1983.9051913003402</v>
      </c>
      <c r="BG26" s="533">
        <v>1966.4163795162663</v>
      </c>
      <c r="BH26" s="533">
        <v>1980.6122895101566</v>
      </c>
      <c r="BI26" s="533">
        <v>1992.0316740371129</v>
      </c>
      <c r="BJ26" s="533">
        <v>1996.2550555074667</v>
      </c>
      <c r="BK26" s="533">
        <v>1974.8197009899436</v>
      </c>
      <c r="BL26" s="533">
        <v>1950.6063891357385</v>
      </c>
      <c r="BM26" s="533">
        <v>1969.0324636723647</v>
      </c>
      <c r="BN26" s="533">
        <v>1997.9577251192154</v>
      </c>
      <c r="BO26" s="533">
        <v>2055.290083288412</v>
      </c>
      <c r="BP26" s="533">
        <v>2074.0863088608066</v>
      </c>
      <c r="BQ26" s="533">
        <v>2099.4644555128061</v>
      </c>
      <c r="BR26" s="533">
        <v>2087.6034940725144</v>
      </c>
      <c r="BS26" s="533">
        <v>2066.9715168600928</v>
      </c>
      <c r="BT26" s="533">
        <v>2063.4325214531573</v>
      </c>
      <c r="BU26" s="533">
        <v>2062.0316981324549</v>
      </c>
      <c r="BV26" s="533">
        <v>2065.3701036383559</v>
      </c>
      <c r="BW26" s="533">
        <v>2182.6521295998391</v>
      </c>
      <c r="BX26" s="533">
        <v>2189.5169024008255</v>
      </c>
      <c r="BY26" s="533">
        <v>2227.5481400218114</v>
      </c>
      <c r="BZ26" s="533">
        <v>2231.2371392199998</v>
      </c>
      <c r="CA26" s="533">
        <v>2242.4848014200002</v>
      </c>
      <c r="CB26" s="533">
        <v>2249.43403339</v>
      </c>
      <c r="CC26" s="533">
        <v>2272.7679836099996</v>
      </c>
      <c r="CD26" s="533">
        <v>2280.0012530800004</v>
      </c>
      <c r="CE26" s="533">
        <v>2284.6163190300008</v>
      </c>
      <c r="CF26" s="533">
        <v>2301.0100345199999</v>
      </c>
      <c r="CG26" s="533">
        <v>2317.0255643800001</v>
      </c>
      <c r="CH26" s="533">
        <v>1911.3204848600001</v>
      </c>
      <c r="CI26" s="533">
        <v>2006.4480427121584</v>
      </c>
      <c r="CJ26" s="533">
        <v>2005.6679920654644</v>
      </c>
      <c r="CK26" s="533">
        <v>1998.7753723499998</v>
      </c>
      <c r="CL26" s="533">
        <v>1985.30133669</v>
      </c>
      <c r="CM26" s="533">
        <v>2003.7474086399998</v>
      </c>
      <c r="CN26" s="533">
        <v>2032.0428959299998</v>
      </c>
      <c r="CO26" s="533">
        <v>2109.2131669999999</v>
      </c>
      <c r="CP26" s="533">
        <v>2255.0842994899999</v>
      </c>
      <c r="CQ26" s="533">
        <v>2254.2136780599994</v>
      </c>
      <c r="CR26" s="533">
        <v>2233.9605649200003</v>
      </c>
      <c r="CS26" s="533">
        <v>2229.0419342399996</v>
      </c>
      <c r="CT26" s="533">
        <v>2243.3304933700001</v>
      </c>
      <c r="CU26" s="533">
        <v>2280.3957223700004</v>
      </c>
      <c r="CV26" s="533">
        <v>2279.7930738883251</v>
      </c>
      <c r="CW26" s="533">
        <v>2259.5736859600001</v>
      </c>
      <c r="CX26" s="533">
        <v>2378.5082998700004</v>
      </c>
      <c r="CY26" s="533">
        <v>2406.9258892999997</v>
      </c>
      <c r="CZ26" s="533">
        <v>2407.1115420900001</v>
      </c>
      <c r="DA26" s="533">
        <v>2394.9404436099999</v>
      </c>
      <c r="DB26" s="533">
        <v>2391.2720558800002</v>
      </c>
      <c r="DC26" s="479">
        <v>2381.1049207200003</v>
      </c>
      <c r="DD26" s="479">
        <v>2404.6822640600003</v>
      </c>
      <c r="DE26" s="479">
        <v>2385.6135435100005</v>
      </c>
      <c r="DF26" s="479">
        <v>2418.2009233199997</v>
      </c>
      <c r="DG26" s="479">
        <v>2437.6288255700001</v>
      </c>
      <c r="DH26" s="479">
        <v>2442.9604541907925</v>
      </c>
      <c r="DI26" s="479">
        <v>2512.6072024941454</v>
      </c>
      <c r="DJ26" s="479">
        <v>2563.318891846387</v>
      </c>
      <c r="DK26" s="479">
        <v>2686.7822467855849</v>
      </c>
      <c r="DL26" s="479">
        <v>2709.3509235700008</v>
      </c>
      <c r="DM26" s="479">
        <v>2745.6431118700007</v>
      </c>
      <c r="DN26" s="479">
        <v>2707.3926445100001</v>
      </c>
      <c r="DO26" s="479">
        <v>2684.6933345200005</v>
      </c>
      <c r="DP26" s="479">
        <v>2552.7954756300014</v>
      </c>
      <c r="DQ26" s="479">
        <v>2620.0096020200017</v>
      </c>
      <c r="DR26" s="479">
        <v>2587.2624502900026</v>
      </c>
      <c r="DS26" s="479">
        <v>2629.0234326896011</v>
      </c>
      <c r="DT26" s="479">
        <v>2646.4207455513119</v>
      </c>
      <c r="DU26" s="479">
        <v>2771.4249388400012</v>
      </c>
      <c r="DV26" s="479">
        <v>2833.9537164200019</v>
      </c>
      <c r="DW26" s="479">
        <v>2876.4627281100015</v>
      </c>
      <c r="DX26" s="479">
        <v>2881.5268206100027</v>
      </c>
      <c r="DY26" s="479">
        <v>2884.6388621900023</v>
      </c>
      <c r="DZ26" s="479">
        <v>2864.4494122400006</v>
      </c>
      <c r="EA26" s="479">
        <v>2919.0802289780004</v>
      </c>
      <c r="EB26" s="479">
        <v>2962.8967847899999</v>
      </c>
      <c r="EC26" s="479">
        <v>2961.5444584100001</v>
      </c>
    </row>
    <row r="27" spans="1:133" ht="17.45" customHeight="1" x14ac:dyDescent="0.25">
      <c r="A27" s="481"/>
      <c r="B27" s="482"/>
      <c r="C27" s="502"/>
      <c r="D27" s="502"/>
      <c r="E27" s="502"/>
      <c r="F27" s="541"/>
      <c r="G27" s="502"/>
      <c r="H27" s="542"/>
      <c r="I27" s="502"/>
      <c r="J27" s="502"/>
      <c r="K27" s="502"/>
      <c r="L27" s="502"/>
      <c r="M27" s="541"/>
      <c r="N27" s="502"/>
      <c r="O27" s="502"/>
      <c r="P27" s="502"/>
      <c r="Q27" s="502"/>
      <c r="R27" s="502"/>
      <c r="S27" s="502"/>
      <c r="T27" s="502"/>
      <c r="U27" s="502"/>
      <c r="V27" s="502"/>
      <c r="W27" s="502"/>
      <c r="X27" s="502"/>
      <c r="Y27" s="502"/>
      <c r="Z27" s="502"/>
      <c r="AA27" s="502"/>
      <c r="AB27" s="502"/>
      <c r="AC27" s="502"/>
      <c r="AD27" s="542"/>
      <c r="AE27" s="502"/>
      <c r="AF27" s="502"/>
      <c r="AG27" s="502"/>
      <c r="AH27" s="502"/>
      <c r="AI27" s="502"/>
      <c r="AJ27" s="502"/>
      <c r="AK27" s="502"/>
      <c r="AL27" s="502"/>
      <c r="AM27" s="502"/>
      <c r="AN27" s="502"/>
      <c r="AO27" s="542"/>
      <c r="AP27" s="502"/>
      <c r="AQ27" s="502"/>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02"/>
      <c r="BZ27" s="502"/>
      <c r="CA27" s="502"/>
      <c r="CB27" s="502"/>
      <c r="CC27" s="502"/>
      <c r="CD27" s="502"/>
      <c r="CE27" s="502"/>
      <c r="CF27" s="502"/>
      <c r="CG27" s="502"/>
      <c r="CH27" s="502"/>
      <c r="CI27" s="502"/>
      <c r="CJ27" s="502"/>
      <c r="CK27" s="502"/>
      <c r="CL27" s="502"/>
      <c r="CM27" s="502"/>
      <c r="CN27" s="502"/>
      <c r="CO27" s="502"/>
      <c r="CP27" s="502"/>
      <c r="CQ27" s="502"/>
      <c r="CR27" s="502"/>
      <c r="CS27" s="502"/>
      <c r="CT27" s="502"/>
      <c r="CU27" s="502"/>
      <c r="CV27" s="502"/>
      <c r="CW27" s="502"/>
      <c r="CX27" s="502"/>
      <c r="CY27" s="502"/>
      <c r="CZ27" s="502"/>
      <c r="DA27" s="502"/>
      <c r="DB27" s="502"/>
      <c r="DC27" s="484"/>
      <c r="DD27" s="484"/>
      <c r="DE27" s="484"/>
      <c r="DF27" s="484"/>
      <c r="DG27" s="484"/>
      <c r="DH27" s="484"/>
      <c r="DI27" s="484"/>
      <c r="DJ27" s="484"/>
      <c r="DK27" s="484"/>
      <c r="DL27" s="484"/>
      <c r="DM27" s="484"/>
      <c r="DN27" s="484"/>
      <c r="DO27" s="484"/>
      <c r="DP27" s="484"/>
      <c r="DQ27" s="484"/>
      <c r="DR27" s="484"/>
      <c r="DS27" s="484"/>
      <c r="DT27" s="484"/>
      <c r="DU27" s="484"/>
      <c r="DV27" s="484"/>
      <c r="DW27" s="484"/>
      <c r="DX27" s="484"/>
      <c r="DY27" s="484"/>
      <c r="DZ27" s="484"/>
      <c r="EA27" s="484"/>
      <c r="EB27" s="484"/>
      <c r="EC27" s="484"/>
    </row>
    <row r="28" spans="1:133" ht="17.25" customHeight="1" x14ac:dyDescent="0.25">
      <c r="A28" s="477"/>
      <c r="B28" s="478" t="s">
        <v>427</v>
      </c>
      <c r="C28" s="533">
        <v>25474.471453387621</v>
      </c>
      <c r="D28" s="533">
        <v>26072.063897466593</v>
      </c>
      <c r="E28" s="533">
        <v>26415.344455611998</v>
      </c>
      <c r="F28" s="534">
        <v>26856.415234532004</v>
      </c>
      <c r="G28" s="533">
        <v>27494.964099592002</v>
      </c>
      <c r="H28" s="535">
        <v>27955.940532505614</v>
      </c>
      <c r="I28" s="533">
        <v>28194.36160220228</v>
      </c>
      <c r="J28" s="533">
        <v>28336.892915150238</v>
      </c>
      <c r="K28" s="533">
        <v>28563.364929097137</v>
      </c>
      <c r="L28" s="533">
        <v>28740.361376655161</v>
      </c>
      <c r="M28" s="534">
        <v>29096.352211839545</v>
      </c>
      <c r="N28" s="533">
        <v>29423.313250850086</v>
      </c>
      <c r="O28" s="533">
        <v>29904.42029326527</v>
      </c>
      <c r="P28" s="533">
        <v>30192.423819530377</v>
      </c>
      <c r="Q28" s="533">
        <v>30534.515540613647</v>
      </c>
      <c r="R28" s="533">
        <v>30645.306163438952</v>
      </c>
      <c r="S28" s="533">
        <v>30723.142804776799</v>
      </c>
      <c r="T28" s="533">
        <v>30582.685571101159</v>
      </c>
      <c r="U28" s="533">
        <v>31026.051215780495</v>
      </c>
      <c r="V28" s="533">
        <v>31204.967849988818</v>
      </c>
      <c r="W28" s="533">
        <v>31436.788752834454</v>
      </c>
      <c r="X28" s="533">
        <v>31766.227602197992</v>
      </c>
      <c r="Y28" s="533">
        <v>32105.986533900035</v>
      </c>
      <c r="Z28" s="533">
        <v>32381.205792132452</v>
      </c>
      <c r="AA28" s="533">
        <v>32750.688683694891</v>
      </c>
      <c r="AB28" s="533">
        <v>33028.065471295486</v>
      </c>
      <c r="AC28" s="533">
        <v>33597.285547495383</v>
      </c>
      <c r="AD28" s="535">
        <v>33479.612832724895</v>
      </c>
      <c r="AE28" s="533">
        <v>33528.234725906776</v>
      </c>
      <c r="AF28" s="533">
        <v>33945.252424287792</v>
      </c>
      <c r="AG28" s="533">
        <v>34531.168338754542</v>
      </c>
      <c r="AH28" s="533">
        <v>35377.395750547446</v>
      </c>
      <c r="AI28" s="533">
        <v>35546.314186166848</v>
      </c>
      <c r="AJ28" s="533">
        <v>36611.78037078894</v>
      </c>
      <c r="AK28" s="533">
        <v>36437.036162345808</v>
      </c>
      <c r="AL28" s="533">
        <v>36579.440661218759</v>
      </c>
      <c r="AM28" s="533">
        <v>37142.506882174122</v>
      </c>
      <c r="AN28" s="533">
        <v>37843.823667295968</v>
      </c>
      <c r="AO28" s="535">
        <v>38957.022860723584</v>
      </c>
      <c r="AP28" s="533">
        <v>39246.418511459175</v>
      </c>
      <c r="AQ28" s="533">
        <v>41293.583775452229</v>
      </c>
      <c r="AR28" s="533">
        <v>41489.26343647539</v>
      </c>
      <c r="AS28" s="533">
        <v>41558.040423602579</v>
      </c>
      <c r="AT28" s="533">
        <v>41583.506601919777</v>
      </c>
      <c r="AU28" s="533">
        <v>41724.410903507502</v>
      </c>
      <c r="AV28" s="533">
        <v>41930.542898092528</v>
      </c>
      <c r="AW28" s="533">
        <v>42394.904266229263</v>
      </c>
      <c r="AX28" s="533">
        <v>42837.91024545479</v>
      </c>
      <c r="AY28" s="533">
        <v>42727.796494547205</v>
      </c>
      <c r="AZ28" s="533">
        <v>43656.647352982647</v>
      </c>
      <c r="BA28" s="533">
        <v>44566.275999888792</v>
      </c>
      <c r="BB28" s="533">
        <v>44600.121654384253</v>
      </c>
      <c r="BC28" s="533">
        <v>44849.659281648565</v>
      </c>
      <c r="BD28" s="533">
        <v>44964.778969543637</v>
      </c>
      <c r="BE28" s="533">
        <v>44265.953944375869</v>
      </c>
      <c r="BF28" s="533">
        <v>44213.112024552087</v>
      </c>
      <c r="BG28" s="533">
        <v>44416.633551285697</v>
      </c>
      <c r="BH28" s="533">
        <v>44552.782203806673</v>
      </c>
      <c r="BI28" s="533">
        <v>45009.054433510879</v>
      </c>
      <c r="BJ28" s="533">
        <v>45312.920665720885</v>
      </c>
      <c r="BK28" s="533">
        <v>43235.787246537468</v>
      </c>
      <c r="BL28" s="533">
        <v>43097.493635641695</v>
      </c>
      <c r="BM28" s="533">
        <v>43203.774808802656</v>
      </c>
      <c r="BN28" s="533">
        <v>43661.834296690322</v>
      </c>
      <c r="BO28" s="533">
        <v>43974.956511792596</v>
      </c>
      <c r="BP28" s="533">
        <v>44381.176626182605</v>
      </c>
      <c r="BQ28" s="533">
        <v>44497.792306656222</v>
      </c>
      <c r="BR28" s="533">
        <v>44816.576913051773</v>
      </c>
      <c r="BS28" s="533">
        <v>45160.287156148086</v>
      </c>
      <c r="BT28" s="533">
        <v>45783.010752826711</v>
      </c>
      <c r="BU28" s="533">
        <v>46501.674702749129</v>
      </c>
      <c r="BV28" s="533">
        <v>47074.090090090831</v>
      </c>
      <c r="BW28" s="533">
        <v>47894.003680056565</v>
      </c>
      <c r="BX28" s="533">
        <v>47942.826131287773</v>
      </c>
      <c r="BY28" s="533">
        <v>48371.125311231954</v>
      </c>
      <c r="BZ28" s="533">
        <v>48916.095700244558</v>
      </c>
      <c r="CA28" s="533">
        <v>49255.747115471298</v>
      </c>
      <c r="CB28" s="533">
        <v>49659.184363918161</v>
      </c>
      <c r="CC28" s="533">
        <v>48698.191212044672</v>
      </c>
      <c r="CD28" s="533">
        <v>48761.357791877977</v>
      </c>
      <c r="CE28" s="533">
        <v>49222.686064576381</v>
      </c>
      <c r="CF28" s="533">
        <v>49905.491819247851</v>
      </c>
      <c r="CG28" s="533">
        <v>50217.162325058016</v>
      </c>
      <c r="CH28" s="533">
        <v>46912.906297951318</v>
      </c>
      <c r="CI28" s="533">
        <v>47409.792135606658</v>
      </c>
      <c r="CJ28" s="533">
        <v>47875.192855011861</v>
      </c>
      <c r="CK28" s="533">
        <v>48388.659544880466</v>
      </c>
      <c r="CL28" s="533">
        <v>48971.714602314467</v>
      </c>
      <c r="CM28" s="533">
        <v>49487.1971983275</v>
      </c>
      <c r="CN28" s="533">
        <v>49783.066298351274</v>
      </c>
      <c r="CO28" s="533">
        <v>50852.368546919279</v>
      </c>
      <c r="CP28" s="533">
        <v>51434.678699088639</v>
      </c>
      <c r="CQ28" s="533">
        <v>53196.983415460469</v>
      </c>
      <c r="CR28" s="533">
        <v>53885.432491896601</v>
      </c>
      <c r="CS28" s="533">
        <v>53522.373322656596</v>
      </c>
      <c r="CT28" s="533">
        <v>53888.210782272996</v>
      </c>
      <c r="CU28" s="533">
        <v>54959.281300599185</v>
      </c>
      <c r="CV28" s="533">
        <v>54870.586194875425</v>
      </c>
      <c r="CW28" s="533">
        <v>55943.655790590841</v>
      </c>
      <c r="CX28" s="533">
        <v>56793.800619202106</v>
      </c>
      <c r="CY28" s="533">
        <v>57326.641862917459</v>
      </c>
      <c r="CZ28" s="533">
        <v>57678.5768539407</v>
      </c>
      <c r="DA28" s="533">
        <v>58472.529792396519</v>
      </c>
      <c r="DB28" s="533">
        <v>58061.34014949351</v>
      </c>
      <c r="DC28" s="479">
        <v>58439.562505916503</v>
      </c>
      <c r="DD28" s="479">
        <v>59188.973477736508</v>
      </c>
      <c r="DE28" s="479">
        <v>59922.185491184253</v>
      </c>
      <c r="DF28" s="479">
        <v>60473.288929080234</v>
      </c>
      <c r="DG28" s="479">
        <v>61496.319550096516</v>
      </c>
      <c r="DH28" s="479">
        <v>61671.708857693993</v>
      </c>
      <c r="DI28" s="479">
        <v>62181.744304009371</v>
      </c>
      <c r="DJ28" s="479">
        <v>63406.936380624771</v>
      </c>
      <c r="DK28" s="479">
        <v>64027.250872814395</v>
      </c>
      <c r="DL28" s="479">
        <v>64697.901217991515</v>
      </c>
      <c r="DM28" s="479">
        <v>65575.577526379711</v>
      </c>
      <c r="DN28" s="479">
        <v>65330.127163972684</v>
      </c>
      <c r="DO28" s="479">
        <v>65246.331667300066</v>
      </c>
      <c r="DP28" s="479">
        <v>65872.875149844956</v>
      </c>
      <c r="DQ28" s="479">
        <v>66183.274306243067</v>
      </c>
      <c r="DR28" s="479">
        <v>65927.875645242661</v>
      </c>
      <c r="DS28" s="479">
        <v>66401.152565617507</v>
      </c>
      <c r="DT28" s="479">
        <v>66533.399310244975</v>
      </c>
      <c r="DU28" s="479">
        <v>67253.192608535654</v>
      </c>
      <c r="DV28" s="479">
        <v>67943.604921941398</v>
      </c>
      <c r="DW28" s="479">
        <v>68325.074928474889</v>
      </c>
      <c r="DX28" s="479">
        <v>69106.468412821545</v>
      </c>
      <c r="DY28" s="479">
        <v>70422.862242607938</v>
      </c>
      <c r="DZ28" s="479">
        <v>70226.090863564474</v>
      </c>
      <c r="EA28" s="479">
        <v>70474.047581530234</v>
      </c>
      <c r="EB28" s="479">
        <v>70595.319305687663</v>
      </c>
      <c r="EC28" s="479">
        <v>70812.659651362308</v>
      </c>
    </row>
    <row r="29" spans="1:133" ht="16.5" thickBot="1" x14ac:dyDescent="0.3">
      <c r="A29" s="487"/>
      <c r="B29" s="488"/>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4"/>
      <c r="AC29" s="544"/>
      <c r="AD29" s="546"/>
      <c r="AE29" s="544"/>
      <c r="AF29" s="544"/>
      <c r="AG29" s="544"/>
      <c r="AH29" s="544"/>
      <c r="AI29" s="544"/>
      <c r="AJ29" s="544"/>
      <c r="AK29" s="544"/>
      <c r="AL29" s="544"/>
      <c r="AM29" s="544"/>
      <c r="AN29" s="544"/>
      <c r="AO29" s="546"/>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8"/>
      <c r="DD29" s="548"/>
      <c r="DE29" s="548"/>
      <c r="DF29" s="548"/>
      <c r="DG29" s="548"/>
      <c r="DH29" s="548"/>
      <c r="DI29" s="548"/>
      <c r="DJ29" s="548"/>
      <c r="DK29" s="548"/>
      <c r="DL29" s="548"/>
      <c r="DM29" s="548"/>
      <c r="DN29" s="548"/>
      <c r="DO29" s="548"/>
      <c r="DP29" s="548"/>
      <c r="DQ29" s="548"/>
      <c r="DR29" s="548"/>
      <c r="DS29" s="548"/>
      <c r="DT29" s="548"/>
      <c r="DU29" s="548"/>
      <c r="DV29" s="548"/>
      <c r="DW29" s="548"/>
      <c r="DX29" s="548"/>
      <c r="DY29" s="548"/>
      <c r="DZ29" s="548"/>
      <c r="EA29" s="548"/>
      <c r="EB29" s="548"/>
      <c r="EC29" s="548"/>
    </row>
    <row r="30" spans="1:133" s="172" customFormat="1" ht="16.5" hidden="1" thickTop="1" x14ac:dyDescent="0.25">
      <c r="A30" s="549"/>
      <c r="B30" s="549"/>
      <c r="C30" s="550"/>
      <c r="D30" s="550"/>
      <c r="E30" s="550"/>
      <c r="F30" s="550"/>
      <c r="G30" s="550"/>
      <c r="H30" s="551"/>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1"/>
      <c r="AP30" s="550"/>
      <c r="AQ30" s="550"/>
      <c r="AR30" s="550"/>
      <c r="AS30" s="550"/>
      <c r="AT30" s="550"/>
      <c r="AU30" s="550"/>
      <c r="AV30" s="550"/>
      <c r="AW30" s="550"/>
      <c r="AX30" s="550"/>
      <c r="AY30" s="550"/>
      <c r="AZ30" s="550"/>
      <c r="BA30" s="550"/>
      <c r="BB30" s="550"/>
      <c r="BC30" s="550"/>
      <c r="BD30" s="550"/>
      <c r="BE30" s="550"/>
      <c r="BF30" s="550"/>
      <c r="BG30" s="550"/>
      <c r="BH30" s="550"/>
      <c r="BI30" s="550"/>
      <c r="BJ30" s="550"/>
      <c r="BK30" s="550"/>
      <c r="BL30" s="550"/>
      <c r="BM30" s="550"/>
      <c r="BN30" s="550"/>
      <c r="BO30" s="550"/>
      <c r="BP30" s="550"/>
      <c r="BQ30" s="550"/>
      <c r="BR30" s="550"/>
      <c r="BS30" s="550"/>
      <c r="BT30" s="550"/>
      <c r="BU30" s="550"/>
      <c r="BV30" s="550"/>
      <c r="BW30" s="550"/>
      <c r="BX30" s="550"/>
      <c r="BY30" s="550"/>
      <c r="BZ30" s="550"/>
      <c r="CA30" s="550"/>
      <c r="CB30" s="550"/>
      <c r="CC30" s="550"/>
      <c r="CD30" s="550"/>
      <c r="CE30" s="550"/>
      <c r="CF30" s="550"/>
      <c r="CG30" s="550"/>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row>
    <row r="31" spans="1:133" s="172" customFormat="1" ht="16.5" thickTop="1" x14ac:dyDescent="0.25">
      <c r="A31" s="550"/>
      <c r="B31" s="550"/>
      <c r="C31" s="550"/>
      <c r="D31" s="550"/>
      <c r="E31" s="550"/>
      <c r="F31" s="550"/>
      <c r="G31" s="550"/>
      <c r="H31" s="552"/>
      <c r="I31" s="550"/>
      <c r="J31" s="550"/>
      <c r="K31" s="550"/>
      <c r="L31" s="550"/>
      <c r="M31" s="550"/>
      <c r="N31" s="550"/>
      <c r="O31" s="550"/>
      <c r="P31" s="550"/>
      <c r="Q31" s="550"/>
      <c r="R31" s="550"/>
      <c r="S31" s="550"/>
      <c r="T31" s="550"/>
      <c r="U31" s="550"/>
      <c r="V31" s="550"/>
      <c r="W31" s="550"/>
      <c r="X31" s="550"/>
      <c r="Y31" s="550"/>
      <c r="Z31" s="550"/>
      <c r="AA31" s="550"/>
      <c r="AB31" s="550"/>
      <c r="AC31" s="550"/>
      <c r="AD31" s="550"/>
      <c r="AE31" s="550"/>
      <c r="AF31" s="550"/>
      <c r="AG31" s="550"/>
      <c r="AH31" s="550"/>
      <c r="AI31" s="550"/>
      <c r="AJ31" s="550"/>
      <c r="AK31" s="550"/>
      <c r="AL31" s="550"/>
      <c r="AM31" s="550"/>
      <c r="AN31" s="550"/>
      <c r="AO31" s="551"/>
      <c r="AP31" s="550"/>
      <c r="AQ31" s="550"/>
      <c r="AR31" s="550"/>
      <c r="AS31" s="550"/>
      <c r="AT31" s="550"/>
      <c r="AU31" s="550"/>
      <c r="AV31" s="550"/>
      <c r="AW31" s="550"/>
      <c r="AX31" s="550"/>
      <c r="AY31" s="550"/>
      <c r="AZ31" s="550"/>
      <c r="BA31" s="550"/>
      <c r="BB31" s="550"/>
      <c r="BC31" s="550"/>
      <c r="BD31" s="550"/>
      <c r="BE31" s="550"/>
      <c r="BF31" s="550"/>
      <c r="BG31" s="550"/>
      <c r="BH31" s="550"/>
      <c r="BI31" s="550"/>
      <c r="BJ31" s="550"/>
      <c r="BK31" s="550"/>
      <c r="BL31" s="550"/>
      <c r="BM31" s="550"/>
      <c r="BN31" s="550"/>
      <c r="BO31" s="550"/>
      <c r="BP31" s="550"/>
      <c r="BQ31" s="550"/>
      <c r="BR31" s="550"/>
      <c r="BS31" s="550"/>
      <c r="BT31" s="550"/>
      <c r="BU31" s="550"/>
      <c r="BV31" s="550"/>
      <c r="BW31" s="550"/>
      <c r="BX31" s="550"/>
      <c r="BY31" s="550"/>
      <c r="BZ31" s="550"/>
      <c r="CA31" s="550"/>
      <c r="CB31" s="550"/>
      <c r="CC31" s="550"/>
      <c r="CD31" s="550"/>
      <c r="CE31" s="550"/>
      <c r="CF31" s="550"/>
      <c r="CG31" s="550"/>
      <c r="CH31" s="550"/>
      <c r="CI31" s="550"/>
      <c r="CJ31" s="550"/>
      <c r="CK31" s="550"/>
      <c r="CL31" s="550"/>
      <c r="CM31" s="550"/>
      <c r="CN31" s="550"/>
      <c r="CO31" s="550"/>
      <c r="CP31" s="550"/>
      <c r="CQ31" s="550"/>
      <c r="CR31" s="550"/>
      <c r="CS31" s="550"/>
      <c r="CT31" s="550"/>
      <c r="CU31" s="550"/>
      <c r="CV31" s="550"/>
      <c r="CW31" s="550"/>
      <c r="CX31" s="550"/>
      <c r="CY31" s="550"/>
      <c r="CZ31" s="550"/>
      <c r="DA31" s="550"/>
      <c r="DB31" s="550"/>
      <c r="DC31" s="581"/>
      <c r="DD31" s="581"/>
      <c r="DE31" s="581"/>
      <c r="DF31" s="581"/>
      <c r="DG31" s="581"/>
      <c r="DH31" s="581"/>
      <c r="DI31" s="581"/>
      <c r="DJ31" s="581"/>
      <c r="DK31" s="581"/>
      <c r="DL31" s="581"/>
      <c r="DM31" s="581"/>
      <c r="DN31" s="581"/>
      <c r="DO31" s="581"/>
      <c r="DP31" s="581"/>
      <c r="DQ31" s="581"/>
      <c r="DR31" s="581"/>
      <c r="DS31" s="581"/>
      <c r="DT31" s="581"/>
      <c r="DU31" s="581"/>
      <c r="DV31" s="581"/>
      <c r="DW31" s="581"/>
      <c r="DX31" s="581"/>
      <c r="DY31" s="581"/>
      <c r="DZ31" s="581"/>
      <c r="EA31" s="581"/>
      <c r="EB31" s="581"/>
      <c r="EC31" s="581"/>
    </row>
    <row r="32" spans="1:133" s="172" customFormat="1" ht="16.5" thickBot="1" x14ac:dyDescent="0.3">
      <c r="A32" s="553"/>
      <c r="B32" s="553"/>
      <c r="C32" s="553"/>
      <c r="D32" s="553"/>
      <c r="E32" s="553"/>
      <c r="F32" s="553"/>
      <c r="G32" s="553"/>
      <c r="H32" s="554"/>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553"/>
      <c r="AO32" s="582"/>
      <c r="AP32" s="553"/>
      <c r="AQ32" s="553"/>
      <c r="AR32" s="553"/>
      <c r="AS32" s="553"/>
      <c r="AT32" s="553"/>
      <c r="AU32" s="553"/>
      <c r="AV32" s="553"/>
      <c r="AW32" s="553"/>
      <c r="AX32" s="553"/>
      <c r="AY32" s="553"/>
      <c r="AZ32" s="553"/>
      <c r="BA32" s="553"/>
      <c r="BB32" s="553"/>
      <c r="BC32" s="553"/>
      <c r="BD32" s="553"/>
      <c r="BE32" s="553"/>
      <c r="BF32" s="553"/>
      <c r="BG32" s="553"/>
      <c r="BH32" s="553"/>
      <c r="BI32" s="553"/>
      <c r="BJ32" s="553"/>
      <c r="BK32" s="553"/>
      <c r="BL32" s="553"/>
      <c r="BM32" s="553"/>
      <c r="BN32" s="553"/>
      <c r="BO32" s="553"/>
      <c r="BP32" s="553"/>
      <c r="BQ32" s="553"/>
      <c r="BR32" s="553"/>
      <c r="BS32" s="553"/>
      <c r="BT32" s="553"/>
      <c r="BU32" s="553"/>
      <c r="BV32" s="553"/>
      <c r="BW32" s="553"/>
      <c r="BX32" s="553"/>
      <c r="BY32" s="553"/>
      <c r="BZ32" s="553"/>
      <c r="CA32" s="553"/>
      <c r="CB32" s="553"/>
      <c r="CC32" s="553"/>
      <c r="CD32" s="553"/>
      <c r="CE32" s="553"/>
      <c r="CF32" s="553"/>
      <c r="CG32" s="553"/>
      <c r="CH32" s="553"/>
      <c r="CI32" s="553"/>
      <c r="CJ32" s="553"/>
      <c r="CK32" s="553"/>
      <c r="CL32" s="553"/>
      <c r="CM32" s="553"/>
      <c r="CN32" s="553"/>
      <c r="CO32" s="553"/>
      <c r="CP32" s="553"/>
      <c r="CQ32" s="553"/>
      <c r="CR32" s="553"/>
      <c r="CS32" s="553"/>
      <c r="CT32" s="553"/>
      <c r="CU32" s="553"/>
      <c r="CV32" s="553"/>
      <c r="CW32" s="553"/>
      <c r="CX32" s="553"/>
      <c r="CY32" s="553"/>
      <c r="CZ32" s="553"/>
      <c r="DA32" s="553"/>
      <c r="DB32" s="553"/>
      <c r="DC32" s="581"/>
      <c r="DD32" s="581"/>
      <c r="DE32" s="581"/>
      <c r="DF32" s="581"/>
      <c r="DG32" s="581"/>
      <c r="DH32" s="581"/>
      <c r="DI32" s="581"/>
      <c r="DJ32" s="581"/>
      <c r="DK32" s="581"/>
      <c r="DL32" s="581"/>
      <c r="DM32" s="581"/>
      <c r="DN32" s="581"/>
      <c r="DO32" s="581"/>
      <c r="DP32" s="581"/>
      <c r="DQ32" s="581"/>
      <c r="DR32" s="581"/>
      <c r="DS32" s="581"/>
      <c r="DT32" s="581"/>
      <c r="DU32" s="581"/>
      <c r="DV32" s="581"/>
      <c r="DW32" s="581"/>
      <c r="DX32" s="581"/>
      <c r="DY32" s="581"/>
      <c r="DZ32" s="581"/>
      <c r="EA32" s="581"/>
      <c r="EB32" s="581"/>
      <c r="EC32" s="581"/>
    </row>
    <row r="33" spans="1:133" ht="25.5" customHeight="1" thickTop="1" thickBot="1" x14ac:dyDescent="0.3">
      <c r="A33" s="463" t="s">
        <v>400</v>
      </c>
      <c r="B33" s="464" t="s">
        <v>428</v>
      </c>
      <c r="C33" s="497">
        <v>38504</v>
      </c>
      <c r="D33" s="497">
        <v>38534</v>
      </c>
      <c r="E33" s="497">
        <v>38565</v>
      </c>
      <c r="F33" s="556">
        <v>38596</v>
      </c>
      <c r="G33" s="497">
        <v>38626</v>
      </c>
      <c r="H33" s="557">
        <v>38657</v>
      </c>
      <c r="I33" s="497">
        <v>38687</v>
      </c>
      <c r="J33" s="497">
        <v>38718</v>
      </c>
      <c r="K33" s="497">
        <v>38749</v>
      </c>
      <c r="L33" s="497">
        <v>38777</v>
      </c>
      <c r="M33" s="556">
        <v>38808</v>
      </c>
      <c r="N33" s="497">
        <v>38838</v>
      </c>
      <c r="O33" s="497">
        <v>38869</v>
      </c>
      <c r="P33" s="497">
        <v>38899</v>
      </c>
      <c r="Q33" s="497">
        <v>38930</v>
      </c>
      <c r="R33" s="497">
        <v>38961</v>
      </c>
      <c r="S33" s="497">
        <v>38991</v>
      </c>
      <c r="T33" s="497">
        <v>39022</v>
      </c>
      <c r="U33" s="497">
        <v>39052</v>
      </c>
      <c r="V33" s="497">
        <v>39083</v>
      </c>
      <c r="W33" s="497">
        <v>39114</v>
      </c>
      <c r="X33" s="497">
        <v>39142</v>
      </c>
      <c r="Y33" s="497">
        <v>39173</v>
      </c>
      <c r="Z33" s="497">
        <v>39203</v>
      </c>
      <c r="AA33" s="497">
        <v>39234</v>
      </c>
      <c r="AB33" s="497">
        <v>39264</v>
      </c>
      <c r="AC33" s="497">
        <v>39295</v>
      </c>
      <c r="AD33" s="557">
        <v>39326</v>
      </c>
      <c r="AE33" s="497">
        <v>39356</v>
      </c>
      <c r="AF33" s="497">
        <v>39387</v>
      </c>
      <c r="AG33" s="497">
        <v>39417</v>
      </c>
      <c r="AH33" s="497">
        <v>39448</v>
      </c>
      <c r="AI33" s="497">
        <v>39479</v>
      </c>
      <c r="AJ33" s="497">
        <v>39508</v>
      </c>
      <c r="AK33" s="497">
        <v>39539</v>
      </c>
      <c r="AL33" s="497">
        <v>39569</v>
      </c>
      <c r="AM33" s="497">
        <f t="shared" ref="AM33:CT33" si="0">AM4</f>
        <v>39600</v>
      </c>
      <c r="AN33" s="497">
        <f t="shared" si="0"/>
        <v>39630</v>
      </c>
      <c r="AO33" s="557">
        <f t="shared" si="0"/>
        <v>39661</v>
      </c>
      <c r="AP33" s="497">
        <f t="shared" si="0"/>
        <v>39692</v>
      </c>
      <c r="AQ33" s="497">
        <f t="shared" si="0"/>
        <v>39722</v>
      </c>
      <c r="AR33" s="497">
        <f t="shared" si="0"/>
        <v>39753</v>
      </c>
      <c r="AS33" s="497">
        <f t="shared" si="0"/>
        <v>39783</v>
      </c>
      <c r="AT33" s="497">
        <f t="shared" si="0"/>
        <v>39814</v>
      </c>
      <c r="AU33" s="497">
        <f t="shared" si="0"/>
        <v>39845</v>
      </c>
      <c r="AV33" s="497">
        <f t="shared" si="0"/>
        <v>39873</v>
      </c>
      <c r="AW33" s="497">
        <f t="shared" si="0"/>
        <v>39904</v>
      </c>
      <c r="AX33" s="497">
        <f t="shared" si="0"/>
        <v>39934</v>
      </c>
      <c r="AY33" s="497">
        <f t="shared" si="0"/>
        <v>39965</v>
      </c>
      <c r="AZ33" s="497">
        <f t="shared" si="0"/>
        <v>39995</v>
      </c>
      <c r="BA33" s="497">
        <f t="shared" si="0"/>
        <v>40026</v>
      </c>
      <c r="BB33" s="497">
        <f t="shared" si="0"/>
        <v>40057</v>
      </c>
      <c r="BC33" s="497">
        <f t="shared" si="0"/>
        <v>40087</v>
      </c>
      <c r="BD33" s="497">
        <f t="shared" si="0"/>
        <v>40118</v>
      </c>
      <c r="BE33" s="497">
        <f t="shared" si="0"/>
        <v>40148</v>
      </c>
      <c r="BF33" s="497">
        <f t="shared" si="0"/>
        <v>40179</v>
      </c>
      <c r="BG33" s="497">
        <f t="shared" si="0"/>
        <v>40210</v>
      </c>
      <c r="BH33" s="497">
        <f t="shared" si="0"/>
        <v>40238</v>
      </c>
      <c r="BI33" s="497">
        <f t="shared" si="0"/>
        <v>40269</v>
      </c>
      <c r="BJ33" s="497">
        <f t="shared" si="0"/>
        <v>40299</v>
      </c>
      <c r="BK33" s="497">
        <f t="shared" si="0"/>
        <v>40330</v>
      </c>
      <c r="BL33" s="497">
        <f t="shared" si="0"/>
        <v>40360</v>
      </c>
      <c r="BM33" s="497">
        <f t="shared" si="0"/>
        <v>40391</v>
      </c>
      <c r="BN33" s="497">
        <f t="shared" si="0"/>
        <v>40422</v>
      </c>
      <c r="BO33" s="497">
        <f t="shared" si="0"/>
        <v>40452</v>
      </c>
      <c r="BP33" s="497">
        <f t="shared" si="0"/>
        <v>40483</v>
      </c>
      <c r="BQ33" s="497">
        <f t="shared" si="0"/>
        <v>40513</v>
      </c>
      <c r="BR33" s="497">
        <f t="shared" si="0"/>
        <v>40544</v>
      </c>
      <c r="BS33" s="497">
        <f t="shared" si="0"/>
        <v>40575</v>
      </c>
      <c r="BT33" s="497">
        <f t="shared" si="0"/>
        <v>40603</v>
      </c>
      <c r="BU33" s="497">
        <f t="shared" si="0"/>
        <v>40634</v>
      </c>
      <c r="BV33" s="497">
        <f t="shared" si="0"/>
        <v>40664</v>
      </c>
      <c r="BW33" s="497">
        <f t="shared" si="0"/>
        <v>40695</v>
      </c>
      <c r="BX33" s="497">
        <f t="shared" si="0"/>
        <v>40725</v>
      </c>
      <c r="BY33" s="497">
        <f t="shared" si="0"/>
        <v>40756</v>
      </c>
      <c r="BZ33" s="497">
        <f t="shared" si="0"/>
        <v>40787</v>
      </c>
      <c r="CA33" s="497">
        <f t="shared" si="0"/>
        <v>40817</v>
      </c>
      <c r="CB33" s="497">
        <f t="shared" si="0"/>
        <v>40848</v>
      </c>
      <c r="CC33" s="497">
        <f t="shared" si="0"/>
        <v>40878</v>
      </c>
      <c r="CD33" s="497">
        <f t="shared" si="0"/>
        <v>40909</v>
      </c>
      <c r="CE33" s="497">
        <f t="shared" si="0"/>
        <v>40940</v>
      </c>
      <c r="CF33" s="497">
        <f t="shared" si="0"/>
        <v>40969</v>
      </c>
      <c r="CG33" s="497">
        <f t="shared" si="0"/>
        <v>41000</v>
      </c>
      <c r="CH33" s="497">
        <f t="shared" si="0"/>
        <v>41030</v>
      </c>
      <c r="CI33" s="497">
        <f t="shared" si="0"/>
        <v>41061</v>
      </c>
      <c r="CJ33" s="497">
        <f t="shared" si="0"/>
        <v>41091</v>
      </c>
      <c r="CK33" s="497">
        <f t="shared" si="0"/>
        <v>41122</v>
      </c>
      <c r="CL33" s="497">
        <f t="shared" si="0"/>
        <v>41153</v>
      </c>
      <c r="CM33" s="497">
        <f t="shared" si="0"/>
        <v>41183</v>
      </c>
      <c r="CN33" s="497">
        <f t="shared" si="0"/>
        <v>41214</v>
      </c>
      <c r="CO33" s="497">
        <f t="shared" si="0"/>
        <v>41244</v>
      </c>
      <c r="CP33" s="497">
        <f t="shared" si="0"/>
        <v>41275</v>
      </c>
      <c r="CQ33" s="497">
        <f t="shared" si="0"/>
        <v>41306</v>
      </c>
      <c r="CR33" s="497">
        <f t="shared" si="0"/>
        <v>41334</v>
      </c>
      <c r="CS33" s="467">
        <f t="shared" si="0"/>
        <v>41365</v>
      </c>
      <c r="CT33" s="467">
        <f t="shared" si="0"/>
        <v>41395</v>
      </c>
      <c r="CU33" s="467">
        <f>CU4</f>
        <v>41426</v>
      </c>
      <c r="CV33" s="467">
        <f>CV4</f>
        <v>41456</v>
      </c>
      <c r="CW33" s="467">
        <f>CW4</f>
        <v>41487</v>
      </c>
      <c r="CX33" s="467">
        <v>41518</v>
      </c>
      <c r="CY33" s="467">
        <f>CY4</f>
        <v>41548</v>
      </c>
      <c r="CZ33" s="467">
        <f>CZ4</f>
        <v>41579</v>
      </c>
      <c r="DA33" s="467">
        <f>DA4</f>
        <v>41609</v>
      </c>
      <c r="DB33" s="467">
        <f>DB4</f>
        <v>41640</v>
      </c>
      <c r="DC33" s="465">
        <v>41671</v>
      </c>
      <c r="DD33" s="465">
        <v>41699</v>
      </c>
      <c r="DE33" s="465">
        <v>41730</v>
      </c>
      <c r="DF33" s="465">
        <v>41760</v>
      </c>
      <c r="DG33" s="465">
        <v>41791</v>
      </c>
      <c r="DH33" s="465">
        <v>41821</v>
      </c>
      <c r="DI33" s="465">
        <v>41852</v>
      </c>
      <c r="DJ33" s="465">
        <f>DJ4</f>
        <v>41883</v>
      </c>
      <c r="DK33" s="465">
        <v>41913</v>
      </c>
      <c r="DL33" s="465">
        <v>41944</v>
      </c>
      <c r="DM33" s="465">
        <v>41974</v>
      </c>
      <c r="DN33" s="465">
        <v>42005</v>
      </c>
      <c r="DO33" s="465">
        <v>42036</v>
      </c>
      <c r="DP33" s="465">
        <v>42064</v>
      </c>
      <c r="DQ33" s="465">
        <v>42095</v>
      </c>
      <c r="DR33" s="465">
        <v>42125</v>
      </c>
      <c r="DS33" s="465">
        <v>42156</v>
      </c>
      <c r="DT33" s="465">
        <v>42186</v>
      </c>
      <c r="DU33" s="465">
        <v>42217</v>
      </c>
      <c r="DV33" s="465">
        <v>42248</v>
      </c>
      <c r="DW33" s="465">
        <v>42278</v>
      </c>
      <c r="DX33" s="465">
        <v>42309</v>
      </c>
      <c r="DY33" s="465">
        <v>42339</v>
      </c>
      <c r="DZ33" s="465">
        <v>42370</v>
      </c>
      <c r="EA33" s="465">
        <v>42401</v>
      </c>
      <c r="EB33" s="465">
        <v>42430</v>
      </c>
      <c r="EC33" s="465">
        <v>42461</v>
      </c>
    </row>
    <row r="34" spans="1:133" ht="17.25" customHeight="1" thickTop="1" x14ac:dyDescent="0.25">
      <c r="A34" s="481"/>
      <c r="B34" s="500"/>
      <c r="C34" s="502"/>
      <c r="D34" s="502"/>
      <c r="E34" s="502"/>
      <c r="F34" s="541"/>
      <c r="G34" s="502"/>
      <c r="H34" s="542"/>
      <c r="I34" s="502"/>
      <c r="J34" s="502"/>
      <c r="K34" s="502"/>
      <c r="L34" s="502"/>
      <c r="M34" s="541"/>
      <c r="N34" s="502"/>
      <c r="O34" s="502"/>
      <c r="P34" s="502"/>
      <c r="Q34" s="502"/>
      <c r="R34" s="502"/>
      <c r="S34" s="502"/>
      <c r="T34" s="502"/>
      <c r="U34" s="502"/>
      <c r="V34" s="502"/>
      <c r="W34" s="502"/>
      <c r="X34" s="502"/>
      <c r="Y34" s="502"/>
      <c r="Z34" s="502"/>
      <c r="AA34" s="502"/>
      <c r="AB34" s="502"/>
      <c r="AC34" s="502"/>
      <c r="AD34" s="542"/>
      <c r="AE34" s="502"/>
      <c r="AF34" s="502"/>
      <c r="AG34" s="502"/>
      <c r="AH34" s="502"/>
      <c r="AI34" s="502"/>
      <c r="AJ34" s="502"/>
      <c r="AK34" s="502"/>
      <c r="AL34" s="502"/>
      <c r="AM34" s="502"/>
      <c r="AN34" s="502"/>
      <c r="AO34" s="54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02"/>
      <c r="DC34" s="484"/>
      <c r="DD34" s="484"/>
      <c r="DE34" s="484"/>
      <c r="DF34" s="484"/>
      <c r="DG34" s="484"/>
      <c r="DH34" s="484"/>
      <c r="DI34" s="484"/>
      <c r="DJ34" s="484"/>
      <c r="DK34" s="484"/>
      <c r="DL34" s="484"/>
      <c r="DM34" s="484"/>
      <c r="DN34" s="484"/>
      <c r="DO34" s="484"/>
      <c r="DP34" s="484"/>
      <c r="DQ34" s="484"/>
      <c r="DR34" s="484"/>
      <c r="DS34" s="484"/>
      <c r="DT34" s="484"/>
      <c r="DU34" s="484"/>
      <c r="DV34" s="484"/>
      <c r="DW34" s="484"/>
      <c r="DX34" s="484"/>
      <c r="DY34" s="484"/>
      <c r="DZ34" s="484"/>
      <c r="EA34" s="484"/>
      <c r="EB34" s="484"/>
      <c r="EC34" s="484"/>
    </row>
    <row r="35" spans="1:133" ht="17.25" customHeight="1" x14ac:dyDescent="0.25">
      <c r="A35" s="477" t="s">
        <v>429</v>
      </c>
      <c r="B35" s="478" t="s">
        <v>430</v>
      </c>
      <c r="C35" s="533">
        <v>0</v>
      </c>
      <c r="D35" s="533">
        <v>0</v>
      </c>
      <c r="E35" s="533">
        <v>0</v>
      </c>
      <c r="F35" s="534">
        <v>0</v>
      </c>
      <c r="G35" s="533">
        <v>0</v>
      </c>
      <c r="H35" s="535">
        <v>0</v>
      </c>
      <c r="I35" s="533">
        <v>0</v>
      </c>
      <c r="J35" s="533">
        <v>0</v>
      </c>
      <c r="K35" s="533">
        <v>0</v>
      </c>
      <c r="L35" s="533">
        <v>0</v>
      </c>
      <c r="M35" s="534">
        <v>0</v>
      </c>
      <c r="N35" s="533">
        <v>0</v>
      </c>
      <c r="O35" s="533">
        <v>0</v>
      </c>
      <c r="P35" s="533">
        <v>0</v>
      </c>
      <c r="Q35" s="533">
        <v>0</v>
      </c>
      <c r="R35" s="533">
        <v>0</v>
      </c>
      <c r="S35" s="533">
        <v>0</v>
      </c>
      <c r="T35" s="533">
        <v>0</v>
      </c>
      <c r="U35" s="533">
        <v>0</v>
      </c>
      <c r="V35" s="533">
        <v>0</v>
      </c>
      <c r="W35" s="533">
        <v>0</v>
      </c>
      <c r="X35" s="533">
        <v>0</v>
      </c>
      <c r="Y35" s="533">
        <v>0</v>
      </c>
      <c r="Z35" s="533">
        <v>0</v>
      </c>
      <c r="AA35" s="533">
        <v>0</v>
      </c>
      <c r="AB35" s="533">
        <v>0</v>
      </c>
      <c r="AC35" s="533">
        <v>0</v>
      </c>
      <c r="AD35" s="535">
        <v>0</v>
      </c>
      <c r="AE35" s="533">
        <v>0</v>
      </c>
      <c r="AF35" s="533">
        <v>0</v>
      </c>
      <c r="AG35" s="533">
        <v>0</v>
      </c>
      <c r="AH35" s="533">
        <v>0</v>
      </c>
      <c r="AI35" s="533">
        <v>0</v>
      </c>
      <c r="AJ35" s="533">
        <v>0</v>
      </c>
      <c r="AK35" s="533">
        <v>0</v>
      </c>
      <c r="AL35" s="533">
        <v>0</v>
      </c>
      <c r="AM35" s="533">
        <v>0</v>
      </c>
      <c r="AN35" s="533">
        <v>0</v>
      </c>
      <c r="AO35" s="535">
        <v>0</v>
      </c>
      <c r="AP35" s="533">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3">
        <v>0</v>
      </c>
      <c r="CD35" s="533">
        <v>0</v>
      </c>
      <c r="CE35" s="533">
        <v>0</v>
      </c>
      <c r="CF35" s="533">
        <v>0</v>
      </c>
      <c r="CG35" s="533">
        <v>0</v>
      </c>
      <c r="CH35" s="533">
        <v>0</v>
      </c>
      <c r="CI35" s="533">
        <v>0</v>
      </c>
      <c r="CJ35" s="533">
        <v>0</v>
      </c>
      <c r="CK35" s="533">
        <v>0</v>
      </c>
      <c r="CL35" s="533">
        <v>0</v>
      </c>
      <c r="CM35" s="533">
        <v>0</v>
      </c>
      <c r="CN35" s="533">
        <v>0</v>
      </c>
      <c r="CO35" s="533">
        <v>0</v>
      </c>
      <c r="CP35" s="533">
        <v>0</v>
      </c>
      <c r="CQ35" s="533">
        <v>0</v>
      </c>
      <c r="CR35" s="533">
        <v>0</v>
      </c>
      <c r="CS35" s="533">
        <v>0</v>
      </c>
      <c r="CT35" s="533">
        <v>0</v>
      </c>
      <c r="CU35" s="533">
        <v>0</v>
      </c>
      <c r="CV35" s="533">
        <v>0</v>
      </c>
      <c r="CW35" s="533">
        <v>0</v>
      </c>
      <c r="CX35" s="533">
        <v>0</v>
      </c>
      <c r="CY35" s="533">
        <v>0</v>
      </c>
      <c r="CZ35" s="533">
        <v>0</v>
      </c>
      <c r="DA35" s="533">
        <v>0</v>
      </c>
      <c r="DB35" s="533">
        <v>0</v>
      </c>
      <c r="DC35" s="479">
        <v>0</v>
      </c>
      <c r="DD35" s="479">
        <v>0</v>
      </c>
      <c r="DE35" s="479">
        <v>0</v>
      </c>
      <c r="DF35" s="479">
        <v>0</v>
      </c>
      <c r="DG35" s="479">
        <v>0</v>
      </c>
      <c r="DH35" s="479">
        <v>0</v>
      </c>
      <c r="DI35" s="479">
        <v>0</v>
      </c>
      <c r="DJ35" s="479">
        <v>0</v>
      </c>
      <c r="DK35" s="479">
        <v>0</v>
      </c>
      <c r="DL35" s="479">
        <v>0</v>
      </c>
      <c r="DM35" s="479">
        <v>0</v>
      </c>
      <c r="DN35" s="479">
        <v>0</v>
      </c>
      <c r="DO35" s="479">
        <v>0</v>
      </c>
      <c r="DP35" s="479">
        <v>0</v>
      </c>
      <c r="DQ35" s="479">
        <v>0</v>
      </c>
      <c r="DR35" s="479">
        <v>0</v>
      </c>
      <c r="DS35" s="479">
        <v>0</v>
      </c>
      <c r="DT35" s="479">
        <v>0</v>
      </c>
      <c r="DU35" s="479">
        <v>0</v>
      </c>
      <c r="DV35" s="479">
        <v>0</v>
      </c>
      <c r="DW35" s="479">
        <v>0</v>
      </c>
      <c r="DX35" s="479">
        <v>0</v>
      </c>
      <c r="DY35" s="479">
        <v>0</v>
      </c>
      <c r="DZ35" s="479">
        <v>0</v>
      </c>
      <c r="EA35" s="479">
        <v>0</v>
      </c>
      <c r="EB35" s="479">
        <v>0</v>
      </c>
      <c r="EC35" s="479">
        <v>0</v>
      </c>
    </row>
    <row r="36" spans="1:133" ht="17.25" customHeight="1" x14ac:dyDescent="0.25">
      <c r="A36" s="481"/>
      <c r="B36" s="482"/>
      <c r="C36" s="561"/>
      <c r="D36" s="561"/>
      <c r="E36" s="561"/>
      <c r="F36" s="562"/>
      <c r="G36" s="561"/>
      <c r="H36" s="563"/>
      <c r="I36" s="561"/>
      <c r="J36" s="561"/>
      <c r="K36" s="561"/>
      <c r="L36" s="561"/>
      <c r="M36" s="562"/>
      <c r="N36" s="561"/>
      <c r="O36" s="561"/>
      <c r="P36" s="561"/>
      <c r="Q36" s="561"/>
      <c r="R36" s="561"/>
      <c r="S36" s="561"/>
      <c r="T36" s="561"/>
      <c r="U36" s="561"/>
      <c r="V36" s="561"/>
      <c r="W36" s="561"/>
      <c r="X36" s="561"/>
      <c r="Y36" s="561"/>
      <c r="Z36" s="561"/>
      <c r="AA36" s="561"/>
      <c r="AB36" s="561"/>
      <c r="AC36" s="561"/>
      <c r="AD36" s="563"/>
      <c r="AE36" s="561"/>
      <c r="AF36" s="561"/>
      <c r="AG36" s="561"/>
      <c r="AH36" s="561"/>
      <c r="AI36" s="561"/>
      <c r="AJ36" s="561"/>
      <c r="AK36" s="561"/>
      <c r="AL36" s="561"/>
      <c r="AM36" s="561"/>
      <c r="AN36" s="561"/>
      <c r="AO36" s="563"/>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4"/>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row>
    <row r="37" spans="1:133" ht="17.25" customHeight="1" x14ac:dyDescent="0.25">
      <c r="A37" s="477" t="s">
        <v>431</v>
      </c>
      <c r="B37" s="478" t="s">
        <v>432</v>
      </c>
      <c r="C37" s="533">
        <v>15799.149194481233</v>
      </c>
      <c r="D37" s="533">
        <v>16169.179850439999</v>
      </c>
      <c r="E37" s="533">
        <v>16470.980071780799</v>
      </c>
      <c r="F37" s="534">
        <v>16636.22470409</v>
      </c>
      <c r="G37" s="533">
        <v>17336.911325442426</v>
      </c>
      <c r="H37" s="535">
        <v>17621.08317719779</v>
      </c>
      <c r="I37" s="533">
        <v>17976.722737839998</v>
      </c>
      <c r="J37" s="533">
        <v>18157.790333569999</v>
      </c>
      <c r="K37" s="533">
        <v>18335.985190060004</v>
      </c>
      <c r="L37" s="533">
        <v>18549.640972419998</v>
      </c>
      <c r="M37" s="534">
        <v>18880.5665577</v>
      </c>
      <c r="N37" s="533">
        <v>19071.319829940003</v>
      </c>
      <c r="O37" s="533">
        <v>19297.275861840004</v>
      </c>
      <c r="P37" s="533">
        <v>19136.13135666</v>
      </c>
      <c r="Q37" s="533">
        <v>19083.714532799997</v>
      </c>
      <c r="R37" s="533">
        <v>19012.076992410002</v>
      </c>
      <c r="S37" s="533">
        <v>19070.259877590001</v>
      </c>
      <c r="T37" s="533">
        <v>18720.492429410002</v>
      </c>
      <c r="U37" s="533">
        <v>18897.772434309998</v>
      </c>
      <c r="V37" s="533">
        <v>18974.689284550001</v>
      </c>
      <c r="W37" s="533">
        <v>18875.298141160005</v>
      </c>
      <c r="X37" s="533">
        <v>19109.760161150003</v>
      </c>
      <c r="Y37" s="533">
        <v>19397.538455869995</v>
      </c>
      <c r="Z37" s="533">
        <v>19622.466289479995</v>
      </c>
      <c r="AA37" s="533">
        <v>19605.421284829998</v>
      </c>
      <c r="AB37" s="533">
        <v>19949.571433349996</v>
      </c>
      <c r="AC37" s="533">
        <v>20638.88987119</v>
      </c>
      <c r="AD37" s="535">
        <v>21100.987314209997</v>
      </c>
      <c r="AE37" s="533">
        <v>21179.326419770001</v>
      </c>
      <c r="AF37" s="533">
        <v>21646.820736129997</v>
      </c>
      <c r="AG37" s="533">
        <v>21997.084448519996</v>
      </c>
      <c r="AH37" s="533">
        <v>22688.649136959997</v>
      </c>
      <c r="AI37" s="533">
        <v>23144.079793360001</v>
      </c>
      <c r="AJ37" s="533">
        <v>23844.757203950001</v>
      </c>
      <c r="AK37" s="533">
        <v>24134.54750004</v>
      </c>
      <c r="AL37" s="533">
        <v>24094.181698996279</v>
      </c>
      <c r="AM37" s="533">
        <v>24201.054660370006</v>
      </c>
      <c r="AN37" s="533">
        <v>24365.110072246986</v>
      </c>
      <c r="AO37" s="535">
        <v>24634.230153650002</v>
      </c>
      <c r="AP37" s="533">
        <v>25287.988227423422</v>
      </c>
      <c r="AQ37" s="533">
        <v>25451.666864573563</v>
      </c>
      <c r="AR37" s="533">
        <v>25546.325413546438</v>
      </c>
      <c r="AS37" s="533">
        <v>25563.73240122644</v>
      </c>
      <c r="AT37" s="533">
        <v>26145.79971450644</v>
      </c>
      <c r="AU37" s="533">
        <v>26344.983763667358</v>
      </c>
      <c r="AV37" s="533">
        <v>26672.525094012803</v>
      </c>
      <c r="AW37" s="533">
        <v>26977.356744399996</v>
      </c>
      <c r="AX37" s="533">
        <v>26974.364925166959</v>
      </c>
      <c r="AY37" s="533">
        <v>26824.513714374112</v>
      </c>
      <c r="AZ37" s="533">
        <v>27398.278850339721</v>
      </c>
      <c r="BA37" s="533">
        <v>28129.365552115341</v>
      </c>
      <c r="BB37" s="533">
        <v>28352.395736190276</v>
      </c>
      <c r="BC37" s="533">
        <v>28532.668559512604</v>
      </c>
      <c r="BD37" s="533">
        <v>28470.215146898361</v>
      </c>
      <c r="BE37" s="533">
        <v>27629.527628826301</v>
      </c>
      <c r="BF37" s="533">
        <v>28023.493279000279</v>
      </c>
      <c r="BG37" s="533">
        <v>28195.26444483066</v>
      </c>
      <c r="BH37" s="533">
        <v>28131.045045772058</v>
      </c>
      <c r="BI37" s="533">
        <v>28630.365817431099</v>
      </c>
      <c r="BJ37" s="533">
        <v>29023.617727045261</v>
      </c>
      <c r="BK37" s="533">
        <v>27119.395050939998</v>
      </c>
      <c r="BL37" s="533">
        <v>27253.477460423252</v>
      </c>
      <c r="BM37" s="533">
        <v>27318.428225325686</v>
      </c>
      <c r="BN37" s="533">
        <v>27655.349700076469</v>
      </c>
      <c r="BO37" s="533">
        <v>27798.282589510545</v>
      </c>
      <c r="BP37" s="533">
        <v>28013.511867805624</v>
      </c>
      <c r="BQ37" s="533">
        <v>27734.163991005971</v>
      </c>
      <c r="BR37" s="533">
        <v>28118.068396404382</v>
      </c>
      <c r="BS37" s="533">
        <v>28493.457864095479</v>
      </c>
      <c r="BT37" s="533">
        <v>28669.465014519032</v>
      </c>
      <c r="BU37" s="533">
        <v>29204.886515387007</v>
      </c>
      <c r="BV37" s="533">
        <v>29736.414999691919</v>
      </c>
      <c r="BW37" s="533">
        <v>29923.454019163</v>
      </c>
      <c r="BX37" s="533">
        <v>30278.285729713709</v>
      </c>
      <c r="BY37" s="533">
        <v>30566.841783963864</v>
      </c>
      <c r="BZ37" s="533">
        <v>30695.496710676489</v>
      </c>
      <c r="CA37" s="533">
        <v>31251.36911350596</v>
      </c>
      <c r="CB37" s="533">
        <v>31547.546822615455</v>
      </c>
      <c r="CC37" s="533">
        <v>31343.913305010537</v>
      </c>
      <c r="CD37" s="533">
        <v>31704.459293510416</v>
      </c>
      <c r="CE37" s="533">
        <v>32092.06592451657</v>
      </c>
      <c r="CF37" s="533">
        <v>32865.138393912137</v>
      </c>
      <c r="CG37" s="533">
        <v>33111.096678597103</v>
      </c>
      <c r="CH37" s="533">
        <v>30665.521759812567</v>
      </c>
      <c r="CI37" s="533">
        <v>30330.845762194986</v>
      </c>
      <c r="CJ37" s="533">
        <v>31166.967891049753</v>
      </c>
      <c r="CK37" s="533">
        <v>31699.140142656495</v>
      </c>
      <c r="CL37" s="533">
        <v>32088.920303265593</v>
      </c>
      <c r="CM37" s="533">
        <v>32445.50560581663</v>
      </c>
      <c r="CN37" s="533">
        <v>32375.944620440227</v>
      </c>
      <c r="CO37" s="533">
        <v>32834.166035920804</v>
      </c>
      <c r="CP37" s="533">
        <v>33675.579012320646</v>
      </c>
      <c r="CQ37" s="533">
        <v>34097.504615011778</v>
      </c>
      <c r="CR37" s="533">
        <v>34756.433183906054</v>
      </c>
      <c r="CS37" s="533">
        <v>34443.636242859648</v>
      </c>
      <c r="CT37" s="533">
        <v>34759.41984395156</v>
      </c>
      <c r="CU37" s="533">
        <v>35335.886810203214</v>
      </c>
      <c r="CV37" s="533">
        <v>35251.577306225729</v>
      </c>
      <c r="CW37" s="533">
        <v>35675.347456142546</v>
      </c>
      <c r="CX37" s="533">
        <v>36152.183348764265</v>
      </c>
      <c r="CY37" s="533">
        <v>36470.473275948214</v>
      </c>
      <c r="CZ37" s="533">
        <v>36591.132997355278</v>
      </c>
      <c r="DA37" s="533">
        <v>36678.635610563666</v>
      </c>
      <c r="DB37" s="533">
        <v>36549.015655932468</v>
      </c>
      <c r="DC37" s="479">
        <v>36545.178328842492</v>
      </c>
      <c r="DD37" s="479">
        <v>37052.763291480776</v>
      </c>
      <c r="DE37" s="479">
        <v>37480.150531716623</v>
      </c>
      <c r="DF37" s="479">
        <v>37558.62155065449</v>
      </c>
      <c r="DG37" s="479">
        <v>38052.053750429244</v>
      </c>
      <c r="DH37" s="479">
        <v>38253.606426841237</v>
      </c>
      <c r="DI37" s="479">
        <v>38300.391679726556</v>
      </c>
      <c r="DJ37" s="479">
        <v>38949.897268580426</v>
      </c>
      <c r="DK37" s="479">
        <v>39368.827716009633</v>
      </c>
      <c r="DL37" s="479">
        <v>39604.999936164015</v>
      </c>
      <c r="DM37" s="479">
        <v>40080.990240553612</v>
      </c>
      <c r="DN37" s="479">
        <v>39955.765258568448</v>
      </c>
      <c r="DO37" s="479">
        <v>39964.160809286965</v>
      </c>
      <c r="DP37" s="479">
        <v>40309.118623245573</v>
      </c>
      <c r="DQ37" s="479">
        <v>40904.066348904351</v>
      </c>
      <c r="DR37" s="479">
        <v>40774.188642519162</v>
      </c>
      <c r="DS37" s="479">
        <v>40989.891607229802</v>
      </c>
      <c r="DT37" s="479">
        <v>41227.211561643533</v>
      </c>
      <c r="DU37" s="479">
        <v>41637.352621928076</v>
      </c>
      <c r="DV37" s="479">
        <v>42105.374194637239</v>
      </c>
      <c r="DW37" s="479">
        <v>42567.519741016964</v>
      </c>
      <c r="DX37" s="479">
        <v>42733.034245341449</v>
      </c>
      <c r="DY37" s="479">
        <v>42292.672215385152</v>
      </c>
      <c r="DZ37" s="479">
        <v>42213.425835607442</v>
      </c>
      <c r="EA37" s="479">
        <v>42206.539587091051</v>
      </c>
      <c r="EB37" s="479">
        <v>42318.871378878786</v>
      </c>
      <c r="EC37" s="479">
        <v>42236.538722483296</v>
      </c>
    </row>
    <row r="38" spans="1:133" ht="17.25" customHeight="1" x14ac:dyDescent="0.25">
      <c r="A38" s="481" t="s">
        <v>433</v>
      </c>
      <c r="B38" s="482" t="s">
        <v>434</v>
      </c>
      <c r="C38" s="502">
        <v>0</v>
      </c>
      <c r="D38" s="502">
        <v>0</v>
      </c>
      <c r="E38" s="502">
        <v>0</v>
      </c>
      <c r="F38" s="541">
        <v>0</v>
      </c>
      <c r="G38" s="502">
        <v>0</v>
      </c>
      <c r="H38" s="542">
        <v>0</v>
      </c>
      <c r="I38" s="502">
        <v>0</v>
      </c>
      <c r="J38" s="502">
        <v>0</v>
      </c>
      <c r="K38" s="502">
        <v>0</v>
      </c>
      <c r="L38" s="502">
        <v>0</v>
      </c>
      <c r="M38" s="541">
        <v>0</v>
      </c>
      <c r="N38" s="502">
        <v>0</v>
      </c>
      <c r="O38" s="502">
        <v>0</v>
      </c>
      <c r="P38" s="502">
        <v>0</v>
      </c>
      <c r="Q38" s="502">
        <v>0</v>
      </c>
      <c r="R38" s="502">
        <v>0</v>
      </c>
      <c r="S38" s="502">
        <v>0</v>
      </c>
      <c r="T38" s="502">
        <v>0</v>
      </c>
      <c r="U38" s="502">
        <v>0</v>
      </c>
      <c r="V38" s="502">
        <v>0</v>
      </c>
      <c r="W38" s="502">
        <v>0</v>
      </c>
      <c r="X38" s="502">
        <v>0</v>
      </c>
      <c r="Y38" s="502">
        <v>0</v>
      </c>
      <c r="Z38" s="502">
        <v>0</v>
      </c>
      <c r="AA38" s="502">
        <v>0</v>
      </c>
      <c r="AB38" s="502">
        <v>0</v>
      </c>
      <c r="AC38" s="502">
        <v>0</v>
      </c>
      <c r="AD38" s="542">
        <v>0</v>
      </c>
      <c r="AE38" s="502">
        <v>0</v>
      </c>
      <c r="AF38" s="502">
        <v>0</v>
      </c>
      <c r="AG38" s="502">
        <v>0</v>
      </c>
      <c r="AH38" s="502">
        <v>0</v>
      </c>
      <c r="AI38" s="502">
        <v>0</v>
      </c>
      <c r="AJ38" s="502">
        <v>0</v>
      </c>
      <c r="AK38" s="502">
        <v>0</v>
      </c>
      <c r="AL38" s="502">
        <v>0</v>
      </c>
      <c r="AM38" s="502">
        <v>0</v>
      </c>
      <c r="AN38" s="502">
        <v>0</v>
      </c>
      <c r="AO38" s="542">
        <v>0</v>
      </c>
      <c r="AP38" s="502">
        <v>0</v>
      </c>
      <c r="AQ38" s="502">
        <v>0</v>
      </c>
      <c r="AR38" s="502">
        <v>0</v>
      </c>
      <c r="AS38" s="502">
        <v>0</v>
      </c>
      <c r="AT38" s="502">
        <v>0</v>
      </c>
      <c r="AU38" s="502">
        <v>0</v>
      </c>
      <c r="AV38" s="502">
        <v>0</v>
      </c>
      <c r="AW38" s="502">
        <v>0</v>
      </c>
      <c r="AX38" s="502">
        <v>0</v>
      </c>
      <c r="AY38" s="502">
        <v>0</v>
      </c>
      <c r="AZ38" s="502">
        <v>0</v>
      </c>
      <c r="BA38" s="502">
        <v>0</v>
      </c>
      <c r="BB38" s="502">
        <v>0</v>
      </c>
      <c r="BC38" s="502">
        <v>0</v>
      </c>
      <c r="BD38" s="502">
        <v>0</v>
      </c>
      <c r="BE38" s="502">
        <v>0</v>
      </c>
      <c r="BF38" s="502">
        <v>0</v>
      </c>
      <c r="BG38" s="502">
        <v>0</v>
      </c>
      <c r="BH38" s="502">
        <v>0</v>
      </c>
      <c r="BI38" s="502">
        <v>0</v>
      </c>
      <c r="BJ38" s="502">
        <v>0</v>
      </c>
      <c r="BK38" s="502">
        <v>0</v>
      </c>
      <c r="BL38" s="502">
        <v>0</v>
      </c>
      <c r="BM38" s="502">
        <v>0</v>
      </c>
      <c r="BN38" s="502">
        <v>0</v>
      </c>
      <c r="BO38" s="502">
        <v>0</v>
      </c>
      <c r="BP38" s="502">
        <v>0</v>
      </c>
      <c r="BQ38" s="502">
        <v>0</v>
      </c>
      <c r="BR38" s="502">
        <v>0</v>
      </c>
      <c r="BS38" s="502">
        <v>0</v>
      </c>
      <c r="BT38" s="502">
        <v>0</v>
      </c>
      <c r="BU38" s="502">
        <v>0</v>
      </c>
      <c r="BV38" s="502">
        <v>0</v>
      </c>
      <c r="BW38" s="502">
        <v>0</v>
      </c>
      <c r="BX38" s="502">
        <v>0</v>
      </c>
      <c r="BY38" s="502">
        <v>0</v>
      </c>
      <c r="BZ38" s="502">
        <v>0</v>
      </c>
      <c r="CA38" s="502">
        <v>0</v>
      </c>
      <c r="CB38" s="502">
        <v>0</v>
      </c>
      <c r="CC38" s="502">
        <v>0</v>
      </c>
      <c r="CD38" s="502">
        <v>0</v>
      </c>
      <c r="CE38" s="502">
        <v>0</v>
      </c>
      <c r="CF38" s="502">
        <v>0</v>
      </c>
      <c r="CG38" s="502">
        <v>0</v>
      </c>
      <c r="CH38" s="502">
        <v>0</v>
      </c>
      <c r="CI38" s="502">
        <v>25.442443999999998</v>
      </c>
      <c r="CJ38" s="502">
        <v>0</v>
      </c>
      <c r="CK38" s="502">
        <v>0</v>
      </c>
      <c r="CL38" s="502">
        <v>0</v>
      </c>
      <c r="CM38" s="502">
        <v>0</v>
      </c>
      <c r="CN38" s="502">
        <v>0</v>
      </c>
      <c r="CO38" s="502">
        <v>0</v>
      </c>
      <c r="CP38" s="502">
        <v>0</v>
      </c>
      <c r="CQ38" s="502">
        <v>0</v>
      </c>
      <c r="CR38" s="502">
        <v>0</v>
      </c>
      <c r="CS38" s="502">
        <v>0</v>
      </c>
      <c r="CT38" s="502">
        <v>0</v>
      </c>
      <c r="CU38" s="502">
        <v>0</v>
      </c>
      <c r="CV38" s="502">
        <v>0</v>
      </c>
      <c r="CW38" s="502">
        <v>0</v>
      </c>
      <c r="CX38" s="502">
        <v>0</v>
      </c>
      <c r="CY38" s="502">
        <v>0</v>
      </c>
      <c r="CZ38" s="502">
        <v>0</v>
      </c>
      <c r="DA38" s="502">
        <v>0</v>
      </c>
      <c r="DB38" s="502">
        <v>0</v>
      </c>
      <c r="DC38" s="484">
        <v>0</v>
      </c>
      <c r="DD38" s="484">
        <v>0</v>
      </c>
      <c r="DE38" s="484">
        <v>0</v>
      </c>
      <c r="DF38" s="484">
        <v>0</v>
      </c>
      <c r="DG38" s="484">
        <v>0</v>
      </c>
      <c r="DH38" s="484">
        <v>0</v>
      </c>
      <c r="DI38" s="484">
        <v>0</v>
      </c>
      <c r="DJ38" s="484">
        <v>0</v>
      </c>
      <c r="DK38" s="484">
        <v>0</v>
      </c>
      <c r="DL38" s="484">
        <v>0</v>
      </c>
      <c r="DM38" s="484">
        <v>0</v>
      </c>
      <c r="DN38" s="484">
        <v>0</v>
      </c>
      <c r="DO38" s="484">
        <v>0</v>
      </c>
      <c r="DP38" s="484">
        <v>0</v>
      </c>
      <c r="DQ38" s="484">
        <v>0</v>
      </c>
      <c r="DR38" s="484">
        <v>0</v>
      </c>
      <c r="DS38" s="484">
        <v>0</v>
      </c>
      <c r="DT38" s="484">
        <v>0</v>
      </c>
      <c r="DU38" s="484">
        <v>0</v>
      </c>
      <c r="DV38" s="484">
        <v>0</v>
      </c>
      <c r="DW38" s="484">
        <v>0</v>
      </c>
      <c r="DX38" s="484">
        <v>0</v>
      </c>
      <c r="DY38" s="484">
        <v>0</v>
      </c>
      <c r="DZ38" s="484">
        <v>0</v>
      </c>
      <c r="EA38" s="484">
        <v>0</v>
      </c>
      <c r="EB38" s="484">
        <v>0</v>
      </c>
      <c r="EC38" s="484">
        <v>0</v>
      </c>
    </row>
    <row r="39" spans="1:133" ht="17.25" customHeight="1" x14ac:dyDescent="0.25">
      <c r="A39" s="481" t="s">
        <v>435</v>
      </c>
      <c r="B39" s="482" t="s">
        <v>436</v>
      </c>
      <c r="C39" s="502">
        <v>1056.237871</v>
      </c>
      <c r="D39" s="502">
        <v>1045.2836600000001</v>
      </c>
      <c r="E39" s="502">
        <v>1037.5757599999999</v>
      </c>
      <c r="F39" s="541">
        <v>1046.279935</v>
      </c>
      <c r="G39" s="502">
        <v>1066.9397759999999</v>
      </c>
      <c r="H39" s="542">
        <v>1067.2254459999999</v>
      </c>
      <c r="I39" s="502">
        <v>1077.0044459999999</v>
      </c>
      <c r="J39" s="502">
        <v>1080.5659430000001</v>
      </c>
      <c r="K39" s="502">
        <v>1086.0685539999999</v>
      </c>
      <c r="L39" s="502">
        <v>1051.344378</v>
      </c>
      <c r="M39" s="541">
        <v>1096.0337440000001</v>
      </c>
      <c r="N39" s="502">
        <v>1099.370502</v>
      </c>
      <c r="O39" s="502">
        <v>1108.70407</v>
      </c>
      <c r="P39" s="502">
        <v>1118.4946110000001</v>
      </c>
      <c r="Q39" s="502">
        <v>1106.0855670000001</v>
      </c>
      <c r="R39" s="502">
        <v>1101.062396</v>
      </c>
      <c r="S39" s="502">
        <v>1106.408987</v>
      </c>
      <c r="T39" s="502">
        <v>1124.7896040000001</v>
      </c>
      <c r="U39" s="502">
        <v>1129.6805569999999</v>
      </c>
      <c r="V39" s="502">
        <v>1161.2475649999999</v>
      </c>
      <c r="W39" s="502">
        <v>1155.363417</v>
      </c>
      <c r="X39" s="502">
        <v>1120.5326399999999</v>
      </c>
      <c r="Y39" s="502">
        <v>1112.9681869999999</v>
      </c>
      <c r="Z39" s="502">
        <v>1132.677878</v>
      </c>
      <c r="AA39" s="502">
        <v>1119.8491120000001</v>
      </c>
      <c r="AB39" s="502">
        <v>1128.4988470000001</v>
      </c>
      <c r="AC39" s="502">
        <v>1148.39096</v>
      </c>
      <c r="AD39" s="542">
        <v>1151.0812470000001</v>
      </c>
      <c r="AE39" s="502">
        <v>718.87731099999996</v>
      </c>
      <c r="AF39" s="502">
        <v>719.50127199999997</v>
      </c>
      <c r="AG39" s="502">
        <v>731.07004600000005</v>
      </c>
      <c r="AH39" s="502">
        <v>743.04621399999996</v>
      </c>
      <c r="AI39" s="502">
        <v>734.68812500000001</v>
      </c>
      <c r="AJ39" s="502">
        <v>743.68994399999997</v>
      </c>
      <c r="AK39" s="502">
        <v>730.23049600000002</v>
      </c>
      <c r="AL39" s="502">
        <v>744.61600199999998</v>
      </c>
      <c r="AM39" s="502">
        <v>761.51917400000002</v>
      </c>
      <c r="AN39" s="502">
        <v>767.09057600000006</v>
      </c>
      <c r="AO39" s="542">
        <v>766.42712400000005</v>
      </c>
      <c r="AP39" s="502">
        <v>1239.94310767</v>
      </c>
      <c r="AQ39" s="502">
        <v>1264.7914020000001</v>
      </c>
      <c r="AR39" s="502">
        <v>1274.3618821799998</v>
      </c>
      <c r="AS39" s="502">
        <v>1280.3042612500001</v>
      </c>
      <c r="AT39" s="502">
        <v>1306.7337675699998</v>
      </c>
      <c r="AU39" s="502">
        <v>1315.4817282500001</v>
      </c>
      <c r="AV39" s="502">
        <v>1319.3545815999998</v>
      </c>
      <c r="AW39" s="502">
        <v>1343.6667809600001</v>
      </c>
      <c r="AX39" s="502">
        <v>1342.82876171</v>
      </c>
      <c r="AY39" s="502">
        <v>1333.55312157</v>
      </c>
      <c r="AZ39" s="502">
        <v>1321.98492667</v>
      </c>
      <c r="BA39" s="502">
        <v>1319.2038304699997</v>
      </c>
      <c r="BB39" s="502">
        <v>1316.27753026</v>
      </c>
      <c r="BC39" s="502">
        <v>1336.1415414000001</v>
      </c>
      <c r="BD39" s="502">
        <v>1326.1321629700001</v>
      </c>
      <c r="BE39" s="502">
        <v>1325.2187798299999</v>
      </c>
      <c r="BF39" s="502">
        <v>1348.37139327</v>
      </c>
      <c r="BG39" s="502">
        <v>1358.8976903400001</v>
      </c>
      <c r="BH39" s="502">
        <v>1361.9308844500001</v>
      </c>
      <c r="BI39" s="502">
        <v>1361.8634456999998</v>
      </c>
      <c r="BJ39" s="502">
        <v>1370.59309803</v>
      </c>
      <c r="BK39" s="502">
        <v>1368.9030226</v>
      </c>
      <c r="BL39" s="502">
        <v>1377.67640314</v>
      </c>
      <c r="BM39" s="502">
        <v>1375.0246028900001</v>
      </c>
      <c r="BN39" s="502">
        <v>1392.0549100999999</v>
      </c>
      <c r="BO39" s="502">
        <v>1390.05763207</v>
      </c>
      <c r="BP39" s="502">
        <v>1393.6426739799999</v>
      </c>
      <c r="BQ39" s="502">
        <v>1390.7978904500001</v>
      </c>
      <c r="BR39" s="502">
        <v>1420.1508568899999</v>
      </c>
      <c r="BS39" s="502">
        <v>1406.46209548</v>
      </c>
      <c r="BT39" s="502">
        <v>1411.92561019</v>
      </c>
      <c r="BU39" s="502">
        <v>1441.8969315300001</v>
      </c>
      <c r="BV39" s="502">
        <v>1445.21796255</v>
      </c>
      <c r="BW39" s="502">
        <v>1438.9158322999999</v>
      </c>
      <c r="BX39" s="502">
        <v>1443.3061501599998</v>
      </c>
      <c r="BY39" s="502">
        <v>1450.0951263499999</v>
      </c>
      <c r="BZ39" s="502">
        <v>1417.7307113899999</v>
      </c>
      <c r="CA39" s="502">
        <v>1423.0068311500002</v>
      </c>
      <c r="CB39" s="502">
        <v>1420.0494755900002</v>
      </c>
      <c r="CC39" s="502">
        <v>1406.58910814</v>
      </c>
      <c r="CD39" s="502">
        <v>1433.9771584299999</v>
      </c>
      <c r="CE39" s="502">
        <v>1433.53684172</v>
      </c>
      <c r="CF39" s="502">
        <v>1425.6899541300002</v>
      </c>
      <c r="CG39" s="502">
        <v>1444.9201396299998</v>
      </c>
      <c r="CH39" s="502">
        <v>1445.02268033</v>
      </c>
      <c r="CI39" s="502">
        <v>1433.827867</v>
      </c>
      <c r="CJ39" s="502">
        <v>1444.8126629999999</v>
      </c>
      <c r="CK39" s="502">
        <v>1447.9274459999999</v>
      </c>
      <c r="CL39" s="502">
        <v>1423.7086429999999</v>
      </c>
      <c r="CM39" s="502">
        <v>1441.364472</v>
      </c>
      <c r="CN39" s="502">
        <v>1445.6515450899999</v>
      </c>
      <c r="CO39" s="502">
        <v>1432.0482320000001</v>
      </c>
      <c r="CP39" s="502">
        <v>1441.5702060000001</v>
      </c>
      <c r="CQ39" s="502">
        <v>1462.131445</v>
      </c>
      <c r="CR39" s="502">
        <v>1456.2139990000001</v>
      </c>
      <c r="CS39" s="502">
        <v>1466.2230400000001</v>
      </c>
      <c r="CT39" s="502">
        <v>1468.834036</v>
      </c>
      <c r="CU39" s="502">
        <v>1469.54766</v>
      </c>
      <c r="CV39" s="502">
        <v>1464.757014</v>
      </c>
      <c r="CW39" s="502">
        <v>1453.2769040000001</v>
      </c>
      <c r="CX39" s="502">
        <v>1433.9829420000001</v>
      </c>
      <c r="CY39" s="502">
        <v>1446.461695</v>
      </c>
      <c r="CZ39" s="502">
        <v>1431.3545360000001</v>
      </c>
      <c r="DA39" s="502">
        <v>1434.973129</v>
      </c>
      <c r="DB39" s="502">
        <v>1448.14832</v>
      </c>
      <c r="DC39" s="484">
        <v>1463.003573</v>
      </c>
      <c r="DD39" s="484">
        <v>1463.571326</v>
      </c>
      <c r="DE39" s="484">
        <v>1466.816681</v>
      </c>
      <c r="DF39" s="484">
        <v>1468.5239730000001</v>
      </c>
      <c r="DG39" s="484">
        <v>1481.9985790000001</v>
      </c>
      <c r="DH39" s="484">
        <v>1541.733348</v>
      </c>
      <c r="DI39" s="484">
        <v>1475.2976410000001</v>
      </c>
      <c r="DJ39" s="484">
        <v>1495.9835149999999</v>
      </c>
      <c r="DK39" s="484">
        <v>1500.517362</v>
      </c>
      <c r="DL39" s="484">
        <v>1499.1223319999999</v>
      </c>
      <c r="DM39" s="484">
        <v>1510.591831</v>
      </c>
      <c r="DN39" s="484">
        <v>1527.4086910000001</v>
      </c>
      <c r="DO39" s="484">
        <v>1535.026116</v>
      </c>
      <c r="DP39" s="484">
        <v>1565.9326490000001</v>
      </c>
      <c r="DQ39" s="484">
        <v>1578.5310703600001</v>
      </c>
      <c r="DR39" s="484">
        <v>1579.9144289999999</v>
      </c>
      <c r="DS39" s="484">
        <v>1592.7158926300001</v>
      </c>
      <c r="DT39" s="484">
        <v>1589.40410606</v>
      </c>
      <c r="DU39" s="484">
        <v>1594.9539873200001</v>
      </c>
      <c r="DV39" s="484">
        <v>1616.6837869999999</v>
      </c>
      <c r="DW39" s="484">
        <v>1622.2747836000001</v>
      </c>
      <c r="DX39" s="484">
        <v>1621.05042426</v>
      </c>
      <c r="DY39" s="484">
        <v>1651.3341506400002</v>
      </c>
      <c r="DZ39" s="484">
        <v>1658.377072</v>
      </c>
      <c r="EA39" s="484">
        <v>1654.530051</v>
      </c>
      <c r="EB39" s="484">
        <v>1694.061618</v>
      </c>
      <c r="EC39" s="484">
        <v>1684.0612312400001</v>
      </c>
    </row>
    <row r="40" spans="1:133" ht="17.25" customHeight="1" x14ac:dyDescent="0.25">
      <c r="A40" s="481" t="s">
        <v>437</v>
      </c>
      <c r="B40" s="482" t="s">
        <v>438</v>
      </c>
      <c r="C40" s="502">
        <v>14742.911323481234</v>
      </c>
      <c r="D40" s="502">
        <v>15123.896190439998</v>
      </c>
      <c r="E40" s="502">
        <v>15433.4043117808</v>
      </c>
      <c r="F40" s="541">
        <v>15589.94476909</v>
      </c>
      <c r="G40" s="502">
        <v>16269.971549442425</v>
      </c>
      <c r="H40" s="542">
        <v>16553.85773119779</v>
      </c>
      <c r="I40" s="502">
        <v>16899.718291839999</v>
      </c>
      <c r="J40" s="502">
        <v>17077.224390569998</v>
      </c>
      <c r="K40" s="502">
        <v>17249.916636060003</v>
      </c>
      <c r="L40" s="502">
        <v>17498.296594419997</v>
      </c>
      <c r="M40" s="541">
        <v>17784.5328137</v>
      </c>
      <c r="N40" s="502">
        <v>17971.949327940001</v>
      </c>
      <c r="O40" s="502">
        <v>18188.571791840004</v>
      </c>
      <c r="P40" s="502">
        <v>18017.636745659998</v>
      </c>
      <c r="Q40" s="502">
        <v>17977.628965799999</v>
      </c>
      <c r="R40" s="502">
        <v>17911.014596410001</v>
      </c>
      <c r="S40" s="502">
        <v>17963.850890590002</v>
      </c>
      <c r="T40" s="502">
        <v>17595.702825410001</v>
      </c>
      <c r="U40" s="502">
        <v>17768.091877309998</v>
      </c>
      <c r="V40" s="502">
        <v>17813.441719549999</v>
      </c>
      <c r="W40" s="502">
        <v>17719.934724160004</v>
      </c>
      <c r="X40" s="502">
        <v>17989.227521150002</v>
      </c>
      <c r="Y40" s="502">
        <v>18284.570268869997</v>
      </c>
      <c r="Z40" s="502">
        <v>18489.788411479996</v>
      </c>
      <c r="AA40" s="502">
        <v>18485.572172829998</v>
      </c>
      <c r="AB40" s="502">
        <v>18821.072586349997</v>
      </c>
      <c r="AC40" s="502">
        <v>19490.498911189999</v>
      </c>
      <c r="AD40" s="542">
        <v>19949.906067209999</v>
      </c>
      <c r="AE40" s="502">
        <v>20460.449108770001</v>
      </c>
      <c r="AF40" s="502">
        <v>20927.319464129996</v>
      </c>
      <c r="AG40" s="502">
        <v>21266.014402519995</v>
      </c>
      <c r="AH40" s="502">
        <v>21945.602922959999</v>
      </c>
      <c r="AI40" s="502">
        <v>22409.39166836</v>
      </c>
      <c r="AJ40" s="502">
        <v>23101.067259949999</v>
      </c>
      <c r="AK40" s="502">
        <v>23404.31700404</v>
      </c>
      <c r="AL40" s="502">
        <v>23349.56569699628</v>
      </c>
      <c r="AM40" s="502">
        <v>23439.535486370005</v>
      </c>
      <c r="AN40" s="502">
        <v>23598.019496246987</v>
      </c>
      <c r="AO40" s="542">
        <v>23867.80302965</v>
      </c>
      <c r="AP40" s="502">
        <v>24048.045119753424</v>
      </c>
      <c r="AQ40" s="502">
        <v>24186.875462573564</v>
      </c>
      <c r="AR40" s="502">
        <v>24271.963531366437</v>
      </c>
      <c r="AS40" s="502">
        <v>24283.42813997644</v>
      </c>
      <c r="AT40" s="502">
        <v>24839.06594693644</v>
      </c>
      <c r="AU40" s="502">
        <v>25029.502035417358</v>
      </c>
      <c r="AV40" s="502">
        <v>25353.170512412802</v>
      </c>
      <c r="AW40" s="502">
        <v>25633.689963439996</v>
      </c>
      <c r="AX40" s="502">
        <v>25631.53616345696</v>
      </c>
      <c r="AY40" s="502">
        <v>25490.960592804113</v>
      </c>
      <c r="AZ40" s="502">
        <v>26076.29392366972</v>
      </c>
      <c r="BA40" s="502">
        <v>26810.161721645341</v>
      </c>
      <c r="BB40" s="502">
        <v>27036.118205930277</v>
      </c>
      <c r="BC40" s="502">
        <v>27196.527018112603</v>
      </c>
      <c r="BD40" s="502">
        <v>27144.082983928362</v>
      </c>
      <c r="BE40" s="502">
        <v>26304.308848996301</v>
      </c>
      <c r="BF40" s="502">
        <v>26675.121885730277</v>
      </c>
      <c r="BG40" s="502">
        <v>26836.36675449066</v>
      </c>
      <c r="BH40" s="502">
        <v>26769.114161322057</v>
      </c>
      <c r="BI40" s="502">
        <v>27268.502371731098</v>
      </c>
      <c r="BJ40" s="502">
        <v>27653.024629015261</v>
      </c>
      <c r="BK40" s="502">
        <v>25750.492028339999</v>
      </c>
      <c r="BL40" s="502">
        <v>25875.80105728325</v>
      </c>
      <c r="BM40" s="502">
        <v>25943.403622435686</v>
      </c>
      <c r="BN40" s="502">
        <v>26263.294789976469</v>
      </c>
      <c r="BO40" s="502">
        <v>26408.224957440547</v>
      </c>
      <c r="BP40" s="502">
        <v>26619.869193825623</v>
      </c>
      <c r="BQ40" s="502">
        <v>26343.36610055597</v>
      </c>
      <c r="BR40" s="502">
        <v>26697.917539514383</v>
      </c>
      <c r="BS40" s="502">
        <v>27086.995768615478</v>
      </c>
      <c r="BT40" s="502">
        <v>27257.539404329033</v>
      </c>
      <c r="BU40" s="502">
        <v>27762.989583857008</v>
      </c>
      <c r="BV40" s="502">
        <v>28291.197037141919</v>
      </c>
      <c r="BW40" s="502">
        <v>28484.538186862999</v>
      </c>
      <c r="BX40" s="502">
        <v>28834.97957955371</v>
      </c>
      <c r="BY40" s="502">
        <v>29116.746657613865</v>
      </c>
      <c r="BZ40" s="502">
        <v>29277.76599928649</v>
      </c>
      <c r="CA40" s="502">
        <v>29828.36228235596</v>
      </c>
      <c r="CB40" s="502">
        <v>30127.497347025455</v>
      </c>
      <c r="CC40" s="502">
        <v>29937.324196870537</v>
      </c>
      <c r="CD40" s="502">
        <v>30270.482135080416</v>
      </c>
      <c r="CE40" s="502">
        <v>30658.529082796569</v>
      </c>
      <c r="CF40" s="502">
        <v>31439.44843978214</v>
      </c>
      <c r="CG40" s="502">
        <v>31666.176538967102</v>
      </c>
      <c r="CH40" s="502">
        <v>29220.499079482568</v>
      </c>
      <c r="CI40" s="502">
        <v>28871.575451194985</v>
      </c>
      <c r="CJ40" s="502">
        <v>29722.155228049753</v>
      </c>
      <c r="CK40" s="502">
        <v>30251.212696656494</v>
      </c>
      <c r="CL40" s="502">
        <v>30665.211660265595</v>
      </c>
      <c r="CM40" s="502">
        <v>31004.141133816629</v>
      </c>
      <c r="CN40" s="502">
        <v>30930.293075350226</v>
      </c>
      <c r="CO40" s="502">
        <v>31402.117803920803</v>
      </c>
      <c r="CP40" s="502">
        <v>32234.008806320646</v>
      </c>
      <c r="CQ40" s="502">
        <v>32635.373170011779</v>
      </c>
      <c r="CR40" s="502">
        <v>33300.219184906055</v>
      </c>
      <c r="CS40" s="502">
        <v>32977.41320285965</v>
      </c>
      <c r="CT40" s="502">
        <v>33290.58580795156</v>
      </c>
      <c r="CU40" s="502">
        <v>33866.339150203217</v>
      </c>
      <c r="CV40" s="502">
        <v>33786.820292225726</v>
      </c>
      <c r="CW40" s="502">
        <v>34222.070552142548</v>
      </c>
      <c r="CX40" s="502">
        <v>34718.200406764263</v>
      </c>
      <c r="CY40" s="502">
        <v>35024.011580948216</v>
      </c>
      <c r="CZ40" s="502">
        <v>35159.778461355279</v>
      </c>
      <c r="DA40" s="502">
        <v>35243.662481563668</v>
      </c>
      <c r="DB40" s="502">
        <v>35100.867335932468</v>
      </c>
      <c r="DC40" s="484">
        <v>35082.17475584249</v>
      </c>
      <c r="DD40" s="484">
        <v>35589.191965480779</v>
      </c>
      <c r="DE40" s="484">
        <v>36013.333850716626</v>
      </c>
      <c r="DF40" s="484">
        <v>36090.097577654487</v>
      </c>
      <c r="DG40" s="484">
        <v>36570.055171429245</v>
      </c>
      <c r="DH40" s="484">
        <v>36711.873078841236</v>
      </c>
      <c r="DI40" s="484">
        <v>36825.094038726558</v>
      </c>
      <c r="DJ40" s="484">
        <v>37453.913753580426</v>
      </c>
      <c r="DK40" s="484">
        <v>37868.310354009634</v>
      </c>
      <c r="DL40" s="484">
        <v>38105.877604164016</v>
      </c>
      <c r="DM40" s="484">
        <v>38570.398409553614</v>
      </c>
      <c r="DN40" s="484">
        <v>38428.356567568451</v>
      </c>
      <c r="DO40" s="484">
        <v>38429.134693286964</v>
      </c>
      <c r="DP40" s="484">
        <v>38743.185974245571</v>
      </c>
      <c r="DQ40" s="484">
        <v>39325.535278544354</v>
      </c>
      <c r="DR40" s="484">
        <v>39194.274213519166</v>
      </c>
      <c r="DS40" s="484">
        <v>39397.175714599798</v>
      </c>
      <c r="DT40" s="484">
        <v>39637.807455583534</v>
      </c>
      <c r="DU40" s="484">
        <v>40042.398634608078</v>
      </c>
      <c r="DV40" s="484">
        <v>40488.690407637238</v>
      </c>
      <c r="DW40" s="484">
        <v>40945.244957416966</v>
      </c>
      <c r="DX40" s="484">
        <v>41111.983821081449</v>
      </c>
      <c r="DY40" s="484">
        <v>40641.338064745149</v>
      </c>
      <c r="DZ40" s="484">
        <v>40555.048763607439</v>
      </c>
      <c r="EA40" s="484">
        <v>40552.009536091049</v>
      </c>
      <c r="EB40" s="484">
        <v>40624.809760878787</v>
      </c>
      <c r="EC40" s="484">
        <v>40552.477491243299</v>
      </c>
    </row>
    <row r="41" spans="1:133" ht="17.25" customHeight="1" x14ac:dyDescent="0.25">
      <c r="A41" s="481"/>
      <c r="B41" s="482"/>
      <c r="C41" s="561"/>
      <c r="D41" s="561"/>
      <c r="E41" s="561"/>
      <c r="F41" s="562"/>
      <c r="G41" s="561"/>
      <c r="H41" s="563"/>
      <c r="I41" s="561"/>
      <c r="J41" s="561"/>
      <c r="K41" s="561"/>
      <c r="L41" s="561"/>
      <c r="M41" s="562"/>
      <c r="N41" s="561"/>
      <c r="O41" s="561"/>
      <c r="P41" s="561"/>
      <c r="Q41" s="561"/>
      <c r="R41" s="561"/>
      <c r="S41" s="561"/>
      <c r="T41" s="561"/>
      <c r="U41" s="561"/>
      <c r="V41" s="561"/>
      <c r="W41" s="561"/>
      <c r="X41" s="561"/>
      <c r="Y41" s="561"/>
      <c r="Z41" s="561"/>
      <c r="AA41" s="561"/>
      <c r="AB41" s="561"/>
      <c r="AC41" s="561"/>
      <c r="AD41" s="563"/>
      <c r="AE41" s="561"/>
      <c r="AF41" s="561"/>
      <c r="AG41" s="561"/>
      <c r="AH41" s="561"/>
      <c r="AI41" s="561"/>
      <c r="AJ41" s="561"/>
      <c r="AK41" s="561"/>
      <c r="AL41" s="561"/>
      <c r="AM41" s="561"/>
      <c r="AN41" s="561"/>
      <c r="AO41" s="563"/>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row>
    <row r="42" spans="1:133" ht="17.25" customHeight="1" x14ac:dyDescent="0.25">
      <c r="A42" s="477" t="s">
        <v>439</v>
      </c>
      <c r="B42" s="478" t="s">
        <v>463</v>
      </c>
      <c r="C42" s="533">
        <v>726.30212647999997</v>
      </c>
      <c r="D42" s="533">
        <v>730.39840418000006</v>
      </c>
      <c r="E42" s="533">
        <v>618.43484755920008</v>
      </c>
      <c r="F42" s="534">
        <v>740.38654256999996</v>
      </c>
      <c r="G42" s="533">
        <v>646.78364239999996</v>
      </c>
      <c r="H42" s="535">
        <v>572.08562338000002</v>
      </c>
      <c r="I42" s="533">
        <v>550.23047771000006</v>
      </c>
      <c r="J42" s="533">
        <v>558.05042742000001</v>
      </c>
      <c r="K42" s="533">
        <v>552.97945962000006</v>
      </c>
      <c r="L42" s="533">
        <v>559.17220728999996</v>
      </c>
      <c r="M42" s="534">
        <v>562.7922152000001</v>
      </c>
      <c r="N42" s="533">
        <v>565.61743013</v>
      </c>
      <c r="O42" s="533">
        <v>563.79909946999999</v>
      </c>
      <c r="P42" s="533">
        <v>567.45060109999997</v>
      </c>
      <c r="Q42" s="533">
        <v>621.18159661000004</v>
      </c>
      <c r="R42" s="533">
        <v>623.94371149000006</v>
      </c>
      <c r="S42" s="533">
        <v>664.89246536999997</v>
      </c>
      <c r="T42" s="533">
        <v>675.52734220000002</v>
      </c>
      <c r="U42" s="533">
        <v>741.88147501000003</v>
      </c>
      <c r="V42" s="533">
        <v>735.36646825999992</v>
      </c>
      <c r="W42" s="533">
        <v>865.76031336000005</v>
      </c>
      <c r="X42" s="533">
        <v>805.0815020199999</v>
      </c>
      <c r="Y42" s="533">
        <v>810.36657187000003</v>
      </c>
      <c r="Z42" s="533">
        <v>816.01652031999993</v>
      </c>
      <c r="AA42" s="533">
        <v>818.70660423999993</v>
      </c>
      <c r="AB42" s="533">
        <v>854.49913663000007</v>
      </c>
      <c r="AC42" s="533">
        <v>887.07480782000016</v>
      </c>
      <c r="AD42" s="535">
        <v>861.51725778999992</v>
      </c>
      <c r="AE42" s="533">
        <v>640.37404246999995</v>
      </c>
      <c r="AF42" s="533">
        <v>658.00162995000005</v>
      </c>
      <c r="AG42" s="533">
        <v>762.05223934000003</v>
      </c>
      <c r="AH42" s="533">
        <v>763.29237933000002</v>
      </c>
      <c r="AI42" s="533">
        <v>600.11227621</v>
      </c>
      <c r="AJ42" s="533">
        <v>516.71647100999996</v>
      </c>
      <c r="AK42" s="533">
        <v>549.01104077999992</v>
      </c>
      <c r="AL42" s="533">
        <v>596.4233511138641</v>
      </c>
      <c r="AM42" s="533">
        <v>597.49639311999999</v>
      </c>
      <c r="AN42" s="533">
        <v>650.72847651301367</v>
      </c>
      <c r="AO42" s="535">
        <v>682.70512811999993</v>
      </c>
      <c r="AP42" s="533">
        <v>702.43963852657532</v>
      </c>
      <c r="AQ42" s="533">
        <v>705.04451739643832</v>
      </c>
      <c r="AR42" s="533">
        <v>748.63081716356169</v>
      </c>
      <c r="AS42" s="533">
        <v>850.48227772356165</v>
      </c>
      <c r="AT42" s="533">
        <v>768.55162236356159</v>
      </c>
      <c r="AU42" s="533">
        <v>770.49015616356155</v>
      </c>
      <c r="AV42" s="533">
        <v>783.15680260356169</v>
      </c>
      <c r="AW42" s="533">
        <v>1068.16589727</v>
      </c>
      <c r="AX42" s="533">
        <v>1149.4411638230399</v>
      </c>
      <c r="AY42" s="533">
        <v>1253.6824820458903</v>
      </c>
      <c r="AZ42" s="533">
        <v>1439.0540885602738</v>
      </c>
      <c r="BA42" s="533">
        <v>1474.4996932746578</v>
      </c>
      <c r="BB42" s="533">
        <v>1483.081225139726</v>
      </c>
      <c r="BC42" s="533">
        <v>1652.7592729373973</v>
      </c>
      <c r="BD42" s="533">
        <v>1671.2450031816438</v>
      </c>
      <c r="BE42" s="533">
        <v>1687.9613241436987</v>
      </c>
      <c r="BF42" s="533">
        <v>1369.9318237097261</v>
      </c>
      <c r="BG42" s="533">
        <v>1465.100625689337</v>
      </c>
      <c r="BH42" s="533">
        <v>1567.3237158879451</v>
      </c>
      <c r="BI42" s="533">
        <v>1570.457439008904</v>
      </c>
      <c r="BJ42" s="533">
        <v>1406.0268968034973</v>
      </c>
      <c r="BK42" s="533">
        <v>1405.76249001</v>
      </c>
      <c r="BL42" s="533">
        <v>1311.9401975067515</v>
      </c>
      <c r="BM42" s="533">
        <v>1290.9991546943181</v>
      </c>
      <c r="BN42" s="533">
        <v>1407.1600321024355</v>
      </c>
      <c r="BO42" s="533">
        <v>1422.0426776094539</v>
      </c>
      <c r="BP42" s="533">
        <v>1439.8729521815442</v>
      </c>
      <c r="BQ42" s="533">
        <v>1445.9378724651376</v>
      </c>
      <c r="BR42" s="533">
        <v>1379.3190071556162</v>
      </c>
      <c r="BS42" s="533">
        <v>1386.5160951345206</v>
      </c>
      <c r="BT42" s="533">
        <v>1403.7218646380384</v>
      </c>
      <c r="BU42" s="533">
        <v>1393.7948318676224</v>
      </c>
      <c r="BV42" s="533">
        <v>1521.7152890270499</v>
      </c>
      <c r="BW42" s="533">
        <v>1933.11199854705</v>
      </c>
      <c r="BX42" s="533">
        <v>1912.0727801009612</v>
      </c>
      <c r="BY42" s="533">
        <v>1921.6358240507996</v>
      </c>
      <c r="BZ42" s="533">
        <v>1990.6143178181733</v>
      </c>
      <c r="CA42" s="533">
        <v>1975.146650228706</v>
      </c>
      <c r="CB42" s="533">
        <v>1976.1102385692122</v>
      </c>
      <c r="CC42" s="533">
        <v>1549.53095162095</v>
      </c>
      <c r="CD42" s="533">
        <v>1451.2084267842474</v>
      </c>
      <c r="CE42" s="533">
        <v>1462.7293710680965</v>
      </c>
      <c r="CF42" s="533">
        <v>1468.7169780747017</v>
      </c>
      <c r="CG42" s="533">
        <v>1371.7919477338276</v>
      </c>
      <c r="CH42" s="533">
        <v>1301.3431934843293</v>
      </c>
      <c r="CI42" s="533">
        <v>1435.6952422045135</v>
      </c>
      <c r="CJ42" s="533">
        <v>1423.1869166581421</v>
      </c>
      <c r="CK42" s="533">
        <v>1431.8376136449285</v>
      </c>
      <c r="CL42" s="533">
        <v>1432.2704903741173</v>
      </c>
      <c r="CM42" s="533">
        <v>1524.088442361897</v>
      </c>
      <c r="CN42" s="533">
        <v>1532.8938521289851</v>
      </c>
      <c r="CO42" s="533">
        <v>1532.9577735925491</v>
      </c>
      <c r="CP42" s="533">
        <v>1715.827919374251</v>
      </c>
      <c r="CQ42" s="533">
        <v>1649.1695327521491</v>
      </c>
      <c r="CR42" s="533">
        <v>1460.7716587237439</v>
      </c>
      <c r="CS42" s="533">
        <v>1438.3533015501523</v>
      </c>
      <c r="CT42" s="533">
        <v>1386.4952811582689</v>
      </c>
      <c r="CU42" s="533">
        <v>1332.9707305499999</v>
      </c>
      <c r="CV42" s="533">
        <v>1308.9182295701269</v>
      </c>
      <c r="CW42" s="533">
        <v>1316.1312103094506</v>
      </c>
      <c r="CX42" s="533">
        <v>1318.5360748386327</v>
      </c>
      <c r="CY42" s="533">
        <v>1323.9944375765087</v>
      </c>
      <c r="CZ42" s="533">
        <v>1328.110314419614</v>
      </c>
      <c r="DA42" s="533">
        <v>1202.7802076645592</v>
      </c>
      <c r="DB42" s="533">
        <v>1221.9853446457637</v>
      </c>
      <c r="DC42" s="479">
        <v>1398.6084791614201</v>
      </c>
      <c r="DD42" s="479">
        <v>1388.9988532843061</v>
      </c>
      <c r="DE42" s="479">
        <v>1404.8856212686744</v>
      </c>
      <c r="DF42" s="479">
        <v>1503.8777184331655</v>
      </c>
      <c r="DG42" s="479">
        <v>1503.1837323446</v>
      </c>
      <c r="DH42" s="479">
        <v>1509.9911426466865</v>
      </c>
      <c r="DI42" s="479">
        <v>1464.9309500705567</v>
      </c>
      <c r="DJ42" s="479">
        <v>1465.407940740374</v>
      </c>
      <c r="DK42" s="479">
        <v>1442.8233164702444</v>
      </c>
      <c r="DL42" s="479">
        <v>1422.9910695259798</v>
      </c>
      <c r="DM42" s="479">
        <v>1428.990375419387</v>
      </c>
      <c r="DN42" s="479">
        <v>1355.0615200502557</v>
      </c>
      <c r="DO42" s="479">
        <v>1274.5697103494476</v>
      </c>
      <c r="DP42" s="479">
        <v>1319.0182214076901</v>
      </c>
      <c r="DQ42" s="479">
        <v>1342.1797533522811</v>
      </c>
      <c r="DR42" s="479">
        <v>1048.6164130681868</v>
      </c>
      <c r="DS42" s="479">
        <v>1196.5194532038622</v>
      </c>
      <c r="DT42" s="479">
        <v>1241.1077906216856</v>
      </c>
      <c r="DU42" s="479">
        <v>1162.9393743835617</v>
      </c>
      <c r="DV42" s="479">
        <v>1097.3668552984718</v>
      </c>
      <c r="DW42" s="479">
        <v>1109.4956524012271</v>
      </c>
      <c r="DX42" s="479">
        <v>1123.647927098546</v>
      </c>
      <c r="DY42" s="479">
        <v>1865.5682461191093</v>
      </c>
      <c r="DZ42" s="479">
        <v>1862.7755356088505</v>
      </c>
      <c r="EA42" s="479">
        <v>1868.9659905137478</v>
      </c>
      <c r="EB42" s="479">
        <v>1879.2871417260919</v>
      </c>
      <c r="EC42" s="479">
        <v>1876.0874587747876</v>
      </c>
    </row>
    <row r="43" spans="1:133" ht="17.25" customHeight="1" x14ac:dyDescent="0.25">
      <c r="A43" s="481" t="s">
        <v>441</v>
      </c>
      <c r="B43" s="482" t="s">
        <v>434</v>
      </c>
      <c r="C43" s="502">
        <v>0</v>
      </c>
      <c r="D43" s="502">
        <v>0</v>
      </c>
      <c r="E43" s="502">
        <v>0</v>
      </c>
      <c r="F43" s="541">
        <v>0</v>
      </c>
      <c r="G43" s="502">
        <v>0</v>
      </c>
      <c r="H43" s="542">
        <v>0</v>
      </c>
      <c r="I43" s="502">
        <v>0</v>
      </c>
      <c r="J43" s="502">
        <v>0</v>
      </c>
      <c r="K43" s="502">
        <v>0</v>
      </c>
      <c r="L43" s="502">
        <v>0</v>
      </c>
      <c r="M43" s="541">
        <v>0</v>
      </c>
      <c r="N43" s="502">
        <v>0</v>
      </c>
      <c r="O43" s="502">
        <v>0</v>
      </c>
      <c r="P43" s="502">
        <v>0</v>
      </c>
      <c r="Q43" s="502">
        <v>0</v>
      </c>
      <c r="R43" s="502">
        <v>50.744235000000003</v>
      </c>
      <c r="S43" s="502">
        <v>50.042693999999997</v>
      </c>
      <c r="T43" s="502">
        <v>50.392009000000002</v>
      </c>
      <c r="U43" s="502">
        <v>474.76731388000002</v>
      </c>
      <c r="V43" s="502">
        <v>470.10381735999999</v>
      </c>
      <c r="W43" s="502">
        <v>472.09503471000005</v>
      </c>
      <c r="X43" s="502">
        <v>526.16627173999996</v>
      </c>
      <c r="Y43" s="502">
        <v>528.76367500000003</v>
      </c>
      <c r="Z43" s="502">
        <v>532.00065072999996</v>
      </c>
      <c r="AA43" s="502">
        <v>533.52308487999994</v>
      </c>
      <c r="AB43" s="502">
        <v>566.93726500000002</v>
      </c>
      <c r="AC43" s="502">
        <v>569.51741500000003</v>
      </c>
      <c r="AD43" s="542">
        <v>572.79224699999997</v>
      </c>
      <c r="AE43" s="502">
        <v>318.27837499999998</v>
      </c>
      <c r="AF43" s="502">
        <v>318.83748400000002</v>
      </c>
      <c r="AG43" s="502">
        <v>320.07963599999999</v>
      </c>
      <c r="AH43" s="502">
        <v>320.17100299999998</v>
      </c>
      <c r="AI43" s="502">
        <v>158.364294</v>
      </c>
      <c r="AJ43" s="502">
        <v>79.922224</v>
      </c>
      <c r="AK43" s="502">
        <v>0</v>
      </c>
      <c r="AL43" s="502">
        <v>0</v>
      </c>
      <c r="AM43" s="502">
        <v>0</v>
      </c>
      <c r="AN43" s="502">
        <v>0</v>
      </c>
      <c r="AO43" s="542">
        <v>0</v>
      </c>
      <c r="AP43" s="502">
        <v>0</v>
      </c>
      <c r="AQ43" s="502">
        <v>0</v>
      </c>
      <c r="AR43" s="502">
        <v>0</v>
      </c>
      <c r="AS43" s="502">
        <v>0</v>
      </c>
      <c r="AT43" s="502">
        <v>0</v>
      </c>
      <c r="AU43" s="502">
        <v>0</v>
      </c>
      <c r="AV43" s="502">
        <v>0</v>
      </c>
      <c r="AW43" s="502">
        <v>0</v>
      </c>
      <c r="AX43" s="502">
        <v>0</v>
      </c>
      <c r="AY43" s="502">
        <v>0</v>
      </c>
      <c r="AZ43" s="502">
        <v>0</v>
      </c>
      <c r="BA43" s="502">
        <v>0</v>
      </c>
      <c r="BB43" s="502">
        <v>0</v>
      </c>
      <c r="BC43" s="502">
        <v>0</v>
      </c>
      <c r="BD43" s="502">
        <v>0</v>
      </c>
      <c r="BE43" s="502">
        <v>0</v>
      </c>
      <c r="BF43" s="502">
        <v>0</v>
      </c>
      <c r="BG43" s="502">
        <v>0</v>
      </c>
      <c r="BH43" s="502">
        <v>0</v>
      </c>
      <c r="BI43" s="502">
        <v>0</v>
      </c>
      <c r="BJ43" s="502">
        <v>0</v>
      </c>
      <c r="BK43" s="502">
        <v>0</v>
      </c>
      <c r="BL43" s="502">
        <v>0</v>
      </c>
      <c r="BM43" s="502">
        <v>0</v>
      </c>
      <c r="BN43" s="502">
        <v>0</v>
      </c>
      <c r="BO43" s="502">
        <v>0</v>
      </c>
      <c r="BP43" s="502">
        <v>0</v>
      </c>
      <c r="BQ43" s="502">
        <v>0</v>
      </c>
      <c r="BR43" s="502">
        <v>0</v>
      </c>
      <c r="BS43" s="502">
        <v>0</v>
      </c>
      <c r="BT43" s="502">
        <v>0</v>
      </c>
      <c r="BU43" s="502">
        <v>0</v>
      </c>
      <c r="BV43" s="502">
        <v>0</v>
      </c>
      <c r="BW43" s="502">
        <v>0</v>
      </c>
      <c r="BX43" s="502">
        <v>0</v>
      </c>
      <c r="BY43" s="502">
        <v>0</v>
      </c>
      <c r="BZ43" s="502">
        <v>0</v>
      </c>
      <c r="CA43" s="502">
        <v>0</v>
      </c>
      <c r="CB43" s="502">
        <v>0</v>
      </c>
      <c r="CC43" s="502">
        <v>0</v>
      </c>
      <c r="CD43" s="502">
        <v>0</v>
      </c>
      <c r="CE43" s="502">
        <v>0</v>
      </c>
      <c r="CF43" s="502">
        <v>0</v>
      </c>
      <c r="CG43" s="502">
        <v>0</v>
      </c>
      <c r="CH43" s="502">
        <v>0</v>
      </c>
      <c r="CI43" s="502">
        <v>0</v>
      </c>
      <c r="CJ43" s="502">
        <v>0</v>
      </c>
      <c r="CK43" s="502">
        <v>0</v>
      </c>
      <c r="CL43" s="502">
        <v>0</v>
      </c>
      <c r="CM43" s="502">
        <v>0</v>
      </c>
      <c r="CN43" s="502">
        <v>0</v>
      </c>
      <c r="CO43" s="502">
        <v>0</v>
      </c>
      <c r="CP43" s="502">
        <v>0</v>
      </c>
      <c r="CQ43" s="502">
        <v>0</v>
      </c>
      <c r="CR43" s="502">
        <v>0</v>
      </c>
      <c r="CS43" s="502">
        <v>0</v>
      </c>
      <c r="CT43" s="502">
        <v>0</v>
      </c>
      <c r="CU43" s="502">
        <v>0</v>
      </c>
      <c r="CV43" s="502">
        <v>0</v>
      </c>
      <c r="CW43" s="502">
        <v>0</v>
      </c>
      <c r="CX43" s="502">
        <v>0</v>
      </c>
      <c r="CY43" s="502">
        <v>0</v>
      </c>
      <c r="CZ43" s="502">
        <v>0</v>
      </c>
      <c r="DA43" s="502">
        <v>0</v>
      </c>
      <c r="DB43" s="502">
        <v>0</v>
      </c>
      <c r="DC43" s="484">
        <v>0</v>
      </c>
      <c r="DD43" s="484">
        <v>0</v>
      </c>
      <c r="DE43" s="484">
        <v>0</v>
      </c>
      <c r="DF43" s="484">
        <v>0</v>
      </c>
      <c r="DG43" s="484">
        <v>0</v>
      </c>
      <c r="DH43" s="484">
        <v>0</v>
      </c>
      <c r="DI43" s="484">
        <v>0</v>
      </c>
      <c r="DJ43" s="484">
        <v>0</v>
      </c>
      <c r="DK43" s="484">
        <v>0</v>
      </c>
      <c r="DL43" s="484">
        <v>0</v>
      </c>
      <c r="DM43" s="484">
        <v>0</v>
      </c>
      <c r="DN43" s="484">
        <v>0</v>
      </c>
      <c r="DO43" s="484">
        <v>0</v>
      </c>
      <c r="DP43" s="484">
        <v>0</v>
      </c>
      <c r="DQ43" s="484">
        <v>0</v>
      </c>
      <c r="DR43" s="484">
        <v>0</v>
      </c>
      <c r="DS43" s="484">
        <v>0</v>
      </c>
      <c r="DT43" s="484">
        <v>0</v>
      </c>
      <c r="DU43" s="484">
        <v>0</v>
      </c>
      <c r="DV43" s="484">
        <v>0</v>
      </c>
      <c r="DW43" s="484">
        <v>0</v>
      </c>
      <c r="DX43" s="484">
        <v>0</v>
      </c>
      <c r="DY43" s="484">
        <v>0</v>
      </c>
      <c r="DZ43" s="484">
        <v>0</v>
      </c>
      <c r="EA43" s="484">
        <v>0</v>
      </c>
      <c r="EB43" s="484">
        <v>0</v>
      </c>
      <c r="EC43" s="484">
        <v>0</v>
      </c>
    </row>
    <row r="44" spans="1:133" ht="17.25" customHeight="1" x14ac:dyDescent="0.25">
      <c r="A44" s="481" t="s">
        <v>442</v>
      </c>
      <c r="B44" s="482" t="s">
        <v>436</v>
      </c>
      <c r="C44" s="502">
        <v>0</v>
      </c>
      <c r="D44" s="502">
        <v>0</v>
      </c>
      <c r="E44" s="502">
        <v>0</v>
      </c>
      <c r="F44" s="541">
        <v>0</v>
      </c>
      <c r="G44" s="502">
        <v>0</v>
      </c>
      <c r="H44" s="542">
        <v>0</v>
      </c>
      <c r="I44" s="502">
        <v>0.33796700000000002</v>
      </c>
      <c r="J44" s="502">
        <v>0</v>
      </c>
      <c r="K44" s="502">
        <v>0</v>
      </c>
      <c r="L44" s="502">
        <v>0</v>
      </c>
      <c r="M44" s="541">
        <v>0</v>
      </c>
      <c r="N44" s="502">
        <v>0</v>
      </c>
      <c r="O44" s="502">
        <v>0</v>
      </c>
      <c r="P44" s="502">
        <v>0</v>
      </c>
      <c r="Q44" s="502">
        <v>0</v>
      </c>
      <c r="R44" s="502">
        <v>0</v>
      </c>
      <c r="S44" s="502">
        <v>0</v>
      </c>
      <c r="T44" s="502">
        <v>0</v>
      </c>
      <c r="U44" s="502">
        <v>0</v>
      </c>
      <c r="V44" s="502">
        <v>0</v>
      </c>
      <c r="W44" s="502">
        <v>0</v>
      </c>
      <c r="X44" s="502">
        <v>0</v>
      </c>
      <c r="Y44" s="502">
        <v>0</v>
      </c>
      <c r="Z44" s="502">
        <v>0</v>
      </c>
      <c r="AA44" s="502">
        <v>0</v>
      </c>
      <c r="AB44" s="502">
        <v>0</v>
      </c>
      <c r="AC44" s="502">
        <v>0</v>
      </c>
      <c r="AD44" s="542">
        <v>0</v>
      </c>
      <c r="AE44" s="502">
        <v>18.91917617</v>
      </c>
      <c r="AF44" s="502">
        <v>0</v>
      </c>
      <c r="AG44" s="502">
        <v>0</v>
      </c>
      <c r="AH44" s="502">
        <v>0</v>
      </c>
      <c r="AI44" s="502">
        <v>0</v>
      </c>
      <c r="AJ44" s="502">
        <v>0</v>
      </c>
      <c r="AK44" s="502">
        <v>0</v>
      </c>
      <c r="AL44" s="502">
        <v>0</v>
      </c>
      <c r="AM44" s="502">
        <v>0</v>
      </c>
      <c r="AN44" s="502">
        <v>0</v>
      </c>
      <c r="AO44" s="542">
        <v>0</v>
      </c>
      <c r="AP44" s="502">
        <v>0</v>
      </c>
      <c r="AQ44" s="502">
        <v>0</v>
      </c>
      <c r="AR44" s="502">
        <v>0</v>
      </c>
      <c r="AS44" s="502">
        <v>0</v>
      </c>
      <c r="AT44" s="502">
        <v>0</v>
      </c>
      <c r="AU44" s="502">
        <v>0</v>
      </c>
      <c r="AV44" s="502">
        <v>0</v>
      </c>
      <c r="AW44" s="502">
        <v>0</v>
      </c>
      <c r="AX44" s="502">
        <v>0</v>
      </c>
      <c r="AY44" s="502">
        <v>0</v>
      </c>
      <c r="AZ44" s="502">
        <v>0</v>
      </c>
      <c r="BA44" s="502">
        <v>0</v>
      </c>
      <c r="BB44" s="502">
        <v>1.321191</v>
      </c>
      <c r="BC44" s="502">
        <v>0</v>
      </c>
      <c r="BD44" s="502">
        <v>0</v>
      </c>
      <c r="BE44" s="502">
        <v>0</v>
      </c>
      <c r="BF44" s="502">
        <v>0</v>
      </c>
      <c r="BG44" s="502">
        <v>0</v>
      </c>
      <c r="BH44" s="502">
        <v>0</v>
      </c>
      <c r="BI44" s="502">
        <v>0</v>
      </c>
      <c r="BJ44" s="502">
        <v>0</v>
      </c>
      <c r="BK44" s="502">
        <v>0</v>
      </c>
      <c r="BL44" s="502">
        <v>0</v>
      </c>
      <c r="BM44" s="502">
        <v>0</v>
      </c>
      <c r="BN44" s="502">
        <v>0</v>
      </c>
      <c r="BO44" s="502">
        <v>0</v>
      </c>
      <c r="BP44" s="502">
        <v>0</v>
      </c>
      <c r="BQ44" s="502">
        <v>0</v>
      </c>
      <c r="BR44" s="502">
        <v>0</v>
      </c>
      <c r="BS44" s="502">
        <v>0</v>
      </c>
      <c r="BT44" s="502">
        <v>0</v>
      </c>
      <c r="BU44" s="502">
        <v>0</v>
      </c>
      <c r="BV44" s="502">
        <v>0</v>
      </c>
      <c r="BW44" s="502">
        <v>0</v>
      </c>
      <c r="BX44" s="502">
        <v>0</v>
      </c>
      <c r="BY44" s="502">
        <v>0</v>
      </c>
      <c r="BZ44" s="502">
        <v>0</v>
      </c>
      <c r="CA44" s="502">
        <v>0</v>
      </c>
      <c r="CB44" s="502">
        <v>0</v>
      </c>
      <c r="CC44" s="502">
        <v>0</v>
      </c>
      <c r="CD44" s="502">
        <v>0</v>
      </c>
      <c r="CE44" s="502">
        <v>0</v>
      </c>
      <c r="CF44" s="502">
        <v>0</v>
      </c>
      <c r="CG44" s="502">
        <v>0</v>
      </c>
      <c r="CH44" s="502">
        <v>0</v>
      </c>
      <c r="CI44" s="502">
        <v>0</v>
      </c>
      <c r="CJ44" s="502">
        <v>0</v>
      </c>
      <c r="CK44" s="502">
        <v>0</v>
      </c>
      <c r="CL44" s="502">
        <v>0</v>
      </c>
      <c r="CM44" s="502">
        <v>0</v>
      </c>
      <c r="CN44" s="502">
        <v>0</v>
      </c>
      <c r="CO44" s="502">
        <v>0</v>
      </c>
      <c r="CP44" s="502">
        <v>0</v>
      </c>
      <c r="CQ44" s="502">
        <v>0</v>
      </c>
      <c r="CR44" s="502">
        <v>0</v>
      </c>
      <c r="CS44" s="502">
        <v>0</v>
      </c>
      <c r="CT44" s="502">
        <v>0</v>
      </c>
      <c r="CU44" s="502">
        <v>0</v>
      </c>
      <c r="CV44" s="502">
        <v>0</v>
      </c>
      <c r="CW44" s="502">
        <v>0</v>
      </c>
      <c r="CX44" s="502">
        <v>0</v>
      </c>
      <c r="CY44" s="502">
        <v>0</v>
      </c>
      <c r="CZ44" s="502">
        <v>0</v>
      </c>
      <c r="DA44" s="502">
        <v>0</v>
      </c>
      <c r="DB44" s="502">
        <v>0</v>
      </c>
      <c r="DC44" s="484">
        <v>24.383328767123288</v>
      </c>
      <c r="DD44" s="484">
        <v>0</v>
      </c>
      <c r="DE44" s="484">
        <v>0</v>
      </c>
      <c r="DF44" s="484">
        <v>0</v>
      </c>
      <c r="DG44" s="484">
        <v>0</v>
      </c>
      <c r="DH44" s="484">
        <v>0</v>
      </c>
      <c r="DI44" s="484">
        <v>0</v>
      </c>
      <c r="DJ44" s="484">
        <v>0</v>
      </c>
      <c r="DK44" s="484">
        <v>0</v>
      </c>
      <c r="DL44" s="484">
        <v>0</v>
      </c>
      <c r="DM44" s="484">
        <v>0</v>
      </c>
      <c r="DN44" s="484">
        <v>0</v>
      </c>
      <c r="DO44" s="484">
        <v>0</v>
      </c>
      <c r="DP44" s="484">
        <v>0</v>
      </c>
      <c r="DQ44" s="484">
        <v>0</v>
      </c>
      <c r="DR44" s="484">
        <v>0</v>
      </c>
      <c r="DS44" s="484">
        <v>0</v>
      </c>
      <c r="DT44" s="484">
        <v>0</v>
      </c>
      <c r="DU44" s="484">
        <v>0</v>
      </c>
      <c r="DV44" s="484">
        <v>0</v>
      </c>
      <c r="DW44" s="484">
        <v>0</v>
      </c>
      <c r="DX44" s="484">
        <v>0</v>
      </c>
      <c r="DY44" s="484">
        <v>0</v>
      </c>
      <c r="DZ44" s="484">
        <v>0</v>
      </c>
      <c r="EA44" s="484">
        <v>0</v>
      </c>
      <c r="EB44" s="484">
        <v>0</v>
      </c>
      <c r="EC44" s="484">
        <v>0</v>
      </c>
    </row>
    <row r="45" spans="1:133" ht="17.25" customHeight="1" x14ac:dyDescent="0.25">
      <c r="A45" s="481" t="s">
        <v>443</v>
      </c>
      <c r="B45" s="482" t="s">
        <v>438</v>
      </c>
      <c r="C45" s="502">
        <v>726.30212647999997</v>
      </c>
      <c r="D45" s="502">
        <v>730.39840418000006</v>
      </c>
      <c r="E45" s="502">
        <v>618.43484755920008</v>
      </c>
      <c r="F45" s="541">
        <v>740.38654256999996</v>
      </c>
      <c r="G45" s="502">
        <v>646.78364239999996</v>
      </c>
      <c r="H45" s="542">
        <v>572.08562338000002</v>
      </c>
      <c r="I45" s="502">
        <v>549.89251071000001</v>
      </c>
      <c r="J45" s="502">
        <v>558.05042742000001</v>
      </c>
      <c r="K45" s="502">
        <v>552.97945962000006</v>
      </c>
      <c r="L45" s="502">
        <v>559.17220728999996</v>
      </c>
      <c r="M45" s="541">
        <v>562.7922152000001</v>
      </c>
      <c r="N45" s="502">
        <v>565.61743013</v>
      </c>
      <c r="O45" s="502">
        <v>563.79909946999999</v>
      </c>
      <c r="P45" s="502">
        <v>567.45060109999997</v>
      </c>
      <c r="Q45" s="502">
        <v>621.18159661000004</v>
      </c>
      <c r="R45" s="502">
        <v>573.19947649000005</v>
      </c>
      <c r="S45" s="502">
        <v>614.84977136999998</v>
      </c>
      <c r="T45" s="502">
        <v>625.13533319999999</v>
      </c>
      <c r="U45" s="502">
        <v>267.11416113000001</v>
      </c>
      <c r="V45" s="502">
        <v>265.26265089999998</v>
      </c>
      <c r="W45" s="502">
        <v>393.66527865000006</v>
      </c>
      <c r="X45" s="502">
        <v>278.91523027999995</v>
      </c>
      <c r="Y45" s="502">
        <v>281.60289687</v>
      </c>
      <c r="Z45" s="502">
        <v>284.01586959000002</v>
      </c>
      <c r="AA45" s="502">
        <v>285.18351935999999</v>
      </c>
      <c r="AB45" s="502">
        <v>287.56187162999998</v>
      </c>
      <c r="AC45" s="502">
        <v>317.55739282000008</v>
      </c>
      <c r="AD45" s="542">
        <v>288.72501078999994</v>
      </c>
      <c r="AE45" s="502">
        <v>303.17649130000001</v>
      </c>
      <c r="AF45" s="502">
        <v>339.16414594999998</v>
      </c>
      <c r="AG45" s="502">
        <v>441.97260334000003</v>
      </c>
      <c r="AH45" s="502">
        <v>443.12137633000003</v>
      </c>
      <c r="AI45" s="502">
        <v>441.74798221000003</v>
      </c>
      <c r="AJ45" s="502">
        <v>436.79424700999999</v>
      </c>
      <c r="AK45" s="502">
        <v>549.01104077999992</v>
      </c>
      <c r="AL45" s="502">
        <v>596.4233511138641</v>
      </c>
      <c r="AM45" s="502">
        <v>597.49639311999999</v>
      </c>
      <c r="AN45" s="502">
        <v>650.72847651301367</v>
      </c>
      <c r="AO45" s="542">
        <v>682.70512811999993</v>
      </c>
      <c r="AP45" s="502">
        <v>702.43963852657532</v>
      </c>
      <c r="AQ45" s="502">
        <v>705.04451739643832</v>
      </c>
      <c r="AR45" s="502">
        <v>748.63081716356169</v>
      </c>
      <c r="AS45" s="502">
        <v>850.48227772356165</v>
      </c>
      <c r="AT45" s="502">
        <v>768.55162236356159</v>
      </c>
      <c r="AU45" s="502">
        <v>770.49015616356155</v>
      </c>
      <c r="AV45" s="502">
        <v>783.15680260356169</v>
      </c>
      <c r="AW45" s="502">
        <v>1068.16589727</v>
      </c>
      <c r="AX45" s="502">
        <v>1149.4411638230399</v>
      </c>
      <c r="AY45" s="502">
        <v>1253.6824820458903</v>
      </c>
      <c r="AZ45" s="502">
        <v>1439.0540885602738</v>
      </c>
      <c r="BA45" s="502">
        <v>1474.4996932746578</v>
      </c>
      <c r="BB45" s="502">
        <v>1481.760034139726</v>
      </c>
      <c r="BC45" s="502">
        <v>1652.7592729373973</v>
      </c>
      <c r="BD45" s="502">
        <v>1671.2450031816438</v>
      </c>
      <c r="BE45" s="502">
        <v>1687.9613241436987</v>
      </c>
      <c r="BF45" s="502">
        <v>1369.9318237097261</v>
      </c>
      <c r="BG45" s="502">
        <v>1465.100625689337</v>
      </c>
      <c r="BH45" s="502">
        <v>1567.3237158879451</v>
      </c>
      <c r="BI45" s="502">
        <v>1570.457439008904</v>
      </c>
      <c r="BJ45" s="502">
        <v>1406.0268968034973</v>
      </c>
      <c r="BK45" s="502">
        <v>1405.76249001</v>
      </c>
      <c r="BL45" s="502">
        <v>1311.9401975067515</v>
      </c>
      <c r="BM45" s="502">
        <v>1290.9991546943181</v>
      </c>
      <c r="BN45" s="502">
        <v>1407.1600321024355</v>
      </c>
      <c r="BO45" s="502">
        <v>1422.0426776094539</v>
      </c>
      <c r="BP45" s="502">
        <v>1439.8729521815442</v>
      </c>
      <c r="BQ45" s="502">
        <v>1445.9378724651376</v>
      </c>
      <c r="BR45" s="502">
        <v>1379.3190071556162</v>
      </c>
      <c r="BS45" s="502">
        <v>1386.5160951345206</v>
      </c>
      <c r="BT45" s="502">
        <v>1403.7218646380384</v>
      </c>
      <c r="BU45" s="502">
        <v>1393.7948318676224</v>
      </c>
      <c r="BV45" s="502">
        <v>1521.7152890270499</v>
      </c>
      <c r="BW45" s="502">
        <v>1933.11199854705</v>
      </c>
      <c r="BX45" s="502">
        <v>1912.0727801009612</v>
      </c>
      <c r="BY45" s="502">
        <v>1921.6358240507996</v>
      </c>
      <c r="BZ45" s="502">
        <v>1990.6143178181733</v>
      </c>
      <c r="CA45" s="502">
        <v>1975.146650228706</v>
      </c>
      <c r="CB45" s="502">
        <v>1976.1102385692122</v>
      </c>
      <c r="CC45" s="502">
        <v>1549.53095162095</v>
      </c>
      <c r="CD45" s="502">
        <v>1451.2084267842474</v>
      </c>
      <c r="CE45" s="502">
        <v>1462.7293710680965</v>
      </c>
      <c r="CF45" s="502">
        <v>1468.7169780747017</v>
      </c>
      <c r="CG45" s="502">
        <v>1371.7919477338276</v>
      </c>
      <c r="CH45" s="502">
        <v>1301.3431934843293</v>
      </c>
      <c r="CI45" s="502">
        <v>1435.6952422045135</v>
      </c>
      <c r="CJ45" s="502">
        <v>1423.1869166581421</v>
      </c>
      <c r="CK45" s="502">
        <v>1431.8376136449285</v>
      </c>
      <c r="CL45" s="502">
        <v>1432.2704903741173</v>
      </c>
      <c r="CM45" s="502">
        <v>1524.088442361897</v>
      </c>
      <c r="CN45" s="502">
        <v>1532.8938521289851</v>
      </c>
      <c r="CO45" s="502">
        <v>1532.9577735925491</v>
      </c>
      <c r="CP45" s="502">
        <v>1715.827919374251</v>
      </c>
      <c r="CQ45" s="502">
        <v>1649.1695327521491</v>
      </c>
      <c r="CR45" s="502">
        <v>1460.7716587237439</v>
      </c>
      <c r="CS45" s="502">
        <v>1438.3533015501523</v>
      </c>
      <c r="CT45" s="502">
        <v>1386.4952811582689</v>
      </c>
      <c r="CU45" s="502">
        <v>1332.9707305499999</v>
      </c>
      <c r="CV45" s="502">
        <v>1308.9182295701269</v>
      </c>
      <c r="CW45" s="502">
        <v>1316.1312103094506</v>
      </c>
      <c r="CX45" s="502">
        <v>1318.5360748386327</v>
      </c>
      <c r="CY45" s="502">
        <v>1323.9944375765087</v>
      </c>
      <c r="CZ45" s="502">
        <v>1328.110314419614</v>
      </c>
      <c r="DA45" s="502">
        <v>1202.7802076645592</v>
      </c>
      <c r="DB45" s="502">
        <v>1221.9853446457637</v>
      </c>
      <c r="DC45" s="484">
        <v>1374.2251503942969</v>
      </c>
      <c r="DD45" s="484">
        <v>1388.9988532843061</v>
      </c>
      <c r="DE45" s="484">
        <v>1404.8856212686744</v>
      </c>
      <c r="DF45" s="484">
        <v>1503.8777184331655</v>
      </c>
      <c r="DG45" s="484">
        <v>1503.1837323446</v>
      </c>
      <c r="DH45" s="484">
        <v>1509.9911426466865</v>
      </c>
      <c r="DI45" s="484">
        <v>1464.9309500705567</v>
      </c>
      <c r="DJ45" s="484">
        <v>1465.407940740374</v>
      </c>
      <c r="DK45" s="484">
        <v>1442.8233164702444</v>
      </c>
      <c r="DL45" s="484">
        <v>1422.9910695259798</v>
      </c>
      <c r="DM45" s="484">
        <v>1428.990375419387</v>
      </c>
      <c r="DN45" s="484">
        <v>1355.0615200502557</v>
      </c>
      <c r="DO45" s="484">
        <v>1274.5697103494476</v>
      </c>
      <c r="DP45" s="484">
        <v>1319.0182214076901</v>
      </c>
      <c r="DQ45" s="484">
        <v>1342.1797533522811</v>
      </c>
      <c r="DR45" s="484">
        <v>1048.6164130681868</v>
      </c>
      <c r="DS45" s="484">
        <v>1196.5194532038622</v>
      </c>
      <c r="DT45" s="484">
        <v>1241.1077906216856</v>
      </c>
      <c r="DU45" s="484">
        <v>1162.9393743835617</v>
      </c>
      <c r="DV45" s="484">
        <v>1097.3668552984718</v>
      </c>
      <c r="DW45" s="484">
        <v>1109.4956524012271</v>
      </c>
      <c r="DX45" s="484">
        <v>1123.647927098546</v>
      </c>
      <c r="DY45" s="484">
        <v>1865.5682461191093</v>
      </c>
      <c r="DZ45" s="484">
        <v>1862.7755356088505</v>
      </c>
      <c r="EA45" s="484">
        <v>1868.9659905137478</v>
      </c>
      <c r="EB45" s="484">
        <v>1879.2871417260919</v>
      </c>
      <c r="EC45" s="484">
        <v>1876.0874587747876</v>
      </c>
    </row>
    <row r="46" spans="1:133" ht="17.25" customHeight="1" x14ac:dyDescent="0.25">
      <c r="A46" s="481"/>
      <c r="B46" s="482"/>
      <c r="C46" s="561"/>
      <c r="D46" s="561"/>
      <c r="E46" s="561"/>
      <c r="F46" s="562"/>
      <c r="G46" s="561"/>
      <c r="H46" s="563"/>
      <c r="I46" s="561"/>
      <c r="J46" s="561"/>
      <c r="K46" s="561"/>
      <c r="L46" s="561"/>
      <c r="M46" s="562"/>
      <c r="N46" s="561"/>
      <c r="O46" s="561"/>
      <c r="P46" s="561"/>
      <c r="Q46" s="561"/>
      <c r="R46" s="561"/>
      <c r="S46" s="561"/>
      <c r="T46" s="561"/>
      <c r="U46" s="561"/>
      <c r="V46" s="561"/>
      <c r="W46" s="561"/>
      <c r="X46" s="561"/>
      <c r="Y46" s="561"/>
      <c r="Z46" s="561"/>
      <c r="AA46" s="561"/>
      <c r="AB46" s="561"/>
      <c r="AC46" s="561"/>
      <c r="AD46" s="563"/>
      <c r="AE46" s="561"/>
      <c r="AF46" s="561"/>
      <c r="AG46" s="561"/>
      <c r="AH46" s="561"/>
      <c r="AI46" s="561"/>
      <c r="AJ46" s="561"/>
      <c r="AK46" s="561"/>
      <c r="AL46" s="561"/>
      <c r="AM46" s="561"/>
      <c r="AN46" s="561"/>
      <c r="AO46" s="563"/>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1"/>
      <c r="DC46" s="564"/>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row>
    <row r="47" spans="1:133" ht="17.25" customHeight="1" x14ac:dyDescent="0.25">
      <c r="A47" s="477" t="s">
        <v>444</v>
      </c>
      <c r="B47" s="478" t="s">
        <v>445</v>
      </c>
      <c r="C47" s="533">
        <v>231.56321800000001</v>
      </c>
      <c r="D47" s="533">
        <v>244.56903</v>
      </c>
      <c r="E47" s="533">
        <v>243.88480200000001</v>
      </c>
      <c r="F47" s="534">
        <v>254.87686330000002</v>
      </c>
      <c r="G47" s="533">
        <v>261.02242823</v>
      </c>
      <c r="H47" s="535">
        <v>267.73320560000002</v>
      </c>
      <c r="I47" s="533">
        <v>275.04052743</v>
      </c>
      <c r="J47" s="533">
        <v>282.31181935000001</v>
      </c>
      <c r="K47" s="533">
        <v>289.80162895000007</v>
      </c>
      <c r="L47" s="533">
        <v>297.32200588000001</v>
      </c>
      <c r="M47" s="534">
        <v>304.61871102999999</v>
      </c>
      <c r="N47" s="533">
        <v>312.86439624000002</v>
      </c>
      <c r="O47" s="533">
        <v>355.71567060000001</v>
      </c>
      <c r="P47" s="533">
        <v>360.58522907999998</v>
      </c>
      <c r="Q47" s="533">
        <v>371.85660204000004</v>
      </c>
      <c r="R47" s="533">
        <v>377.38239969</v>
      </c>
      <c r="S47" s="533">
        <v>384.55283004</v>
      </c>
      <c r="T47" s="533">
        <v>392.83459299999998</v>
      </c>
      <c r="U47" s="533">
        <v>401.13427152999998</v>
      </c>
      <c r="V47" s="533">
        <v>409.26100296999999</v>
      </c>
      <c r="W47" s="533">
        <v>417.49837152999999</v>
      </c>
      <c r="X47" s="533">
        <v>428.14300871999995</v>
      </c>
      <c r="Y47" s="533">
        <v>440.10148677000001</v>
      </c>
      <c r="Z47" s="533">
        <v>451.12151657999993</v>
      </c>
      <c r="AA47" s="533">
        <v>464.7323165468012</v>
      </c>
      <c r="AB47" s="533">
        <v>472.71757152260756</v>
      </c>
      <c r="AC47" s="533">
        <v>483.25531720112178</v>
      </c>
      <c r="AD47" s="535">
        <v>490.05508636967824</v>
      </c>
      <c r="AE47" s="533">
        <v>490.05508636967824</v>
      </c>
      <c r="AF47" s="533">
        <v>510.40847064355597</v>
      </c>
      <c r="AG47" s="533">
        <v>522.70660879719185</v>
      </c>
      <c r="AH47" s="533">
        <v>531.99716621448056</v>
      </c>
      <c r="AI47" s="533">
        <v>542.1180730656896</v>
      </c>
      <c r="AJ47" s="533">
        <v>554.99149347934485</v>
      </c>
      <c r="AK47" s="533">
        <v>565.67439563025982</v>
      </c>
      <c r="AL47" s="533">
        <v>576.60892327325655</v>
      </c>
      <c r="AM47" s="533">
        <v>587.19330397957037</v>
      </c>
      <c r="AN47" s="533">
        <v>598.07582635165284</v>
      </c>
      <c r="AO47" s="535">
        <v>597.27096200000005</v>
      </c>
      <c r="AP47" s="533">
        <v>616.6490233267084</v>
      </c>
      <c r="AQ47" s="533">
        <v>623.19187332676222</v>
      </c>
      <c r="AR47" s="533">
        <v>634.66276787486925</v>
      </c>
      <c r="AS47" s="533">
        <v>647.0725286951448</v>
      </c>
      <c r="AT47" s="533">
        <v>659.28995629436088</v>
      </c>
      <c r="AU47" s="533">
        <v>672.32849999999996</v>
      </c>
      <c r="AV47" s="533">
        <v>682.70006847057846</v>
      </c>
      <c r="AW47" s="533">
        <v>676.41281135999998</v>
      </c>
      <c r="AX47" s="533">
        <v>687.06705868999995</v>
      </c>
      <c r="AY47" s="533">
        <v>704.40739228999996</v>
      </c>
      <c r="AZ47" s="533">
        <v>713.35561501999996</v>
      </c>
      <c r="BA47" s="533">
        <v>723.75272247999999</v>
      </c>
      <c r="BB47" s="533">
        <v>735.30842346999998</v>
      </c>
      <c r="BC47" s="533">
        <v>747.63109256000007</v>
      </c>
      <c r="BD47" s="533">
        <v>759.73270224999999</v>
      </c>
      <c r="BE47" s="533">
        <v>772.19647421000002</v>
      </c>
      <c r="BF47" s="533">
        <v>783.64372535000007</v>
      </c>
      <c r="BG47" s="533">
        <v>795.03426162999995</v>
      </c>
      <c r="BH47" s="533">
        <v>806.36142286999996</v>
      </c>
      <c r="BI47" s="533">
        <v>817.11920386999998</v>
      </c>
      <c r="BJ47" s="533">
        <v>829.69099343000005</v>
      </c>
      <c r="BK47" s="533">
        <v>841.75958768999999</v>
      </c>
      <c r="BL47" s="533">
        <v>841.34192214999996</v>
      </c>
      <c r="BM47" s="533">
        <v>850.71337003999997</v>
      </c>
      <c r="BN47" s="533">
        <v>860.90493549999997</v>
      </c>
      <c r="BO47" s="533">
        <v>871.46817457999987</v>
      </c>
      <c r="BP47" s="533">
        <v>882.04527719000009</v>
      </c>
      <c r="BQ47" s="533">
        <v>892.00809130000005</v>
      </c>
      <c r="BR47" s="533">
        <v>903.91998393000006</v>
      </c>
      <c r="BS47" s="533">
        <v>913.01940185000001</v>
      </c>
      <c r="BT47" s="533">
        <v>921.02394779999997</v>
      </c>
      <c r="BU47" s="533">
        <v>929.69761502000006</v>
      </c>
      <c r="BV47" s="533">
        <v>941.94318427000007</v>
      </c>
      <c r="BW47" s="533">
        <v>951.54407246999995</v>
      </c>
      <c r="BX47" s="533">
        <v>951.26087802999996</v>
      </c>
      <c r="BY47" s="533">
        <v>960.51654225000004</v>
      </c>
      <c r="BZ47" s="533">
        <v>959.27091482999992</v>
      </c>
      <c r="CA47" s="533">
        <v>968.69937096000001</v>
      </c>
      <c r="CB47" s="533">
        <v>976.84763184999997</v>
      </c>
      <c r="CC47" s="533">
        <v>987.94876218999991</v>
      </c>
      <c r="CD47" s="533">
        <v>997.67433128999994</v>
      </c>
      <c r="CE47" s="533">
        <v>1008.3339269400001</v>
      </c>
      <c r="CF47" s="533">
        <v>1018.04001825</v>
      </c>
      <c r="CG47" s="533">
        <v>1027.9046779100001</v>
      </c>
      <c r="CH47" s="533">
        <v>1034.54105153</v>
      </c>
      <c r="CI47" s="533">
        <v>1046.3292143400001</v>
      </c>
      <c r="CJ47" s="533">
        <v>1056.93696527</v>
      </c>
      <c r="CK47" s="533">
        <v>1068.1048831099999</v>
      </c>
      <c r="CL47" s="533">
        <v>1086.2447271100002</v>
      </c>
      <c r="CM47" s="533">
        <v>1094.89581032</v>
      </c>
      <c r="CN47" s="533">
        <v>1103.7077119</v>
      </c>
      <c r="CO47" s="533">
        <v>1114.0039380399999</v>
      </c>
      <c r="CP47" s="533">
        <v>1126.4172563299999</v>
      </c>
      <c r="CQ47" s="533">
        <v>1136.3494650599998</v>
      </c>
      <c r="CR47" s="533">
        <v>1148.6181616200001</v>
      </c>
      <c r="CS47" s="533">
        <v>1159.7702537600001</v>
      </c>
      <c r="CT47" s="533">
        <v>1170.5591787599999</v>
      </c>
      <c r="CU47" s="533">
        <v>1181.90419982</v>
      </c>
      <c r="CV47" s="533">
        <v>1190.8741275899999</v>
      </c>
      <c r="CW47" s="533">
        <v>1201.6446606699999</v>
      </c>
      <c r="CX47" s="533">
        <v>1213.0932805299999</v>
      </c>
      <c r="CY47" s="533">
        <v>1224.16639169</v>
      </c>
      <c r="CZ47" s="533">
        <v>1235.9602562800001</v>
      </c>
      <c r="DA47" s="533">
        <v>1250.3412743499998</v>
      </c>
      <c r="DB47" s="533">
        <v>1263.11193826</v>
      </c>
      <c r="DC47" s="479">
        <v>1275.6406891000001</v>
      </c>
      <c r="DD47" s="479">
        <v>1286.59783924</v>
      </c>
      <c r="DE47" s="479">
        <v>1297.00956477</v>
      </c>
      <c r="DF47" s="479">
        <v>1309.7397866099998</v>
      </c>
      <c r="DG47" s="479">
        <v>1321.1902400800002</v>
      </c>
      <c r="DH47" s="479">
        <v>1329.31778654</v>
      </c>
      <c r="DI47" s="479">
        <v>1337.5223003600001</v>
      </c>
      <c r="DJ47" s="479">
        <v>1348.4084109800001</v>
      </c>
      <c r="DK47" s="479">
        <v>1358.71483412</v>
      </c>
      <c r="DL47" s="479">
        <v>1367.46305525</v>
      </c>
      <c r="DM47" s="479">
        <v>1380.1434952499999</v>
      </c>
      <c r="DN47" s="479">
        <v>1392.2231166600002</v>
      </c>
      <c r="DO47" s="479">
        <v>1404.5468900500002</v>
      </c>
      <c r="DP47" s="479">
        <v>1413.72892305</v>
      </c>
      <c r="DQ47" s="479">
        <v>1419.5644658799999</v>
      </c>
      <c r="DR47" s="479">
        <v>1426.2431410899999</v>
      </c>
      <c r="DS47" s="479">
        <v>1439.1363995300001</v>
      </c>
      <c r="DT47" s="479">
        <v>1448.1125531499999</v>
      </c>
      <c r="DU47" s="479">
        <v>1459.4493050000001</v>
      </c>
      <c r="DV47" s="479">
        <v>1471.3457274500001</v>
      </c>
      <c r="DW47" s="479">
        <v>1481.4124169300001</v>
      </c>
      <c r="DX47" s="479">
        <v>1491.0998258900001</v>
      </c>
      <c r="DY47" s="479">
        <v>1504.0677675400002</v>
      </c>
      <c r="DZ47" s="479">
        <v>1517.5112380400003</v>
      </c>
      <c r="EA47" s="479">
        <v>1523.5827490800002</v>
      </c>
      <c r="EB47" s="479">
        <v>1524.93549147</v>
      </c>
      <c r="EC47" s="479">
        <v>1534.5647254300002</v>
      </c>
    </row>
    <row r="48" spans="1:133" ht="17.25" customHeight="1" x14ac:dyDescent="0.25">
      <c r="A48" s="481"/>
      <c r="B48" s="482"/>
      <c r="C48" s="561"/>
      <c r="D48" s="561"/>
      <c r="E48" s="561"/>
      <c r="F48" s="562"/>
      <c r="G48" s="561"/>
      <c r="H48" s="563"/>
      <c r="I48" s="561"/>
      <c r="J48" s="561"/>
      <c r="K48" s="561"/>
      <c r="L48" s="561"/>
      <c r="M48" s="562"/>
      <c r="N48" s="561"/>
      <c r="O48" s="561"/>
      <c r="P48" s="561"/>
      <c r="Q48" s="561"/>
      <c r="R48" s="561"/>
      <c r="S48" s="561"/>
      <c r="T48" s="561"/>
      <c r="U48" s="561"/>
      <c r="V48" s="561"/>
      <c r="W48" s="561"/>
      <c r="X48" s="561"/>
      <c r="Y48" s="561"/>
      <c r="Z48" s="561"/>
      <c r="AA48" s="561"/>
      <c r="AB48" s="561"/>
      <c r="AC48" s="561"/>
      <c r="AD48" s="563"/>
      <c r="AE48" s="561"/>
      <c r="AF48" s="561"/>
      <c r="AG48" s="561"/>
      <c r="AH48" s="561"/>
      <c r="AI48" s="561"/>
      <c r="AJ48" s="561"/>
      <c r="AK48" s="561"/>
      <c r="AL48" s="561"/>
      <c r="AM48" s="561"/>
      <c r="AN48" s="561"/>
      <c r="AO48" s="563"/>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1"/>
      <c r="CL48" s="561"/>
      <c r="CM48" s="561"/>
      <c r="CN48" s="561"/>
      <c r="CO48" s="561"/>
      <c r="CP48" s="561"/>
      <c r="CQ48" s="561"/>
      <c r="CR48" s="561"/>
      <c r="CS48" s="561"/>
      <c r="CT48" s="561"/>
      <c r="CU48" s="561"/>
      <c r="CV48" s="561"/>
      <c r="CW48" s="561"/>
      <c r="CX48" s="561"/>
      <c r="CY48" s="561"/>
      <c r="CZ48" s="561"/>
      <c r="DA48" s="561"/>
      <c r="DB48" s="561"/>
      <c r="DC48" s="564"/>
      <c r="DD48" s="564"/>
      <c r="DE48" s="564"/>
      <c r="DF48" s="564"/>
      <c r="DG48" s="564"/>
      <c r="DH48" s="564"/>
      <c r="DI48" s="564"/>
      <c r="DJ48" s="564"/>
      <c r="DK48" s="564"/>
      <c r="DL48" s="564"/>
      <c r="DM48" s="564"/>
      <c r="DN48" s="564"/>
      <c r="DO48" s="564"/>
      <c r="DP48" s="564"/>
      <c r="DQ48" s="564"/>
      <c r="DR48" s="564"/>
      <c r="DS48" s="564"/>
      <c r="DT48" s="564"/>
      <c r="DU48" s="564"/>
      <c r="DV48" s="564"/>
      <c r="DW48" s="564"/>
      <c r="DX48" s="564"/>
      <c r="DY48" s="564"/>
      <c r="DZ48" s="564"/>
      <c r="EA48" s="564"/>
      <c r="EB48" s="564"/>
      <c r="EC48" s="564"/>
    </row>
    <row r="49" spans="1:133" ht="17.25" customHeight="1" x14ac:dyDescent="0.25">
      <c r="A49" s="477" t="s">
        <v>446</v>
      </c>
      <c r="B49" s="478" t="s">
        <v>464</v>
      </c>
      <c r="C49" s="533">
        <v>600.40865150000002</v>
      </c>
      <c r="D49" s="533">
        <v>631.80492100000004</v>
      </c>
      <c r="E49" s="533">
        <v>442.22716700000001</v>
      </c>
      <c r="F49" s="534">
        <v>426.5625</v>
      </c>
      <c r="G49" s="533">
        <v>401.52750700000001</v>
      </c>
      <c r="H49" s="535">
        <v>394.97407600000003</v>
      </c>
      <c r="I49" s="533">
        <v>385.5</v>
      </c>
      <c r="J49" s="533">
        <v>405.88484299931508</v>
      </c>
      <c r="K49" s="533">
        <v>409.48247814999996</v>
      </c>
      <c r="L49" s="533">
        <v>427.01206814999995</v>
      </c>
      <c r="M49" s="534">
        <v>394.37107414999997</v>
      </c>
      <c r="N49" s="533">
        <v>409.44987114999998</v>
      </c>
      <c r="O49" s="533">
        <v>344.957334</v>
      </c>
      <c r="P49" s="533">
        <v>352.348794</v>
      </c>
      <c r="Q49" s="533">
        <v>355.197587</v>
      </c>
      <c r="R49" s="533">
        <v>348.09178100000003</v>
      </c>
      <c r="S49" s="533">
        <v>312.91891399999997</v>
      </c>
      <c r="T49" s="533">
        <v>332.280823</v>
      </c>
      <c r="U49" s="533">
        <v>307</v>
      </c>
      <c r="V49" s="533">
        <v>309.41836999999998</v>
      </c>
      <c r="W49" s="533">
        <v>311.67551500000002</v>
      </c>
      <c r="X49" s="533">
        <v>310.55273999999997</v>
      </c>
      <c r="Y49" s="533">
        <v>290.30972700000001</v>
      </c>
      <c r="Z49" s="533">
        <v>287.501938</v>
      </c>
      <c r="AA49" s="533">
        <v>271</v>
      </c>
      <c r="AB49" s="533">
        <v>273.26852000000002</v>
      </c>
      <c r="AC49" s="533">
        <v>275.53704199999999</v>
      </c>
      <c r="AD49" s="535">
        <v>269.59178100000003</v>
      </c>
      <c r="AE49" s="533">
        <v>233.88992500000001</v>
      </c>
      <c r="AF49" s="533">
        <v>235.720541</v>
      </c>
      <c r="AG49" s="533">
        <v>228.5</v>
      </c>
      <c r="AH49" s="533">
        <v>230.391638</v>
      </c>
      <c r="AI49" s="533">
        <v>232.16123400000001</v>
      </c>
      <c r="AJ49" s="533">
        <v>228.66123400000001</v>
      </c>
      <c r="AK49" s="533">
        <v>233.814549</v>
      </c>
      <c r="AL49" s="533">
        <v>229.394836</v>
      </c>
      <c r="AM49" s="533">
        <v>192.57786899999999</v>
      </c>
      <c r="AN49" s="533">
        <v>194.14480900000001</v>
      </c>
      <c r="AO49" s="535">
        <v>195.711748</v>
      </c>
      <c r="AP49" s="533">
        <v>153.65983600000001</v>
      </c>
      <c r="AQ49" s="533">
        <v>153.65983600000001</v>
      </c>
      <c r="AR49" s="533">
        <v>0</v>
      </c>
      <c r="AS49" s="533">
        <v>0</v>
      </c>
      <c r="AT49" s="533">
        <v>0</v>
      </c>
      <c r="AU49" s="533">
        <v>0</v>
      </c>
      <c r="AV49" s="533">
        <v>0</v>
      </c>
      <c r="AW49" s="533">
        <v>0</v>
      </c>
      <c r="AX49" s="533">
        <v>0</v>
      </c>
      <c r="AY49" s="533">
        <v>0</v>
      </c>
      <c r="AZ49" s="533">
        <v>0</v>
      </c>
      <c r="BA49" s="533">
        <v>0</v>
      </c>
      <c r="BB49" s="533">
        <v>0</v>
      </c>
      <c r="BC49" s="533">
        <v>0</v>
      </c>
      <c r="BD49" s="533">
        <v>0</v>
      </c>
      <c r="BE49" s="533">
        <v>0</v>
      </c>
      <c r="BF49" s="533">
        <v>0</v>
      </c>
      <c r="BG49" s="533">
        <v>0</v>
      </c>
      <c r="BH49" s="533">
        <v>0</v>
      </c>
      <c r="BI49" s="533">
        <v>0</v>
      </c>
      <c r="BJ49" s="533">
        <v>0</v>
      </c>
      <c r="BK49" s="533">
        <v>0</v>
      </c>
      <c r="BL49" s="533">
        <v>0</v>
      </c>
      <c r="BM49" s="533">
        <v>0</v>
      </c>
      <c r="BN49" s="533">
        <v>0</v>
      </c>
      <c r="BO49" s="533">
        <v>0</v>
      </c>
      <c r="BP49" s="533">
        <v>0</v>
      </c>
      <c r="BQ49" s="533">
        <v>0</v>
      </c>
      <c r="BR49" s="533">
        <v>0</v>
      </c>
      <c r="BS49" s="533">
        <v>0</v>
      </c>
      <c r="BT49" s="533">
        <v>0</v>
      </c>
      <c r="BU49" s="533">
        <v>0</v>
      </c>
      <c r="BV49" s="533">
        <v>0</v>
      </c>
      <c r="BW49" s="533">
        <v>0</v>
      </c>
      <c r="BX49" s="533">
        <v>0</v>
      </c>
      <c r="BY49" s="533">
        <v>0</v>
      </c>
      <c r="BZ49" s="533">
        <v>0</v>
      </c>
      <c r="CA49" s="533">
        <v>0</v>
      </c>
      <c r="CB49" s="533">
        <v>0</v>
      </c>
      <c r="CC49" s="533">
        <v>0</v>
      </c>
      <c r="CD49" s="533">
        <v>0</v>
      </c>
      <c r="CE49" s="533">
        <v>0</v>
      </c>
      <c r="CF49" s="533">
        <v>0</v>
      </c>
      <c r="CG49" s="533">
        <v>0</v>
      </c>
      <c r="CH49" s="533">
        <v>0</v>
      </c>
      <c r="CI49" s="533">
        <v>0</v>
      </c>
      <c r="CJ49" s="533">
        <v>0</v>
      </c>
      <c r="CK49" s="533">
        <v>0</v>
      </c>
      <c r="CL49" s="533">
        <v>0</v>
      </c>
      <c r="CM49" s="533">
        <v>0</v>
      </c>
      <c r="CN49" s="533">
        <v>0</v>
      </c>
      <c r="CO49" s="533">
        <v>0</v>
      </c>
      <c r="CP49" s="533">
        <v>0</v>
      </c>
      <c r="CQ49" s="533">
        <v>0</v>
      </c>
      <c r="CR49" s="533">
        <v>0</v>
      </c>
      <c r="CS49" s="533">
        <v>0</v>
      </c>
      <c r="CT49" s="533">
        <v>0</v>
      </c>
      <c r="CU49" s="533">
        <v>0</v>
      </c>
      <c r="CV49" s="533">
        <v>0</v>
      </c>
      <c r="CW49" s="533">
        <v>0</v>
      </c>
      <c r="CX49" s="533">
        <v>0</v>
      </c>
      <c r="CY49" s="533">
        <v>0</v>
      </c>
      <c r="CZ49" s="533">
        <v>0</v>
      </c>
      <c r="DA49" s="533">
        <v>0</v>
      </c>
      <c r="DB49" s="533">
        <v>0</v>
      </c>
      <c r="DC49" s="479">
        <v>0</v>
      </c>
      <c r="DD49" s="479">
        <v>0</v>
      </c>
      <c r="DE49" s="479">
        <v>0</v>
      </c>
      <c r="DF49" s="479">
        <v>0</v>
      </c>
      <c r="DG49" s="479">
        <v>0</v>
      </c>
      <c r="DH49" s="479">
        <v>0</v>
      </c>
      <c r="DI49" s="479">
        <v>0</v>
      </c>
      <c r="DJ49" s="479">
        <v>0</v>
      </c>
      <c r="DK49" s="479">
        <v>0</v>
      </c>
      <c r="DL49" s="479">
        <v>0</v>
      </c>
      <c r="DM49" s="479">
        <v>0</v>
      </c>
      <c r="DN49" s="479">
        <v>0</v>
      </c>
      <c r="DO49" s="479">
        <v>0</v>
      </c>
      <c r="DP49" s="479">
        <v>0</v>
      </c>
      <c r="DQ49" s="479">
        <v>0</v>
      </c>
      <c r="DR49" s="479">
        <v>0</v>
      </c>
      <c r="DS49" s="479">
        <v>0</v>
      </c>
      <c r="DT49" s="479">
        <v>0</v>
      </c>
      <c r="DU49" s="479">
        <v>0</v>
      </c>
      <c r="DV49" s="479">
        <v>0</v>
      </c>
      <c r="DW49" s="479">
        <v>0</v>
      </c>
      <c r="DX49" s="479">
        <v>0</v>
      </c>
      <c r="DY49" s="479">
        <v>0</v>
      </c>
      <c r="DZ49" s="479">
        <v>0</v>
      </c>
      <c r="EA49" s="479">
        <v>0</v>
      </c>
      <c r="EB49" s="479">
        <v>0</v>
      </c>
      <c r="EC49" s="479">
        <v>0</v>
      </c>
    </row>
    <row r="50" spans="1:133" ht="17.25" customHeight="1" x14ac:dyDescent="0.25">
      <c r="A50" s="481"/>
      <c r="B50" s="482"/>
      <c r="C50" s="561"/>
      <c r="D50" s="561"/>
      <c r="E50" s="561"/>
      <c r="F50" s="562"/>
      <c r="G50" s="561"/>
      <c r="H50" s="563"/>
      <c r="I50" s="561"/>
      <c r="J50" s="561"/>
      <c r="K50" s="561"/>
      <c r="L50" s="561"/>
      <c r="M50" s="562"/>
      <c r="N50" s="561"/>
      <c r="O50" s="561"/>
      <c r="P50" s="561"/>
      <c r="Q50" s="561"/>
      <c r="R50" s="561"/>
      <c r="S50" s="561"/>
      <c r="T50" s="561"/>
      <c r="U50" s="561"/>
      <c r="V50" s="561"/>
      <c r="W50" s="561"/>
      <c r="X50" s="561"/>
      <c r="Y50" s="561"/>
      <c r="Z50" s="561"/>
      <c r="AA50" s="561"/>
      <c r="AB50" s="561"/>
      <c r="AC50" s="561"/>
      <c r="AD50" s="563"/>
      <c r="AE50" s="561"/>
      <c r="AF50" s="561"/>
      <c r="AG50" s="561"/>
      <c r="AH50" s="561"/>
      <c r="AI50" s="561"/>
      <c r="AJ50" s="561"/>
      <c r="AK50" s="561"/>
      <c r="AL50" s="561"/>
      <c r="AM50" s="561"/>
      <c r="AN50" s="561"/>
      <c r="AO50" s="563"/>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1"/>
      <c r="DC50" s="564"/>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row>
    <row r="51" spans="1:133" ht="17.25" customHeight="1" x14ac:dyDescent="0.25">
      <c r="A51" s="477" t="s">
        <v>448</v>
      </c>
      <c r="B51" s="478" t="s">
        <v>200</v>
      </c>
      <c r="C51" s="533">
        <v>2630.68074501</v>
      </c>
      <c r="D51" s="533">
        <v>2630.0928586</v>
      </c>
      <c r="E51" s="533">
        <v>2788.2714956599998</v>
      </c>
      <c r="F51" s="534">
        <v>2937.78657587</v>
      </c>
      <c r="G51" s="533">
        <v>3136.29602462</v>
      </c>
      <c r="H51" s="535">
        <v>3221.8251217100001</v>
      </c>
      <c r="I51" s="533">
        <v>3192.1693638599995</v>
      </c>
      <c r="J51" s="533">
        <v>3147.4126953200002</v>
      </c>
      <c r="K51" s="533">
        <v>3180.08305728</v>
      </c>
      <c r="L51" s="533">
        <v>3063.57494008</v>
      </c>
      <c r="M51" s="534">
        <v>3079.9941545900001</v>
      </c>
      <c r="N51" s="533">
        <v>3152.0075121699997</v>
      </c>
      <c r="O51" s="533">
        <v>3330.3147581099997</v>
      </c>
      <c r="P51" s="533">
        <v>3770.2093561700008</v>
      </c>
      <c r="Q51" s="533">
        <v>4070.7419166169207</v>
      </c>
      <c r="R51" s="533">
        <v>4102.3249012710303</v>
      </c>
      <c r="S51" s="533">
        <v>4117.7779041700005</v>
      </c>
      <c r="T51" s="533">
        <v>4092.9335569362497</v>
      </c>
      <c r="U51" s="533">
        <v>4260.7382215410007</v>
      </c>
      <c r="V51" s="533">
        <v>4441.7436501800003</v>
      </c>
      <c r="W51" s="533">
        <v>4356.7828689500002</v>
      </c>
      <c r="X51" s="533">
        <v>4467.3319967765165</v>
      </c>
      <c r="Y51" s="533">
        <v>4451.5651270376293</v>
      </c>
      <c r="Z51" s="533">
        <v>4453.3888107366174</v>
      </c>
      <c r="AA51" s="533">
        <v>4698.3670634208793</v>
      </c>
      <c r="AB51" s="533">
        <v>4622.4491841764384</v>
      </c>
      <c r="AC51" s="533">
        <v>4475.787280789863</v>
      </c>
      <c r="AD51" s="535">
        <v>4402.8774204715073</v>
      </c>
      <c r="AE51" s="533">
        <v>4123.1845085715076</v>
      </c>
      <c r="AF51" s="533">
        <v>3967.1421136384934</v>
      </c>
      <c r="AG51" s="533">
        <v>3743.5247357060271</v>
      </c>
      <c r="AH51" s="533">
        <v>3834.2236840501369</v>
      </c>
      <c r="AI51" s="533">
        <v>3689.1825157124658</v>
      </c>
      <c r="AJ51" s="533">
        <v>3500.7062226813696</v>
      </c>
      <c r="AK51" s="533">
        <v>3408.127094673288</v>
      </c>
      <c r="AL51" s="533">
        <v>3379.3276802513701</v>
      </c>
      <c r="AM51" s="533">
        <v>3239.4535967432876</v>
      </c>
      <c r="AN51" s="533">
        <v>3458.5866201902741</v>
      </c>
      <c r="AO51" s="535">
        <v>4137.0583415399997</v>
      </c>
      <c r="AP51" s="533">
        <v>4535.7708429617805</v>
      </c>
      <c r="AQ51" s="533">
        <v>5526.6296055882194</v>
      </c>
      <c r="AR51" s="533">
        <v>5581.0321898587663</v>
      </c>
      <c r="AS51" s="533">
        <v>5282.3966919142458</v>
      </c>
      <c r="AT51" s="533">
        <v>5178.3781090543825</v>
      </c>
      <c r="AU51" s="533">
        <v>5118.4729123800007</v>
      </c>
      <c r="AV51" s="533">
        <v>4961.799643372191</v>
      </c>
      <c r="AW51" s="533">
        <v>4888.0619427682195</v>
      </c>
      <c r="AX51" s="533">
        <v>4887.5015556182207</v>
      </c>
      <c r="AY51" s="533">
        <v>4926.0327021500007</v>
      </c>
      <c r="AZ51" s="533">
        <v>4814.443608358768</v>
      </c>
      <c r="BA51" s="533">
        <v>4663.5574694575362</v>
      </c>
      <c r="BB51" s="533">
        <v>4630.1141973399999</v>
      </c>
      <c r="BC51" s="533">
        <v>4407.9392774400003</v>
      </c>
      <c r="BD51" s="533">
        <v>4407.1188998499993</v>
      </c>
      <c r="BE51" s="533">
        <v>4435.9033677699999</v>
      </c>
      <c r="BF51" s="533">
        <v>4580.6558175500004</v>
      </c>
      <c r="BG51" s="533">
        <v>4409.2727484500001</v>
      </c>
      <c r="BH51" s="533">
        <v>4692.5433414400004</v>
      </c>
      <c r="BI51" s="533">
        <v>4455.092092169999</v>
      </c>
      <c r="BJ51" s="533">
        <v>4380.3482950299995</v>
      </c>
      <c r="BK51" s="533">
        <v>4506.9304118999999</v>
      </c>
      <c r="BL51" s="533">
        <v>4432.5187507600003</v>
      </c>
      <c r="BM51" s="533">
        <v>4305.9087254700007</v>
      </c>
      <c r="BN51" s="533">
        <v>4236.2685673899996</v>
      </c>
      <c r="BO51" s="533">
        <v>4246.5308846200005</v>
      </c>
      <c r="BP51" s="533">
        <v>4238.8072340799999</v>
      </c>
      <c r="BQ51" s="533">
        <v>4198.6275755999995</v>
      </c>
      <c r="BR51" s="533">
        <v>4018.1876285899993</v>
      </c>
      <c r="BS51" s="533">
        <v>3905.2145171100001</v>
      </c>
      <c r="BT51" s="533">
        <v>4250.1657690299999</v>
      </c>
      <c r="BU51" s="533">
        <v>4535.4009117899996</v>
      </c>
      <c r="BV51" s="533">
        <v>4382.2887601600005</v>
      </c>
      <c r="BW51" s="533">
        <v>4372.8701237599998</v>
      </c>
      <c r="BX51" s="533">
        <v>4154.9125019200001</v>
      </c>
      <c r="BY51" s="533">
        <v>4060.9510421100003</v>
      </c>
      <c r="BZ51" s="533">
        <v>4231.2920926099996</v>
      </c>
      <c r="CA51" s="533">
        <v>4005.7689617100004</v>
      </c>
      <c r="CB51" s="533">
        <v>3995.8812453299997</v>
      </c>
      <c r="CC51" s="533">
        <v>4049.5394200599999</v>
      </c>
      <c r="CD51" s="533">
        <v>3905.6289133399991</v>
      </c>
      <c r="CE51" s="533">
        <v>3877.7525162399993</v>
      </c>
      <c r="CF51" s="533">
        <v>3891.9378872900002</v>
      </c>
      <c r="CG51" s="533">
        <v>3819.8157504199999</v>
      </c>
      <c r="CH51" s="533">
        <v>3370.3593737200003</v>
      </c>
      <c r="CI51" s="533">
        <v>3515.8840664700001</v>
      </c>
      <c r="CJ51" s="533">
        <v>3400.5094429699998</v>
      </c>
      <c r="CK51" s="533">
        <v>3229.11605306</v>
      </c>
      <c r="CL51" s="533">
        <v>3372.1846686099998</v>
      </c>
      <c r="CM51" s="533">
        <v>3162.9517192899998</v>
      </c>
      <c r="CN51" s="533">
        <v>3207.8926368100001</v>
      </c>
      <c r="CO51" s="533">
        <v>3357.0536541700003</v>
      </c>
      <c r="CP51" s="533">
        <v>3424.1075898799995</v>
      </c>
      <c r="CQ51" s="533">
        <v>3362.3957310299998</v>
      </c>
      <c r="CR51" s="533">
        <v>3450.9335432800003</v>
      </c>
      <c r="CS51" s="533">
        <v>3282.9613971700001</v>
      </c>
      <c r="CT51" s="533">
        <v>3094.0234828600001</v>
      </c>
      <c r="CU51" s="533">
        <v>3271.8840321299999</v>
      </c>
      <c r="CV51" s="533">
        <v>2976.3286383200002</v>
      </c>
      <c r="CW51" s="533">
        <v>3360.9093773100003</v>
      </c>
      <c r="CX51" s="533">
        <v>3720.2397529699997</v>
      </c>
      <c r="CY51" s="533">
        <v>3970.4982787899999</v>
      </c>
      <c r="CZ51" s="533">
        <v>4134.5195028899998</v>
      </c>
      <c r="DA51" s="533">
        <v>4313.6045277499998</v>
      </c>
      <c r="DB51" s="533">
        <v>4500.9335845699998</v>
      </c>
      <c r="DC51" s="479">
        <v>4484.9337620200004</v>
      </c>
      <c r="DD51" s="479">
        <v>4840.3458612600007</v>
      </c>
      <c r="DE51" s="479">
        <v>4822.7700643299995</v>
      </c>
      <c r="DF51" s="479">
        <v>5120.5762299400003</v>
      </c>
      <c r="DG51" s="479">
        <v>5244.8975885</v>
      </c>
      <c r="DH51" s="479">
        <v>5206.63189986</v>
      </c>
      <c r="DI51" s="479">
        <v>5417.2828582299999</v>
      </c>
      <c r="DJ51" s="479">
        <v>5749.2366957799995</v>
      </c>
      <c r="DK51" s="479">
        <v>5647.8101346500007</v>
      </c>
      <c r="DL51" s="479">
        <v>5746.5119646099993</v>
      </c>
      <c r="DM51" s="479">
        <v>5739.3494745499993</v>
      </c>
      <c r="DN51" s="479">
        <v>5977.5350612699995</v>
      </c>
      <c r="DO51" s="479">
        <v>6044.1496456999994</v>
      </c>
      <c r="DP51" s="479">
        <v>6131.4910062299996</v>
      </c>
      <c r="DQ51" s="479">
        <v>5682.5478497799995</v>
      </c>
      <c r="DR51" s="479">
        <v>5544.6641227099999</v>
      </c>
      <c r="DS51" s="479">
        <v>5342.6202268999996</v>
      </c>
      <c r="DT51" s="479">
        <v>5396.4748797999991</v>
      </c>
      <c r="DU51" s="479">
        <v>5482.9920359738217</v>
      </c>
      <c r="DV51" s="479">
        <v>5772.7118391335998</v>
      </c>
      <c r="DW51" s="479">
        <v>5304.9212620599992</v>
      </c>
      <c r="DX51" s="479">
        <v>5340.1399428999994</v>
      </c>
      <c r="DY51" s="479">
        <v>5488.4849530401752</v>
      </c>
      <c r="DZ51" s="479">
        <v>6031.5712311928864</v>
      </c>
      <c r="EA51" s="479">
        <v>5992.1458242409999</v>
      </c>
      <c r="EB51" s="479">
        <v>6003.3560690899994</v>
      </c>
      <c r="EC51" s="479">
        <v>6105.4124917899999</v>
      </c>
    </row>
    <row r="52" spans="1:133" ht="17.25" customHeight="1" x14ac:dyDescent="0.25">
      <c r="A52" s="481"/>
      <c r="B52" s="504"/>
      <c r="C52" s="561"/>
      <c r="D52" s="561"/>
      <c r="E52" s="561"/>
      <c r="F52" s="562"/>
      <c r="G52" s="561"/>
      <c r="H52" s="563"/>
      <c r="I52" s="561"/>
      <c r="J52" s="561"/>
      <c r="K52" s="561"/>
      <c r="L52" s="561"/>
      <c r="M52" s="562"/>
      <c r="N52" s="561"/>
      <c r="O52" s="561"/>
      <c r="P52" s="561"/>
      <c r="Q52" s="561"/>
      <c r="R52" s="561"/>
      <c r="S52" s="561"/>
      <c r="T52" s="561"/>
      <c r="U52" s="561"/>
      <c r="V52" s="561"/>
      <c r="W52" s="561"/>
      <c r="X52" s="561"/>
      <c r="Y52" s="561"/>
      <c r="Z52" s="561"/>
      <c r="AA52" s="561"/>
      <c r="AB52" s="561"/>
      <c r="AC52" s="561"/>
      <c r="AD52" s="563"/>
      <c r="AE52" s="561"/>
      <c r="AF52" s="561"/>
      <c r="AG52" s="561"/>
      <c r="AH52" s="561"/>
      <c r="AI52" s="561"/>
      <c r="AJ52" s="561"/>
      <c r="AK52" s="561"/>
      <c r="AL52" s="561"/>
      <c r="AM52" s="561"/>
      <c r="AN52" s="561"/>
      <c r="AO52" s="563"/>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1"/>
      <c r="DC52" s="564"/>
      <c r="DD52" s="564"/>
      <c r="DE52" s="564"/>
      <c r="DF52" s="564"/>
      <c r="DG52" s="564"/>
      <c r="DH52" s="564"/>
      <c r="DI52" s="564"/>
      <c r="DJ52" s="564"/>
      <c r="DK52" s="564"/>
      <c r="DL52" s="564"/>
      <c r="DM52" s="564"/>
      <c r="DN52" s="564"/>
      <c r="DO52" s="564"/>
      <c r="DP52" s="564"/>
      <c r="DQ52" s="564"/>
      <c r="DR52" s="564"/>
      <c r="DS52" s="564"/>
      <c r="DT52" s="564"/>
      <c r="DU52" s="564"/>
      <c r="DV52" s="564"/>
      <c r="DW52" s="564"/>
      <c r="DX52" s="564"/>
      <c r="DY52" s="564"/>
      <c r="DZ52" s="564"/>
      <c r="EA52" s="564"/>
      <c r="EB52" s="564"/>
      <c r="EC52" s="564"/>
    </row>
    <row r="53" spans="1:133" ht="17.25" customHeight="1" x14ac:dyDescent="0.25">
      <c r="A53" s="477" t="s">
        <v>449</v>
      </c>
      <c r="B53" s="478" t="s">
        <v>420</v>
      </c>
      <c r="C53" s="533">
        <v>0</v>
      </c>
      <c r="D53" s="533">
        <v>0</v>
      </c>
      <c r="E53" s="533">
        <v>0</v>
      </c>
      <c r="F53" s="534">
        <v>0</v>
      </c>
      <c r="G53" s="533">
        <v>0</v>
      </c>
      <c r="H53" s="535">
        <v>0</v>
      </c>
      <c r="I53" s="533">
        <v>0</v>
      </c>
      <c r="J53" s="533">
        <v>0</v>
      </c>
      <c r="K53" s="533">
        <v>0</v>
      </c>
      <c r="L53" s="533">
        <v>0</v>
      </c>
      <c r="M53" s="534">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5">
        <v>0</v>
      </c>
      <c r="AE53" s="533">
        <v>0</v>
      </c>
      <c r="AF53" s="533">
        <v>0</v>
      </c>
      <c r="AG53" s="533">
        <v>0</v>
      </c>
      <c r="AH53" s="533">
        <v>0</v>
      </c>
      <c r="AI53" s="533">
        <v>0</v>
      </c>
      <c r="AJ53" s="533">
        <v>0</v>
      </c>
      <c r="AK53" s="533">
        <v>0</v>
      </c>
      <c r="AL53" s="533">
        <v>0</v>
      </c>
      <c r="AM53" s="533">
        <v>0</v>
      </c>
      <c r="AN53" s="533">
        <v>0</v>
      </c>
      <c r="AO53" s="535">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3">
        <v>0</v>
      </c>
      <c r="CD53" s="533">
        <v>0</v>
      </c>
      <c r="CE53" s="533">
        <v>0</v>
      </c>
      <c r="CF53" s="533">
        <v>0</v>
      </c>
      <c r="CG53" s="533">
        <v>0</v>
      </c>
      <c r="CH53" s="533">
        <v>0</v>
      </c>
      <c r="CI53" s="533">
        <v>0</v>
      </c>
      <c r="CJ53" s="533">
        <v>0</v>
      </c>
      <c r="CK53" s="533">
        <v>0</v>
      </c>
      <c r="CL53" s="533">
        <v>0</v>
      </c>
      <c r="CM53" s="533">
        <v>0</v>
      </c>
      <c r="CN53" s="533">
        <v>0</v>
      </c>
      <c r="CO53" s="533">
        <v>0</v>
      </c>
      <c r="CP53" s="533">
        <v>0</v>
      </c>
      <c r="CQ53" s="533">
        <v>0</v>
      </c>
      <c r="CR53" s="533">
        <v>0</v>
      </c>
      <c r="CS53" s="533">
        <v>0</v>
      </c>
      <c r="CT53" s="533">
        <v>0</v>
      </c>
      <c r="CU53" s="533">
        <v>0</v>
      </c>
      <c r="CV53" s="533">
        <v>0</v>
      </c>
      <c r="CW53" s="533">
        <v>0</v>
      </c>
      <c r="CX53" s="533">
        <v>0</v>
      </c>
      <c r="CY53" s="533">
        <v>0</v>
      </c>
      <c r="CZ53" s="533">
        <v>0</v>
      </c>
      <c r="DA53" s="533">
        <v>0</v>
      </c>
      <c r="DB53" s="533">
        <v>0</v>
      </c>
      <c r="DC53" s="479">
        <v>0</v>
      </c>
      <c r="DD53" s="479">
        <v>0</v>
      </c>
      <c r="DE53" s="479">
        <v>0</v>
      </c>
      <c r="DF53" s="479">
        <v>0</v>
      </c>
      <c r="DG53" s="479">
        <v>0</v>
      </c>
      <c r="DH53" s="479">
        <v>0</v>
      </c>
      <c r="DI53" s="479">
        <v>0</v>
      </c>
      <c r="DJ53" s="479">
        <v>0</v>
      </c>
      <c r="DK53" s="479">
        <v>0</v>
      </c>
      <c r="DL53" s="479">
        <v>0</v>
      </c>
      <c r="DM53" s="479">
        <v>0</v>
      </c>
      <c r="DN53" s="479">
        <v>0</v>
      </c>
      <c r="DO53" s="479">
        <v>0</v>
      </c>
      <c r="DP53" s="479">
        <v>0</v>
      </c>
      <c r="DQ53" s="479">
        <v>0</v>
      </c>
      <c r="DR53" s="479">
        <v>0</v>
      </c>
      <c r="DS53" s="479">
        <v>0</v>
      </c>
      <c r="DT53" s="479">
        <v>0</v>
      </c>
      <c r="DU53" s="479">
        <v>0</v>
      </c>
      <c r="DV53" s="479">
        <v>0</v>
      </c>
      <c r="DW53" s="479">
        <v>0</v>
      </c>
      <c r="DX53" s="479">
        <v>0</v>
      </c>
      <c r="DY53" s="479">
        <v>0</v>
      </c>
      <c r="DZ53" s="479">
        <v>0</v>
      </c>
      <c r="EA53" s="479">
        <v>0</v>
      </c>
      <c r="EB53" s="479">
        <v>0</v>
      </c>
      <c r="EC53" s="479">
        <v>0</v>
      </c>
    </row>
    <row r="54" spans="1:133" ht="17.25" customHeight="1" x14ac:dyDescent="0.25">
      <c r="A54" s="481"/>
      <c r="B54" s="482"/>
      <c r="C54" s="561"/>
      <c r="D54" s="561"/>
      <c r="E54" s="561"/>
      <c r="F54" s="562"/>
      <c r="G54" s="561"/>
      <c r="H54" s="563"/>
      <c r="I54" s="561"/>
      <c r="J54" s="561"/>
      <c r="K54" s="561"/>
      <c r="L54" s="561"/>
      <c r="M54" s="562"/>
      <c r="N54" s="561"/>
      <c r="O54" s="561"/>
      <c r="P54" s="561"/>
      <c r="Q54" s="561"/>
      <c r="R54" s="561"/>
      <c r="S54" s="561"/>
      <c r="T54" s="561"/>
      <c r="U54" s="561"/>
      <c r="V54" s="561"/>
      <c r="W54" s="561"/>
      <c r="X54" s="561"/>
      <c r="Y54" s="561"/>
      <c r="Z54" s="561"/>
      <c r="AA54" s="561"/>
      <c r="AB54" s="561"/>
      <c r="AC54" s="561"/>
      <c r="AD54" s="563"/>
      <c r="AE54" s="561"/>
      <c r="AF54" s="561"/>
      <c r="AG54" s="561"/>
      <c r="AH54" s="561"/>
      <c r="AI54" s="561"/>
      <c r="AJ54" s="561"/>
      <c r="AK54" s="561"/>
      <c r="AL54" s="561"/>
      <c r="AM54" s="561"/>
      <c r="AN54" s="561"/>
      <c r="AO54" s="563"/>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1"/>
      <c r="DC54" s="564"/>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row>
    <row r="55" spans="1:133" ht="17.25" customHeight="1" x14ac:dyDescent="0.25">
      <c r="A55" s="477" t="s">
        <v>450</v>
      </c>
      <c r="B55" s="478" t="s">
        <v>422</v>
      </c>
      <c r="C55" s="533">
        <v>0</v>
      </c>
      <c r="D55" s="533">
        <v>0</v>
      </c>
      <c r="E55" s="533">
        <v>0</v>
      </c>
      <c r="F55" s="534">
        <v>0</v>
      </c>
      <c r="G55" s="533">
        <v>0</v>
      </c>
      <c r="H55" s="535">
        <v>0</v>
      </c>
      <c r="I55" s="533">
        <v>0</v>
      </c>
      <c r="J55" s="533">
        <v>0</v>
      </c>
      <c r="K55" s="533">
        <v>0</v>
      </c>
      <c r="L55" s="533">
        <v>0</v>
      </c>
      <c r="M55" s="534">
        <v>0</v>
      </c>
      <c r="N55" s="533">
        <v>0</v>
      </c>
      <c r="O55" s="533">
        <v>0</v>
      </c>
      <c r="P55" s="533">
        <v>0</v>
      </c>
      <c r="Q55" s="533">
        <v>0</v>
      </c>
      <c r="R55" s="533">
        <v>0</v>
      </c>
      <c r="S55" s="533">
        <v>0</v>
      </c>
      <c r="T55" s="533">
        <v>0</v>
      </c>
      <c r="U55" s="533">
        <v>0</v>
      </c>
      <c r="V55" s="533">
        <v>0</v>
      </c>
      <c r="W55" s="533">
        <v>0</v>
      </c>
      <c r="X55" s="533">
        <v>0</v>
      </c>
      <c r="Y55" s="533">
        <v>0</v>
      </c>
      <c r="Z55" s="533">
        <v>0</v>
      </c>
      <c r="AA55" s="533">
        <v>0</v>
      </c>
      <c r="AB55" s="533">
        <v>0</v>
      </c>
      <c r="AC55" s="533">
        <v>0</v>
      </c>
      <c r="AD55" s="535">
        <v>0</v>
      </c>
      <c r="AE55" s="533">
        <v>0</v>
      </c>
      <c r="AF55" s="533">
        <v>0</v>
      </c>
      <c r="AG55" s="533">
        <v>0</v>
      </c>
      <c r="AH55" s="533">
        <v>0</v>
      </c>
      <c r="AI55" s="533">
        <v>0</v>
      </c>
      <c r="AJ55" s="533">
        <v>0</v>
      </c>
      <c r="AK55" s="533">
        <v>0</v>
      </c>
      <c r="AL55" s="533">
        <v>0</v>
      </c>
      <c r="AM55" s="533">
        <v>0</v>
      </c>
      <c r="AN55" s="533">
        <v>0</v>
      </c>
      <c r="AO55" s="535">
        <v>0</v>
      </c>
      <c r="AP55" s="533">
        <v>0</v>
      </c>
      <c r="AQ55" s="533">
        <v>0</v>
      </c>
      <c r="AR55" s="533">
        <v>0</v>
      </c>
      <c r="AS55" s="533">
        <v>0</v>
      </c>
      <c r="AT55" s="533">
        <v>0</v>
      </c>
      <c r="AU55" s="533">
        <v>0</v>
      </c>
      <c r="AV55" s="533">
        <v>0</v>
      </c>
      <c r="AW55" s="533">
        <v>0</v>
      </c>
      <c r="AX55" s="533">
        <v>0</v>
      </c>
      <c r="AY55" s="533">
        <v>0</v>
      </c>
      <c r="AZ55" s="533">
        <v>0</v>
      </c>
      <c r="BA55" s="533">
        <v>0</v>
      </c>
      <c r="BB55" s="533">
        <v>0</v>
      </c>
      <c r="BC55" s="533">
        <v>0</v>
      </c>
      <c r="BD55" s="533">
        <v>0</v>
      </c>
      <c r="BE55" s="533">
        <v>0</v>
      </c>
      <c r="BF55" s="533">
        <v>0</v>
      </c>
      <c r="BG55" s="533">
        <v>0</v>
      </c>
      <c r="BH55" s="533">
        <v>0</v>
      </c>
      <c r="BI55" s="533">
        <v>0</v>
      </c>
      <c r="BJ55" s="533">
        <v>0</v>
      </c>
      <c r="BK55" s="533">
        <v>0</v>
      </c>
      <c r="BL55" s="533">
        <v>0</v>
      </c>
      <c r="BM55" s="533">
        <v>0</v>
      </c>
      <c r="BN55" s="533">
        <v>0</v>
      </c>
      <c r="BO55" s="533">
        <v>0</v>
      </c>
      <c r="BP55" s="533">
        <v>0</v>
      </c>
      <c r="BQ55" s="533">
        <v>0</v>
      </c>
      <c r="BR55" s="533">
        <v>0</v>
      </c>
      <c r="BS55" s="533">
        <v>0</v>
      </c>
      <c r="BT55" s="533">
        <v>0</v>
      </c>
      <c r="BU55" s="533">
        <v>0</v>
      </c>
      <c r="BV55" s="533">
        <v>0</v>
      </c>
      <c r="BW55" s="533">
        <v>0</v>
      </c>
      <c r="BX55" s="533">
        <v>0</v>
      </c>
      <c r="BY55" s="533">
        <v>0</v>
      </c>
      <c r="BZ55" s="533">
        <v>0</v>
      </c>
      <c r="CA55" s="533">
        <v>0</v>
      </c>
      <c r="CB55" s="533">
        <v>0</v>
      </c>
      <c r="CC55" s="533">
        <v>0</v>
      </c>
      <c r="CD55" s="533">
        <v>0</v>
      </c>
      <c r="CE55" s="533">
        <v>0</v>
      </c>
      <c r="CF55" s="533">
        <v>0</v>
      </c>
      <c r="CG55" s="533">
        <v>0</v>
      </c>
      <c r="CH55" s="533">
        <v>0</v>
      </c>
      <c r="CI55" s="533">
        <v>0</v>
      </c>
      <c r="CJ55" s="533">
        <v>0</v>
      </c>
      <c r="CK55" s="533">
        <v>0</v>
      </c>
      <c r="CL55" s="533">
        <v>0</v>
      </c>
      <c r="CM55" s="533">
        <v>0</v>
      </c>
      <c r="CN55" s="533">
        <v>0</v>
      </c>
      <c r="CO55" s="533">
        <v>0</v>
      </c>
      <c r="CP55" s="533">
        <v>0</v>
      </c>
      <c r="CQ55" s="533">
        <v>0</v>
      </c>
      <c r="CR55" s="533">
        <v>0</v>
      </c>
      <c r="CS55" s="533">
        <v>0</v>
      </c>
      <c r="CT55" s="533">
        <v>0</v>
      </c>
      <c r="CU55" s="533">
        <v>0</v>
      </c>
      <c r="CV55" s="533">
        <v>0</v>
      </c>
      <c r="CW55" s="533">
        <v>0</v>
      </c>
      <c r="CX55" s="533">
        <v>0</v>
      </c>
      <c r="CY55" s="533">
        <v>0</v>
      </c>
      <c r="CZ55" s="533">
        <v>0</v>
      </c>
      <c r="DA55" s="533">
        <v>0</v>
      </c>
      <c r="DB55" s="533">
        <v>0</v>
      </c>
      <c r="DC55" s="479">
        <v>0</v>
      </c>
      <c r="DD55" s="479">
        <v>0</v>
      </c>
      <c r="DE55" s="479">
        <v>0</v>
      </c>
      <c r="DF55" s="479">
        <v>0</v>
      </c>
      <c r="DG55" s="479">
        <v>0</v>
      </c>
      <c r="DH55" s="479">
        <v>0</v>
      </c>
      <c r="DI55" s="479">
        <v>0</v>
      </c>
      <c r="DJ55" s="479">
        <v>0</v>
      </c>
      <c r="DK55" s="479">
        <v>0</v>
      </c>
      <c r="DL55" s="479">
        <v>0</v>
      </c>
      <c r="DM55" s="479">
        <v>0</v>
      </c>
      <c r="DN55" s="479">
        <v>0</v>
      </c>
      <c r="DO55" s="479">
        <v>0</v>
      </c>
      <c r="DP55" s="479">
        <v>0</v>
      </c>
      <c r="DQ55" s="479">
        <v>0</v>
      </c>
      <c r="DR55" s="479">
        <v>0</v>
      </c>
      <c r="DS55" s="479">
        <v>0</v>
      </c>
      <c r="DT55" s="479">
        <v>0</v>
      </c>
      <c r="DU55" s="479">
        <v>0</v>
      </c>
      <c r="DV55" s="479">
        <v>0</v>
      </c>
      <c r="DW55" s="479">
        <v>0</v>
      </c>
      <c r="DX55" s="479">
        <v>0</v>
      </c>
      <c r="DY55" s="479">
        <v>0</v>
      </c>
      <c r="DZ55" s="479">
        <v>0</v>
      </c>
      <c r="EA55" s="479">
        <v>0</v>
      </c>
      <c r="EB55" s="479">
        <v>0</v>
      </c>
      <c r="EC55" s="479">
        <v>0</v>
      </c>
    </row>
    <row r="56" spans="1:133" ht="17.25" customHeight="1" x14ac:dyDescent="0.25">
      <c r="A56" s="481"/>
      <c r="B56" s="482"/>
      <c r="C56" s="561"/>
      <c r="D56" s="561"/>
      <c r="E56" s="561"/>
      <c r="F56" s="562"/>
      <c r="G56" s="561"/>
      <c r="H56" s="563"/>
      <c r="I56" s="561"/>
      <c r="J56" s="561"/>
      <c r="K56" s="561"/>
      <c r="L56" s="561"/>
      <c r="M56" s="562"/>
      <c r="N56" s="561"/>
      <c r="O56" s="561"/>
      <c r="P56" s="561"/>
      <c r="Q56" s="561"/>
      <c r="R56" s="561"/>
      <c r="S56" s="561"/>
      <c r="T56" s="561"/>
      <c r="U56" s="561"/>
      <c r="V56" s="561"/>
      <c r="W56" s="561"/>
      <c r="X56" s="561"/>
      <c r="Y56" s="561"/>
      <c r="Z56" s="561"/>
      <c r="AA56" s="561"/>
      <c r="AB56" s="561"/>
      <c r="AC56" s="561"/>
      <c r="AD56" s="563"/>
      <c r="AE56" s="561"/>
      <c r="AF56" s="561"/>
      <c r="AG56" s="561"/>
      <c r="AH56" s="561"/>
      <c r="AI56" s="561"/>
      <c r="AJ56" s="561"/>
      <c r="AK56" s="561"/>
      <c r="AL56" s="561"/>
      <c r="AM56" s="561"/>
      <c r="AN56" s="561"/>
      <c r="AO56" s="563"/>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1"/>
      <c r="DC56" s="564"/>
      <c r="DD56" s="564"/>
      <c r="DE56" s="564"/>
      <c r="DF56" s="564"/>
      <c r="DG56" s="564"/>
      <c r="DH56" s="564"/>
      <c r="DI56" s="564"/>
      <c r="DJ56" s="564"/>
      <c r="DK56" s="564"/>
      <c r="DL56" s="564"/>
      <c r="DM56" s="564"/>
      <c r="DN56" s="564"/>
      <c r="DO56" s="564"/>
      <c r="DP56" s="564"/>
      <c r="DQ56" s="564"/>
      <c r="DR56" s="564"/>
      <c r="DS56" s="564"/>
      <c r="DT56" s="564"/>
      <c r="DU56" s="564"/>
      <c r="DV56" s="564"/>
      <c r="DW56" s="564"/>
      <c r="DX56" s="564"/>
      <c r="DY56" s="564"/>
      <c r="DZ56" s="564"/>
      <c r="EA56" s="564"/>
      <c r="EB56" s="564"/>
      <c r="EC56" s="564"/>
    </row>
    <row r="57" spans="1:133" ht="17.25" customHeight="1" x14ac:dyDescent="0.25">
      <c r="A57" s="477" t="s">
        <v>451</v>
      </c>
      <c r="B57" s="478" t="s">
        <v>452</v>
      </c>
      <c r="C57" s="533">
        <v>891.35879009391408</v>
      </c>
      <c r="D57" s="533">
        <v>1056.6444186864851</v>
      </c>
      <c r="E57" s="533">
        <v>1158.75802318</v>
      </c>
      <c r="F57" s="534">
        <v>1086.6292414476395</v>
      </c>
      <c r="G57" s="533">
        <v>967.26766692499996</v>
      </c>
      <c r="H57" s="535">
        <v>1111.8506255886421</v>
      </c>
      <c r="I57" s="533">
        <v>1124.622755951448</v>
      </c>
      <c r="J57" s="533">
        <v>1191.480365989948</v>
      </c>
      <c r="K57" s="533">
        <v>1140.9455455459999</v>
      </c>
      <c r="L57" s="533">
        <v>1132.6946277009999</v>
      </c>
      <c r="M57" s="534">
        <v>1113.4447654485</v>
      </c>
      <c r="N57" s="533">
        <v>1125.0054386205002</v>
      </c>
      <c r="O57" s="533">
        <v>1229.1590331405</v>
      </c>
      <c r="P57" s="533">
        <v>1177.2870235265</v>
      </c>
      <c r="Q57" s="533">
        <v>1182.9898558324999</v>
      </c>
      <c r="R57" s="533">
        <v>1326.7256466439999</v>
      </c>
      <c r="S57" s="533">
        <v>1292.9238102814998</v>
      </c>
      <c r="T57" s="533">
        <v>1433.7317101196199</v>
      </c>
      <c r="U57" s="533">
        <v>1584.08788983912</v>
      </c>
      <c r="V57" s="533">
        <v>1486.6276016524998</v>
      </c>
      <c r="W57" s="533">
        <v>1642.3429488849999</v>
      </c>
      <c r="X57" s="533">
        <v>1640.1107075129801</v>
      </c>
      <c r="Y57" s="533">
        <v>1667.2221774669799</v>
      </c>
      <c r="Z57" s="533">
        <v>1624.05511082098</v>
      </c>
      <c r="AA57" s="533">
        <v>1702.3415527300906</v>
      </c>
      <c r="AB57" s="533">
        <v>1606.3475032285905</v>
      </c>
      <c r="AC57" s="533">
        <v>1561.5875893340906</v>
      </c>
      <c r="AD57" s="535">
        <v>1311.6753959525904</v>
      </c>
      <c r="AE57" s="533">
        <v>1741.8663082955904</v>
      </c>
      <c r="AF57" s="533">
        <v>1745.2177034935903</v>
      </c>
      <c r="AG57" s="533">
        <v>1851.5591559996453</v>
      </c>
      <c r="AH57" s="533">
        <v>1814.6409855175905</v>
      </c>
      <c r="AI57" s="533">
        <v>1834.7077459575905</v>
      </c>
      <c r="AJ57" s="533">
        <v>2468.4967463275898</v>
      </c>
      <c r="AK57" s="533">
        <v>2065.5728040775903</v>
      </c>
      <c r="AL57" s="533">
        <v>2118.08298988359</v>
      </c>
      <c r="AM57" s="533">
        <v>2356.7266610695906</v>
      </c>
      <c r="AN57" s="533">
        <v>2517.4301139292575</v>
      </c>
      <c r="AO57" s="535">
        <v>2504.634861189676</v>
      </c>
      <c r="AP57" s="533">
        <v>1670.6080352144379</v>
      </c>
      <c r="AQ57" s="533">
        <v>2283.0656909756162</v>
      </c>
      <c r="AR57" s="533">
        <v>2338.2046043194809</v>
      </c>
      <c r="AS57" s="533">
        <v>2500.7951737056005</v>
      </c>
      <c r="AT57" s="533">
        <v>2067.0200821982039</v>
      </c>
      <c r="AU57" s="533">
        <v>1985.5267380817274</v>
      </c>
      <c r="AV57" s="533">
        <v>1958.222188145302</v>
      </c>
      <c r="AW57" s="533">
        <v>1739.0725486236402</v>
      </c>
      <c r="AX57" s="533">
        <v>2086.2398911419978</v>
      </c>
      <c r="AY57" s="533">
        <v>1966.2225810299046</v>
      </c>
      <c r="AZ57" s="533">
        <v>2065.7705058235201</v>
      </c>
      <c r="BA57" s="533">
        <v>2291.2809189627801</v>
      </c>
      <c r="BB57" s="533">
        <v>2194.5915879431468</v>
      </c>
      <c r="BC57" s="533">
        <v>2113.4433298469066</v>
      </c>
      <c r="BD57" s="533">
        <v>2204.4877657222801</v>
      </c>
      <c r="BE57" s="533">
        <v>2544.1701566703186</v>
      </c>
      <c r="BF57" s="533">
        <v>2186.5850390262299</v>
      </c>
      <c r="BG57" s="533">
        <v>2456.5831875153217</v>
      </c>
      <c r="BH57" s="533">
        <v>2322.2693984811963</v>
      </c>
      <c r="BI57" s="533">
        <v>2283.3411049299971</v>
      </c>
      <c r="BJ57" s="533">
        <v>2316.6023048998081</v>
      </c>
      <c r="BK57" s="533">
        <v>2287.1737271594334</v>
      </c>
      <c r="BL57" s="533">
        <v>2031.2591319000896</v>
      </c>
      <c r="BM57" s="533">
        <v>2118.5751699216785</v>
      </c>
      <c r="BN57" s="533">
        <v>2210.3343395579368</v>
      </c>
      <c r="BO57" s="533">
        <v>2281.0785568304218</v>
      </c>
      <c r="BP57" s="533">
        <v>2367.8216701584124</v>
      </c>
      <c r="BQ57" s="533">
        <v>2723.4212127161873</v>
      </c>
      <c r="BR57" s="533">
        <v>3073.157670896876</v>
      </c>
      <c r="BS57" s="533">
        <v>2798.7447851538477</v>
      </c>
      <c r="BT57" s="533">
        <v>2903.8027931403512</v>
      </c>
      <c r="BU57" s="533">
        <v>2717.3919754314634</v>
      </c>
      <c r="BV57" s="533">
        <v>2678.3350992798705</v>
      </c>
      <c r="BW57" s="533">
        <v>2807.6900941949316</v>
      </c>
      <c r="BX57" s="533">
        <v>2567.8376008955152</v>
      </c>
      <c r="BY57" s="533">
        <v>2804.8420222062914</v>
      </c>
      <c r="BZ57" s="533">
        <v>2844.5071644991381</v>
      </c>
      <c r="CA57" s="533">
        <v>2762.0802606086777</v>
      </c>
      <c r="CB57" s="533">
        <v>2796.6664857050978</v>
      </c>
      <c r="CC57" s="533">
        <v>2735.8967098230173</v>
      </c>
      <c r="CD57" s="533">
        <v>2587.6788835863081</v>
      </c>
      <c r="CE57" s="533">
        <v>2629.3334894062832</v>
      </c>
      <c r="CF57" s="533">
        <v>2750.3072407302038</v>
      </c>
      <c r="CG57" s="533">
        <v>2892.2392977884115</v>
      </c>
      <c r="CH57" s="533">
        <v>2906.5607721494134</v>
      </c>
      <c r="CI57" s="533">
        <v>3312.3490275801146</v>
      </c>
      <c r="CJ57" s="533">
        <v>2817.883483439362</v>
      </c>
      <c r="CK57" s="533">
        <v>2824.4790978445421</v>
      </c>
      <c r="CL57" s="533">
        <v>2832.3865179143809</v>
      </c>
      <c r="CM57" s="533">
        <v>2923.7781526369117</v>
      </c>
      <c r="CN57" s="533">
        <v>3087.4127122676114</v>
      </c>
      <c r="CO57" s="533">
        <v>3449.5619082307662</v>
      </c>
      <c r="CP57" s="533">
        <v>2782.2019880259013</v>
      </c>
      <c r="CQ57" s="533">
        <v>4125.6032053961171</v>
      </c>
      <c r="CR57" s="533">
        <v>4251.192082718956</v>
      </c>
      <c r="CS57" s="533">
        <v>4297.5289400941201</v>
      </c>
      <c r="CT57" s="533">
        <v>4446.2813552762918</v>
      </c>
      <c r="CU57" s="533">
        <v>4710.9706972870172</v>
      </c>
      <c r="CV57" s="533">
        <v>4817.1430745320722</v>
      </c>
      <c r="CW57" s="533">
        <v>4927.3519358970516</v>
      </c>
      <c r="CX57" s="533">
        <v>5020.4998474367076</v>
      </c>
      <c r="CY57" s="533">
        <v>4801.2382869823095</v>
      </c>
      <c r="CZ57" s="533">
        <v>4692.9763049744743</v>
      </c>
      <c r="DA57" s="533">
        <v>5210.7579812143949</v>
      </c>
      <c r="DB57" s="533">
        <v>4783.0003253734376</v>
      </c>
      <c r="DC57" s="479">
        <v>4630.988600368496</v>
      </c>
      <c r="DD57" s="479">
        <v>4509.6959941900714</v>
      </c>
      <c r="DE57" s="479">
        <v>4711.7936753642362</v>
      </c>
      <c r="DF57" s="479">
        <v>4616.0012217394351</v>
      </c>
      <c r="DG57" s="479">
        <v>4878.9294011592719</v>
      </c>
      <c r="DH57" s="479">
        <v>4746.1633423332541</v>
      </c>
      <c r="DI57" s="479">
        <v>5325.2824715913684</v>
      </c>
      <c r="DJ57" s="479">
        <v>5541.1860658974183</v>
      </c>
      <c r="DK57" s="479">
        <v>5619.9714413319825</v>
      </c>
      <c r="DL57" s="479">
        <v>5775.6304338462423</v>
      </c>
      <c r="DM57" s="479">
        <v>6068.1121620674612</v>
      </c>
      <c r="DN57" s="479">
        <v>5589.2331374749119</v>
      </c>
      <c r="DO57" s="479">
        <v>5194.1468442355826</v>
      </c>
      <c r="DP57" s="479">
        <v>5333.0194552267467</v>
      </c>
      <c r="DQ57" s="479">
        <v>5385.6706686595744</v>
      </c>
      <c r="DR57" s="479">
        <v>5539.6742673663111</v>
      </c>
      <c r="DS57" s="479">
        <v>5602.5232902389325</v>
      </c>
      <c r="DT57" s="479">
        <v>5149.7038630589868</v>
      </c>
      <c r="DU57" s="479">
        <v>5290.4937595620104</v>
      </c>
      <c r="DV57" s="479">
        <v>5385.8735128742101</v>
      </c>
      <c r="DW57" s="479">
        <v>5586.2612344168292</v>
      </c>
      <c r="DX57" s="479">
        <v>5644.9282236303552</v>
      </c>
      <c r="DY57" s="479">
        <v>6356.2447420231292</v>
      </c>
      <c r="DZ57" s="479">
        <v>5596.1536234807236</v>
      </c>
      <c r="EA57" s="479">
        <v>5740.4111677035935</v>
      </c>
      <c r="EB57" s="479">
        <v>5667.4751678355915</v>
      </c>
      <c r="EC57" s="479">
        <v>5644.1992444635716</v>
      </c>
    </row>
    <row r="58" spans="1:133" ht="17.25" customHeight="1" x14ac:dyDescent="0.25">
      <c r="A58" s="481"/>
      <c r="B58" s="482"/>
      <c r="C58" s="561"/>
      <c r="D58" s="561"/>
      <c r="E58" s="561"/>
      <c r="F58" s="562"/>
      <c r="G58" s="561"/>
      <c r="H58" s="563"/>
      <c r="I58" s="561"/>
      <c r="J58" s="561"/>
      <c r="K58" s="561"/>
      <c r="L58" s="561"/>
      <c r="M58" s="562"/>
      <c r="N58" s="561"/>
      <c r="O58" s="561"/>
      <c r="P58" s="561"/>
      <c r="Q58" s="561"/>
      <c r="R58" s="561"/>
      <c r="S58" s="561"/>
      <c r="T58" s="561"/>
      <c r="U58" s="561"/>
      <c r="V58" s="561"/>
      <c r="W58" s="561"/>
      <c r="X58" s="561"/>
      <c r="Y58" s="561"/>
      <c r="Z58" s="561"/>
      <c r="AA58" s="561"/>
      <c r="AB58" s="561"/>
      <c r="AC58" s="561"/>
      <c r="AD58" s="563"/>
      <c r="AE58" s="561"/>
      <c r="AF58" s="561"/>
      <c r="AG58" s="561"/>
      <c r="AH58" s="561"/>
      <c r="AI58" s="561"/>
      <c r="AJ58" s="561"/>
      <c r="AK58" s="561"/>
      <c r="AL58" s="561"/>
      <c r="AM58" s="561"/>
      <c r="AN58" s="561"/>
      <c r="AO58" s="563"/>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1"/>
      <c r="DC58" s="564"/>
      <c r="DD58" s="564"/>
      <c r="DE58" s="564"/>
      <c r="DF58" s="564"/>
      <c r="DG58" s="564"/>
      <c r="DH58" s="564"/>
      <c r="DI58" s="564"/>
      <c r="DJ58" s="564"/>
      <c r="DK58" s="564"/>
      <c r="DL58" s="564"/>
      <c r="DM58" s="564"/>
      <c r="DN58" s="564"/>
      <c r="DO58" s="564"/>
      <c r="DP58" s="564"/>
      <c r="DQ58" s="564"/>
      <c r="DR58" s="564"/>
      <c r="DS58" s="564"/>
      <c r="DT58" s="564"/>
      <c r="DU58" s="564"/>
      <c r="DV58" s="564"/>
      <c r="DW58" s="564"/>
      <c r="DX58" s="564"/>
      <c r="DY58" s="564"/>
      <c r="DZ58" s="564"/>
      <c r="EA58" s="564"/>
      <c r="EB58" s="564"/>
      <c r="EC58" s="564"/>
    </row>
    <row r="59" spans="1:133" ht="17.25" customHeight="1" x14ac:dyDescent="0.25">
      <c r="A59" s="477" t="s">
        <v>453</v>
      </c>
      <c r="B59" s="478" t="s">
        <v>418</v>
      </c>
      <c r="C59" s="533">
        <v>4595.0087258302892</v>
      </c>
      <c r="D59" s="533">
        <v>4609.3744127777181</v>
      </c>
      <c r="E59" s="533">
        <v>4692.7880457399997</v>
      </c>
      <c r="F59" s="534">
        <v>4773.9488077465639</v>
      </c>
      <c r="G59" s="533">
        <v>4745.1555065601679</v>
      </c>
      <c r="H59" s="535">
        <v>4766.3887033161636</v>
      </c>
      <c r="I59" s="533">
        <v>4690.0757395018809</v>
      </c>
      <c r="J59" s="533">
        <v>4593.9624307005297</v>
      </c>
      <c r="K59" s="533">
        <v>4654.0875698799291</v>
      </c>
      <c r="L59" s="533">
        <v>4710.9445552029465</v>
      </c>
      <c r="M59" s="534">
        <v>4760.5647291373807</v>
      </c>
      <c r="N59" s="533">
        <v>4787.0487720594601</v>
      </c>
      <c r="O59" s="533">
        <v>4783.1985362094438</v>
      </c>
      <c r="P59" s="533">
        <v>4828.4114589847595</v>
      </c>
      <c r="Q59" s="533">
        <v>4848.8334460238329</v>
      </c>
      <c r="R59" s="533">
        <v>4854.7607335319008</v>
      </c>
      <c r="S59" s="533">
        <v>4879.8170035578978</v>
      </c>
      <c r="T59" s="533">
        <v>4934.8851155992115</v>
      </c>
      <c r="U59" s="533">
        <v>4833.4369213227928</v>
      </c>
      <c r="V59" s="533">
        <v>4847.8614720244641</v>
      </c>
      <c r="W59" s="533">
        <v>4967.4305936878773</v>
      </c>
      <c r="X59" s="533">
        <v>5005.2474888096085</v>
      </c>
      <c r="Y59" s="533">
        <v>5048.8829894577211</v>
      </c>
      <c r="Z59" s="533">
        <v>5126.6556069006519</v>
      </c>
      <c r="AA59" s="533">
        <v>5190.1198621269205</v>
      </c>
      <c r="AB59" s="533">
        <v>5249.2121219869487</v>
      </c>
      <c r="AC59" s="533">
        <v>5275.1536384711717</v>
      </c>
      <c r="AD59" s="535">
        <v>5042.9085763165513</v>
      </c>
      <c r="AE59" s="533">
        <v>5119.5384348554353</v>
      </c>
      <c r="AF59" s="533">
        <v>5181.9412282535768</v>
      </c>
      <c r="AG59" s="533">
        <v>5425.7411493928903</v>
      </c>
      <c r="AH59" s="533">
        <v>5514.200758857889</v>
      </c>
      <c r="AI59" s="533">
        <v>5503.952546142049</v>
      </c>
      <c r="AJ59" s="533">
        <v>5497.4509983470598</v>
      </c>
      <c r="AK59" s="533">
        <v>5480.2887766782815</v>
      </c>
      <c r="AL59" s="533">
        <v>5585.4211795521533</v>
      </c>
      <c r="AM59" s="533">
        <v>5968.0043967061001</v>
      </c>
      <c r="AN59" s="533">
        <v>6059.7477470495614</v>
      </c>
      <c r="AO59" s="535">
        <v>6205.411664003248</v>
      </c>
      <c r="AP59" s="533">
        <v>6279.3029064339435</v>
      </c>
      <c r="AQ59" s="533">
        <v>6550.3253858768412</v>
      </c>
      <c r="AR59" s="533">
        <v>6640.4076421884438</v>
      </c>
      <c r="AS59" s="533">
        <v>6713.5613489597399</v>
      </c>
      <c r="AT59" s="533">
        <v>6764.4671169502817</v>
      </c>
      <c r="AU59" s="533">
        <v>6832.6088324730372</v>
      </c>
      <c r="AV59" s="533">
        <v>6872.1391006246376</v>
      </c>
      <c r="AW59" s="533">
        <v>7045.8343213686276</v>
      </c>
      <c r="AX59" s="533">
        <v>7053.2956501755962</v>
      </c>
      <c r="AY59" s="533">
        <v>7052.937620533502</v>
      </c>
      <c r="AZ59" s="533">
        <v>7225.7446839094137</v>
      </c>
      <c r="BA59" s="533">
        <v>7283.819643102509</v>
      </c>
      <c r="BB59" s="533">
        <v>7204.6304832468122</v>
      </c>
      <c r="BC59" s="533">
        <v>7395.2177491518532</v>
      </c>
      <c r="BD59" s="533">
        <v>7451.9794502169725</v>
      </c>
      <c r="BE59" s="533">
        <v>7196.1949916831391</v>
      </c>
      <c r="BF59" s="533">
        <v>7268.8023395574919</v>
      </c>
      <c r="BG59" s="533">
        <v>7095.3782834436588</v>
      </c>
      <c r="BH59" s="533">
        <v>7033.239279663806</v>
      </c>
      <c r="BI59" s="533">
        <v>7252.6787740008285</v>
      </c>
      <c r="BJ59" s="533">
        <v>7356.6344485515501</v>
      </c>
      <c r="BK59" s="533">
        <v>7074.7659786496952</v>
      </c>
      <c r="BL59" s="533">
        <v>7226.9561729135667</v>
      </c>
      <c r="BM59" s="533">
        <v>7319.1501627818125</v>
      </c>
      <c r="BN59" s="533">
        <v>7291.816722365118</v>
      </c>
      <c r="BO59" s="533">
        <v>7355.5536276228386</v>
      </c>
      <c r="BP59" s="533">
        <v>7439.1176229554085</v>
      </c>
      <c r="BQ59" s="533">
        <v>7503.6335631335805</v>
      </c>
      <c r="BR59" s="533">
        <v>7323.924223489038</v>
      </c>
      <c r="BS59" s="533">
        <v>7663.3344905583926</v>
      </c>
      <c r="BT59" s="533">
        <v>7634.8313620263671</v>
      </c>
      <c r="BU59" s="533">
        <v>7720.5028523599058</v>
      </c>
      <c r="BV59" s="533">
        <v>7813.3927577451032</v>
      </c>
      <c r="BW59" s="533">
        <v>7905.3333700187086</v>
      </c>
      <c r="BX59" s="533">
        <v>8078.4566388464409</v>
      </c>
      <c r="BY59" s="533">
        <v>8056.3380960193936</v>
      </c>
      <c r="BZ59" s="533">
        <v>8194.9144985753701</v>
      </c>
      <c r="CA59" s="533">
        <v>8292.6827569259858</v>
      </c>
      <c r="CB59" s="533">
        <v>8366.1319376420033</v>
      </c>
      <c r="CC59" s="533">
        <v>8031.3620628897206</v>
      </c>
      <c r="CD59" s="533">
        <v>8114.7079429804971</v>
      </c>
      <c r="CE59" s="533">
        <v>8152.4708362769288</v>
      </c>
      <c r="CF59" s="533">
        <v>7911.351301286305</v>
      </c>
      <c r="CG59" s="533">
        <v>7994.3139716646847</v>
      </c>
      <c r="CH59" s="533">
        <v>7634.5801462454101</v>
      </c>
      <c r="CI59" s="533">
        <v>7768.6888221236804</v>
      </c>
      <c r="CJ59" s="533">
        <v>8009.7081533126593</v>
      </c>
      <c r="CK59" s="533">
        <v>8135.9817527655086</v>
      </c>
      <c r="CL59" s="533">
        <v>8159.7078939419744</v>
      </c>
      <c r="CM59" s="533">
        <v>8335.9774665411933</v>
      </c>
      <c r="CN59" s="533">
        <v>8475.21476407314</v>
      </c>
      <c r="CO59" s="533">
        <v>8564.6252360980416</v>
      </c>
      <c r="CP59" s="533">
        <v>8710.5449322980803</v>
      </c>
      <c r="CQ59" s="533">
        <v>8825.960865222436</v>
      </c>
      <c r="CR59" s="533">
        <v>8817.4838603603439</v>
      </c>
      <c r="CS59" s="533">
        <v>8900.1231851066786</v>
      </c>
      <c r="CT59" s="533">
        <v>9031.4316386669816</v>
      </c>
      <c r="CU59" s="533">
        <v>9125.6648297242173</v>
      </c>
      <c r="CV59" s="533">
        <v>9325.7448180481715</v>
      </c>
      <c r="CW59" s="533">
        <v>9462.2711494100477</v>
      </c>
      <c r="CX59" s="533">
        <v>9369.2483138895022</v>
      </c>
      <c r="CY59" s="533">
        <v>9536.2711919294725</v>
      </c>
      <c r="CZ59" s="533">
        <v>9695.877476898344</v>
      </c>
      <c r="DA59" s="533">
        <v>9816.4101902208859</v>
      </c>
      <c r="DB59" s="533">
        <v>9743.2932996068885</v>
      </c>
      <c r="DC59" s="479">
        <v>10104.212646211103</v>
      </c>
      <c r="DD59" s="479">
        <v>10110.571637897903</v>
      </c>
      <c r="DE59" s="479">
        <v>10205.576032899595</v>
      </c>
      <c r="DF59" s="479">
        <v>10364.472421348144</v>
      </c>
      <c r="DG59" s="479">
        <v>10496.064836905789</v>
      </c>
      <c r="DH59" s="479">
        <v>10625.99825868777</v>
      </c>
      <c r="DI59" s="479">
        <v>10336.334043062416</v>
      </c>
      <c r="DJ59" s="479">
        <v>10352.799997683063</v>
      </c>
      <c r="DK59" s="479">
        <v>10589.103429814766</v>
      </c>
      <c r="DL59" s="479">
        <v>10780.304757278269</v>
      </c>
      <c r="DM59" s="479">
        <v>10877.991777715242</v>
      </c>
      <c r="DN59" s="479">
        <v>11060.309068871717</v>
      </c>
      <c r="DO59" s="479">
        <v>11364.757766204573</v>
      </c>
      <c r="DP59" s="479">
        <v>11366.498920374215</v>
      </c>
      <c r="DQ59" s="479">
        <v>11449.245218048387</v>
      </c>
      <c r="DR59" s="479">
        <v>11594.489056885352</v>
      </c>
      <c r="DS59" s="479">
        <v>11830.461587255128</v>
      </c>
      <c r="DT59" s="479">
        <v>12070.788661100627</v>
      </c>
      <c r="DU59" s="479">
        <v>12219.965510579648</v>
      </c>
      <c r="DV59" s="479">
        <v>12110.932791714649</v>
      </c>
      <c r="DW59" s="479">
        <v>12275.464620277549</v>
      </c>
      <c r="DX59" s="479">
        <v>12773.618247122806</v>
      </c>
      <c r="DY59" s="479">
        <v>12915.82431752125</v>
      </c>
      <c r="DZ59" s="479">
        <v>13004.653399706989</v>
      </c>
      <c r="EA59" s="479">
        <v>13142.402262228408</v>
      </c>
      <c r="EB59" s="479">
        <v>13201.394055727003</v>
      </c>
      <c r="EC59" s="479">
        <v>13415.857008378431</v>
      </c>
    </row>
    <row r="60" spans="1:133" ht="17.25" customHeight="1" x14ac:dyDescent="0.25">
      <c r="A60" s="481"/>
      <c r="B60" s="482"/>
      <c r="C60" s="502"/>
      <c r="D60" s="502"/>
      <c r="E60" s="502"/>
      <c r="F60" s="541"/>
      <c r="G60" s="502"/>
      <c r="H60" s="542"/>
      <c r="I60" s="502"/>
      <c r="J60" s="502"/>
      <c r="K60" s="502"/>
      <c r="L60" s="502"/>
      <c r="M60" s="541"/>
      <c r="N60" s="502"/>
      <c r="O60" s="502"/>
      <c r="P60" s="502"/>
      <c r="Q60" s="502"/>
      <c r="R60" s="502"/>
      <c r="S60" s="502"/>
      <c r="T60" s="502"/>
      <c r="U60" s="502"/>
      <c r="V60" s="502"/>
      <c r="W60" s="502"/>
      <c r="X60" s="502"/>
      <c r="Y60" s="502"/>
      <c r="Z60" s="502"/>
      <c r="AA60" s="502"/>
      <c r="AB60" s="502"/>
      <c r="AC60" s="502"/>
      <c r="AD60" s="542"/>
      <c r="AE60" s="502"/>
      <c r="AF60" s="502"/>
      <c r="AG60" s="502"/>
      <c r="AH60" s="502"/>
      <c r="AI60" s="502"/>
      <c r="AJ60" s="502"/>
      <c r="AK60" s="502"/>
      <c r="AL60" s="502"/>
      <c r="AM60" s="502"/>
      <c r="AN60" s="502"/>
      <c r="AO60" s="54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484"/>
      <c r="DD60" s="484"/>
      <c r="DE60" s="484"/>
      <c r="DF60" s="484"/>
      <c r="DG60" s="484"/>
      <c r="DH60" s="484"/>
      <c r="DI60" s="484"/>
      <c r="DJ60" s="484"/>
      <c r="DK60" s="484"/>
      <c r="DL60" s="484"/>
      <c r="DM60" s="484"/>
      <c r="DN60" s="484"/>
      <c r="DO60" s="484"/>
      <c r="DP60" s="484"/>
      <c r="DQ60" s="484"/>
      <c r="DR60" s="484"/>
      <c r="DS60" s="484"/>
      <c r="DT60" s="484"/>
      <c r="DU60" s="484"/>
      <c r="DV60" s="484"/>
      <c r="DW60" s="484"/>
      <c r="DX60" s="484"/>
      <c r="DY60" s="484"/>
      <c r="DZ60" s="484"/>
      <c r="EA60" s="484"/>
      <c r="EB60" s="484"/>
      <c r="EC60" s="484"/>
    </row>
    <row r="61" spans="1:133" ht="17.25" customHeight="1" x14ac:dyDescent="0.25">
      <c r="A61" s="477"/>
      <c r="B61" s="478" t="s">
        <v>454</v>
      </c>
      <c r="C61" s="533">
        <v>25474.471451395435</v>
      </c>
      <c r="D61" s="533">
        <v>26072.063895684201</v>
      </c>
      <c r="E61" s="533">
        <v>26415.344452919999</v>
      </c>
      <c r="F61" s="534">
        <v>26856.415235024204</v>
      </c>
      <c r="G61" s="533">
        <v>27494.964101177593</v>
      </c>
      <c r="H61" s="535">
        <v>27955.940532792596</v>
      </c>
      <c r="I61" s="533">
        <v>28194.361602293327</v>
      </c>
      <c r="J61" s="533">
        <v>28336.892915349792</v>
      </c>
      <c r="K61" s="533">
        <v>28563.364929485935</v>
      </c>
      <c r="L61" s="533">
        <v>28740.361376723948</v>
      </c>
      <c r="M61" s="534">
        <v>29096.352207255884</v>
      </c>
      <c r="N61" s="533">
        <v>29423.313250309962</v>
      </c>
      <c r="O61" s="533">
        <v>29904.420293369942</v>
      </c>
      <c r="P61" s="533">
        <v>30192.423819521264</v>
      </c>
      <c r="Q61" s="533">
        <v>30534.515536923249</v>
      </c>
      <c r="R61" s="533">
        <v>30645.306166036931</v>
      </c>
      <c r="S61" s="533">
        <v>30723.142805009404</v>
      </c>
      <c r="T61" s="533">
        <v>30582.685570265083</v>
      </c>
      <c r="U61" s="533">
        <v>31026.051213552913</v>
      </c>
      <c r="V61" s="533">
        <v>31204.967849636967</v>
      </c>
      <c r="W61" s="533">
        <v>31436.788752572884</v>
      </c>
      <c r="X61" s="533">
        <v>31766.227604989104</v>
      </c>
      <c r="Y61" s="533">
        <v>32105.986535472326</v>
      </c>
      <c r="Z61" s="533">
        <v>32381.205792838246</v>
      </c>
      <c r="AA61" s="533">
        <v>32750.688683894688</v>
      </c>
      <c r="AB61" s="533">
        <v>33028.06547089458</v>
      </c>
      <c r="AC61" s="533">
        <v>33597.285546806248</v>
      </c>
      <c r="AD61" s="535">
        <v>33479.612832110324</v>
      </c>
      <c r="AE61" s="533">
        <v>33528.234725332208</v>
      </c>
      <c r="AF61" s="533">
        <v>33945.25242310921</v>
      </c>
      <c r="AG61" s="533">
        <v>34531.168337755749</v>
      </c>
      <c r="AH61" s="533">
        <v>35377.395748930096</v>
      </c>
      <c r="AI61" s="533">
        <v>35546.314184447794</v>
      </c>
      <c r="AJ61" s="533">
        <v>36611.780369795364</v>
      </c>
      <c r="AK61" s="533">
        <v>36437.036160879419</v>
      </c>
      <c r="AL61" s="533">
        <v>36579.440659070511</v>
      </c>
      <c r="AM61" s="533">
        <v>37142.506880988556</v>
      </c>
      <c r="AN61" s="533">
        <v>37843.823665280754</v>
      </c>
      <c r="AO61" s="535">
        <v>38957.022858502925</v>
      </c>
      <c r="AP61" s="533">
        <v>39246.418509886862</v>
      </c>
      <c r="AQ61" s="533">
        <v>41293.583773737446</v>
      </c>
      <c r="AR61" s="533">
        <v>41489.263434951557</v>
      </c>
      <c r="AS61" s="533">
        <v>41558.040422224731</v>
      </c>
      <c r="AT61" s="533">
        <v>41583.506601367233</v>
      </c>
      <c r="AU61" s="533">
        <v>41724.410902765681</v>
      </c>
      <c r="AV61" s="533">
        <v>41930.542897229068</v>
      </c>
      <c r="AW61" s="533">
        <v>42394.904265790479</v>
      </c>
      <c r="AX61" s="533">
        <v>42837.910244615814</v>
      </c>
      <c r="AY61" s="533">
        <v>42727.796492423404</v>
      </c>
      <c r="AZ61" s="533">
        <v>43656.6473520117</v>
      </c>
      <c r="BA61" s="533">
        <v>44566.275999392819</v>
      </c>
      <c r="BB61" s="533">
        <v>44600.121653329959</v>
      </c>
      <c r="BC61" s="533">
        <v>44849.659281448767</v>
      </c>
      <c r="BD61" s="533">
        <v>44964.778968119259</v>
      </c>
      <c r="BE61" s="533">
        <v>44265.953943303459</v>
      </c>
      <c r="BF61" s="533">
        <v>44213.112024193724</v>
      </c>
      <c r="BG61" s="533">
        <v>44416.633551558982</v>
      </c>
      <c r="BH61" s="533">
        <v>44552.782204115014</v>
      </c>
      <c r="BI61" s="533">
        <v>45009.054431410827</v>
      </c>
      <c r="BJ61" s="533">
        <v>45312.920665760117</v>
      </c>
      <c r="BK61" s="533">
        <v>43235.787246349129</v>
      </c>
      <c r="BL61" s="533">
        <v>43097.493635653664</v>
      </c>
      <c r="BM61" s="533">
        <v>43203.774808233495</v>
      </c>
      <c r="BN61" s="533">
        <v>43661.834296991954</v>
      </c>
      <c r="BO61" s="533">
        <v>43974.956510773256</v>
      </c>
      <c r="BP61" s="533">
        <v>44381.176624370994</v>
      </c>
      <c r="BQ61" s="533">
        <v>44497.792306220872</v>
      </c>
      <c r="BR61" s="533">
        <v>44816.576910465919</v>
      </c>
      <c r="BS61" s="533">
        <v>45160.287153902238</v>
      </c>
      <c r="BT61" s="533">
        <v>45783.010751153786</v>
      </c>
      <c r="BU61" s="533">
        <v>46501.674701855991</v>
      </c>
      <c r="BV61" s="533">
        <v>47074.090090173944</v>
      </c>
      <c r="BW61" s="533">
        <v>47894.003678153691</v>
      </c>
      <c r="BX61" s="533">
        <v>47942.826129506633</v>
      </c>
      <c r="BY61" s="533">
        <v>48371.125310600342</v>
      </c>
      <c r="BZ61" s="533">
        <v>48916.095699009165</v>
      </c>
      <c r="CA61" s="533">
        <v>49255.747113939324</v>
      </c>
      <c r="CB61" s="533">
        <v>49659.18436171177</v>
      </c>
      <c r="CC61" s="533">
        <v>48698.191211594225</v>
      </c>
      <c r="CD61" s="533">
        <v>48761.357791491457</v>
      </c>
      <c r="CE61" s="533">
        <v>49222.68606444788</v>
      </c>
      <c r="CF61" s="533">
        <v>49905.491819543342</v>
      </c>
      <c r="CG61" s="533">
        <v>50217.162324114026</v>
      </c>
      <c r="CH61" s="533">
        <v>46912.906296941721</v>
      </c>
      <c r="CI61" s="533">
        <v>47409.792134913303</v>
      </c>
      <c r="CJ61" s="533">
        <v>47875.192852699918</v>
      </c>
      <c r="CK61" s="533">
        <v>48388.659543081478</v>
      </c>
      <c r="CL61" s="533">
        <v>48971.714601216074</v>
      </c>
      <c r="CM61" s="533">
        <v>49487.197196966634</v>
      </c>
      <c r="CN61" s="533">
        <v>49783.066297619967</v>
      </c>
      <c r="CO61" s="533">
        <v>50852.368546052159</v>
      </c>
      <c r="CP61" s="533">
        <v>51434.678698228876</v>
      </c>
      <c r="CQ61" s="533">
        <v>53196.983414472481</v>
      </c>
      <c r="CR61" s="533">
        <v>53885.432490609091</v>
      </c>
      <c r="CS61" s="533">
        <v>53522.373320540595</v>
      </c>
      <c r="CT61" s="533">
        <v>53888.2107806731</v>
      </c>
      <c r="CU61" s="533">
        <v>54959.28129971445</v>
      </c>
      <c r="CV61" s="533">
        <v>54870.586194286108</v>
      </c>
      <c r="CW61" s="533">
        <v>55943.655789739103</v>
      </c>
      <c r="CX61" s="533">
        <v>56793.800618429115</v>
      </c>
      <c r="CY61" s="533">
        <v>57326.641862916513</v>
      </c>
      <c r="CZ61" s="533">
        <v>57678.576852817707</v>
      </c>
      <c r="DA61" s="533">
        <v>58472.529791763511</v>
      </c>
      <c r="DB61" s="533">
        <v>58061.340148388554</v>
      </c>
      <c r="DC61" s="479">
        <v>58439.562505703514</v>
      </c>
      <c r="DD61" s="479">
        <v>59188.973477353058</v>
      </c>
      <c r="DE61" s="479">
        <v>59922.185490349126</v>
      </c>
      <c r="DF61" s="479">
        <v>60473.288928725233</v>
      </c>
      <c r="DG61" s="479">
        <v>61496.319549418913</v>
      </c>
      <c r="DH61" s="479">
        <v>61671.708856908954</v>
      </c>
      <c r="DI61" s="479">
        <v>62181.74430304089</v>
      </c>
      <c r="DJ61" s="479">
        <v>63406.936379661282</v>
      </c>
      <c r="DK61" s="479">
        <v>64027.250872396631</v>
      </c>
      <c r="DL61" s="479">
        <v>64697.901216674509</v>
      </c>
      <c r="DM61" s="479">
        <v>65575.577525555695</v>
      </c>
      <c r="DN61" s="479">
        <v>65330.12716289534</v>
      </c>
      <c r="DO61" s="479">
        <v>65246.331665826561</v>
      </c>
      <c r="DP61" s="479">
        <v>65872.875149534229</v>
      </c>
      <c r="DQ61" s="479">
        <v>66183.274304624589</v>
      </c>
      <c r="DR61" s="479">
        <v>65927.87564363901</v>
      </c>
      <c r="DS61" s="479">
        <v>66401.152564357719</v>
      </c>
      <c r="DT61" s="479">
        <v>66533.399309374843</v>
      </c>
      <c r="DU61" s="479">
        <v>67253.192607427132</v>
      </c>
      <c r="DV61" s="479">
        <v>67943.60492110817</v>
      </c>
      <c r="DW61" s="479">
        <v>68325.074927102571</v>
      </c>
      <c r="DX61" s="479">
        <v>69106.468411983151</v>
      </c>
      <c r="DY61" s="479">
        <v>70422.862241628827</v>
      </c>
      <c r="DZ61" s="479">
        <v>70226.090863636899</v>
      </c>
      <c r="EA61" s="479">
        <v>70474.04758085779</v>
      </c>
      <c r="EB61" s="479">
        <v>70595.319304727469</v>
      </c>
      <c r="EC61" s="479">
        <v>70812.659651320078</v>
      </c>
    </row>
    <row r="62" spans="1:133" ht="17.25" customHeight="1" thickBot="1" x14ac:dyDescent="0.3">
      <c r="A62" s="505"/>
      <c r="B62" s="506"/>
      <c r="C62" s="509"/>
      <c r="D62" s="509"/>
      <c r="E62" s="509"/>
      <c r="F62" s="566"/>
      <c r="G62" s="509"/>
      <c r="H62" s="567"/>
      <c r="I62" s="509"/>
      <c r="J62" s="509"/>
      <c r="K62" s="509"/>
      <c r="L62" s="509"/>
      <c r="M62" s="566"/>
      <c r="N62" s="509"/>
      <c r="O62" s="509"/>
      <c r="P62" s="509"/>
      <c r="Q62" s="509"/>
      <c r="R62" s="509"/>
      <c r="S62" s="509"/>
      <c r="T62" s="509"/>
      <c r="U62" s="509"/>
      <c r="V62" s="509"/>
      <c r="W62" s="509"/>
      <c r="X62" s="509"/>
      <c r="Y62" s="509"/>
      <c r="Z62" s="509"/>
      <c r="AA62" s="509"/>
      <c r="AB62" s="509"/>
      <c r="AC62" s="509"/>
      <c r="AD62" s="567"/>
      <c r="AE62" s="509"/>
      <c r="AF62" s="509"/>
      <c r="AG62" s="509"/>
      <c r="AH62" s="509"/>
      <c r="AI62" s="509"/>
      <c r="AJ62" s="509"/>
      <c r="AK62" s="509"/>
      <c r="AL62" s="509"/>
      <c r="AM62" s="509"/>
      <c r="AN62" s="509"/>
      <c r="AO62" s="567"/>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row>
    <row r="63" spans="1:133" ht="15.75" thickTop="1" x14ac:dyDescent="0.25">
      <c r="A63" s="259" t="s">
        <v>239</v>
      </c>
      <c r="B63" s="431"/>
      <c r="C63" s="431"/>
      <c r="D63" s="431"/>
      <c r="E63" s="431"/>
      <c r="F63" s="431"/>
      <c r="G63" s="431"/>
      <c r="H63" s="431"/>
      <c r="I63" s="431"/>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row>
    <row r="64" spans="1:133" ht="12.75" customHeight="1" x14ac:dyDescent="0.25">
      <c r="A64" s="259" t="s">
        <v>469</v>
      </c>
      <c r="B64" s="431"/>
      <c r="C64" s="431"/>
      <c r="D64" s="431"/>
      <c r="E64" s="431"/>
      <c r="F64" s="431"/>
      <c r="G64" s="431"/>
      <c r="H64" s="431"/>
      <c r="I64" s="431"/>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row>
    <row r="65" spans="1:36" x14ac:dyDescent="0.25">
      <c r="A65" s="259" t="s">
        <v>179</v>
      </c>
      <c r="C65" s="431"/>
      <c r="D65" s="431"/>
      <c r="E65" s="431"/>
      <c r="F65" s="431"/>
      <c r="G65" s="431"/>
      <c r="H65" s="431"/>
      <c r="I65" s="431"/>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row>
    <row r="66" spans="1:36" x14ac:dyDescent="0.25">
      <c r="A66" s="259"/>
      <c r="B66" s="431"/>
      <c r="C66" s="431"/>
      <c r="D66" s="431"/>
      <c r="E66" s="431"/>
      <c r="F66" s="431"/>
      <c r="G66" s="431"/>
      <c r="H66" s="431"/>
      <c r="I66" s="431"/>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row>
    <row r="67" spans="1:36" x14ac:dyDescent="0.25">
      <c r="A67" s="259"/>
      <c r="B67" s="431"/>
      <c r="C67" s="431"/>
      <c r="D67" s="431"/>
      <c r="E67" s="431"/>
      <c r="F67" s="431"/>
      <c r="G67" s="431"/>
      <c r="H67" s="431"/>
      <c r="I67" s="431"/>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row>
    <row r="68" spans="1:36" x14ac:dyDescent="0.25">
      <c r="A68" s="259"/>
      <c r="B68" s="431"/>
      <c r="C68" s="431"/>
      <c r="D68" s="431"/>
      <c r="E68" s="431"/>
      <c r="F68" s="431"/>
      <c r="G68" s="431"/>
      <c r="H68" s="431"/>
      <c r="I68" s="431"/>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row>
    <row r="69" spans="1:36" hidden="1" x14ac:dyDescent="0.25">
      <c r="A69" s="259"/>
      <c r="B69" s="431"/>
      <c r="C69" s="431"/>
      <c r="D69" s="431"/>
      <c r="E69" s="431"/>
      <c r="F69" s="431"/>
      <c r="G69" s="431"/>
      <c r="H69" s="431"/>
      <c r="I69" s="431"/>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row>
    <row r="70" spans="1:36" x14ac:dyDescent="0.25">
      <c r="A70" s="259"/>
      <c r="B70" s="431"/>
      <c r="C70" s="431"/>
      <c r="D70" s="431"/>
      <c r="E70" s="431"/>
      <c r="F70" s="431"/>
      <c r="G70" s="431"/>
      <c r="H70" s="431"/>
      <c r="I70" s="431"/>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row>
    <row r="71" spans="1:36" x14ac:dyDescent="0.25">
      <c r="A71" s="259"/>
      <c r="B71" s="431"/>
      <c r="C71" s="431"/>
      <c r="D71" s="431"/>
      <c r="E71" s="431"/>
      <c r="F71" s="431"/>
      <c r="G71" s="431"/>
      <c r="H71" s="431"/>
      <c r="I71" s="431"/>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row>
    <row r="72" spans="1:36" x14ac:dyDescent="0.25">
      <c r="A72" s="259"/>
      <c r="B72" s="431"/>
      <c r="C72" s="431"/>
      <c r="D72" s="431"/>
      <c r="E72" s="431"/>
      <c r="F72" s="431"/>
      <c r="G72" s="431"/>
      <c r="H72" s="431"/>
      <c r="I72" s="431"/>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row>
    <row r="73" spans="1:36" x14ac:dyDescent="0.25">
      <c r="A73" s="259"/>
      <c r="B73" s="431"/>
      <c r="C73" s="431"/>
      <c r="D73" s="431"/>
      <c r="E73" s="431"/>
      <c r="F73" s="431"/>
      <c r="G73" s="431"/>
      <c r="H73" s="431"/>
      <c r="I73" s="431"/>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row>
    <row r="74" spans="1:36" x14ac:dyDescent="0.25">
      <c r="A74" s="259"/>
      <c r="B74" s="431"/>
      <c r="C74" s="431"/>
      <c r="D74" s="431"/>
      <c r="E74" s="431"/>
      <c r="F74" s="431"/>
      <c r="G74" s="431"/>
      <c r="H74" s="431"/>
      <c r="I74" s="431"/>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row>
    <row r="75" spans="1:36" x14ac:dyDescent="0.25">
      <c r="A75" s="259"/>
      <c r="B75" s="431"/>
      <c r="C75" s="431"/>
      <c r="D75" s="431"/>
      <c r="E75" s="431"/>
      <c r="F75" s="431"/>
      <c r="G75" s="431"/>
      <c r="H75" s="431"/>
      <c r="I75" s="431"/>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row>
    <row r="76" spans="1:36" x14ac:dyDescent="0.25">
      <c r="A76" s="259"/>
      <c r="B76" s="431"/>
      <c r="C76" s="431"/>
      <c r="D76" s="431"/>
      <c r="E76" s="431"/>
      <c r="F76" s="431"/>
      <c r="G76" s="431"/>
      <c r="H76" s="431"/>
      <c r="I76" s="431"/>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row>
    <row r="77" spans="1:36" x14ac:dyDescent="0.25">
      <c r="A77" s="259"/>
      <c r="B77" s="431"/>
      <c r="C77" s="431"/>
      <c r="D77" s="431"/>
      <c r="E77" s="431"/>
      <c r="F77" s="431"/>
      <c r="G77" s="431"/>
      <c r="H77" s="431"/>
      <c r="I77" s="431"/>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row>
    <row r="78" spans="1:36" x14ac:dyDescent="0.25">
      <c r="A78" s="259"/>
      <c r="B78" s="431"/>
      <c r="C78" s="431"/>
      <c r="D78" s="431"/>
      <c r="E78" s="431"/>
      <c r="F78" s="431"/>
      <c r="G78" s="431"/>
      <c r="H78" s="431"/>
      <c r="I78" s="431"/>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row>
    <row r="79" spans="1:36" x14ac:dyDescent="0.25">
      <c r="A79" s="259"/>
      <c r="B79" s="431"/>
      <c r="C79" s="431"/>
      <c r="D79" s="431"/>
      <c r="E79" s="431"/>
      <c r="F79" s="431"/>
      <c r="G79" s="431"/>
      <c r="H79" s="431"/>
      <c r="I79" s="431"/>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row>
    <row r="80" spans="1:36" x14ac:dyDescent="0.25">
      <c r="A80" s="259"/>
      <c r="B80" s="431"/>
      <c r="C80" s="431"/>
      <c r="D80" s="431"/>
      <c r="E80" s="431"/>
      <c r="F80" s="431"/>
      <c r="G80" s="431"/>
      <c r="H80" s="431"/>
      <c r="I80" s="431"/>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row>
    <row r="81" spans="1:36" x14ac:dyDescent="0.25">
      <c r="A81" s="259"/>
      <c r="B81" s="431"/>
      <c r="C81" s="431"/>
      <c r="D81" s="431"/>
      <c r="E81" s="431"/>
      <c r="F81" s="431"/>
      <c r="G81" s="431"/>
      <c r="H81" s="431"/>
      <c r="I81" s="431"/>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row>
    <row r="82" spans="1:36" x14ac:dyDescent="0.25">
      <c r="A82" s="259"/>
      <c r="B82" s="431"/>
      <c r="C82" s="431"/>
      <c r="D82" s="431"/>
      <c r="E82" s="431"/>
      <c r="F82" s="431"/>
      <c r="G82" s="431"/>
      <c r="H82" s="431"/>
      <c r="I82" s="431"/>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row>
    <row r="83" spans="1:36" x14ac:dyDescent="0.25">
      <c r="A83" s="259"/>
      <c r="B83" s="431"/>
      <c r="C83" s="431"/>
      <c r="D83" s="431"/>
      <c r="E83" s="431"/>
      <c r="F83" s="431"/>
      <c r="G83" s="431"/>
      <c r="H83" s="431"/>
      <c r="I83" s="431"/>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row>
    <row r="84" spans="1:36" x14ac:dyDescent="0.25">
      <c r="A84" s="259"/>
      <c r="B84" s="431"/>
      <c r="C84" s="431"/>
      <c r="D84" s="431"/>
      <c r="E84" s="431"/>
      <c r="F84" s="431"/>
      <c r="G84" s="431"/>
      <c r="H84" s="431"/>
      <c r="I84" s="431"/>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row>
    <row r="85" spans="1:36" x14ac:dyDescent="0.25">
      <c r="A85" s="259"/>
      <c r="B85" s="431"/>
      <c r="C85" s="431"/>
      <c r="D85" s="431"/>
      <c r="E85" s="431"/>
      <c r="F85" s="431"/>
      <c r="G85" s="431"/>
      <c r="H85" s="431"/>
      <c r="I85" s="431"/>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row>
    <row r="86" spans="1:36" x14ac:dyDescent="0.25">
      <c r="A86" s="259"/>
      <c r="B86" s="431"/>
      <c r="C86" s="431"/>
      <c r="D86" s="431"/>
      <c r="E86" s="431"/>
      <c r="F86" s="431"/>
      <c r="G86" s="431"/>
      <c r="H86" s="431"/>
      <c r="I86" s="431"/>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row>
    <row r="87" spans="1:36" x14ac:dyDescent="0.25">
      <c r="A87" s="259"/>
      <c r="B87" s="431"/>
      <c r="C87" s="431"/>
      <c r="D87" s="431"/>
      <c r="E87" s="431"/>
      <c r="F87" s="431"/>
      <c r="G87" s="431"/>
      <c r="H87" s="431"/>
      <c r="I87" s="431"/>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row>
    <row r="88" spans="1:36" x14ac:dyDescent="0.25">
      <c r="A88" s="259"/>
      <c r="B88" s="431"/>
      <c r="C88" s="431"/>
      <c r="D88" s="431"/>
      <c r="E88" s="431"/>
      <c r="F88" s="431"/>
      <c r="G88" s="431"/>
      <c r="H88" s="431"/>
      <c r="I88" s="431"/>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row>
    <row r="89" spans="1:36" x14ac:dyDescent="0.25">
      <c r="A89" s="259"/>
      <c r="B89" s="431"/>
      <c r="C89" s="431"/>
      <c r="D89" s="431"/>
      <c r="E89" s="431"/>
      <c r="F89" s="431"/>
      <c r="G89" s="431"/>
      <c r="H89" s="431"/>
      <c r="I89" s="431"/>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row>
    <row r="90" spans="1:36" x14ac:dyDescent="0.25">
      <c r="A90" s="259"/>
      <c r="B90" s="431"/>
      <c r="C90" s="431"/>
      <c r="D90" s="431"/>
      <c r="E90" s="431"/>
      <c r="F90" s="431"/>
      <c r="G90" s="431"/>
      <c r="H90" s="431"/>
      <c r="I90" s="431"/>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row>
    <row r="91" spans="1:36" x14ac:dyDescent="0.25">
      <c r="A91" s="259"/>
      <c r="B91" s="431"/>
      <c r="C91" s="431"/>
      <c r="D91" s="431"/>
      <c r="E91" s="431"/>
      <c r="F91" s="431"/>
      <c r="G91" s="431"/>
      <c r="H91" s="431"/>
      <c r="I91" s="431"/>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row>
    <row r="92" spans="1:36" x14ac:dyDescent="0.25">
      <c r="A92" s="259"/>
      <c r="B92" s="431"/>
      <c r="C92" s="431"/>
      <c r="D92" s="431"/>
      <c r="E92" s="431"/>
      <c r="F92" s="431"/>
      <c r="G92" s="431"/>
      <c r="H92" s="431"/>
      <c r="I92" s="431"/>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row>
    <row r="93" spans="1:36" x14ac:dyDescent="0.25">
      <c r="A93" s="259"/>
      <c r="B93" s="431"/>
      <c r="C93" s="431"/>
      <c r="D93" s="431"/>
      <c r="E93" s="431"/>
      <c r="F93" s="431"/>
      <c r="G93" s="431"/>
      <c r="H93" s="431"/>
      <c r="I93" s="431"/>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row>
    <row r="94" spans="1:36" x14ac:dyDescent="0.25">
      <c r="A94" s="259"/>
      <c r="B94" s="431"/>
      <c r="C94" s="431"/>
      <c r="D94" s="431"/>
      <c r="E94" s="431"/>
      <c r="F94" s="431"/>
      <c r="G94" s="431"/>
      <c r="H94" s="431"/>
      <c r="I94" s="431"/>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row>
    <row r="95" spans="1:36" x14ac:dyDescent="0.25">
      <c r="A95" s="259"/>
      <c r="B95" s="431"/>
      <c r="C95" s="431"/>
      <c r="D95" s="431"/>
      <c r="E95" s="431"/>
      <c r="F95" s="431"/>
      <c r="G95" s="431"/>
      <c r="H95" s="431"/>
      <c r="I95" s="431"/>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row>
    <row r="96" spans="1:36" x14ac:dyDescent="0.25">
      <c r="A96" s="259"/>
      <c r="B96" s="431"/>
      <c r="C96" s="431"/>
      <c r="D96" s="431"/>
      <c r="E96" s="431"/>
      <c r="F96" s="431"/>
      <c r="G96" s="431"/>
      <c r="H96" s="431"/>
      <c r="I96" s="431"/>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row>
    <row r="97" spans="1:36" x14ac:dyDescent="0.25">
      <c r="A97" s="259"/>
      <c r="B97" s="431"/>
      <c r="C97" s="431"/>
      <c r="D97" s="431"/>
      <c r="E97" s="431"/>
      <c r="F97" s="431"/>
      <c r="G97" s="431"/>
      <c r="H97" s="431"/>
      <c r="I97" s="431"/>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row>
    <row r="98" spans="1:36" x14ac:dyDescent="0.25">
      <c r="A98" s="259"/>
      <c r="B98" s="431"/>
      <c r="C98" s="431"/>
      <c r="D98" s="431"/>
      <c r="E98" s="431"/>
      <c r="F98" s="431"/>
      <c r="G98" s="431"/>
      <c r="H98" s="431"/>
      <c r="I98" s="431"/>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row>
    <row r="99" spans="1:36" x14ac:dyDescent="0.25">
      <c r="A99" s="259"/>
      <c r="B99" s="431"/>
      <c r="C99" s="431"/>
      <c r="D99" s="431"/>
      <c r="E99" s="431"/>
      <c r="F99" s="431"/>
      <c r="G99" s="431"/>
      <c r="H99" s="431"/>
      <c r="I99" s="431"/>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row>
    <row r="100" spans="1:36" x14ac:dyDescent="0.25">
      <c r="A100" s="259"/>
      <c r="B100" s="431"/>
      <c r="C100" s="431"/>
      <c r="D100" s="431"/>
      <c r="E100" s="431"/>
      <c r="F100" s="431"/>
      <c r="G100" s="431"/>
      <c r="H100" s="431"/>
      <c r="I100" s="431"/>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row>
    <row r="101" spans="1:36" x14ac:dyDescent="0.25">
      <c r="A101" s="259"/>
      <c r="B101" s="431"/>
      <c r="C101" s="431"/>
      <c r="D101" s="431"/>
      <c r="E101" s="431"/>
      <c r="F101" s="431"/>
      <c r="G101" s="431"/>
      <c r="H101" s="431"/>
      <c r="I101" s="431"/>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row>
    <row r="102" spans="1:36" x14ac:dyDescent="0.25">
      <c r="A102" s="259"/>
      <c r="B102" s="431"/>
      <c r="C102" s="431"/>
      <c r="D102" s="431"/>
      <c r="E102" s="431"/>
      <c r="F102" s="431"/>
      <c r="G102" s="431"/>
      <c r="H102" s="431"/>
      <c r="I102" s="431"/>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row>
    <row r="103" spans="1:36" x14ac:dyDescent="0.25">
      <c r="A103" s="259"/>
      <c r="B103" s="431"/>
      <c r="C103" s="431"/>
      <c r="D103" s="431"/>
      <c r="E103" s="431"/>
      <c r="F103" s="431"/>
      <c r="G103" s="431"/>
      <c r="H103" s="431"/>
      <c r="I103" s="431"/>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row>
    <row r="104" spans="1:36" x14ac:dyDescent="0.25">
      <c r="A104" s="259"/>
      <c r="B104" s="431"/>
      <c r="C104" s="431"/>
      <c r="D104" s="431"/>
      <c r="E104" s="431"/>
      <c r="F104" s="431"/>
      <c r="G104" s="431"/>
      <c r="H104" s="431"/>
      <c r="I104" s="431"/>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row>
    <row r="105" spans="1:36" x14ac:dyDescent="0.25">
      <c r="A105" s="259"/>
      <c r="B105" s="431"/>
      <c r="C105" s="431"/>
      <c r="D105" s="431"/>
      <c r="E105" s="431"/>
      <c r="F105" s="431"/>
      <c r="G105" s="431"/>
      <c r="H105" s="431"/>
      <c r="I105" s="431"/>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row>
    <row r="106" spans="1:36" x14ac:dyDescent="0.25">
      <c r="A106" s="259"/>
      <c r="B106" s="431"/>
      <c r="C106" s="431"/>
      <c r="D106" s="431"/>
      <c r="E106" s="431"/>
      <c r="F106" s="431"/>
      <c r="G106" s="431"/>
      <c r="H106" s="431"/>
      <c r="I106" s="431"/>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row>
    <row r="107" spans="1:36" x14ac:dyDescent="0.25">
      <c r="A107" s="259"/>
      <c r="B107" s="431"/>
      <c r="C107" s="431"/>
      <c r="D107" s="431"/>
      <c r="E107" s="431"/>
      <c r="F107" s="431"/>
      <c r="G107" s="431"/>
      <c r="H107" s="431"/>
      <c r="I107" s="431"/>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row>
    <row r="108" spans="1:36" x14ac:dyDescent="0.25">
      <c r="A108" s="259"/>
      <c r="B108" s="431"/>
      <c r="C108" s="431"/>
      <c r="D108" s="431"/>
      <c r="E108" s="431"/>
      <c r="F108" s="431"/>
      <c r="G108" s="431"/>
      <c r="H108" s="431"/>
      <c r="I108" s="431"/>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row>
    <row r="109" spans="1:36" x14ac:dyDescent="0.25">
      <c r="A109" s="259"/>
      <c r="B109" s="431"/>
      <c r="C109" s="431"/>
      <c r="D109" s="431"/>
      <c r="E109" s="431"/>
      <c r="F109" s="431"/>
      <c r="G109" s="431"/>
      <c r="H109" s="431"/>
      <c r="I109" s="431"/>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row>
    <row r="110" spans="1:36" x14ac:dyDescent="0.25">
      <c r="A110" s="259"/>
      <c r="B110" s="431"/>
      <c r="C110" s="431"/>
      <c r="D110" s="431"/>
      <c r="E110" s="431"/>
      <c r="F110" s="431"/>
      <c r="G110" s="431"/>
      <c r="H110" s="431"/>
      <c r="I110" s="431"/>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row>
    <row r="111" spans="1:36" x14ac:dyDescent="0.25">
      <c r="A111" s="259"/>
      <c r="B111" s="431"/>
      <c r="C111" s="431"/>
      <c r="D111" s="431"/>
      <c r="E111" s="431"/>
      <c r="F111" s="431"/>
      <c r="G111" s="431"/>
      <c r="H111" s="431"/>
      <c r="I111" s="431"/>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row>
    <row r="112" spans="1:36" x14ac:dyDescent="0.25">
      <c r="A112" s="259"/>
      <c r="B112" s="431"/>
      <c r="C112" s="431"/>
      <c r="D112" s="431"/>
      <c r="E112" s="431"/>
      <c r="F112" s="431"/>
      <c r="G112" s="431"/>
      <c r="H112" s="431"/>
      <c r="I112" s="431"/>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row>
    <row r="113" spans="1:36" x14ac:dyDescent="0.25">
      <c r="A113" s="259"/>
      <c r="B113" s="431"/>
      <c r="C113" s="431"/>
      <c r="D113" s="431"/>
      <c r="E113" s="431"/>
      <c r="F113" s="431"/>
      <c r="G113" s="431"/>
      <c r="H113" s="431"/>
      <c r="I113" s="431"/>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row>
    <row r="114" spans="1:36" x14ac:dyDescent="0.25">
      <c r="A114" s="259"/>
      <c r="B114" s="431"/>
      <c r="C114" s="431"/>
      <c r="D114" s="431"/>
      <c r="E114" s="431"/>
      <c r="F114" s="431"/>
      <c r="G114" s="431"/>
      <c r="H114" s="431"/>
      <c r="I114" s="431"/>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row>
    <row r="115" spans="1:36" x14ac:dyDescent="0.25">
      <c r="A115" s="259"/>
      <c r="B115" s="431"/>
      <c r="C115" s="431"/>
      <c r="D115" s="431"/>
      <c r="E115" s="431"/>
      <c r="F115" s="431"/>
      <c r="G115" s="431"/>
      <c r="H115" s="431"/>
      <c r="I115" s="431"/>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row>
    <row r="116" spans="1:36" x14ac:dyDescent="0.25">
      <c r="A116" s="259"/>
      <c r="B116" s="431"/>
      <c r="C116" s="431"/>
      <c r="D116" s="431"/>
      <c r="E116" s="431"/>
      <c r="F116" s="431"/>
      <c r="G116" s="431"/>
      <c r="H116" s="431"/>
      <c r="I116" s="431"/>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row>
    <row r="117" spans="1:36" x14ac:dyDescent="0.25">
      <c r="A117" s="259"/>
      <c r="B117" s="431"/>
      <c r="C117" s="431"/>
      <c r="D117" s="431"/>
      <c r="E117" s="431"/>
      <c r="F117" s="431"/>
      <c r="G117" s="431"/>
      <c r="H117" s="431"/>
      <c r="I117" s="431"/>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row>
    <row r="118" spans="1:36" x14ac:dyDescent="0.25">
      <c r="A118" s="259"/>
      <c r="B118" s="431"/>
      <c r="C118" s="431"/>
      <c r="D118" s="431"/>
      <c r="E118" s="431"/>
      <c r="F118" s="431"/>
      <c r="G118" s="431"/>
      <c r="H118" s="431"/>
      <c r="I118" s="431"/>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row>
    <row r="119" spans="1:36" x14ac:dyDescent="0.25">
      <c r="A119" s="259"/>
      <c r="B119" s="431"/>
      <c r="C119" s="431"/>
      <c r="D119" s="431"/>
      <c r="E119" s="431"/>
      <c r="F119" s="431"/>
      <c r="G119" s="431"/>
      <c r="H119" s="431"/>
      <c r="I119" s="431"/>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row>
    <row r="120" spans="1:36" x14ac:dyDescent="0.25">
      <c r="A120" s="259"/>
      <c r="B120" s="431"/>
      <c r="C120" s="431"/>
      <c r="D120" s="431"/>
      <c r="E120" s="431"/>
      <c r="F120" s="431"/>
      <c r="G120" s="431"/>
      <c r="H120" s="431"/>
      <c r="I120" s="431"/>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row>
    <row r="121" spans="1:36" x14ac:dyDescent="0.25">
      <c r="A121" s="259"/>
      <c r="B121" s="431"/>
      <c r="C121" s="431"/>
      <c r="D121" s="431"/>
      <c r="E121" s="431"/>
      <c r="F121" s="431"/>
      <c r="G121" s="431"/>
      <c r="H121" s="431"/>
      <c r="I121" s="431"/>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row>
    <row r="122" spans="1:36" x14ac:dyDescent="0.25">
      <c r="A122" s="259"/>
      <c r="B122" s="431"/>
      <c r="C122" s="431"/>
      <c r="D122" s="431"/>
      <c r="E122" s="431"/>
      <c r="F122" s="431"/>
      <c r="G122" s="431"/>
      <c r="H122" s="431"/>
      <c r="I122" s="431"/>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row>
    <row r="123" spans="1:36" x14ac:dyDescent="0.25">
      <c r="A123" s="259"/>
      <c r="B123" s="431"/>
      <c r="C123" s="431"/>
      <c r="D123" s="431"/>
      <c r="E123" s="431"/>
      <c r="F123" s="431"/>
      <c r="G123" s="431"/>
      <c r="H123" s="431"/>
      <c r="I123" s="431"/>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row>
    <row r="124" spans="1:36" x14ac:dyDescent="0.25">
      <c r="A124" s="259"/>
      <c r="B124" s="431"/>
      <c r="C124" s="431"/>
      <c r="D124" s="431"/>
      <c r="E124" s="431"/>
      <c r="F124" s="431"/>
      <c r="G124" s="431"/>
      <c r="H124" s="431"/>
      <c r="I124" s="431"/>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row>
    <row r="125" spans="1:36" x14ac:dyDescent="0.25">
      <c r="A125" s="259"/>
      <c r="B125" s="431"/>
      <c r="C125" s="431"/>
      <c r="D125" s="431"/>
      <c r="E125" s="431"/>
      <c r="F125" s="431"/>
      <c r="G125" s="431"/>
      <c r="H125" s="431"/>
      <c r="I125" s="431"/>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row>
    <row r="126" spans="1:36" x14ac:dyDescent="0.25">
      <c r="A126" s="259"/>
      <c r="B126" s="431"/>
      <c r="C126" s="431"/>
      <c r="D126" s="431"/>
      <c r="E126" s="431"/>
      <c r="F126" s="431"/>
      <c r="G126" s="431"/>
      <c r="H126" s="431"/>
      <c r="I126" s="431"/>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row>
    <row r="127" spans="1:36" x14ac:dyDescent="0.25">
      <c r="A127" s="259"/>
      <c r="B127" s="431"/>
      <c r="C127" s="431"/>
      <c r="D127" s="431"/>
      <c r="E127" s="431"/>
      <c r="F127" s="431"/>
      <c r="G127" s="431"/>
      <c r="H127" s="431"/>
      <c r="I127" s="431"/>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row>
    <row r="128" spans="1:36" x14ac:dyDescent="0.25">
      <c r="A128" s="259"/>
      <c r="B128" s="431"/>
      <c r="C128" s="431"/>
      <c r="D128" s="431"/>
      <c r="E128" s="431"/>
      <c r="F128" s="431"/>
      <c r="G128" s="431"/>
      <c r="H128" s="431"/>
      <c r="I128" s="431"/>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row>
    <row r="129" spans="1:106" x14ac:dyDescent="0.25">
      <c r="A129" s="260" t="s">
        <v>470</v>
      </c>
      <c r="B129" s="583"/>
    </row>
    <row r="130" spans="1:106" x14ac:dyDescent="0.25">
      <c r="C130" s="583"/>
      <c r="D130" s="583"/>
      <c r="E130" s="583"/>
      <c r="F130" s="583"/>
      <c r="G130" s="583"/>
      <c r="H130" s="583"/>
      <c r="I130" s="583"/>
    </row>
    <row r="131" spans="1:106" x14ac:dyDescent="0.25">
      <c r="A131" s="260"/>
      <c r="C131" s="568">
        <f>C61-C28</f>
        <v>-1.9921862985938787E-6</v>
      </c>
      <c r="D131" s="568">
        <f>D61-D28</f>
        <v>-1.7823913367465138E-6</v>
      </c>
      <c r="E131" s="568">
        <f t="shared" ref="E131:BP131" si="1">E61-E28</f>
        <v>-2.6919988158624619E-6</v>
      </c>
      <c r="F131" s="568">
        <f t="shared" si="1"/>
        <v>4.922003427054733E-7</v>
      </c>
      <c r="G131" s="568">
        <f t="shared" si="1"/>
        <v>1.5855912351980805E-6</v>
      </c>
      <c r="H131" s="568">
        <f t="shared" si="1"/>
        <v>2.8698195819742978E-7</v>
      </c>
      <c r="I131" s="568">
        <f t="shared" si="1"/>
        <v>9.10476956050843E-8</v>
      </c>
      <c r="J131" s="568">
        <f t="shared" si="1"/>
        <v>1.9955405150540173E-7</v>
      </c>
      <c r="K131" s="568">
        <f t="shared" si="1"/>
        <v>3.8879807107150555E-7</v>
      </c>
      <c r="L131" s="568">
        <f t="shared" si="1"/>
        <v>6.8786903284490108E-8</v>
      </c>
      <c r="M131" s="568">
        <f t="shared" si="1"/>
        <v>-4.5836604840587825E-6</v>
      </c>
      <c r="N131" s="568">
        <f t="shared" si="1"/>
        <v>-5.4012343753129244E-7</v>
      </c>
      <c r="O131" s="568">
        <f t="shared" si="1"/>
        <v>1.0467192623764277E-7</v>
      </c>
      <c r="P131" s="568">
        <f t="shared" si="1"/>
        <v>-9.1131369117647409E-9</v>
      </c>
      <c r="Q131" s="568">
        <f t="shared" si="1"/>
        <v>-3.6903984437230974E-6</v>
      </c>
      <c r="R131" s="568">
        <f t="shared" si="1"/>
        <v>2.5979788915719837E-6</v>
      </c>
      <c r="S131" s="568">
        <f t="shared" si="1"/>
        <v>2.3260508896782994E-7</v>
      </c>
      <c r="T131" s="568">
        <f t="shared" si="1"/>
        <v>-8.3607665146701038E-7</v>
      </c>
      <c r="U131" s="568">
        <f t="shared" si="1"/>
        <v>-2.227581717306748E-6</v>
      </c>
      <c r="V131" s="568">
        <f t="shared" si="1"/>
        <v>-3.5185075830668211E-7</v>
      </c>
      <c r="W131" s="568">
        <f t="shared" si="1"/>
        <v>-2.6157067622989416E-7</v>
      </c>
      <c r="X131" s="568">
        <f t="shared" si="1"/>
        <v>2.7911119104828686E-6</v>
      </c>
      <c r="Y131" s="568">
        <f t="shared" si="1"/>
        <v>1.5722907846793532E-6</v>
      </c>
      <c r="Z131" s="568">
        <f t="shared" si="1"/>
        <v>7.0579335442744195E-7</v>
      </c>
      <c r="AA131" s="568">
        <f t="shared" si="1"/>
        <v>1.9979779608547688E-7</v>
      </c>
      <c r="AB131" s="568">
        <f t="shared" si="1"/>
        <v>-4.0090526454150677E-7</v>
      </c>
      <c r="AC131" s="568">
        <f t="shared" si="1"/>
        <v>-6.89135049469769E-7</v>
      </c>
      <c r="AD131" s="568">
        <f t="shared" si="1"/>
        <v>-6.1457103583961725E-7</v>
      </c>
      <c r="AE131" s="568">
        <f t="shared" si="1"/>
        <v>-5.7456782087683678E-7</v>
      </c>
      <c r="AF131" s="568">
        <f t="shared" si="1"/>
        <v>-1.1785814422182739E-6</v>
      </c>
      <c r="AG131" s="568">
        <f t="shared" si="1"/>
        <v>-9.9879252957180142E-7</v>
      </c>
      <c r="AH131" s="568">
        <f t="shared" si="1"/>
        <v>-1.6173507901839912E-6</v>
      </c>
      <c r="AI131" s="568">
        <f t="shared" si="1"/>
        <v>-1.7190541257150471E-6</v>
      </c>
      <c r="AJ131" s="568">
        <f t="shared" si="1"/>
        <v>-9.9357566796243191E-7</v>
      </c>
      <c r="AK131" s="568">
        <f t="shared" si="1"/>
        <v>-1.4663892216049135E-6</v>
      </c>
      <c r="AL131" s="568">
        <f t="shared" si="1"/>
        <v>-2.148248313460499E-6</v>
      </c>
      <c r="AM131" s="568">
        <f t="shared" si="1"/>
        <v>-1.18556636152789E-6</v>
      </c>
      <c r="AN131" s="568">
        <f t="shared" si="1"/>
        <v>-2.0152147044427693E-6</v>
      </c>
      <c r="AO131" s="568">
        <f t="shared" si="1"/>
        <v>-2.2206586436368525E-6</v>
      </c>
      <c r="AP131" s="568">
        <f t="shared" si="1"/>
        <v>-1.5723126125521958E-6</v>
      </c>
      <c r="AQ131" s="568">
        <f t="shared" si="1"/>
        <v>-1.7147831385955215E-6</v>
      </c>
      <c r="AR131" s="568">
        <f t="shared" si="1"/>
        <v>-1.5238329069688916E-6</v>
      </c>
      <c r="AS131" s="568">
        <f t="shared" si="1"/>
        <v>-1.3778480933979154E-6</v>
      </c>
      <c r="AT131" s="568">
        <f t="shared" si="1"/>
        <v>-5.5254349717870355E-7</v>
      </c>
      <c r="AU131" s="568">
        <f t="shared" si="1"/>
        <v>-7.4182025855407119E-7</v>
      </c>
      <c r="AV131" s="568">
        <f t="shared" si="1"/>
        <v>-8.634597179479897E-7</v>
      </c>
      <c r="AW131" s="568">
        <f t="shared" si="1"/>
        <v>-4.3878389988094568E-7</v>
      </c>
      <c r="AX131" s="568">
        <f t="shared" si="1"/>
        <v>-8.3897612057626247E-7</v>
      </c>
      <c r="AY131" s="568">
        <f t="shared" si="1"/>
        <v>-2.1238010958768427E-6</v>
      </c>
      <c r="AZ131" s="568">
        <f t="shared" si="1"/>
        <v>-9.7094743978232145E-7</v>
      </c>
      <c r="BA131" s="568">
        <f t="shared" si="1"/>
        <v>-4.9597292672842741E-7</v>
      </c>
      <c r="BB131" s="568">
        <f t="shared" si="1"/>
        <v>-1.0542935342527926E-6</v>
      </c>
      <c r="BC131" s="568">
        <f t="shared" si="1"/>
        <v>-1.9979779608547688E-7</v>
      </c>
      <c r="BD131" s="568">
        <f t="shared" si="1"/>
        <v>-1.4243778423406184E-6</v>
      </c>
      <c r="BE131" s="568">
        <f t="shared" si="1"/>
        <v>-1.0724106687121093E-6</v>
      </c>
      <c r="BF131" s="568">
        <f t="shared" si="1"/>
        <v>-3.5836274037137628E-7</v>
      </c>
      <c r="BG131" s="568">
        <f t="shared" si="1"/>
        <v>2.7328496798872948E-7</v>
      </c>
      <c r="BH131" s="568">
        <f t="shared" si="1"/>
        <v>3.0834053177386522E-7</v>
      </c>
      <c r="BI131" s="568">
        <f t="shared" si="1"/>
        <v>-2.100052370224148E-6</v>
      </c>
      <c r="BJ131" s="568">
        <f t="shared" si="1"/>
        <v>3.9231963455677032E-8</v>
      </c>
      <c r="BK131" s="568">
        <f t="shared" si="1"/>
        <v>-1.8833816284313798E-7</v>
      </c>
      <c r="BL131" s="568">
        <f t="shared" si="1"/>
        <v>1.1968950275331736E-8</v>
      </c>
      <c r="BM131" s="568">
        <f t="shared" si="1"/>
        <v>-5.6916178436949849E-7</v>
      </c>
      <c r="BN131" s="568">
        <f t="shared" si="1"/>
        <v>3.016320988535881E-7</v>
      </c>
      <c r="BO131" s="568">
        <f t="shared" si="1"/>
        <v>-1.0193398338742554E-6</v>
      </c>
      <c r="BP131" s="568">
        <f t="shared" si="1"/>
        <v>-1.8116115825250745E-6</v>
      </c>
      <c r="BQ131" s="568">
        <f t="shared" ref="BQ131:CX131" si="2">BQ61-BQ28</f>
        <v>-4.3534964788705111E-7</v>
      </c>
      <c r="BR131" s="568">
        <f t="shared" si="2"/>
        <v>-2.585853508207947E-6</v>
      </c>
      <c r="BS131" s="568">
        <f t="shared" si="2"/>
        <v>-2.2458480088971555E-6</v>
      </c>
      <c r="BT131" s="568">
        <f t="shared" si="2"/>
        <v>-1.6729245544411242E-6</v>
      </c>
      <c r="BU131" s="568">
        <f t="shared" si="2"/>
        <v>-8.931383490562439E-7</v>
      </c>
      <c r="BV131" s="568">
        <f t="shared" si="2"/>
        <v>8.3113263826817274E-8</v>
      </c>
      <c r="BW131" s="568">
        <f t="shared" si="2"/>
        <v>-1.9028739188797772E-6</v>
      </c>
      <c r="BX131" s="568">
        <f t="shared" si="2"/>
        <v>-1.7811398720368743E-6</v>
      </c>
      <c r="BY131" s="568">
        <f t="shared" si="2"/>
        <v>-6.3161132857203484E-7</v>
      </c>
      <c r="BZ131" s="568">
        <f t="shared" si="2"/>
        <v>-1.2353921192698181E-6</v>
      </c>
      <c r="CA131" s="568">
        <f t="shared" si="2"/>
        <v>-1.5319747035391629E-6</v>
      </c>
      <c r="CB131" s="568">
        <f t="shared" si="2"/>
        <v>-2.2063904907554388E-6</v>
      </c>
      <c r="CC131" s="568">
        <f t="shared" si="2"/>
        <v>-4.5044725993648171E-7</v>
      </c>
      <c r="CD131" s="568">
        <f t="shared" si="2"/>
        <v>-3.8652069633826613E-7</v>
      </c>
      <c r="CE131" s="568">
        <f t="shared" si="2"/>
        <v>-1.2850068742409348E-7</v>
      </c>
      <c r="CF131" s="568">
        <f t="shared" si="2"/>
        <v>2.9549119062721729E-7</v>
      </c>
      <c r="CG131" s="568">
        <f t="shared" si="2"/>
        <v>-9.4399001682177186E-7</v>
      </c>
      <c r="CH131" s="568">
        <f t="shared" si="2"/>
        <v>-1.0095973266288638E-6</v>
      </c>
      <c r="CI131" s="568">
        <f t="shared" si="2"/>
        <v>-6.9335510488599539E-7</v>
      </c>
      <c r="CJ131" s="568">
        <f t="shared" si="2"/>
        <v>-2.3119428078643978E-6</v>
      </c>
      <c r="CK131" s="568">
        <f t="shared" si="2"/>
        <v>-1.7989877960644662E-6</v>
      </c>
      <c r="CL131" s="568">
        <f t="shared" si="2"/>
        <v>-1.0983931133523583E-6</v>
      </c>
      <c r="CM131" s="568">
        <f t="shared" si="2"/>
        <v>-1.3608660083264112E-6</v>
      </c>
      <c r="CN131" s="568">
        <f t="shared" si="2"/>
        <v>-7.3130649980157614E-7</v>
      </c>
      <c r="CO131" s="568">
        <f t="shared" si="2"/>
        <v>-8.6711952462792397E-7</v>
      </c>
      <c r="CP131" s="568">
        <f t="shared" si="2"/>
        <v>-8.5976353147998452E-7</v>
      </c>
      <c r="CQ131" s="568">
        <f t="shared" si="2"/>
        <v>-9.8798773251473904E-7</v>
      </c>
      <c r="CR131" s="568">
        <f t="shared" si="2"/>
        <v>-1.2875098036602139E-6</v>
      </c>
      <c r="CS131" s="568">
        <f t="shared" si="2"/>
        <v>-2.1160012693144381E-6</v>
      </c>
      <c r="CT131" s="568">
        <f t="shared" si="2"/>
        <v>-1.5998957678675652E-6</v>
      </c>
      <c r="CU131" s="568">
        <f t="shared" si="2"/>
        <v>-8.8473461801186204E-7</v>
      </c>
      <c r="CV131" s="568">
        <f t="shared" si="2"/>
        <v>-5.8931618696078658E-7</v>
      </c>
      <c r="CW131" s="568">
        <f t="shared" si="2"/>
        <v>-8.517381502315402E-7</v>
      </c>
      <c r="CX131" s="568">
        <f t="shared" si="2"/>
        <v>-7.7299046097323298E-7</v>
      </c>
      <c r="CY131" s="568"/>
      <c r="CZ131" s="568"/>
      <c r="DA131" s="568"/>
      <c r="DB131" s="568"/>
    </row>
    <row r="133" spans="1:106" x14ac:dyDescent="0.25">
      <c r="C133" s="568">
        <f>[40]Sheet1!$S$463/1000000</f>
        <v>25474.471452395435</v>
      </c>
      <c r="D133" s="568">
        <f>[8]Sheet2!$C$433/1000000</f>
        <v>26072.063895684201</v>
      </c>
      <c r="E133" s="568">
        <f>[9]Sheet2!$C$433/1000000</f>
        <v>26415.344452919999</v>
      </c>
      <c r="F133" s="568">
        <f>[10]Sheet2!$C$433/1000000</f>
        <v>26856.4152350242</v>
      </c>
      <c r="G133" s="568">
        <f>[11]Sheet2!$C$433/1000000</f>
        <v>27494.964101177593</v>
      </c>
      <c r="H133" s="568">
        <f>[12]Sheet2!$C$433/1000000</f>
        <v>27955.940532792596</v>
      </c>
      <c r="I133" s="568">
        <f>[13]Sheet2!$C$433/1000000</f>
        <v>28194.361602293327</v>
      </c>
      <c r="J133" s="568">
        <f>[14]Sheet2!$C$433/1000000</f>
        <v>28336.892915349788</v>
      </c>
      <c r="K133" s="568">
        <f>[15]Sheet2!$C$433/1000000</f>
        <v>28563.364929485931</v>
      </c>
      <c r="L133" s="568">
        <f>[16]Sheet2!$C$433/1000000</f>
        <v>28740.361376723944</v>
      </c>
      <c r="M133" s="568">
        <f>[17]Sheet2!$C$433/1000000</f>
        <v>29096.352207255881</v>
      </c>
      <c r="N133" s="568">
        <f>[18]Sheet2!$C$433/1000000</f>
        <v>29423.313250309962</v>
      </c>
      <c r="O133" s="568">
        <f>[19]Sheet2!$C$433/1000000</f>
        <v>29904.420293369949</v>
      </c>
      <c r="P133" s="568">
        <f>[20]Sheet2!$C$433/1000000</f>
        <v>30192.423819521264</v>
      </c>
      <c r="Q133" s="568">
        <f>[21]Sheet2!$C$433/1000000</f>
        <v>30534.515536923256</v>
      </c>
      <c r="R133" s="568">
        <f>[22]Sheet2!$C$433/1000000</f>
        <v>30645.306166036935</v>
      </c>
      <c r="S133" s="568">
        <f>[23]Sheet2!$C$433/1000000</f>
        <v>30723.1428050094</v>
      </c>
      <c r="T133" s="568">
        <f>[24]Sheet2!$C$433/1000000</f>
        <v>30582.685570265083</v>
      </c>
      <c r="U133" s="568">
        <f>[25]Sheet2!$C$433/1000000</f>
        <v>31026.051213552906</v>
      </c>
      <c r="V133" s="568">
        <f>[26]Sheet2!$C$433/1000000</f>
        <v>31204.967849636963</v>
      </c>
      <c r="W133" s="568">
        <f>[27]Sheet2!$C$433/1000000</f>
        <v>31436.78875257288</v>
      </c>
      <c r="X133" s="568">
        <f>[28]Sheet2!$C$433/1000000</f>
        <v>31766.227604989108</v>
      </c>
      <c r="Y133" s="568">
        <f>[29]Sheet2!$C$433/1000000</f>
        <v>32105.986535472326</v>
      </c>
      <c r="Z133" s="568">
        <f>[30]Sheet2!$C$433/1000000</f>
        <v>32381.205792838249</v>
      </c>
      <c r="AA133" s="568">
        <f>[31]Sheet2!$C$433/1000000</f>
        <v>32750.688683894692</v>
      </c>
      <c r="AB133" s="568">
        <f>[32]Sheet2!$C$433/1000000</f>
        <v>33028.065470894588</v>
      </c>
      <c r="AC133" s="568">
        <f>[33]Sheet2!$C$433/1000000</f>
        <v>33597.285546806248</v>
      </c>
      <c r="AD133" s="568">
        <f>[34]Sheet2!$C$433/1000000</f>
        <v>33479.612832110332</v>
      </c>
      <c r="AE133" s="568">
        <f>[35]Sheet2!$C$433/1000000</f>
        <v>33528.234725332208</v>
      </c>
      <c r="AF133" s="568">
        <f>[36]Sheet2!$C$433/1000000</f>
        <v>33945.252423109217</v>
      </c>
      <c r="AG133" s="568">
        <f>[37]Sheet2!$C$433/1000000</f>
        <v>34531.168337755749</v>
      </c>
      <c r="AH133" s="568">
        <f>[38]Sheet2!$C$433/1000000</f>
        <v>35377.395748930103</v>
      </c>
      <c r="AI133" s="568">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C133"/>
  <sheetViews>
    <sheetView zoomScaleNormal="100" workbookViewId="0">
      <pane xSplit="105" ySplit="4" topLeftCell="DQ8" activePane="bottomRight" state="frozen"/>
      <selection pane="topRight" activeCell="DB1" sqref="DB1"/>
      <selection pane="bottomLeft" activeCell="A5" sqref="A5"/>
      <selection pane="bottomRight" activeCell="EE15" sqref="EE15"/>
    </sheetView>
  </sheetViews>
  <sheetFormatPr defaultRowHeight="15" x14ac:dyDescent="0.25"/>
  <cols>
    <col min="1" max="1" width="5.85546875" style="518" customWidth="1"/>
    <col min="2" max="2" width="54.28515625" style="518" customWidth="1"/>
    <col min="3" max="43" width="9.140625" style="518" hidden="1" customWidth="1"/>
    <col min="44" max="55" width="9.28515625" style="518" hidden="1" customWidth="1"/>
    <col min="56" max="56" width="9.42578125" style="518" hidden="1" customWidth="1"/>
    <col min="57" max="57" width="8.28515625" style="518" hidden="1" customWidth="1"/>
    <col min="58" max="61" width="9.28515625" style="518" hidden="1" customWidth="1"/>
    <col min="62" max="64" width="10.7109375" style="518" hidden="1" customWidth="1"/>
    <col min="65" max="65" width="10.5703125" style="518" hidden="1" customWidth="1"/>
    <col min="66" max="95" width="10.7109375" style="518" hidden="1" customWidth="1"/>
    <col min="96" max="96" width="11.85546875" style="518" hidden="1" customWidth="1"/>
    <col min="97" max="120" width="12.7109375" style="518" hidden="1" customWidth="1"/>
    <col min="121" max="133" width="12.7109375" style="518" customWidth="1"/>
    <col min="134" max="276" width="9.140625" style="518"/>
    <col min="277" max="277" width="5.85546875" style="518" customWidth="1"/>
    <col min="278" max="278" width="54.28515625" style="518" customWidth="1"/>
    <col min="279" max="371" width="0" style="518" hidden="1" customWidth="1"/>
    <col min="372" max="382" width="10.7109375" style="518" customWidth="1"/>
    <col min="383" max="383" width="10.42578125" style="518" customWidth="1"/>
    <col min="384" max="384" width="11" style="518" bestFit="1" customWidth="1"/>
    <col min="385" max="532" width="9.140625" style="518"/>
    <col min="533" max="533" width="5.85546875" style="518" customWidth="1"/>
    <col min="534" max="534" width="54.28515625" style="518" customWidth="1"/>
    <col min="535" max="627" width="0" style="518" hidden="1" customWidth="1"/>
    <col min="628" max="638" width="10.7109375" style="518" customWidth="1"/>
    <col min="639" max="639" width="10.42578125" style="518" customWidth="1"/>
    <col min="640" max="640" width="11" style="518" bestFit="1" customWidth="1"/>
    <col min="641" max="788" width="9.140625" style="518"/>
    <col min="789" max="789" width="5.85546875" style="518" customWidth="1"/>
    <col min="790" max="790" width="54.28515625" style="518" customWidth="1"/>
    <col min="791" max="883" width="0" style="518" hidden="1" customWidth="1"/>
    <col min="884" max="894" width="10.7109375" style="518" customWidth="1"/>
    <col min="895" max="895" width="10.42578125" style="518" customWidth="1"/>
    <col min="896" max="896" width="11" style="518" bestFit="1" customWidth="1"/>
    <col min="897" max="1044" width="9.140625" style="518"/>
    <col min="1045" max="1045" width="5.85546875" style="518" customWidth="1"/>
    <col min="1046" max="1046" width="54.28515625" style="518" customWidth="1"/>
    <col min="1047" max="1139" width="0" style="518" hidden="1" customWidth="1"/>
    <col min="1140" max="1150" width="10.7109375" style="518" customWidth="1"/>
    <col min="1151" max="1151" width="10.42578125" style="518" customWidth="1"/>
    <col min="1152" max="1152" width="11" style="518" bestFit="1" customWidth="1"/>
    <col min="1153" max="1300" width="9.140625" style="518"/>
    <col min="1301" max="1301" width="5.85546875" style="518" customWidth="1"/>
    <col min="1302" max="1302" width="54.28515625" style="518" customWidth="1"/>
    <col min="1303" max="1395" width="0" style="518" hidden="1" customWidth="1"/>
    <col min="1396" max="1406" width="10.7109375" style="518" customWidth="1"/>
    <col min="1407" max="1407" width="10.42578125" style="518" customWidth="1"/>
    <col min="1408" max="1408" width="11" style="518" bestFit="1" customWidth="1"/>
    <col min="1409" max="1556" width="9.140625" style="518"/>
    <col min="1557" max="1557" width="5.85546875" style="518" customWidth="1"/>
    <col min="1558" max="1558" width="54.28515625" style="518" customWidth="1"/>
    <col min="1559" max="1651" width="0" style="518" hidden="1" customWidth="1"/>
    <col min="1652" max="1662" width="10.7109375" style="518" customWidth="1"/>
    <col min="1663" max="1663" width="10.42578125" style="518" customWidth="1"/>
    <col min="1664" max="1664" width="11" style="518" bestFit="1" customWidth="1"/>
    <col min="1665" max="1812" width="9.140625" style="518"/>
    <col min="1813" max="1813" width="5.85546875" style="518" customWidth="1"/>
    <col min="1814" max="1814" width="54.28515625" style="518" customWidth="1"/>
    <col min="1815" max="1907" width="0" style="518" hidden="1" customWidth="1"/>
    <col min="1908" max="1918" width="10.7109375" style="518" customWidth="1"/>
    <col min="1919" max="1919" width="10.42578125" style="518" customWidth="1"/>
    <col min="1920" max="1920" width="11" style="518" bestFit="1" customWidth="1"/>
    <col min="1921" max="2068" width="9.140625" style="518"/>
    <col min="2069" max="2069" width="5.85546875" style="518" customWidth="1"/>
    <col min="2070" max="2070" width="54.28515625" style="518" customWidth="1"/>
    <col min="2071" max="2163" width="0" style="518" hidden="1" customWidth="1"/>
    <col min="2164" max="2174" width="10.7109375" style="518" customWidth="1"/>
    <col min="2175" max="2175" width="10.42578125" style="518" customWidth="1"/>
    <col min="2176" max="2176" width="11" style="518" bestFit="1" customWidth="1"/>
    <col min="2177" max="2324" width="9.140625" style="518"/>
    <col min="2325" max="2325" width="5.85546875" style="518" customWidth="1"/>
    <col min="2326" max="2326" width="54.28515625" style="518" customWidth="1"/>
    <col min="2327" max="2419" width="0" style="518" hidden="1" customWidth="1"/>
    <col min="2420" max="2430" width="10.7109375" style="518" customWidth="1"/>
    <col min="2431" max="2431" width="10.42578125" style="518" customWidth="1"/>
    <col min="2432" max="2432" width="11" style="518" bestFit="1" customWidth="1"/>
    <col min="2433" max="2580" width="9.140625" style="518"/>
    <col min="2581" max="2581" width="5.85546875" style="518" customWidth="1"/>
    <col min="2582" max="2582" width="54.28515625" style="518" customWidth="1"/>
    <col min="2583" max="2675" width="0" style="518" hidden="1" customWidth="1"/>
    <col min="2676" max="2686" width="10.7109375" style="518" customWidth="1"/>
    <col min="2687" max="2687" width="10.42578125" style="518" customWidth="1"/>
    <col min="2688" max="2688" width="11" style="518" bestFit="1" customWidth="1"/>
    <col min="2689" max="2836" width="9.140625" style="518"/>
    <col min="2837" max="2837" width="5.85546875" style="518" customWidth="1"/>
    <col min="2838" max="2838" width="54.28515625" style="518" customWidth="1"/>
    <col min="2839" max="2931" width="0" style="518" hidden="1" customWidth="1"/>
    <col min="2932" max="2942" width="10.7109375" style="518" customWidth="1"/>
    <col min="2943" max="2943" width="10.42578125" style="518" customWidth="1"/>
    <col min="2944" max="2944" width="11" style="518" bestFit="1" customWidth="1"/>
    <col min="2945" max="3092" width="9.140625" style="518"/>
    <col min="3093" max="3093" width="5.85546875" style="518" customWidth="1"/>
    <col min="3094" max="3094" width="54.28515625" style="518" customWidth="1"/>
    <col min="3095" max="3187" width="0" style="518" hidden="1" customWidth="1"/>
    <col min="3188" max="3198" width="10.7109375" style="518" customWidth="1"/>
    <col min="3199" max="3199" width="10.42578125" style="518" customWidth="1"/>
    <col min="3200" max="3200" width="11" style="518" bestFit="1" customWidth="1"/>
    <col min="3201" max="3348" width="9.140625" style="518"/>
    <col min="3349" max="3349" width="5.85546875" style="518" customWidth="1"/>
    <col min="3350" max="3350" width="54.28515625" style="518" customWidth="1"/>
    <col min="3351" max="3443" width="0" style="518" hidden="1" customWidth="1"/>
    <col min="3444" max="3454" width="10.7109375" style="518" customWidth="1"/>
    <col min="3455" max="3455" width="10.42578125" style="518" customWidth="1"/>
    <col min="3456" max="3456" width="11" style="518" bestFit="1" customWidth="1"/>
    <col min="3457" max="3604" width="9.140625" style="518"/>
    <col min="3605" max="3605" width="5.85546875" style="518" customWidth="1"/>
    <col min="3606" max="3606" width="54.28515625" style="518" customWidth="1"/>
    <col min="3607" max="3699" width="0" style="518" hidden="1" customWidth="1"/>
    <col min="3700" max="3710" width="10.7109375" style="518" customWidth="1"/>
    <col min="3711" max="3711" width="10.42578125" style="518" customWidth="1"/>
    <col min="3712" max="3712" width="11" style="518" bestFit="1" customWidth="1"/>
    <col min="3713" max="3860" width="9.140625" style="518"/>
    <col min="3861" max="3861" width="5.85546875" style="518" customWidth="1"/>
    <col min="3862" max="3862" width="54.28515625" style="518" customWidth="1"/>
    <col min="3863" max="3955" width="0" style="518" hidden="1" customWidth="1"/>
    <col min="3956" max="3966" width="10.7109375" style="518" customWidth="1"/>
    <col min="3967" max="3967" width="10.42578125" style="518" customWidth="1"/>
    <col min="3968" max="3968" width="11" style="518" bestFit="1" customWidth="1"/>
    <col min="3969" max="4116" width="9.140625" style="518"/>
    <col min="4117" max="4117" width="5.85546875" style="518" customWidth="1"/>
    <col min="4118" max="4118" width="54.28515625" style="518" customWidth="1"/>
    <col min="4119" max="4211" width="0" style="518" hidden="1" customWidth="1"/>
    <col min="4212" max="4222" width="10.7109375" style="518" customWidth="1"/>
    <col min="4223" max="4223" width="10.42578125" style="518" customWidth="1"/>
    <col min="4224" max="4224" width="11" style="518" bestFit="1" customWidth="1"/>
    <col min="4225" max="4372" width="9.140625" style="518"/>
    <col min="4373" max="4373" width="5.85546875" style="518" customWidth="1"/>
    <col min="4374" max="4374" width="54.28515625" style="518" customWidth="1"/>
    <col min="4375" max="4467" width="0" style="518" hidden="1" customWidth="1"/>
    <col min="4468" max="4478" width="10.7109375" style="518" customWidth="1"/>
    <col min="4479" max="4479" width="10.42578125" style="518" customWidth="1"/>
    <col min="4480" max="4480" width="11" style="518" bestFit="1" customWidth="1"/>
    <col min="4481" max="4628" width="9.140625" style="518"/>
    <col min="4629" max="4629" width="5.85546875" style="518" customWidth="1"/>
    <col min="4630" max="4630" width="54.28515625" style="518" customWidth="1"/>
    <col min="4631" max="4723" width="0" style="518" hidden="1" customWidth="1"/>
    <col min="4724" max="4734" width="10.7109375" style="518" customWidth="1"/>
    <col min="4735" max="4735" width="10.42578125" style="518" customWidth="1"/>
    <col min="4736" max="4736" width="11" style="518" bestFit="1" customWidth="1"/>
    <col min="4737" max="4884" width="9.140625" style="518"/>
    <col min="4885" max="4885" width="5.85546875" style="518" customWidth="1"/>
    <col min="4886" max="4886" width="54.28515625" style="518" customWidth="1"/>
    <col min="4887" max="4979" width="0" style="518" hidden="1" customWidth="1"/>
    <col min="4980" max="4990" width="10.7109375" style="518" customWidth="1"/>
    <col min="4991" max="4991" width="10.42578125" style="518" customWidth="1"/>
    <col min="4992" max="4992" width="11" style="518" bestFit="1" customWidth="1"/>
    <col min="4993" max="5140" width="9.140625" style="518"/>
    <col min="5141" max="5141" width="5.85546875" style="518" customWidth="1"/>
    <col min="5142" max="5142" width="54.28515625" style="518" customWidth="1"/>
    <col min="5143" max="5235" width="0" style="518" hidden="1" customWidth="1"/>
    <col min="5236" max="5246" width="10.7109375" style="518" customWidth="1"/>
    <col min="5247" max="5247" width="10.42578125" style="518" customWidth="1"/>
    <col min="5248" max="5248" width="11" style="518" bestFit="1" customWidth="1"/>
    <col min="5249" max="5396" width="9.140625" style="518"/>
    <col min="5397" max="5397" width="5.85546875" style="518" customWidth="1"/>
    <col min="5398" max="5398" width="54.28515625" style="518" customWidth="1"/>
    <col min="5399" max="5491" width="0" style="518" hidden="1" customWidth="1"/>
    <col min="5492" max="5502" width="10.7109375" style="518" customWidth="1"/>
    <col min="5503" max="5503" width="10.42578125" style="518" customWidth="1"/>
    <col min="5504" max="5504" width="11" style="518" bestFit="1" customWidth="1"/>
    <col min="5505" max="5652" width="9.140625" style="518"/>
    <col min="5653" max="5653" width="5.85546875" style="518" customWidth="1"/>
    <col min="5654" max="5654" width="54.28515625" style="518" customWidth="1"/>
    <col min="5655" max="5747" width="0" style="518" hidden="1" customWidth="1"/>
    <col min="5748" max="5758" width="10.7109375" style="518" customWidth="1"/>
    <col min="5759" max="5759" width="10.42578125" style="518" customWidth="1"/>
    <col min="5760" max="5760" width="11" style="518" bestFit="1" customWidth="1"/>
    <col min="5761" max="5908" width="9.140625" style="518"/>
    <col min="5909" max="5909" width="5.85546875" style="518" customWidth="1"/>
    <col min="5910" max="5910" width="54.28515625" style="518" customWidth="1"/>
    <col min="5911" max="6003" width="0" style="518" hidden="1" customWidth="1"/>
    <col min="6004" max="6014" width="10.7109375" style="518" customWidth="1"/>
    <col min="6015" max="6015" width="10.42578125" style="518" customWidth="1"/>
    <col min="6016" max="6016" width="11" style="518" bestFit="1" customWidth="1"/>
    <col min="6017" max="6164" width="9.140625" style="518"/>
    <col min="6165" max="6165" width="5.85546875" style="518" customWidth="1"/>
    <col min="6166" max="6166" width="54.28515625" style="518" customWidth="1"/>
    <col min="6167" max="6259" width="0" style="518" hidden="1" customWidth="1"/>
    <col min="6260" max="6270" width="10.7109375" style="518" customWidth="1"/>
    <col min="6271" max="6271" width="10.42578125" style="518" customWidth="1"/>
    <col min="6272" max="6272" width="11" style="518" bestFit="1" customWidth="1"/>
    <col min="6273" max="6420" width="9.140625" style="518"/>
    <col min="6421" max="6421" width="5.85546875" style="518" customWidth="1"/>
    <col min="6422" max="6422" width="54.28515625" style="518" customWidth="1"/>
    <col min="6423" max="6515" width="0" style="518" hidden="1" customWidth="1"/>
    <col min="6516" max="6526" width="10.7109375" style="518" customWidth="1"/>
    <col min="6527" max="6527" width="10.42578125" style="518" customWidth="1"/>
    <col min="6528" max="6528" width="11" style="518" bestFit="1" customWidth="1"/>
    <col min="6529" max="6676" width="9.140625" style="518"/>
    <col min="6677" max="6677" width="5.85546875" style="518" customWidth="1"/>
    <col min="6678" max="6678" width="54.28515625" style="518" customWidth="1"/>
    <col min="6679" max="6771" width="0" style="518" hidden="1" customWidth="1"/>
    <col min="6772" max="6782" width="10.7109375" style="518" customWidth="1"/>
    <col min="6783" max="6783" width="10.42578125" style="518" customWidth="1"/>
    <col min="6784" max="6784" width="11" style="518" bestFit="1" customWidth="1"/>
    <col min="6785" max="6932" width="9.140625" style="518"/>
    <col min="6933" max="6933" width="5.85546875" style="518" customWidth="1"/>
    <col min="6934" max="6934" width="54.28515625" style="518" customWidth="1"/>
    <col min="6935" max="7027" width="0" style="518" hidden="1" customWidth="1"/>
    <col min="7028" max="7038" width="10.7109375" style="518" customWidth="1"/>
    <col min="7039" max="7039" width="10.42578125" style="518" customWidth="1"/>
    <col min="7040" max="7040" width="11" style="518" bestFit="1" customWidth="1"/>
    <col min="7041" max="7188" width="9.140625" style="518"/>
    <col min="7189" max="7189" width="5.85546875" style="518" customWidth="1"/>
    <col min="7190" max="7190" width="54.28515625" style="518" customWidth="1"/>
    <col min="7191" max="7283" width="0" style="518" hidden="1" customWidth="1"/>
    <col min="7284" max="7294" width="10.7109375" style="518" customWidth="1"/>
    <col min="7295" max="7295" width="10.42578125" style="518" customWidth="1"/>
    <col min="7296" max="7296" width="11" style="518" bestFit="1" customWidth="1"/>
    <col min="7297" max="7444" width="9.140625" style="518"/>
    <col min="7445" max="7445" width="5.85546875" style="518" customWidth="1"/>
    <col min="7446" max="7446" width="54.28515625" style="518" customWidth="1"/>
    <col min="7447" max="7539" width="0" style="518" hidden="1" customWidth="1"/>
    <col min="7540" max="7550" width="10.7109375" style="518" customWidth="1"/>
    <col min="7551" max="7551" width="10.42578125" style="518" customWidth="1"/>
    <col min="7552" max="7552" width="11" style="518" bestFit="1" customWidth="1"/>
    <col min="7553" max="7700" width="9.140625" style="518"/>
    <col min="7701" max="7701" width="5.85546875" style="518" customWidth="1"/>
    <col min="7702" max="7702" width="54.28515625" style="518" customWidth="1"/>
    <col min="7703" max="7795" width="0" style="518" hidden="1" customWidth="1"/>
    <col min="7796" max="7806" width="10.7109375" style="518" customWidth="1"/>
    <col min="7807" max="7807" width="10.42578125" style="518" customWidth="1"/>
    <col min="7808" max="7808" width="11" style="518" bestFit="1" customWidth="1"/>
    <col min="7809" max="7956" width="9.140625" style="518"/>
    <col min="7957" max="7957" width="5.85546875" style="518" customWidth="1"/>
    <col min="7958" max="7958" width="54.28515625" style="518" customWidth="1"/>
    <col min="7959" max="8051" width="0" style="518" hidden="1" customWidth="1"/>
    <col min="8052" max="8062" width="10.7109375" style="518" customWidth="1"/>
    <col min="8063" max="8063" width="10.42578125" style="518" customWidth="1"/>
    <col min="8064" max="8064" width="11" style="518" bestFit="1" customWidth="1"/>
    <col min="8065" max="8212" width="9.140625" style="518"/>
    <col min="8213" max="8213" width="5.85546875" style="518" customWidth="1"/>
    <col min="8214" max="8214" width="54.28515625" style="518" customWidth="1"/>
    <col min="8215" max="8307" width="0" style="518" hidden="1" customWidth="1"/>
    <col min="8308" max="8318" width="10.7109375" style="518" customWidth="1"/>
    <col min="8319" max="8319" width="10.42578125" style="518" customWidth="1"/>
    <col min="8320" max="8320" width="11" style="518" bestFit="1" customWidth="1"/>
    <col min="8321" max="8468" width="9.140625" style="518"/>
    <col min="8469" max="8469" width="5.85546875" style="518" customWidth="1"/>
    <col min="8470" max="8470" width="54.28515625" style="518" customWidth="1"/>
    <col min="8471" max="8563" width="0" style="518" hidden="1" customWidth="1"/>
    <col min="8564" max="8574" width="10.7109375" style="518" customWidth="1"/>
    <col min="8575" max="8575" width="10.42578125" style="518" customWidth="1"/>
    <col min="8576" max="8576" width="11" style="518" bestFit="1" customWidth="1"/>
    <col min="8577" max="8724" width="9.140625" style="518"/>
    <col min="8725" max="8725" width="5.85546875" style="518" customWidth="1"/>
    <col min="8726" max="8726" width="54.28515625" style="518" customWidth="1"/>
    <col min="8727" max="8819" width="0" style="518" hidden="1" customWidth="1"/>
    <col min="8820" max="8830" width="10.7109375" style="518" customWidth="1"/>
    <col min="8831" max="8831" width="10.42578125" style="518" customWidth="1"/>
    <col min="8832" max="8832" width="11" style="518" bestFit="1" customWidth="1"/>
    <col min="8833" max="8980" width="9.140625" style="518"/>
    <col min="8981" max="8981" width="5.85546875" style="518" customWidth="1"/>
    <col min="8982" max="8982" width="54.28515625" style="518" customWidth="1"/>
    <col min="8983" max="9075" width="0" style="518" hidden="1" customWidth="1"/>
    <col min="9076" max="9086" width="10.7109375" style="518" customWidth="1"/>
    <col min="9087" max="9087" width="10.42578125" style="518" customWidth="1"/>
    <col min="9088" max="9088" width="11" style="518" bestFit="1" customWidth="1"/>
    <col min="9089" max="9236" width="9.140625" style="518"/>
    <col min="9237" max="9237" width="5.85546875" style="518" customWidth="1"/>
    <col min="9238" max="9238" width="54.28515625" style="518" customWidth="1"/>
    <col min="9239" max="9331" width="0" style="518" hidden="1" customWidth="1"/>
    <col min="9332" max="9342" width="10.7109375" style="518" customWidth="1"/>
    <col min="9343" max="9343" width="10.42578125" style="518" customWidth="1"/>
    <col min="9344" max="9344" width="11" style="518" bestFit="1" customWidth="1"/>
    <col min="9345" max="9492" width="9.140625" style="518"/>
    <col min="9493" max="9493" width="5.85546875" style="518" customWidth="1"/>
    <col min="9494" max="9494" width="54.28515625" style="518" customWidth="1"/>
    <col min="9495" max="9587" width="0" style="518" hidden="1" customWidth="1"/>
    <col min="9588" max="9598" width="10.7109375" style="518" customWidth="1"/>
    <col min="9599" max="9599" width="10.42578125" style="518" customWidth="1"/>
    <col min="9600" max="9600" width="11" style="518" bestFit="1" customWidth="1"/>
    <col min="9601" max="9748" width="9.140625" style="518"/>
    <col min="9749" max="9749" width="5.85546875" style="518" customWidth="1"/>
    <col min="9750" max="9750" width="54.28515625" style="518" customWidth="1"/>
    <col min="9751" max="9843" width="0" style="518" hidden="1" customWidth="1"/>
    <col min="9844" max="9854" width="10.7109375" style="518" customWidth="1"/>
    <col min="9855" max="9855" width="10.42578125" style="518" customWidth="1"/>
    <col min="9856" max="9856" width="11" style="518" bestFit="1" customWidth="1"/>
    <col min="9857" max="10004" width="9.140625" style="518"/>
    <col min="10005" max="10005" width="5.85546875" style="518" customWidth="1"/>
    <col min="10006" max="10006" width="54.28515625" style="518" customWidth="1"/>
    <col min="10007" max="10099" width="0" style="518" hidden="1" customWidth="1"/>
    <col min="10100" max="10110" width="10.7109375" style="518" customWidth="1"/>
    <col min="10111" max="10111" width="10.42578125" style="518" customWidth="1"/>
    <col min="10112" max="10112" width="11" style="518" bestFit="1" customWidth="1"/>
    <col min="10113" max="10260" width="9.140625" style="518"/>
    <col min="10261" max="10261" width="5.85546875" style="518" customWidth="1"/>
    <col min="10262" max="10262" width="54.28515625" style="518" customWidth="1"/>
    <col min="10263" max="10355" width="0" style="518" hidden="1" customWidth="1"/>
    <col min="10356" max="10366" width="10.7109375" style="518" customWidth="1"/>
    <col min="10367" max="10367" width="10.42578125" style="518" customWidth="1"/>
    <col min="10368" max="10368" width="11" style="518" bestFit="1" customWidth="1"/>
    <col min="10369" max="10516" width="9.140625" style="518"/>
    <col min="10517" max="10517" width="5.85546875" style="518" customWidth="1"/>
    <col min="10518" max="10518" width="54.28515625" style="518" customWidth="1"/>
    <col min="10519" max="10611" width="0" style="518" hidden="1" customWidth="1"/>
    <col min="10612" max="10622" width="10.7109375" style="518" customWidth="1"/>
    <col min="10623" max="10623" width="10.42578125" style="518" customWidth="1"/>
    <col min="10624" max="10624" width="11" style="518" bestFit="1" customWidth="1"/>
    <col min="10625" max="10772" width="9.140625" style="518"/>
    <col min="10773" max="10773" width="5.85546875" style="518" customWidth="1"/>
    <col min="10774" max="10774" width="54.28515625" style="518" customWidth="1"/>
    <col min="10775" max="10867" width="0" style="518" hidden="1" customWidth="1"/>
    <col min="10868" max="10878" width="10.7109375" style="518" customWidth="1"/>
    <col min="10879" max="10879" width="10.42578125" style="518" customWidth="1"/>
    <col min="10880" max="10880" width="11" style="518" bestFit="1" customWidth="1"/>
    <col min="10881" max="11028" width="9.140625" style="518"/>
    <col min="11029" max="11029" width="5.85546875" style="518" customWidth="1"/>
    <col min="11030" max="11030" width="54.28515625" style="518" customWidth="1"/>
    <col min="11031" max="11123" width="0" style="518" hidden="1" customWidth="1"/>
    <col min="11124" max="11134" width="10.7109375" style="518" customWidth="1"/>
    <col min="11135" max="11135" width="10.42578125" style="518" customWidth="1"/>
    <col min="11136" max="11136" width="11" style="518" bestFit="1" customWidth="1"/>
    <col min="11137" max="11284" width="9.140625" style="518"/>
    <col min="11285" max="11285" width="5.85546875" style="518" customWidth="1"/>
    <col min="11286" max="11286" width="54.28515625" style="518" customWidth="1"/>
    <col min="11287" max="11379" width="0" style="518" hidden="1" customWidth="1"/>
    <col min="11380" max="11390" width="10.7109375" style="518" customWidth="1"/>
    <col min="11391" max="11391" width="10.42578125" style="518" customWidth="1"/>
    <col min="11392" max="11392" width="11" style="518" bestFit="1" customWidth="1"/>
    <col min="11393" max="11540" width="9.140625" style="518"/>
    <col min="11541" max="11541" width="5.85546875" style="518" customWidth="1"/>
    <col min="11542" max="11542" width="54.28515625" style="518" customWidth="1"/>
    <col min="11543" max="11635" width="0" style="518" hidden="1" customWidth="1"/>
    <col min="11636" max="11646" width="10.7109375" style="518" customWidth="1"/>
    <col min="11647" max="11647" width="10.42578125" style="518" customWidth="1"/>
    <col min="11648" max="11648" width="11" style="518" bestFit="1" customWidth="1"/>
    <col min="11649" max="11796" width="9.140625" style="518"/>
    <col min="11797" max="11797" width="5.85546875" style="518" customWidth="1"/>
    <col min="11798" max="11798" width="54.28515625" style="518" customWidth="1"/>
    <col min="11799" max="11891" width="0" style="518" hidden="1" customWidth="1"/>
    <col min="11892" max="11902" width="10.7109375" style="518" customWidth="1"/>
    <col min="11903" max="11903" width="10.42578125" style="518" customWidth="1"/>
    <col min="11904" max="11904" width="11" style="518" bestFit="1" customWidth="1"/>
    <col min="11905" max="12052" width="9.140625" style="518"/>
    <col min="12053" max="12053" width="5.85546875" style="518" customWidth="1"/>
    <col min="12054" max="12054" width="54.28515625" style="518" customWidth="1"/>
    <col min="12055" max="12147" width="0" style="518" hidden="1" customWidth="1"/>
    <col min="12148" max="12158" width="10.7109375" style="518" customWidth="1"/>
    <col min="12159" max="12159" width="10.42578125" style="518" customWidth="1"/>
    <col min="12160" max="12160" width="11" style="518" bestFit="1" customWidth="1"/>
    <col min="12161" max="12308" width="9.140625" style="518"/>
    <col min="12309" max="12309" width="5.85546875" style="518" customWidth="1"/>
    <col min="12310" max="12310" width="54.28515625" style="518" customWidth="1"/>
    <col min="12311" max="12403" width="0" style="518" hidden="1" customWidth="1"/>
    <col min="12404" max="12414" width="10.7109375" style="518" customWidth="1"/>
    <col min="12415" max="12415" width="10.42578125" style="518" customWidth="1"/>
    <col min="12416" max="12416" width="11" style="518" bestFit="1" customWidth="1"/>
    <col min="12417" max="12564" width="9.140625" style="518"/>
    <col min="12565" max="12565" width="5.85546875" style="518" customWidth="1"/>
    <col min="12566" max="12566" width="54.28515625" style="518" customWidth="1"/>
    <col min="12567" max="12659" width="0" style="518" hidden="1" customWidth="1"/>
    <col min="12660" max="12670" width="10.7109375" style="518" customWidth="1"/>
    <col min="12671" max="12671" width="10.42578125" style="518" customWidth="1"/>
    <col min="12672" max="12672" width="11" style="518" bestFit="1" customWidth="1"/>
    <col min="12673" max="12820" width="9.140625" style="518"/>
    <col min="12821" max="12821" width="5.85546875" style="518" customWidth="1"/>
    <col min="12822" max="12822" width="54.28515625" style="518" customWidth="1"/>
    <col min="12823" max="12915" width="0" style="518" hidden="1" customWidth="1"/>
    <col min="12916" max="12926" width="10.7109375" style="518" customWidth="1"/>
    <col min="12927" max="12927" width="10.42578125" style="518" customWidth="1"/>
    <col min="12928" max="12928" width="11" style="518" bestFit="1" customWidth="1"/>
    <col min="12929" max="13076" width="9.140625" style="518"/>
    <col min="13077" max="13077" width="5.85546875" style="518" customWidth="1"/>
    <col min="13078" max="13078" width="54.28515625" style="518" customWidth="1"/>
    <col min="13079" max="13171" width="0" style="518" hidden="1" customWidth="1"/>
    <col min="13172" max="13182" width="10.7109375" style="518" customWidth="1"/>
    <col min="13183" max="13183" width="10.42578125" style="518" customWidth="1"/>
    <col min="13184" max="13184" width="11" style="518" bestFit="1" customWidth="1"/>
    <col min="13185" max="13332" width="9.140625" style="518"/>
    <col min="13333" max="13333" width="5.85546875" style="518" customWidth="1"/>
    <col min="13334" max="13334" width="54.28515625" style="518" customWidth="1"/>
    <col min="13335" max="13427" width="0" style="518" hidden="1" customWidth="1"/>
    <col min="13428" max="13438" width="10.7109375" style="518" customWidth="1"/>
    <col min="13439" max="13439" width="10.42578125" style="518" customWidth="1"/>
    <col min="13440" max="13440" width="11" style="518" bestFit="1" customWidth="1"/>
    <col min="13441" max="13588" width="9.140625" style="518"/>
    <col min="13589" max="13589" width="5.85546875" style="518" customWidth="1"/>
    <col min="13590" max="13590" width="54.28515625" style="518" customWidth="1"/>
    <col min="13591" max="13683" width="0" style="518" hidden="1" customWidth="1"/>
    <col min="13684" max="13694" width="10.7109375" style="518" customWidth="1"/>
    <col min="13695" max="13695" width="10.42578125" style="518" customWidth="1"/>
    <col min="13696" max="13696" width="11" style="518" bestFit="1" customWidth="1"/>
    <col min="13697" max="13844" width="9.140625" style="518"/>
    <col min="13845" max="13845" width="5.85546875" style="518" customWidth="1"/>
    <col min="13846" max="13846" width="54.28515625" style="518" customWidth="1"/>
    <col min="13847" max="13939" width="0" style="518" hidden="1" customWidth="1"/>
    <col min="13940" max="13950" width="10.7109375" style="518" customWidth="1"/>
    <col min="13951" max="13951" width="10.42578125" style="518" customWidth="1"/>
    <col min="13952" max="13952" width="11" style="518" bestFit="1" customWidth="1"/>
    <col min="13953" max="14100" width="9.140625" style="518"/>
    <col min="14101" max="14101" width="5.85546875" style="518" customWidth="1"/>
    <col min="14102" max="14102" width="54.28515625" style="518" customWidth="1"/>
    <col min="14103" max="14195" width="0" style="518" hidden="1" customWidth="1"/>
    <col min="14196" max="14206" width="10.7109375" style="518" customWidth="1"/>
    <col min="14207" max="14207" width="10.42578125" style="518" customWidth="1"/>
    <col min="14208" max="14208" width="11" style="518" bestFit="1" customWidth="1"/>
    <col min="14209" max="14356" width="9.140625" style="518"/>
    <col min="14357" max="14357" width="5.85546875" style="518" customWidth="1"/>
    <col min="14358" max="14358" width="54.28515625" style="518" customWidth="1"/>
    <col min="14359" max="14451" width="0" style="518" hidden="1" customWidth="1"/>
    <col min="14452" max="14462" width="10.7109375" style="518" customWidth="1"/>
    <col min="14463" max="14463" width="10.42578125" style="518" customWidth="1"/>
    <col min="14464" max="14464" width="11" style="518" bestFit="1" customWidth="1"/>
    <col min="14465" max="14612" width="9.140625" style="518"/>
    <col min="14613" max="14613" width="5.85546875" style="518" customWidth="1"/>
    <col min="14614" max="14614" width="54.28515625" style="518" customWidth="1"/>
    <col min="14615" max="14707" width="0" style="518" hidden="1" customWidth="1"/>
    <col min="14708" max="14718" width="10.7109375" style="518" customWidth="1"/>
    <col min="14719" max="14719" width="10.42578125" style="518" customWidth="1"/>
    <col min="14720" max="14720" width="11" style="518" bestFit="1" customWidth="1"/>
    <col min="14721" max="14868" width="9.140625" style="518"/>
    <col min="14869" max="14869" width="5.85546875" style="518" customWidth="1"/>
    <col min="14870" max="14870" width="54.28515625" style="518" customWidth="1"/>
    <col min="14871" max="14963" width="0" style="518" hidden="1" customWidth="1"/>
    <col min="14964" max="14974" width="10.7109375" style="518" customWidth="1"/>
    <col min="14975" max="14975" width="10.42578125" style="518" customWidth="1"/>
    <col min="14976" max="14976" width="11" style="518" bestFit="1" customWidth="1"/>
    <col min="14977" max="15124" width="9.140625" style="518"/>
    <col min="15125" max="15125" width="5.85546875" style="518" customWidth="1"/>
    <col min="15126" max="15126" width="54.28515625" style="518" customWidth="1"/>
    <col min="15127" max="15219" width="0" style="518" hidden="1" customWidth="1"/>
    <col min="15220" max="15230" width="10.7109375" style="518" customWidth="1"/>
    <col min="15231" max="15231" width="10.42578125" style="518" customWidth="1"/>
    <col min="15232" max="15232" width="11" style="518" bestFit="1" customWidth="1"/>
    <col min="15233" max="15380" width="9.140625" style="518"/>
    <col min="15381" max="15381" width="5.85546875" style="518" customWidth="1"/>
    <col min="15382" max="15382" width="54.28515625" style="518" customWidth="1"/>
    <col min="15383" max="15475" width="0" style="518" hidden="1" customWidth="1"/>
    <col min="15476" max="15486" width="10.7109375" style="518" customWidth="1"/>
    <col min="15487" max="15487" width="10.42578125" style="518" customWidth="1"/>
    <col min="15488" max="15488" width="11" style="518" bestFit="1" customWidth="1"/>
    <col min="15489" max="15636" width="9.140625" style="518"/>
    <col min="15637" max="15637" width="5.85546875" style="518" customWidth="1"/>
    <col min="15638" max="15638" width="54.28515625" style="518" customWidth="1"/>
    <col min="15639" max="15731" width="0" style="518" hidden="1" customWidth="1"/>
    <col min="15732" max="15742" width="10.7109375" style="518" customWidth="1"/>
    <col min="15743" max="15743" width="10.42578125" style="518" customWidth="1"/>
    <col min="15744" max="15744" width="11" style="518" bestFit="1" customWidth="1"/>
    <col min="15745" max="15892" width="9.140625" style="518"/>
    <col min="15893" max="15893" width="5.85546875" style="518" customWidth="1"/>
    <col min="15894" max="15894" width="54.28515625" style="518" customWidth="1"/>
    <col min="15895" max="15987" width="0" style="518" hidden="1" customWidth="1"/>
    <col min="15988" max="15998" width="10.7109375" style="518" customWidth="1"/>
    <col min="15999" max="15999" width="10.42578125" style="518" customWidth="1"/>
    <col min="16000" max="16000" width="11" style="518" bestFit="1" customWidth="1"/>
    <col min="16001" max="16148" width="9.140625" style="518"/>
    <col min="16149" max="16149" width="5.85546875" style="518" customWidth="1"/>
    <col min="16150" max="16150" width="54.28515625" style="518" customWidth="1"/>
    <col min="16151" max="16243" width="0" style="518" hidden="1" customWidth="1"/>
    <col min="16244" max="16254" width="10.7109375" style="518" customWidth="1"/>
    <col min="16255" max="16255" width="10.42578125" style="518" customWidth="1"/>
    <col min="16256" max="16256" width="11" style="518" bestFit="1" customWidth="1"/>
    <col min="16257" max="16384" width="9.140625" style="518"/>
  </cols>
  <sheetData>
    <row r="1" spans="1:133" ht="18.75" x14ac:dyDescent="0.3">
      <c r="A1" s="458" t="s">
        <v>471</v>
      </c>
      <c r="B1" s="516"/>
      <c r="C1" s="517"/>
      <c r="D1" s="172"/>
      <c r="E1" s="172"/>
      <c r="F1" s="172"/>
      <c r="G1" s="172"/>
      <c r="H1" s="172"/>
      <c r="I1" s="172"/>
      <c r="J1" s="172"/>
      <c r="K1" s="172"/>
      <c r="L1" s="172"/>
      <c r="M1" s="172"/>
      <c r="N1" s="172"/>
      <c r="O1" s="172"/>
      <c r="P1" s="172"/>
      <c r="Q1" s="172"/>
      <c r="R1" s="172"/>
      <c r="S1" s="172"/>
      <c r="T1" s="172"/>
      <c r="U1" s="172"/>
      <c r="V1" s="172"/>
      <c r="W1" s="172"/>
      <c r="X1" s="172"/>
      <c r="Y1" s="172"/>
      <c r="Z1" s="172"/>
      <c r="AA1" s="172"/>
      <c r="AB1" s="172"/>
    </row>
    <row r="2" spans="1:133" hidden="1" x14ac:dyDescent="0.25">
      <c r="A2" s="519"/>
      <c r="B2" s="520"/>
      <c r="C2" s="521"/>
      <c r="D2" s="172"/>
      <c r="E2" s="172"/>
      <c r="F2" s="172"/>
      <c r="G2" s="172"/>
      <c r="H2" s="172"/>
      <c r="I2" s="172"/>
      <c r="J2" s="172"/>
      <c r="K2" s="172"/>
      <c r="L2" s="172"/>
      <c r="M2" s="172"/>
      <c r="N2" s="172"/>
      <c r="O2" s="172"/>
      <c r="P2" s="172"/>
      <c r="Q2" s="172"/>
      <c r="R2" s="172"/>
      <c r="S2" s="172"/>
      <c r="T2" s="172"/>
      <c r="U2" s="172"/>
      <c r="V2" s="172"/>
      <c r="W2" s="172"/>
      <c r="X2" s="172"/>
      <c r="Y2" s="172"/>
      <c r="Z2" s="172"/>
      <c r="AA2" s="172"/>
      <c r="AB2" s="172"/>
    </row>
    <row r="3" spans="1:133" ht="17.25" customHeight="1" thickBot="1" x14ac:dyDescent="0.3">
      <c r="A3" s="461"/>
      <c r="B3" s="461"/>
      <c r="C3" s="172"/>
      <c r="D3" s="172"/>
      <c r="E3" s="172"/>
      <c r="F3" s="172"/>
      <c r="G3" s="172"/>
      <c r="H3" s="172"/>
      <c r="I3" s="172"/>
      <c r="J3" s="172"/>
      <c r="K3" s="172"/>
      <c r="L3" s="172"/>
      <c r="M3" s="172"/>
      <c r="N3" s="172"/>
      <c r="O3" s="172"/>
      <c r="P3" s="172"/>
      <c r="Q3" s="172"/>
      <c r="R3" s="172"/>
      <c r="S3" s="172"/>
      <c r="T3" s="172"/>
      <c r="V3" s="172"/>
      <c r="W3" s="172"/>
      <c r="X3" s="172"/>
      <c r="Y3" s="172"/>
      <c r="Z3" s="172"/>
      <c r="AA3" s="172"/>
      <c r="AB3" s="172"/>
      <c r="AC3" s="260"/>
      <c r="AD3" s="260"/>
      <c r="AG3" s="260"/>
      <c r="AN3" s="3224"/>
      <c r="AO3" s="3224"/>
      <c r="AQ3" s="3224"/>
      <c r="AR3" s="3224"/>
      <c r="AT3" s="3224"/>
      <c r="AU3" s="3224"/>
      <c r="AZ3" s="3224"/>
      <c r="BA3" s="3224"/>
      <c r="BB3" s="3224"/>
      <c r="BC3" s="3224"/>
      <c r="BI3" s="3224"/>
      <c r="BJ3" s="3224"/>
      <c r="BK3" s="522"/>
      <c r="BL3" s="522"/>
      <c r="BM3" s="397"/>
      <c r="BN3" s="397"/>
      <c r="BO3" s="3224"/>
      <c r="BP3" s="3224"/>
      <c r="BQ3" s="397"/>
      <c r="BR3" s="397"/>
      <c r="BV3" s="584"/>
      <c r="BX3" s="585"/>
      <c r="BY3" s="585"/>
      <c r="BZ3" s="585"/>
      <c r="CA3" s="585"/>
      <c r="CB3" s="585"/>
      <c r="CC3" s="585"/>
      <c r="CD3" s="585"/>
      <c r="CE3" s="585"/>
      <c r="CF3" s="585"/>
      <c r="CG3" s="585"/>
      <c r="CH3" s="585"/>
      <c r="CI3" s="585"/>
      <c r="CJ3" s="585"/>
      <c r="CK3" s="585"/>
      <c r="CL3" s="585"/>
      <c r="CM3" s="585"/>
      <c r="CN3" s="585"/>
      <c r="CO3" s="585"/>
      <c r="CP3" s="585"/>
      <c r="CQ3" s="585"/>
      <c r="CR3" s="585"/>
      <c r="CS3" s="585"/>
      <c r="CT3" s="585"/>
      <c r="CU3" s="585"/>
      <c r="CV3" s="585"/>
      <c r="CW3" s="585"/>
      <c r="CY3" s="585"/>
      <c r="CZ3" s="585"/>
      <c r="DA3" s="585"/>
      <c r="DE3" s="573"/>
      <c r="DF3" s="573"/>
      <c r="DG3" s="573"/>
      <c r="DH3" s="573"/>
      <c r="DI3" s="573"/>
      <c r="DJ3" s="573"/>
      <c r="DK3" s="573"/>
      <c r="DL3" s="573"/>
      <c r="DM3" s="573"/>
      <c r="DN3" s="573"/>
      <c r="DO3" s="573"/>
      <c r="DP3" s="573"/>
      <c r="DQ3" s="573"/>
      <c r="DR3" s="573"/>
      <c r="DS3" s="573"/>
      <c r="DT3" s="573"/>
      <c r="DU3" s="573"/>
      <c r="DV3" s="573"/>
      <c r="DW3" s="573"/>
      <c r="DX3" s="573"/>
      <c r="DY3" s="573"/>
      <c r="DZ3" s="573"/>
      <c r="EA3" s="573"/>
      <c r="EB3" s="573"/>
      <c r="EC3" s="573" t="s">
        <v>472</v>
      </c>
    </row>
    <row r="4" spans="1:133" ht="23.25" customHeight="1" thickTop="1" thickBot="1" x14ac:dyDescent="0.3">
      <c r="A4" s="463" t="s">
        <v>400</v>
      </c>
      <c r="B4" s="464" t="s">
        <v>401</v>
      </c>
      <c r="C4" s="467">
        <v>38504</v>
      </c>
      <c r="D4" s="467">
        <v>38534</v>
      </c>
      <c r="E4" s="467">
        <v>38565</v>
      </c>
      <c r="F4" s="525">
        <v>38596</v>
      </c>
      <c r="G4" s="467">
        <v>38626</v>
      </c>
      <c r="H4" s="526">
        <v>38657</v>
      </c>
      <c r="I4" s="467">
        <v>38687</v>
      </c>
      <c r="J4" s="467">
        <v>38718</v>
      </c>
      <c r="K4" s="467">
        <v>38749</v>
      </c>
      <c r="L4" s="467">
        <v>38777</v>
      </c>
      <c r="M4" s="525">
        <v>38808</v>
      </c>
      <c r="N4" s="467">
        <v>38838</v>
      </c>
      <c r="O4" s="467">
        <v>38869</v>
      </c>
      <c r="P4" s="467">
        <v>38899</v>
      </c>
      <c r="Q4" s="467">
        <v>38930</v>
      </c>
      <c r="R4" s="467">
        <v>38961</v>
      </c>
      <c r="S4" s="467">
        <v>38991</v>
      </c>
      <c r="T4" s="467">
        <v>39022</v>
      </c>
      <c r="U4" s="467">
        <v>39052</v>
      </c>
      <c r="V4" s="467">
        <v>39083</v>
      </c>
      <c r="W4" s="467">
        <v>39114</v>
      </c>
      <c r="X4" s="467">
        <v>39142</v>
      </c>
      <c r="Y4" s="467">
        <v>39173</v>
      </c>
      <c r="Z4" s="467">
        <v>39203</v>
      </c>
      <c r="AA4" s="467">
        <v>39234</v>
      </c>
      <c r="AB4" s="467">
        <v>39264</v>
      </c>
      <c r="AC4" s="467">
        <v>39295</v>
      </c>
      <c r="AD4" s="467">
        <v>39326</v>
      </c>
      <c r="AE4" s="467">
        <v>39356</v>
      </c>
      <c r="AF4" s="467">
        <v>39387</v>
      </c>
      <c r="AG4" s="467">
        <v>39417</v>
      </c>
      <c r="AH4" s="467">
        <v>39448</v>
      </c>
      <c r="AI4" s="467">
        <v>39479</v>
      </c>
      <c r="AJ4" s="467">
        <v>39508</v>
      </c>
      <c r="AK4" s="467">
        <v>39539</v>
      </c>
      <c r="AL4" s="467">
        <v>39569</v>
      </c>
      <c r="AM4" s="467">
        <v>39600</v>
      </c>
      <c r="AN4" s="467">
        <v>39630</v>
      </c>
      <c r="AO4" s="467">
        <v>39661</v>
      </c>
      <c r="AP4" s="526">
        <v>39692</v>
      </c>
      <c r="AQ4" s="526">
        <v>39722</v>
      </c>
      <c r="AR4" s="467">
        <v>39753</v>
      </c>
      <c r="AS4" s="467">
        <v>39783</v>
      </c>
      <c r="AT4" s="467">
        <v>39814</v>
      </c>
      <c r="AU4" s="467">
        <v>39845</v>
      </c>
      <c r="AV4" s="467">
        <v>39881</v>
      </c>
      <c r="AW4" s="467">
        <v>39904</v>
      </c>
      <c r="AX4" s="467">
        <v>39934</v>
      </c>
      <c r="AY4" s="467">
        <v>39965</v>
      </c>
      <c r="AZ4" s="467">
        <v>39995</v>
      </c>
      <c r="BA4" s="467">
        <v>40026</v>
      </c>
      <c r="BB4" s="467">
        <v>40057</v>
      </c>
      <c r="BC4" s="467">
        <v>40087</v>
      </c>
      <c r="BD4" s="467">
        <v>40118</v>
      </c>
      <c r="BE4" s="467">
        <v>40148</v>
      </c>
      <c r="BF4" s="467">
        <v>40179</v>
      </c>
      <c r="BG4" s="467">
        <v>40210</v>
      </c>
      <c r="BH4" s="467">
        <v>40238</v>
      </c>
      <c r="BI4" s="467">
        <v>40269</v>
      </c>
      <c r="BJ4" s="467">
        <v>40299</v>
      </c>
      <c r="BK4" s="467">
        <v>40330</v>
      </c>
      <c r="BL4" s="467">
        <v>40360</v>
      </c>
      <c r="BM4" s="467">
        <v>40391</v>
      </c>
      <c r="BN4" s="467">
        <v>40422</v>
      </c>
      <c r="BO4" s="467">
        <v>40452</v>
      </c>
      <c r="BP4" s="467">
        <v>40483</v>
      </c>
      <c r="BQ4" s="467">
        <v>40513</v>
      </c>
      <c r="BR4" s="467">
        <v>40544</v>
      </c>
      <c r="BS4" s="467">
        <v>40575</v>
      </c>
      <c r="BT4" s="467">
        <v>40603</v>
      </c>
      <c r="BU4" s="467">
        <v>40634</v>
      </c>
      <c r="BV4" s="467">
        <v>40664</v>
      </c>
      <c r="BW4" s="467">
        <v>40695</v>
      </c>
      <c r="BX4" s="467">
        <v>40725</v>
      </c>
      <c r="BY4" s="467">
        <v>40756</v>
      </c>
      <c r="BZ4" s="467">
        <v>40787</v>
      </c>
      <c r="CA4" s="467">
        <v>40817</v>
      </c>
      <c r="CB4" s="467">
        <v>40848</v>
      </c>
      <c r="CC4" s="467">
        <v>40878</v>
      </c>
      <c r="CD4" s="467">
        <v>40909</v>
      </c>
      <c r="CE4" s="467">
        <v>40940</v>
      </c>
      <c r="CF4" s="467">
        <v>40969</v>
      </c>
      <c r="CG4" s="467">
        <v>41000</v>
      </c>
      <c r="CH4" s="467">
        <v>41030</v>
      </c>
      <c r="CI4" s="467">
        <v>41061</v>
      </c>
      <c r="CJ4" s="467">
        <v>41091</v>
      </c>
      <c r="CK4" s="467">
        <v>41122</v>
      </c>
      <c r="CL4" s="467">
        <v>41153</v>
      </c>
      <c r="CM4" s="467">
        <v>41183</v>
      </c>
      <c r="CN4" s="467">
        <v>41214</v>
      </c>
      <c r="CO4" s="467">
        <v>41244</v>
      </c>
      <c r="CP4" s="467">
        <v>41275</v>
      </c>
      <c r="CQ4" s="467">
        <v>41306</v>
      </c>
      <c r="CR4" s="467">
        <v>41334</v>
      </c>
      <c r="CS4" s="467">
        <v>41365</v>
      </c>
      <c r="CT4" s="467">
        <v>41395</v>
      </c>
      <c r="CU4" s="467">
        <v>41426</v>
      </c>
      <c r="CV4" s="467">
        <v>41456</v>
      </c>
      <c r="CW4" s="467">
        <v>41487</v>
      </c>
      <c r="CX4" s="467">
        <v>41518</v>
      </c>
      <c r="CY4" s="467">
        <v>41548</v>
      </c>
      <c r="CZ4" s="467">
        <v>41579</v>
      </c>
      <c r="DA4" s="467">
        <v>41609</v>
      </c>
      <c r="DB4" s="467">
        <v>41640</v>
      </c>
      <c r="DC4" s="467">
        <v>41671</v>
      </c>
      <c r="DD4" s="465">
        <v>41699</v>
      </c>
      <c r="DE4" s="465">
        <v>41730</v>
      </c>
      <c r="DF4" s="465">
        <v>41760</v>
      </c>
      <c r="DG4" s="465">
        <v>41791</v>
      </c>
      <c r="DH4" s="465">
        <v>41821</v>
      </c>
      <c r="DI4" s="465">
        <v>41852</v>
      </c>
      <c r="DJ4" s="465">
        <v>41883</v>
      </c>
      <c r="DK4" s="465">
        <v>41913</v>
      </c>
      <c r="DL4" s="465">
        <v>41944</v>
      </c>
      <c r="DM4" s="465">
        <v>41974</v>
      </c>
      <c r="DN4" s="465">
        <v>42005</v>
      </c>
      <c r="DO4" s="465">
        <v>42036</v>
      </c>
      <c r="DP4" s="465">
        <v>42064</v>
      </c>
      <c r="DQ4" s="465">
        <v>42095</v>
      </c>
      <c r="DR4" s="465">
        <v>42125</v>
      </c>
      <c r="DS4" s="465">
        <v>42156</v>
      </c>
      <c r="DT4" s="465">
        <v>42186</v>
      </c>
      <c r="DU4" s="465">
        <v>42217</v>
      </c>
      <c r="DV4" s="465">
        <v>42248</v>
      </c>
      <c r="DW4" s="465">
        <v>42278</v>
      </c>
      <c r="DX4" s="465">
        <v>42309</v>
      </c>
      <c r="DY4" s="465">
        <v>42339</v>
      </c>
      <c r="DZ4" s="465">
        <v>42370</v>
      </c>
      <c r="EA4" s="465">
        <v>42401</v>
      </c>
      <c r="EB4" s="465">
        <v>42430</v>
      </c>
      <c r="EC4" s="465">
        <v>42461</v>
      </c>
    </row>
    <row r="5" spans="1:133" ht="9" customHeight="1" thickTop="1" x14ac:dyDescent="0.25">
      <c r="A5" s="574"/>
      <c r="B5" s="575"/>
      <c r="C5" s="576"/>
      <c r="D5" s="576"/>
      <c r="E5" s="576"/>
      <c r="F5" s="431"/>
      <c r="G5" s="576"/>
      <c r="H5" s="577"/>
      <c r="I5" s="576"/>
      <c r="J5" s="576"/>
      <c r="K5" s="576"/>
      <c r="L5" s="576"/>
      <c r="M5" s="431"/>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8"/>
      <c r="AQ5" s="578"/>
      <c r="AR5" s="576"/>
      <c r="AS5" s="576"/>
      <c r="AT5" s="576"/>
      <c r="AU5" s="576"/>
      <c r="AV5" s="576"/>
      <c r="AW5" s="576"/>
      <c r="AX5" s="576"/>
      <c r="AY5" s="576"/>
      <c r="AZ5" s="576"/>
      <c r="BA5" s="576"/>
      <c r="BB5" s="586"/>
      <c r="BC5" s="586"/>
      <c r="BD5" s="586"/>
      <c r="BE5" s="586"/>
      <c r="BF5" s="586"/>
      <c r="BG5" s="586"/>
      <c r="BH5" s="586"/>
      <c r="BI5" s="586"/>
      <c r="BJ5" s="586"/>
      <c r="BK5" s="586"/>
      <c r="BL5" s="586"/>
      <c r="BM5" s="586"/>
      <c r="BN5" s="586"/>
      <c r="BO5" s="586"/>
      <c r="BP5" s="586"/>
      <c r="BQ5" s="586"/>
      <c r="BR5" s="586"/>
      <c r="BS5" s="579"/>
      <c r="BT5" s="579"/>
      <c r="BU5" s="579"/>
      <c r="BV5" s="579"/>
      <c r="BW5" s="579"/>
      <c r="BX5" s="579"/>
      <c r="BY5" s="579"/>
      <c r="BZ5" s="579"/>
      <c r="CA5" s="579"/>
      <c r="CB5" s="579"/>
      <c r="CC5" s="579"/>
      <c r="CD5" s="579"/>
      <c r="CE5" s="579"/>
      <c r="CF5" s="579"/>
      <c r="CG5" s="579"/>
      <c r="CH5" s="579"/>
      <c r="CI5" s="579"/>
      <c r="CJ5" s="579"/>
      <c r="CK5" s="579"/>
      <c r="CL5" s="579"/>
      <c r="CM5" s="579"/>
      <c r="CN5" s="579"/>
      <c r="CO5" s="579"/>
      <c r="CP5" s="579"/>
      <c r="CQ5" s="579"/>
      <c r="CR5" s="579"/>
      <c r="CS5" s="579"/>
      <c r="CT5" s="579"/>
      <c r="CU5" s="579"/>
      <c r="CV5" s="579"/>
      <c r="CW5" s="579"/>
      <c r="CX5" s="579"/>
      <c r="CY5" s="579"/>
      <c r="CZ5" s="579"/>
      <c r="DA5" s="579"/>
      <c r="DB5" s="579"/>
      <c r="DC5" s="579"/>
      <c r="DD5" s="580"/>
      <c r="DE5" s="580"/>
      <c r="DF5" s="580"/>
      <c r="DG5" s="580"/>
      <c r="DH5" s="580"/>
      <c r="DI5" s="580"/>
      <c r="DJ5" s="580"/>
      <c r="DK5" s="580"/>
      <c r="DL5" s="580"/>
      <c r="DM5" s="580"/>
      <c r="DN5" s="580"/>
      <c r="DO5" s="580"/>
      <c r="DP5" s="580"/>
      <c r="DQ5" s="580"/>
      <c r="DR5" s="580"/>
      <c r="DS5" s="580"/>
      <c r="DT5" s="580"/>
      <c r="DU5" s="580"/>
      <c r="DV5" s="580"/>
      <c r="DW5" s="580"/>
      <c r="DX5" s="580"/>
      <c r="DY5" s="580"/>
      <c r="DZ5" s="580"/>
      <c r="EA5" s="580"/>
      <c r="EB5" s="580"/>
      <c r="EC5" s="580"/>
    </row>
    <row r="6" spans="1:133" ht="17.25" customHeight="1" x14ac:dyDescent="0.25">
      <c r="A6" s="587" t="s">
        <v>402</v>
      </c>
      <c r="B6" s="478" t="s">
        <v>403</v>
      </c>
      <c r="C6" s="533">
        <v>0</v>
      </c>
      <c r="D6" s="533">
        <v>0</v>
      </c>
      <c r="E6" s="533">
        <v>0</v>
      </c>
      <c r="F6" s="534">
        <v>0</v>
      </c>
      <c r="G6" s="533">
        <v>0</v>
      </c>
      <c r="H6" s="535">
        <v>0</v>
      </c>
      <c r="I6" s="533">
        <v>0</v>
      </c>
      <c r="J6" s="533">
        <v>0</v>
      </c>
      <c r="K6" s="533">
        <v>0</v>
      </c>
      <c r="L6" s="533">
        <v>0</v>
      </c>
      <c r="M6" s="534">
        <v>0</v>
      </c>
      <c r="N6" s="533">
        <v>0</v>
      </c>
      <c r="O6" s="533">
        <v>0</v>
      </c>
      <c r="P6" s="533">
        <v>0</v>
      </c>
      <c r="Q6" s="533">
        <v>0</v>
      </c>
      <c r="R6" s="533">
        <v>0</v>
      </c>
      <c r="S6" s="533">
        <v>0</v>
      </c>
      <c r="T6" s="533">
        <v>0</v>
      </c>
      <c r="U6" s="533">
        <v>0</v>
      </c>
      <c r="V6" s="533">
        <v>0</v>
      </c>
      <c r="W6" s="533">
        <v>0</v>
      </c>
      <c r="X6" s="533">
        <v>0</v>
      </c>
      <c r="Y6" s="533">
        <v>0</v>
      </c>
      <c r="Z6" s="533">
        <v>0</v>
      </c>
      <c r="AA6" s="533">
        <v>0</v>
      </c>
      <c r="AB6" s="533">
        <v>0</v>
      </c>
      <c r="AC6" s="533">
        <v>0</v>
      </c>
      <c r="AD6" s="533">
        <v>0</v>
      </c>
      <c r="AE6" s="533">
        <v>0</v>
      </c>
      <c r="AF6" s="533">
        <v>0</v>
      </c>
      <c r="AG6" s="533">
        <v>0</v>
      </c>
      <c r="AH6" s="533">
        <v>0</v>
      </c>
      <c r="AI6" s="533">
        <v>0</v>
      </c>
      <c r="AJ6" s="533">
        <v>0</v>
      </c>
      <c r="AK6" s="533">
        <v>0</v>
      </c>
      <c r="AL6" s="533">
        <v>0</v>
      </c>
      <c r="AM6" s="533">
        <v>0</v>
      </c>
      <c r="AN6" s="533">
        <v>0</v>
      </c>
      <c r="AO6" s="533">
        <v>0</v>
      </c>
      <c r="AP6" s="533">
        <v>0</v>
      </c>
      <c r="AQ6" s="533">
        <v>0</v>
      </c>
      <c r="AR6" s="533">
        <v>0</v>
      </c>
      <c r="AS6" s="533">
        <v>0</v>
      </c>
      <c r="AT6" s="533">
        <v>0</v>
      </c>
      <c r="AU6" s="533">
        <v>0</v>
      </c>
      <c r="AV6" s="533">
        <v>0</v>
      </c>
      <c r="AW6" s="533">
        <v>0</v>
      </c>
      <c r="AX6" s="533">
        <v>0</v>
      </c>
      <c r="AY6" s="533">
        <v>0</v>
      </c>
      <c r="AZ6" s="533">
        <v>0</v>
      </c>
      <c r="BA6" s="533">
        <v>0</v>
      </c>
      <c r="BB6" s="533">
        <v>0</v>
      </c>
      <c r="BC6" s="533">
        <v>0</v>
      </c>
      <c r="BD6" s="533">
        <v>0</v>
      </c>
      <c r="BE6" s="533">
        <v>0</v>
      </c>
      <c r="BF6" s="533">
        <v>0</v>
      </c>
      <c r="BG6" s="533">
        <v>0</v>
      </c>
      <c r="BH6" s="533">
        <v>0</v>
      </c>
      <c r="BI6" s="533">
        <v>0</v>
      </c>
      <c r="BJ6" s="533">
        <v>0</v>
      </c>
      <c r="BK6" s="533">
        <v>0</v>
      </c>
      <c r="BL6" s="533">
        <v>0</v>
      </c>
      <c r="BM6" s="533">
        <v>0</v>
      </c>
      <c r="BN6" s="533">
        <v>0</v>
      </c>
      <c r="BO6" s="533">
        <v>0</v>
      </c>
      <c r="BP6" s="533">
        <v>0</v>
      </c>
      <c r="BQ6" s="533">
        <v>0</v>
      </c>
      <c r="BR6" s="533">
        <v>0</v>
      </c>
      <c r="BS6" s="533">
        <v>0</v>
      </c>
      <c r="BT6" s="533">
        <v>0</v>
      </c>
      <c r="BU6" s="533">
        <v>0</v>
      </c>
      <c r="BV6" s="533">
        <v>0</v>
      </c>
      <c r="BW6" s="533">
        <v>0</v>
      </c>
      <c r="BX6" s="533">
        <v>0</v>
      </c>
      <c r="BY6" s="533">
        <v>0</v>
      </c>
      <c r="BZ6" s="533">
        <v>0</v>
      </c>
      <c r="CA6" s="533">
        <v>0</v>
      </c>
      <c r="CB6" s="533">
        <v>0</v>
      </c>
      <c r="CC6" s="533">
        <v>0</v>
      </c>
      <c r="CD6" s="533">
        <v>0</v>
      </c>
      <c r="CE6" s="533">
        <v>0</v>
      </c>
      <c r="CF6" s="533">
        <v>0</v>
      </c>
      <c r="CG6" s="533">
        <v>0</v>
      </c>
      <c r="CH6" s="533">
        <v>0</v>
      </c>
      <c r="CI6" s="533">
        <v>0</v>
      </c>
      <c r="CJ6" s="533">
        <v>0</v>
      </c>
      <c r="CK6" s="533">
        <v>0</v>
      </c>
      <c r="CL6" s="533">
        <v>0</v>
      </c>
      <c r="CM6" s="533">
        <v>0</v>
      </c>
      <c r="CN6" s="533">
        <v>0</v>
      </c>
      <c r="CO6" s="533">
        <v>0</v>
      </c>
      <c r="CP6" s="533">
        <v>0</v>
      </c>
      <c r="CQ6" s="533">
        <v>0</v>
      </c>
      <c r="CR6" s="533">
        <v>0</v>
      </c>
      <c r="CS6" s="533">
        <v>0</v>
      </c>
      <c r="CT6" s="533">
        <v>0</v>
      </c>
      <c r="CU6" s="533">
        <v>0</v>
      </c>
      <c r="CV6" s="533">
        <v>0</v>
      </c>
      <c r="CW6" s="533">
        <v>0</v>
      </c>
      <c r="CX6" s="533">
        <v>0</v>
      </c>
      <c r="CY6" s="533">
        <v>0</v>
      </c>
      <c r="CZ6" s="533">
        <v>0</v>
      </c>
      <c r="DA6" s="533">
        <v>0</v>
      </c>
      <c r="DB6" s="533">
        <v>0</v>
      </c>
      <c r="DC6" s="533">
        <v>0</v>
      </c>
      <c r="DD6" s="479">
        <v>0</v>
      </c>
      <c r="DE6" s="479">
        <v>0</v>
      </c>
      <c r="DF6" s="479">
        <v>0</v>
      </c>
      <c r="DG6" s="479">
        <v>0</v>
      </c>
      <c r="DH6" s="479">
        <v>0</v>
      </c>
      <c r="DI6" s="479">
        <v>0</v>
      </c>
      <c r="DJ6" s="479">
        <v>0</v>
      </c>
      <c r="DK6" s="479">
        <v>0</v>
      </c>
      <c r="DL6" s="479">
        <v>0</v>
      </c>
      <c r="DM6" s="479">
        <v>0</v>
      </c>
      <c r="DN6" s="479">
        <v>0</v>
      </c>
      <c r="DO6" s="479">
        <v>0</v>
      </c>
      <c r="DP6" s="479">
        <v>0</v>
      </c>
      <c r="DQ6" s="479">
        <v>0</v>
      </c>
      <c r="DR6" s="479">
        <v>0</v>
      </c>
      <c r="DS6" s="479">
        <v>0</v>
      </c>
      <c r="DT6" s="479">
        <v>0</v>
      </c>
      <c r="DU6" s="479">
        <v>0</v>
      </c>
      <c r="DV6" s="479">
        <v>0</v>
      </c>
      <c r="DW6" s="479">
        <v>0</v>
      </c>
      <c r="DX6" s="479">
        <v>0</v>
      </c>
      <c r="DY6" s="479">
        <v>0</v>
      </c>
      <c r="DZ6" s="479">
        <v>0</v>
      </c>
      <c r="EA6" s="479">
        <v>0</v>
      </c>
      <c r="EB6" s="479">
        <v>0</v>
      </c>
      <c r="EC6" s="479">
        <v>0</v>
      </c>
    </row>
    <row r="7" spans="1:133" ht="17.25" customHeight="1" x14ac:dyDescent="0.25">
      <c r="A7" s="588"/>
      <c r="B7" s="482"/>
      <c r="C7" s="537"/>
      <c r="D7" s="537"/>
      <c r="E7" s="537"/>
      <c r="F7" s="538"/>
      <c r="G7" s="537"/>
      <c r="H7" s="539"/>
      <c r="I7" s="537"/>
      <c r="J7" s="537"/>
      <c r="K7" s="537"/>
      <c r="L7" s="537"/>
      <c r="M7" s="538"/>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483"/>
      <c r="DE7" s="483"/>
      <c r="DF7" s="483"/>
      <c r="DG7" s="483"/>
      <c r="DH7" s="483"/>
      <c r="DI7" s="483"/>
      <c r="DJ7" s="483"/>
      <c r="DK7" s="483"/>
      <c r="DL7" s="483"/>
      <c r="DM7" s="483"/>
      <c r="DN7" s="483"/>
      <c r="DO7" s="483"/>
      <c r="DP7" s="483"/>
      <c r="DQ7" s="483"/>
      <c r="DR7" s="483"/>
      <c r="DS7" s="483"/>
      <c r="DT7" s="483"/>
      <c r="DU7" s="483"/>
      <c r="DV7" s="483"/>
      <c r="DW7" s="483"/>
      <c r="DX7" s="483"/>
      <c r="DY7" s="483"/>
      <c r="DZ7" s="483"/>
      <c r="EA7" s="483"/>
      <c r="EB7" s="483"/>
      <c r="EC7" s="483"/>
    </row>
    <row r="8" spans="1:133" ht="17.25" customHeight="1" x14ac:dyDescent="0.25">
      <c r="A8" s="587" t="s">
        <v>404</v>
      </c>
      <c r="B8" s="478" t="s">
        <v>405</v>
      </c>
      <c r="C8" s="533">
        <v>137386.0341277422</v>
      </c>
      <c r="D8" s="533">
        <v>117399.348093801</v>
      </c>
      <c r="E8" s="533">
        <v>131125.28454545111</v>
      </c>
      <c r="F8" s="534">
        <v>140720.59705364634</v>
      </c>
      <c r="G8" s="533">
        <v>141011.62746160629</v>
      </c>
      <c r="H8" s="535">
        <v>159497.48855781881</v>
      </c>
      <c r="I8" s="533">
        <v>145285.62479737948</v>
      </c>
      <c r="J8" s="533">
        <v>150117.14150413964</v>
      </c>
      <c r="K8" s="533">
        <v>180139.24913477548</v>
      </c>
      <c r="L8" s="533">
        <v>185596.64168305803</v>
      </c>
      <c r="M8" s="534">
        <v>171768.35285375925</v>
      </c>
      <c r="N8" s="533">
        <v>197853.7032548814</v>
      </c>
      <c r="O8" s="533">
        <v>189741.42472981042</v>
      </c>
      <c r="P8" s="533">
        <v>201220.75243668648</v>
      </c>
      <c r="Q8" s="533">
        <v>207376.85327395448</v>
      </c>
      <c r="R8" s="533">
        <v>232379.02466321187</v>
      </c>
      <c r="S8" s="533">
        <v>235220.29024859404</v>
      </c>
      <c r="T8" s="533">
        <v>253038.36976652572</v>
      </c>
      <c r="U8" s="533">
        <v>278446.37739369058</v>
      </c>
      <c r="V8" s="533">
        <v>245272.14790840913</v>
      </c>
      <c r="W8" s="533">
        <v>242442.3100011294</v>
      </c>
      <c r="X8" s="533">
        <v>241406.61946127925</v>
      </c>
      <c r="Y8" s="533">
        <v>230874.92979168013</v>
      </c>
      <c r="Z8" s="533">
        <v>229179.90703698719</v>
      </c>
      <c r="AA8" s="533">
        <v>236414.29466614086</v>
      </c>
      <c r="AB8" s="533">
        <v>262561.77986380341</v>
      </c>
      <c r="AC8" s="533">
        <v>275642.83616328746</v>
      </c>
      <c r="AD8" s="533">
        <v>279192.4884326607</v>
      </c>
      <c r="AE8" s="533">
        <v>266967.41221147869</v>
      </c>
      <c r="AF8" s="533">
        <v>298101.25039353222</v>
      </c>
      <c r="AG8" s="533">
        <v>280388.48017139942</v>
      </c>
      <c r="AH8" s="533">
        <v>297271.43602694536</v>
      </c>
      <c r="AI8" s="533">
        <v>272698.01819091185</v>
      </c>
      <c r="AJ8" s="533">
        <v>263998.76533190883</v>
      </c>
      <c r="AK8" s="533">
        <v>241307.58789939963</v>
      </c>
      <c r="AL8" s="533">
        <v>248295.76869701056</v>
      </c>
      <c r="AM8" s="533">
        <v>260348.38627041283</v>
      </c>
      <c r="AN8" s="533">
        <v>284965.82628359669</v>
      </c>
      <c r="AO8" s="533">
        <v>262508.99074876745</v>
      </c>
      <c r="AP8" s="533">
        <v>240133.13641787361</v>
      </c>
      <c r="AQ8" s="533">
        <v>247172.15100666095</v>
      </c>
      <c r="AR8" s="533">
        <v>247318.16636269708</v>
      </c>
      <c r="AS8" s="533">
        <v>226472.68194759256</v>
      </c>
      <c r="AT8" s="533">
        <v>248498.39609261439</v>
      </c>
      <c r="AU8" s="533">
        <v>255750.81632148125</v>
      </c>
      <c r="AV8" s="533">
        <v>261668.2340031841</v>
      </c>
      <c r="AW8" s="533">
        <v>250963.08280641586</v>
      </c>
      <c r="AX8" s="533">
        <v>247165.85171388794</v>
      </c>
      <c r="AY8" s="533">
        <v>239066.4802707693</v>
      </c>
      <c r="AZ8" s="533">
        <v>222235.0930853264</v>
      </c>
      <c r="BA8" s="533">
        <v>213157.40076199675</v>
      </c>
      <c r="BB8" s="533">
        <v>221243.51232874728</v>
      </c>
      <c r="BC8" s="533">
        <v>230038.60302393045</v>
      </c>
      <c r="BD8" s="533">
        <v>225281.30221427255</v>
      </c>
      <c r="BE8" s="533">
        <v>242699.68803018064</v>
      </c>
      <c r="BF8" s="533">
        <v>252608.18815209827</v>
      </c>
      <c r="BG8" s="533">
        <v>246450.13653262565</v>
      </c>
      <c r="BH8" s="533">
        <v>257805.51736637356</v>
      </c>
      <c r="BI8" s="533">
        <v>240144.475173174</v>
      </c>
      <c r="BJ8" s="533">
        <v>273052.42501328693</v>
      </c>
      <c r="BK8" s="533">
        <v>258250.54107368217</v>
      </c>
      <c r="BL8" s="533">
        <v>213353.58345542761</v>
      </c>
      <c r="BM8" s="533">
        <v>240985.29380027275</v>
      </c>
      <c r="BN8" s="533">
        <v>244599.46316346692</v>
      </c>
      <c r="BO8" s="533">
        <v>251201.50909209871</v>
      </c>
      <c r="BP8" s="533">
        <v>257937.35828741209</v>
      </c>
      <c r="BQ8" s="533">
        <v>254678.39536562684</v>
      </c>
      <c r="BR8" s="533">
        <v>255903.56181570969</v>
      </c>
      <c r="BS8" s="533">
        <v>256948.65902961243</v>
      </c>
      <c r="BT8" s="533">
        <v>216110.11891233135</v>
      </c>
      <c r="BU8" s="533">
        <v>252412.87371397743</v>
      </c>
      <c r="BV8" s="533">
        <v>211799.71538531585</v>
      </c>
      <c r="BW8" s="533">
        <v>243411.21701593651</v>
      </c>
      <c r="BX8" s="533">
        <v>218376.56731882371</v>
      </c>
      <c r="BY8" s="533">
        <v>205178.3766125745</v>
      </c>
      <c r="BZ8" s="533">
        <v>217597.39724131243</v>
      </c>
      <c r="CA8" s="533">
        <v>217877.85670702509</v>
      </c>
      <c r="CB8" s="533">
        <v>264835.77243650565</v>
      </c>
      <c r="CC8" s="533">
        <v>214652.98685543862</v>
      </c>
      <c r="CD8" s="533">
        <v>175112.90033093217</v>
      </c>
      <c r="CE8" s="533">
        <v>196333.64010481746</v>
      </c>
      <c r="CF8" s="533">
        <v>245776.2354906844</v>
      </c>
      <c r="CG8" s="533">
        <v>243471.86069752497</v>
      </c>
      <c r="CH8" s="533">
        <v>250375.97247934691</v>
      </c>
      <c r="CI8" s="533">
        <v>191631.19084373233</v>
      </c>
      <c r="CJ8" s="533">
        <v>234311.0357581196</v>
      </c>
      <c r="CK8" s="533">
        <v>203931.27148979629</v>
      </c>
      <c r="CL8" s="533">
        <v>213939.94777051674</v>
      </c>
      <c r="CM8" s="533">
        <v>222561.47313528575</v>
      </c>
      <c r="CN8" s="533">
        <v>222971.41418918199</v>
      </c>
      <c r="CO8" s="533">
        <v>246823.32745835738</v>
      </c>
      <c r="CP8" s="533">
        <v>261840.31835304777</v>
      </c>
      <c r="CQ8" s="533">
        <v>215643.19264672711</v>
      </c>
      <c r="CR8" s="533">
        <v>253630.18403316487</v>
      </c>
      <c r="CS8" s="533">
        <v>255781.11688117657</v>
      </c>
      <c r="CT8" s="533">
        <v>278848.96760224138</v>
      </c>
      <c r="CU8" s="533">
        <v>259194.77186890645</v>
      </c>
      <c r="CV8" s="533">
        <v>277408.43667797395</v>
      </c>
      <c r="CW8" s="533">
        <v>250762.62740113301</v>
      </c>
      <c r="CX8" s="533">
        <v>248287.181337691</v>
      </c>
      <c r="CY8" s="533">
        <v>243315.283596783</v>
      </c>
      <c r="CZ8" s="533">
        <v>250895.80286462622</v>
      </c>
      <c r="DA8" s="533">
        <v>298861.06407877535</v>
      </c>
      <c r="DB8" s="533">
        <v>266446.31054302875</v>
      </c>
      <c r="DC8" s="533">
        <v>276911.55744731298</v>
      </c>
      <c r="DD8" s="479">
        <v>294091.43711811712</v>
      </c>
      <c r="DE8" s="479">
        <v>281590.62893361552</v>
      </c>
      <c r="DF8" s="479">
        <v>251634.25020283967</v>
      </c>
      <c r="DG8" s="479">
        <v>245249.35824401345</v>
      </c>
      <c r="DH8" s="479">
        <v>266539.52802206227</v>
      </c>
      <c r="DI8" s="479">
        <v>270974.50854947395</v>
      </c>
      <c r="DJ8" s="479">
        <v>298694.25647171494</v>
      </c>
      <c r="DK8" s="479">
        <v>344723.72345148132</v>
      </c>
      <c r="DL8" s="479">
        <v>305485.81360896304</v>
      </c>
      <c r="DM8" s="479">
        <v>325356.16338523262</v>
      </c>
      <c r="DN8" s="479">
        <v>347797.16931810044</v>
      </c>
      <c r="DO8" s="479">
        <v>340838.32364080468</v>
      </c>
      <c r="DP8" s="479">
        <v>387289.11317275709</v>
      </c>
      <c r="DQ8" s="479">
        <v>403573.51387649274</v>
      </c>
      <c r="DR8" s="479">
        <v>357590.5337754041</v>
      </c>
      <c r="DS8" s="479">
        <v>345910.41564563499</v>
      </c>
      <c r="DT8" s="479">
        <v>348177.76270035282</v>
      </c>
      <c r="DU8" s="479">
        <v>325109.36080701021</v>
      </c>
      <c r="DV8" s="479">
        <v>331963.34862987266</v>
      </c>
      <c r="DW8" s="479">
        <v>358759.03207566217</v>
      </c>
      <c r="DX8" s="479">
        <v>351220.76783670101</v>
      </c>
      <c r="DY8" s="479">
        <v>377418.45399414259</v>
      </c>
      <c r="DZ8" s="479">
        <v>400413.41673278186</v>
      </c>
      <c r="EA8" s="479">
        <v>410712.12891709403</v>
      </c>
      <c r="EB8" s="479">
        <v>373651.80902679765</v>
      </c>
      <c r="EC8" s="479">
        <v>393960.77056444698</v>
      </c>
    </row>
    <row r="9" spans="1:133" ht="17.25" customHeight="1" x14ac:dyDescent="0.25">
      <c r="A9" s="588" t="s">
        <v>406</v>
      </c>
      <c r="B9" s="482" t="s">
        <v>256</v>
      </c>
      <c r="C9" s="502">
        <v>2411.6448719245864</v>
      </c>
      <c r="D9" s="502">
        <v>2374.4042479120635</v>
      </c>
      <c r="E9" s="502">
        <v>2689.557767122385</v>
      </c>
      <c r="F9" s="541">
        <v>2609.4719283896675</v>
      </c>
      <c r="G9" s="502">
        <v>2830.1345873619593</v>
      </c>
      <c r="H9" s="542">
        <v>3422.5043247995222</v>
      </c>
      <c r="I9" s="502">
        <v>3857.1887310018651</v>
      </c>
      <c r="J9" s="502">
        <v>2834.8099402158277</v>
      </c>
      <c r="K9" s="502">
        <v>2471.336450793483</v>
      </c>
      <c r="L9" s="502">
        <v>2243.0124421296227</v>
      </c>
      <c r="M9" s="541">
        <v>2325.8836747241262</v>
      </c>
      <c r="N9" s="502">
        <v>2201.271461872574</v>
      </c>
      <c r="O9" s="502">
        <v>2000.5660083582759</v>
      </c>
      <c r="P9" s="502">
        <v>2248.3279587485636</v>
      </c>
      <c r="Q9" s="502">
        <v>2611.3851675302876</v>
      </c>
      <c r="R9" s="502">
        <v>2145.5334598244067</v>
      </c>
      <c r="S9" s="502">
        <v>2471.2829387531992</v>
      </c>
      <c r="T9" s="502">
        <v>2775.8332068863997</v>
      </c>
      <c r="U9" s="502">
        <v>3733.53284045079</v>
      </c>
      <c r="V9" s="502">
        <v>2768.4633993110911</v>
      </c>
      <c r="W9" s="502">
        <v>2662.2735426748309</v>
      </c>
      <c r="X9" s="502">
        <v>2443.9914995117688</v>
      </c>
      <c r="Y9" s="502">
        <v>2448.4930247718553</v>
      </c>
      <c r="Z9" s="502">
        <v>2350.2080557019381</v>
      </c>
      <c r="AA9" s="502">
        <v>2179.9660078971137</v>
      </c>
      <c r="AB9" s="502">
        <v>2431.050977735094</v>
      </c>
      <c r="AC9" s="502">
        <v>2273.008936529533</v>
      </c>
      <c r="AD9" s="502">
        <v>2236.9975068954045</v>
      </c>
      <c r="AE9" s="502">
        <v>2654.2667859085932</v>
      </c>
      <c r="AF9" s="502">
        <v>2637.1692764746685</v>
      </c>
      <c r="AG9" s="502">
        <v>4080.571408117969</v>
      </c>
      <c r="AH9" s="502">
        <v>3184.2296227115567</v>
      </c>
      <c r="AI9" s="502">
        <v>2678.3764082254934</v>
      </c>
      <c r="AJ9" s="502">
        <v>2471.1708194960197</v>
      </c>
      <c r="AK9" s="502">
        <v>2611.5033620126337</v>
      </c>
      <c r="AL9" s="502">
        <v>2543.5802629821205</v>
      </c>
      <c r="AM9" s="502">
        <v>2419.5564327564121</v>
      </c>
      <c r="AN9" s="502">
        <v>2828.8218833200708</v>
      </c>
      <c r="AO9" s="502">
        <v>2636.1945565999749</v>
      </c>
      <c r="AP9" s="502">
        <v>2433.2374582085795</v>
      </c>
      <c r="AQ9" s="502">
        <v>2728.3825553319652</v>
      </c>
      <c r="AR9" s="502">
        <v>2743.7347612636531</v>
      </c>
      <c r="AS9" s="502">
        <v>4920.3742663607209</v>
      </c>
      <c r="AT9" s="502">
        <v>3158.0098267541052</v>
      </c>
      <c r="AU9" s="502">
        <v>2932.2880551760159</v>
      </c>
      <c r="AV9" s="502">
        <v>2636.3657891956341</v>
      </c>
      <c r="AW9" s="502">
        <v>2803.1081531132422</v>
      </c>
      <c r="AX9" s="502">
        <v>2501.6318487829526</v>
      </c>
      <c r="AY9" s="502">
        <v>2639.8834569233595</v>
      </c>
      <c r="AZ9" s="502">
        <v>2766.7236381778416</v>
      </c>
      <c r="BA9" s="502">
        <v>2763.7267800536069</v>
      </c>
      <c r="BB9" s="502">
        <v>2588.0230722182687</v>
      </c>
      <c r="BC9" s="502">
        <v>2616.4069659249826</v>
      </c>
      <c r="BD9" s="502">
        <v>2906.4401303405753</v>
      </c>
      <c r="BE9" s="502">
        <v>4540.8459481838481</v>
      </c>
      <c r="BF9" s="502">
        <v>3193.9353958894894</v>
      </c>
      <c r="BG9" s="502">
        <v>3014.0849166912244</v>
      </c>
      <c r="BH9" s="502">
        <v>3331.4921098954283</v>
      </c>
      <c r="BI9" s="502">
        <v>3034.892107271859</v>
      </c>
      <c r="BJ9" s="502">
        <v>3058.530793599246</v>
      </c>
      <c r="BK9" s="502">
        <v>3044.7412596029767</v>
      </c>
      <c r="BL9" s="502">
        <v>2922.8846427241333</v>
      </c>
      <c r="BM9" s="502">
        <v>3204.4366829432884</v>
      </c>
      <c r="BN9" s="502">
        <v>3270.9799411855515</v>
      </c>
      <c r="BO9" s="502">
        <v>3170.9120614312574</v>
      </c>
      <c r="BP9" s="502">
        <v>3235.7485965076662</v>
      </c>
      <c r="BQ9" s="502">
        <v>4206.4172802693201</v>
      </c>
      <c r="BR9" s="502">
        <v>3861.5959101247977</v>
      </c>
      <c r="BS9" s="502">
        <v>3248.3862172234908</v>
      </c>
      <c r="BT9" s="502">
        <v>3401.9818232472849</v>
      </c>
      <c r="BU9" s="502">
        <v>3143.5539530932256</v>
      </c>
      <c r="BV9" s="502">
        <v>3348.1496243326078</v>
      </c>
      <c r="BW9" s="502">
        <v>3196.0201372805332</v>
      </c>
      <c r="BX9" s="502">
        <v>3271.0530970156478</v>
      </c>
      <c r="BY9" s="502">
        <v>3723.4052513859419</v>
      </c>
      <c r="BZ9" s="502">
        <v>3523.040140670726</v>
      </c>
      <c r="CA9" s="502">
        <v>3952.8994427882349</v>
      </c>
      <c r="CB9" s="502">
        <v>3990.452736690575</v>
      </c>
      <c r="CC9" s="502">
        <v>4740.9176379585651</v>
      </c>
      <c r="CD9" s="502">
        <v>3776.1984780613684</v>
      </c>
      <c r="CE9" s="502">
        <v>3640.6363961059837</v>
      </c>
      <c r="CF9" s="502">
        <v>3312.0465586532928</v>
      </c>
      <c r="CG9" s="502">
        <v>3394.6748425060241</v>
      </c>
      <c r="CH9" s="502">
        <v>3669.5814846955191</v>
      </c>
      <c r="CI9" s="502">
        <v>3071.6160394472058</v>
      </c>
      <c r="CJ9" s="502">
        <v>3325.7167871601114</v>
      </c>
      <c r="CK9" s="502">
        <v>3592.0347304622965</v>
      </c>
      <c r="CL9" s="502">
        <v>3576.0201575213905</v>
      </c>
      <c r="CM9" s="502">
        <v>4228.9072712417847</v>
      </c>
      <c r="CN9" s="502">
        <v>3980.6171380319374</v>
      </c>
      <c r="CO9" s="502">
        <v>5632.117172286582</v>
      </c>
      <c r="CP9" s="502">
        <v>4741.4006917473353</v>
      </c>
      <c r="CQ9" s="502">
        <v>4118.0065336866073</v>
      </c>
      <c r="CR9" s="502">
        <v>4351.0623698149129</v>
      </c>
      <c r="CS9" s="502">
        <v>4596.3606216431745</v>
      </c>
      <c r="CT9" s="502">
        <v>4329.2837483554204</v>
      </c>
      <c r="CU9" s="502">
        <v>4266.0397142115489</v>
      </c>
      <c r="CV9" s="502">
        <v>4925.9016351455193</v>
      </c>
      <c r="CW9" s="502">
        <v>4658.7204731614402</v>
      </c>
      <c r="CX9" s="502">
        <v>4654.4669752292812</v>
      </c>
      <c r="CY9" s="502">
        <v>5259.4821673398319</v>
      </c>
      <c r="CZ9" s="502">
        <v>5001.5660718872232</v>
      </c>
      <c r="DA9" s="502">
        <v>7542.0020901580083</v>
      </c>
      <c r="DB9" s="502">
        <v>5697.5715944966496</v>
      </c>
      <c r="DC9" s="502">
        <v>5343.9951523647906</v>
      </c>
      <c r="DD9" s="484">
        <v>5083.3654926177778</v>
      </c>
      <c r="DE9" s="484">
        <v>5535.5682916965552</v>
      </c>
      <c r="DF9" s="484">
        <v>4747.4852326913342</v>
      </c>
      <c r="DG9" s="484">
        <v>5116.8642503795218</v>
      </c>
      <c r="DH9" s="484">
        <v>5683.8817326832032</v>
      </c>
      <c r="DI9" s="484">
        <v>5273.9525791407996</v>
      </c>
      <c r="DJ9" s="484">
        <v>5126.786030658146</v>
      </c>
      <c r="DK9" s="484">
        <v>4865.9541095494242</v>
      </c>
      <c r="DL9" s="484">
        <v>5200.0388666676427</v>
      </c>
      <c r="DM9" s="484">
        <v>7838.4591535342952</v>
      </c>
      <c r="DN9" s="484">
        <v>5087.7204574955331</v>
      </c>
      <c r="DO9" s="484">
        <v>5054.7909690630349</v>
      </c>
      <c r="DP9" s="484">
        <v>5055.754935800609</v>
      </c>
      <c r="DQ9" s="484">
        <v>5380.4048518875634</v>
      </c>
      <c r="DR9" s="484">
        <v>4600.6769141470777</v>
      </c>
      <c r="DS9" s="484">
        <v>4835.0287433737039</v>
      </c>
      <c r="DT9" s="484">
        <v>4951.8979393590125</v>
      </c>
      <c r="DU9" s="484">
        <v>4460.3508918198013</v>
      </c>
      <c r="DV9" s="484">
        <v>4887.1104510474015</v>
      </c>
      <c r="DW9" s="484">
        <v>4723.8420237672672</v>
      </c>
      <c r="DX9" s="484">
        <v>4615.8633728219756</v>
      </c>
      <c r="DY9" s="484">
        <v>6440.2605409716352</v>
      </c>
      <c r="DZ9" s="484">
        <v>5187.9056636353644</v>
      </c>
      <c r="EA9" s="484">
        <v>4562.7987769837882</v>
      </c>
      <c r="EB9" s="484">
        <v>4925.9721371537125</v>
      </c>
      <c r="EC9" s="484">
        <v>4583.3338953230441</v>
      </c>
    </row>
    <row r="10" spans="1:133" ht="17.25" customHeight="1" x14ac:dyDescent="0.25">
      <c r="A10" s="588" t="s">
        <v>408</v>
      </c>
      <c r="B10" s="482" t="s">
        <v>459</v>
      </c>
      <c r="C10" s="502">
        <v>19975.080293458301</v>
      </c>
      <c r="D10" s="502">
        <v>22346.902759003209</v>
      </c>
      <c r="E10" s="502">
        <v>20475.947543321927</v>
      </c>
      <c r="F10" s="541">
        <v>22877.597539004928</v>
      </c>
      <c r="G10" s="502">
        <v>21847.663648703674</v>
      </c>
      <c r="H10" s="542">
        <v>34663.355402387118</v>
      </c>
      <c r="I10" s="502">
        <v>17902.909454611141</v>
      </c>
      <c r="J10" s="502">
        <v>25677.515168207792</v>
      </c>
      <c r="K10" s="502">
        <v>21561.612577053904</v>
      </c>
      <c r="L10" s="502">
        <v>22323.829189218744</v>
      </c>
      <c r="M10" s="541">
        <v>21509.83215564246</v>
      </c>
      <c r="N10" s="502">
        <v>22200.380501133372</v>
      </c>
      <c r="O10" s="502">
        <v>30343.168662323718</v>
      </c>
      <c r="P10" s="502">
        <v>73088.583959607771</v>
      </c>
      <c r="Q10" s="502">
        <v>20138.284316349331</v>
      </c>
      <c r="R10" s="502">
        <v>24953.663398915643</v>
      </c>
      <c r="S10" s="502">
        <v>24222.421543240973</v>
      </c>
      <c r="T10" s="502">
        <v>79514.592170465985</v>
      </c>
      <c r="U10" s="502">
        <v>90611.003020587581</v>
      </c>
      <c r="V10" s="502">
        <v>85868.06333871161</v>
      </c>
      <c r="W10" s="502">
        <v>86225.300003184399</v>
      </c>
      <c r="X10" s="502">
        <v>87306.730941753791</v>
      </c>
      <c r="Y10" s="502">
        <v>73307.135789904234</v>
      </c>
      <c r="Z10" s="502">
        <v>75156.728640008048</v>
      </c>
      <c r="AA10" s="502">
        <v>85896.07315991525</v>
      </c>
      <c r="AB10" s="502">
        <v>95706.061487670566</v>
      </c>
      <c r="AC10" s="502">
        <v>100024.42352192786</v>
      </c>
      <c r="AD10" s="502">
        <v>106983.1036179873</v>
      </c>
      <c r="AE10" s="502">
        <v>105272.22278386854</v>
      </c>
      <c r="AF10" s="502">
        <v>128581.35657862392</v>
      </c>
      <c r="AG10" s="502">
        <v>119614.38863466259</v>
      </c>
      <c r="AH10" s="502">
        <v>116901.70349935519</v>
      </c>
      <c r="AI10" s="502">
        <v>122889.85854175108</v>
      </c>
      <c r="AJ10" s="502">
        <v>116413.52518368076</v>
      </c>
      <c r="AK10" s="502">
        <v>104087.51083708563</v>
      </c>
      <c r="AL10" s="502">
        <v>116160.66223781955</v>
      </c>
      <c r="AM10" s="502">
        <v>117149.00051827468</v>
      </c>
      <c r="AN10" s="502">
        <v>125242.36273515598</v>
      </c>
      <c r="AO10" s="502">
        <v>123449.53393194849</v>
      </c>
      <c r="AP10" s="502">
        <v>103228.08979591788</v>
      </c>
      <c r="AQ10" s="502">
        <v>106145.31807003192</v>
      </c>
      <c r="AR10" s="502">
        <v>111695.80547703271</v>
      </c>
      <c r="AS10" s="502">
        <v>94127.095238527792</v>
      </c>
      <c r="AT10" s="502">
        <v>109408.71932217915</v>
      </c>
      <c r="AU10" s="502">
        <v>116582.52539816564</v>
      </c>
      <c r="AV10" s="502">
        <v>121635.64622612936</v>
      </c>
      <c r="AW10" s="502">
        <v>116678.60981528788</v>
      </c>
      <c r="AX10" s="502">
        <v>129243.60248592439</v>
      </c>
      <c r="AY10" s="502">
        <v>116942.44460790638</v>
      </c>
      <c r="AZ10" s="502">
        <v>113403.86664098399</v>
      </c>
      <c r="BA10" s="502">
        <v>93559.366855159329</v>
      </c>
      <c r="BB10" s="502">
        <v>112313.31301834264</v>
      </c>
      <c r="BC10" s="502">
        <v>127555.66274654098</v>
      </c>
      <c r="BD10" s="502">
        <v>118620.74633788063</v>
      </c>
      <c r="BE10" s="502">
        <v>132849.31107179535</v>
      </c>
      <c r="BF10" s="502">
        <v>85469.596649490719</v>
      </c>
      <c r="BG10" s="502">
        <v>111904.64422547795</v>
      </c>
      <c r="BH10" s="502">
        <v>117164.47701259931</v>
      </c>
      <c r="BI10" s="502">
        <v>124509.89209567537</v>
      </c>
      <c r="BJ10" s="502">
        <v>130066.30620843144</v>
      </c>
      <c r="BK10" s="502">
        <v>120171.29273877224</v>
      </c>
      <c r="BL10" s="502">
        <v>107286.74789194504</v>
      </c>
      <c r="BM10" s="502">
        <v>112166.31690164335</v>
      </c>
      <c r="BN10" s="502">
        <v>126786.72434546983</v>
      </c>
      <c r="BO10" s="502">
        <v>121092.10067095078</v>
      </c>
      <c r="BP10" s="502">
        <v>141326.79744404394</v>
      </c>
      <c r="BQ10" s="502">
        <v>131412.7484882109</v>
      </c>
      <c r="BR10" s="502">
        <v>113844.89811462261</v>
      </c>
      <c r="BS10" s="502">
        <v>127472.02314959349</v>
      </c>
      <c r="BT10" s="502">
        <v>106409.80316978128</v>
      </c>
      <c r="BU10" s="502">
        <v>100178.15867654752</v>
      </c>
      <c r="BV10" s="502">
        <v>95285.305464231365</v>
      </c>
      <c r="BW10" s="502">
        <v>112379.86962005035</v>
      </c>
      <c r="BX10" s="502">
        <v>96368.938647299103</v>
      </c>
      <c r="BY10" s="502">
        <v>97993.702883231395</v>
      </c>
      <c r="BZ10" s="502">
        <v>95265.289534892945</v>
      </c>
      <c r="CA10" s="502">
        <v>76726.773073888238</v>
      </c>
      <c r="CB10" s="502">
        <v>89010.888355937175</v>
      </c>
      <c r="CC10" s="502">
        <v>81702.210347968896</v>
      </c>
      <c r="CD10" s="502">
        <v>75748.717375522581</v>
      </c>
      <c r="CE10" s="502">
        <v>96946.295553742704</v>
      </c>
      <c r="CF10" s="502">
        <v>153645.87541378877</v>
      </c>
      <c r="CG10" s="502">
        <v>139707.75868664263</v>
      </c>
      <c r="CH10" s="502">
        <v>160857.2852431722</v>
      </c>
      <c r="CI10" s="502">
        <v>102410.46502473236</v>
      </c>
      <c r="CJ10" s="502">
        <v>141983.86840759171</v>
      </c>
      <c r="CK10" s="502">
        <v>101094.19029405949</v>
      </c>
      <c r="CL10" s="502">
        <v>114787.49756484</v>
      </c>
      <c r="CM10" s="502">
        <v>122996.08724202342</v>
      </c>
      <c r="CN10" s="502">
        <v>124265.81529070709</v>
      </c>
      <c r="CO10" s="502">
        <v>143331.1175241709</v>
      </c>
      <c r="CP10" s="502">
        <v>152212.84297757698</v>
      </c>
      <c r="CQ10" s="502">
        <v>104857.82785965674</v>
      </c>
      <c r="CR10" s="502">
        <v>122722.59521257292</v>
      </c>
      <c r="CS10" s="502">
        <v>126916.34748882419</v>
      </c>
      <c r="CT10" s="502">
        <v>139663.68233417126</v>
      </c>
      <c r="CU10" s="502">
        <v>131439.39612011795</v>
      </c>
      <c r="CV10" s="502">
        <v>131609.89199681405</v>
      </c>
      <c r="CW10" s="502">
        <v>126086.54356509868</v>
      </c>
      <c r="CX10" s="502">
        <v>126079.10050486807</v>
      </c>
      <c r="CY10" s="502">
        <v>124894.59331730337</v>
      </c>
      <c r="CZ10" s="502">
        <v>139588.10234629267</v>
      </c>
      <c r="DA10" s="502">
        <v>168583.42046297353</v>
      </c>
      <c r="DB10" s="502">
        <v>130482.78209013322</v>
      </c>
      <c r="DC10" s="502">
        <v>127093.03286621736</v>
      </c>
      <c r="DD10" s="484">
        <v>131561.0166720773</v>
      </c>
      <c r="DE10" s="484">
        <v>138847.11918340626</v>
      </c>
      <c r="DF10" s="484">
        <v>114062.96360885935</v>
      </c>
      <c r="DG10" s="484">
        <v>117536.28898080392</v>
      </c>
      <c r="DH10" s="484">
        <v>143085.66745809998</v>
      </c>
      <c r="DI10" s="484">
        <v>139069.36715490193</v>
      </c>
      <c r="DJ10" s="484">
        <v>155363.09246706343</v>
      </c>
      <c r="DK10" s="484">
        <v>202416.77084625143</v>
      </c>
      <c r="DL10" s="484">
        <v>186099.03419739526</v>
      </c>
      <c r="DM10" s="484">
        <v>207393.04285103054</v>
      </c>
      <c r="DN10" s="484">
        <v>223523.07603733239</v>
      </c>
      <c r="DO10" s="484">
        <v>209898.84847013044</v>
      </c>
      <c r="DP10" s="484">
        <v>252432.00200720425</v>
      </c>
      <c r="DQ10" s="484">
        <v>239606.62484859527</v>
      </c>
      <c r="DR10" s="484">
        <v>210616.30863563064</v>
      </c>
      <c r="DS10" s="484">
        <v>187799.00155882473</v>
      </c>
      <c r="DT10" s="484">
        <v>212145.17439285372</v>
      </c>
      <c r="DU10" s="484">
        <v>183476.30141325484</v>
      </c>
      <c r="DV10" s="484">
        <v>183184.17477927948</v>
      </c>
      <c r="DW10" s="484">
        <v>184690.82489211622</v>
      </c>
      <c r="DX10" s="484">
        <v>191025.36935818018</v>
      </c>
      <c r="DY10" s="484">
        <v>204125.4330478315</v>
      </c>
      <c r="DZ10" s="484">
        <v>199168.99334495599</v>
      </c>
      <c r="EA10" s="484">
        <v>190576.03600848344</v>
      </c>
      <c r="EB10" s="484">
        <v>173563.59273610564</v>
      </c>
      <c r="EC10" s="484">
        <v>179907.51733250529</v>
      </c>
    </row>
    <row r="11" spans="1:133" ht="17.25" customHeight="1" x14ac:dyDescent="0.25">
      <c r="A11" s="588" t="s">
        <v>410</v>
      </c>
      <c r="B11" s="482" t="s">
        <v>467</v>
      </c>
      <c r="C11" s="502">
        <v>218.78021294999994</v>
      </c>
      <c r="D11" s="502">
        <v>479.12523298420001</v>
      </c>
      <c r="E11" s="502">
        <v>701.29248116420001</v>
      </c>
      <c r="F11" s="541">
        <v>385.54954311239999</v>
      </c>
      <c r="G11" s="502">
        <v>361.83599612679996</v>
      </c>
      <c r="H11" s="542">
        <v>1017.6780878194</v>
      </c>
      <c r="I11" s="502">
        <v>892.30805765639991</v>
      </c>
      <c r="J11" s="502">
        <v>1636.4558734556001</v>
      </c>
      <c r="K11" s="502">
        <v>918.29561470860006</v>
      </c>
      <c r="L11" s="502">
        <v>583.53288016479996</v>
      </c>
      <c r="M11" s="541">
        <v>797.90734200079999</v>
      </c>
      <c r="N11" s="502">
        <v>567.79508362299998</v>
      </c>
      <c r="O11" s="502">
        <v>404.05200875619988</v>
      </c>
      <c r="P11" s="502">
        <v>670.92330815859975</v>
      </c>
      <c r="Q11" s="502">
        <v>351.8244658915998</v>
      </c>
      <c r="R11" s="502">
        <v>360.95612798829973</v>
      </c>
      <c r="S11" s="502">
        <v>419.07166179979976</v>
      </c>
      <c r="T11" s="502">
        <v>407.1469993419999</v>
      </c>
      <c r="U11" s="502">
        <v>253.83415127499975</v>
      </c>
      <c r="V11" s="502">
        <v>398.89524168839989</v>
      </c>
      <c r="W11" s="502">
        <v>422.57914170369997</v>
      </c>
      <c r="X11" s="502">
        <v>344.25226376949979</v>
      </c>
      <c r="Y11" s="502">
        <v>327.54693126949985</v>
      </c>
      <c r="Z11" s="502">
        <v>345.70045700549986</v>
      </c>
      <c r="AA11" s="502">
        <v>415.78733357549993</v>
      </c>
      <c r="AB11" s="502">
        <v>322.57316390549983</v>
      </c>
      <c r="AC11" s="502">
        <v>381.24796877549994</v>
      </c>
      <c r="AD11" s="502">
        <v>342.66218756549989</v>
      </c>
      <c r="AE11" s="502">
        <v>415.11937078549983</v>
      </c>
      <c r="AF11" s="502">
        <v>463.51516345549982</v>
      </c>
      <c r="AG11" s="502">
        <v>415.43479584749974</v>
      </c>
      <c r="AH11" s="502">
        <v>815.05812312750004</v>
      </c>
      <c r="AI11" s="502">
        <v>802.83032962549987</v>
      </c>
      <c r="AJ11" s="502">
        <v>1135.1767810254998</v>
      </c>
      <c r="AK11" s="502">
        <v>886.41189388749979</v>
      </c>
      <c r="AL11" s="502">
        <v>840.51549616949967</v>
      </c>
      <c r="AM11" s="502">
        <v>970.02344611949979</v>
      </c>
      <c r="AN11" s="502">
        <v>891.52603242949999</v>
      </c>
      <c r="AO11" s="502">
        <v>895.08640470949979</v>
      </c>
      <c r="AP11" s="502">
        <v>670.43637266999997</v>
      </c>
      <c r="AQ11" s="502">
        <v>671.15422126999988</v>
      </c>
      <c r="AR11" s="502">
        <v>820.21852910999985</v>
      </c>
      <c r="AS11" s="502">
        <v>679.80989671999976</v>
      </c>
      <c r="AT11" s="502">
        <v>708.72556519999978</v>
      </c>
      <c r="AU11" s="502">
        <v>358.72875690999996</v>
      </c>
      <c r="AV11" s="502">
        <v>519.43095133999998</v>
      </c>
      <c r="AW11" s="502">
        <v>564.67693534000023</v>
      </c>
      <c r="AX11" s="502">
        <v>574.11750810000024</v>
      </c>
      <c r="AY11" s="502">
        <v>714.27319077120444</v>
      </c>
      <c r="AZ11" s="502">
        <v>901.16196808000018</v>
      </c>
      <c r="BA11" s="502">
        <v>943.81252893999977</v>
      </c>
      <c r="BB11" s="502">
        <v>703.73942211999997</v>
      </c>
      <c r="BC11" s="502">
        <v>930.61532617000012</v>
      </c>
      <c r="BD11" s="502">
        <v>769.33369759000016</v>
      </c>
      <c r="BE11" s="502">
        <v>874.56711007299998</v>
      </c>
      <c r="BF11" s="502">
        <v>731.51162923300001</v>
      </c>
      <c r="BG11" s="502">
        <v>1090.8223261130004</v>
      </c>
      <c r="BH11" s="502">
        <v>1327.5394631030001</v>
      </c>
      <c r="BI11" s="502">
        <v>1112.3969502259999</v>
      </c>
      <c r="BJ11" s="502">
        <v>1296.6844534877525</v>
      </c>
      <c r="BK11" s="502">
        <v>1198.1438791159997</v>
      </c>
      <c r="BL11" s="502">
        <v>981.85332459775259</v>
      </c>
      <c r="BM11" s="502">
        <v>1058.9843746860001</v>
      </c>
      <c r="BN11" s="502">
        <v>1092.9500498259999</v>
      </c>
      <c r="BO11" s="502">
        <v>1516.8234844930005</v>
      </c>
      <c r="BP11" s="502">
        <v>910.01958114300021</v>
      </c>
      <c r="BQ11" s="502">
        <v>879.76789356300003</v>
      </c>
      <c r="BR11" s="502">
        <v>1102.2721801730004</v>
      </c>
      <c r="BS11" s="502">
        <v>1165.3789722830002</v>
      </c>
      <c r="BT11" s="502">
        <v>1379.4388065599999</v>
      </c>
      <c r="BU11" s="502">
        <v>1828.9585669699998</v>
      </c>
      <c r="BV11" s="502">
        <v>1846.1887993699995</v>
      </c>
      <c r="BW11" s="502">
        <v>1020.9280029099999</v>
      </c>
      <c r="BX11" s="502">
        <v>1489.1784517899998</v>
      </c>
      <c r="BY11" s="502">
        <v>1295.146992332787</v>
      </c>
      <c r="BZ11" s="502">
        <v>1236.6824080599997</v>
      </c>
      <c r="CA11" s="502">
        <v>1188.6795859400006</v>
      </c>
      <c r="CB11" s="502">
        <v>1147.8261792799999</v>
      </c>
      <c r="CC11" s="502">
        <v>1151.2427044000001</v>
      </c>
      <c r="CD11" s="502">
        <v>1167.7523538799999</v>
      </c>
      <c r="CE11" s="502">
        <v>1052.5402204800002</v>
      </c>
      <c r="CF11" s="502">
        <v>1165.4846706000008</v>
      </c>
      <c r="CG11" s="502">
        <v>1374.7085454199998</v>
      </c>
      <c r="CH11" s="502">
        <v>904.32682813999952</v>
      </c>
      <c r="CI11" s="502">
        <v>1243.4650270600007</v>
      </c>
      <c r="CJ11" s="502">
        <v>893.48213018000001</v>
      </c>
      <c r="CK11" s="502">
        <v>930.23218397999926</v>
      </c>
      <c r="CL11" s="502">
        <v>960.76329350999958</v>
      </c>
      <c r="CM11" s="502">
        <v>998.74835851000023</v>
      </c>
      <c r="CN11" s="502">
        <v>887.46812767155393</v>
      </c>
      <c r="CO11" s="502">
        <v>891.35222507000015</v>
      </c>
      <c r="CP11" s="502">
        <v>742.26391527000021</v>
      </c>
      <c r="CQ11" s="502">
        <v>841.32659916999944</v>
      </c>
      <c r="CR11" s="502">
        <v>909.71778108249976</v>
      </c>
      <c r="CS11" s="502">
        <v>924.12947358000019</v>
      </c>
      <c r="CT11" s="502">
        <v>891.18874602999983</v>
      </c>
      <c r="CU11" s="502">
        <v>868.42660398999908</v>
      </c>
      <c r="CV11" s="502">
        <v>1091.3549138400003</v>
      </c>
      <c r="CW11" s="502">
        <v>1105.8538156299996</v>
      </c>
      <c r="CX11" s="502">
        <v>1102.8760863800005</v>
      </c>
      <c r="CY11" s="502">
        <v>1208.7891288799997</v>
      </c>
      <c r="CZ11" s="502">
        <v>973.80052544000125</v>
      </c>
      <c r="DA11" s="502">
        <v>982.85475648999943</v>
      </c>
      <c r="DB11" s="502">
        <v>903.75075932000038</v>
      </c>
      <c r="DC11" s="502">
        <v>922.91814051000097</v>
      </c>
      <c r="DD11" s="484">
        <v>956.55295500000011</v>
      </c>
      <c r="DE11" s="484">
        <v>1291.2759329700007</v>
      </c>
      <c r="DF11" s="484">
        <v>1050.364744583733</v>
      </c>
      <c r="DG11" s="484">
        <v>1131.5947210700003</v>
      </c>
      <c r="DH11" s="484">
        <v>1161.3309750700016</v>
      </c>
      <c r="DI11" s="484">
        <v>985.58970046000024</v>
      </c>
      <c r="DJ11" s="484">
        <v>1045.42153452</v>
      </c>
      <c r="DK11" s="484">
        <v>816.49197700000093</v>
      </c>
      <c r="DL11" s="484">
        <v>860.61857010999893</v>
      </c>
      <c r="DM11" s="484">
        <v>639.82458026999996</v>
      </c>
      <c r="DN11" s="484">
        <v>521.16269042999932</v>
      </c>
      <c r="DO11" s="484">
        <v>895.92869341000005</v>
      </c>
      <c r="DP11" s="484">
        <v>997.70517627999948</v>
      </c>
      <c r="DQ11" s="484">
        <v>1170.5282021280989</v>
      </c>
      <c r="DR11" s="484">
        <v>1298.5262800800001</v>
      </c>
      <c r="DS11" s="484">
        <v>1153.3410769699988</v>
      </c>
      <c r="DT11" s="484">
        <v>1035.4269669199984</v>
      </c>
      <c r="DU11" s="484">
        <v>1318.8728892900003</v>
      </c>
      <c r="DV11" s="484">
        <v>1348.8676055500002</v>
      </c>
      <c r="DW11" s="484">
        <v>1458.4500378600007</v>
      </c>
      <c r="DX11" s="484">
        <v>1712.7754418499994</v>
      </c>
      <c r="DY11" s="484">
        <v>1816.4358786399998</v>
      </c>
      <c r="DZ11" s="484">
        <v>1901.45261923</v>
      </c>
      <c r="EA11" s="484">
        <v>2018.8800698700006</v>
      </c>
      <c r="EB11" s="484">
        <v>1891.83026593</v>
      </c>
      <c r="EC11" s="484">
        <v>1937.9377325700007</v>
      </c>
    </row>
    <row r="12" spans="1:133" ht="17.25" customHeight="1" x14ac:dyDescent="0.25">
      <c r="A12" s="588" t="s">
        <v>412</v>
      </c>
      <c r="B12" s="482" t="s">
        <v>468</v>
      </c>
      <c r="C12" s="502">
        <v>114780.52874940931</v>
      </c>
      <c r="D12" s="502">
        <v>92198.915853901533</v>
      </c>
      <c r="E12" s="502">
        <v>107258.48675384259</v>
      </c>
      <c r="F12" s="541">
        <v>114847.97804313936</v>
      </c>
      <c r="G12" s="502">
        <v>115971.99322941387</v>
      </c>
      <c r="H12" s="542">
        <v>120393.95074281278</v>
      </c>
      <c r="I12" s="502">
        <v>122633.21855411009</v>
      </c>
      <c r="J12" s="502">
        <v>119968.36052226041</v>
      </c>
      <c r="K12" s="502">
        <v>155188.00449221951</v>
      </c>
      <c r="L12" s="502">
        <v>160446.26717154487</v>
      </c>
      <c r="M12" s="541">
        <v>147134.72968139185</v>
      </c>
      <c r="N12" s="502">
        <v>172884.25620825245</v>
      </c>
      <c r="O12" s="502">
        <v>156993.63805037222</v>
      </c>
      <c r="P12" s="502">
        <v>125212.91721017154</v>
      </c>
      <c r="Q12" s="502">
        <v>184275.35932418326</v>
      </c>
      <c r="R12" s="502">
        <v>204918.87167648351</v>
      </c>
      <c r="S12" s="502">
        <v>208107.51410480007</v>
      </c>
      <c r="T12" s="502">
        <v>170340.79738983134</v>
      </c>
      <c r="U12" s="502">
        <v>183848.00738137719</v>
      </c>
      <c r="V12" s="502">
        <v>156236.72592869803</v>
      </c>
      <c r="W12" s="502">
        <v>153132.15731356648</v>
      </c>
      <c r="X12" s="502">
        <v>151311.64475624418</v>
      </c>
      <c r="Y12" s="502">
        <v>154791.75404573453</v>
      </c>
      <c r="Z12" s="502">
        <v>151327.26988427169</v>
      </c>
      <c r="AA12" s="502">
        <v>147922.46816475302</v>
      </c>
      <c r="AB12" s="502">
        <v>164102.09423449222</v>
      </c>
      <c r="AC12" s="502">
        <v>172964.15573605456</v>
      </c>
      <c r="AD12" s="502">
        <v>169629.7251202125</v>
      </c>
      <c r="AE12" s="502">
        <v>158625.80327091605</v>
      </c>
      <c r="AF12" s="502">
        <v>166419.20937497812</v>
      </c>
      <c r="AG12" s="502">
        <v>156278.08533277138</v>
      </c>
      <c r="AH12" s="502">
        <v>176370.44478175111</v>
      </c>
      <c r="AI12" s="502">
        <v>146326.95291130981</v>
      </c>
      <c r="AJ12" s="502">
        <v>143978.89254770655</v>
      </c>
      <c r="AK12" s="502">
        <v>133722.16180641385</v>
      </c>
      <c r="AL12" s="502">
        <v>128751.01070003939</v>
      </c>
      <c r="AM12" s="502">
        <v>139809.80587326223</v>
      </c>
      <c r="AN12" s="502">
        <v>156003.11563269113</v>
      </c>
      <c r="AO12" s="502">
        <v>135528.1758555095</v>
      </c>
      <c r="AP12" s="502">
        <v>133801.37279107716</v>
      </c>
      <c r="AQ12" s="502">
        <v>137627.29616002706</v>
      </c>
      <c r="AR12" s="502">
        <v>132058.40759529072</v>
      </c>
      <c r="AS12" s="502">
        <v>126745.40254598403</v>
      </c>
      <c r="AT12" s="502">
        <v>135222.94137848113</v>
      </c>
      <c r="AU12" s="502">
        <v>135877.27411122961</v>
      </c>
      <c r="AV12" s="502">
        <v>136876.79103651911</v>
      </c>
      <c r="AW12" s="502">
        <v>130916.68790267475</v>
      </c>
      <c r="AX12" s="502">
        <v>114846.4998710806</v>
      </c>
      <c r="AY12" s="502">
        <v>118769.87901516836</v>
      </c>
      <c r="AZ12" s="502">
        <v>105163.34083808456</v>
      </c>
      <c r="BA12" s="502">
        <v>115890.49459784379</v>
      </c>
      <c r="BB12" s="502">
        <v>105638.43681606637</v>
      </c>
      <c r="BC12" s="502">
        <v>98935.917985294494</v>
      </c>
      <c r="BD12" s="502">
        <v>102984.78204846136</v>
      </c>
      <c r="BE12" s="502">
        <v>104434.96390012844</v>
      </c>
      <c r="BF12" s="502">
        <v>163213.14447748504</v>
      </c>
      <c r="BG12" s="502">
        <v>130440.58506434348</v>
      </c>
      <c r="BH12" s="502">
        <v>135982.00878077582</v>
      </c>
      <c r="BI12" s="502">
        <v>111487.29402000074</v>
      </c>
      <c r="BJ12" s="502">
        <v>138630.9035577685</v>
      </c>
      <c r="BK12" s="502">
        <v>133836.36319619094</v>
      </c>
      <c r="BL12" s="502">
        <v>102162.09759616066</v>
      </c>
      <c r="BM12" s="502">
        <v>124555.55584100011</v>
      </c>
      <c r="BN12" s="502">
        <v>113448.80882698554</v>
      </c>
      <c r="BO12" s="502">
        <v>125421.67287522368</v>
      </c>
      <c r="BP12" s="502">
        <v>112464.7926657175</v>
      </c>
      <c r="BQ12" s="502">
        <v>118179.46170358364</v>
      </c>
      <c r="BR12" s="502">
        <v>137094.79561078927</v>
      </c>
      <c r="BS12" s="502">
        <v>125062.87069051244</v>
      </c>
      <c r="BT12" s="502">
        <v>104918.89511274277</v>
      </c>
      <c r="BU12" s="502">
        <v>147262.20251736668</v>
      </c>
      <c r="BV12" s="502">
        <v>111320.07149738188</v>
      </c>
      <c r="BW12" s="502">
        <v>126814.39925569562</v>
      </c>
      <c r="BX12" s="502">
        <v>117247.39712271896</v>
      </c>
      <c r="BY12" s="502">
        <v>102166.1214856244</v>
      </c>
      <c r="BZ12" s="502">
        <v>117572.38515768877</v>
      </c>
      <c r="CA12" s="502">
        <v>136009.50460440863</v>
      </c>
      <c r="CB12" s="502">
        <v>170686.60516459792</v>
      </c>
      <c r="CC12" s="502">
        <v>127058.61616511113</v>
      </c>
      <c r="CD12" s="502">
        <v>94420.232123468231</v>
      </c>
      <c r="CE12" s="502">
        <v>94694.167934488767</v>
      </c>
      <c r="CF12" s="502">
        <v>87652.828847642333</v>
      </c>
      <c r="CG12" s="502">
        <v>98994.718622956323</v>
      </c>
      <c r="CH12" s="502">
        <v>84944.778923339196</v>
      </c>
      <c r="CI12" s="502">
        <v>84905.64475249275</v>
      </c>
      <c r="CJ12" s="502">
        <v>88107.968433187765</v>
      </c>
      <c r="CK12" s="502">
        <v>98314.814281294501</v>
      </c>
      <c r="CL12" s="502">
        <v>94615.666754645339</v>
      </c>
      <c r="CM12" s="502">
        <v>94337.730263510544</v>
      </c>
      <c r="CN12" s="502">
        <v>93837.513632771414</v>
      </c>
      <c r="CO12" s="502">
        <v>96968.740536829879</v>
      </c>
      <c r="CP12" s="502">
        <v>104143.81076845342</v>
      </c>
      <c r="CQ12" s="502">
        <v>105826.03165421376</v>
      </c>
      <c r="CR12" s="502">
        <v>125646.80866969452</v>
      </c>
      <c r="CS12" s="502">
        <v>123344.27929712922</v>
      </c>
      <c r="CT12" s="502">
        <v>133964.81277368468</v>
      </c>
      <c r="CU12" s="502">
        <v>122620.90943058695</v>
      </c>
      <c r="CV12" s="502">
        <v>139781.28813217438</v>
      </c>
      <c r="CW12" s="502">
        <v>118911.50954724291</v>
      </c>
      <c r="CX12" s="502">
        <v>116450.73777121364</v>
      </c>
      <c r="CY12" s="502">
        <v>111952.41898325982</v>
      </c>
      <c r="CZ12" s="502">
        <v>105332.33392100636</v>
      </c>
      <c r="DA12" s="502">
        <v>121752.78676915383</v>
      </c>
      <c r="DB12" s="502">
        <v>129362.20609907889</v>
      </c>
      <c r="DC12" s="502">
        <v>143551.6112882208</v>
      </c>
      <c r="DD12" s="484">
        <v>156490.50199842203</v>
      </c>
      <c r="DE12" s="484">
        <v>135916.66552554272</v>
      </c>
      <c r="DF12" s="484">
        <v>131773.43661670526</v>
      </c>
      <c r="DG12" s="484">
        <v>121464.61029176002</v>
      </c>
      <c r="DH12" s="484">
        <v>116608.64785620906</v>
      </c>
      <c r="DI12" s="484">
        <v>125645.59911497121</v>
      </c>
      <c r="DJ12" s="484">
        <v>137158.9564394734</v>
      </c>
      <c r="DK12" s="484">
        <v>136624.50651868049</v>
      </c>
      <c r="DL12" s="484">
        <v>113326.12197479018</v>
      </c>
      <c r="DM12" s="484">
        <v>109484.83680039777</v>
      </c>
      <c r="DN12" s="484">
        <v>118665.21013284252</v>
      </c>
      <c r="DO12" s="484">
        <v>124988.75550820121</v>
      </c>
      <c r="DP12" s="484">
        <v>128803.65105347223</v>
      </c>
      <c r="DQ12" s="484">
        <v>157415.95597388179</v>
      </c>
      <c r="DR12" s="484">
        <v>141075.02194554641</v>
      </c>
      <c r="DS12" s="484">
        <v>152123.04426646655</v>
      </c>
      <c r="DT12" s="484">
        <v>130045.26340122012</v>
      </c>
      <c r="DU12" s="484">
        <v>135853.83561264552</v>
      </c>
      <c r="DV12" s="484">
        <v>142543.19579399575</v>
      </c>
      <c r="DW12" s="484">
        <v>167885.91512191866</v>
      </c>
      <c r="DX12" s="484">
        <v>153866.75966384885</v>
      </c>
      <c r="DY12" s="484">
        <v>165036.32452669946</v>
      </c>
      <c r="DZ12" s="484">
        <v>194155.06510496049</v>
      </c>
      <c r="EA12" s="484">
        <v>213554.4140617568</v>
      </c>
      <c r="EB12" s="484">
        <v>193270.4138876083</v>
      </c>
      <c r="EC12" s="484">
        <v>207531.98160404866</v>
      </c>
    </row>
    <row r="13" spans="1:133" ht="17.25" customHeight="1" x14ac:dyDescent="0.25">
      <c r="A13" s="588"/>
      <c r="B13" s="482"/>
      <c r="C13" s="537"/>
      <c r="D13" s="537"/>
      <c r="E13" s="537"/>
      <c r="F13" s="538"/>
      <c r="G13" s="537"/>
      <c r="H13" s="539"/>
      <c r="I13" s="537"/>
      <c r="J13" s="537"/>
      <c r="K13" s="537"/>
      <c r="L13" s="537"/>
      <c r="M13" s="538"/>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483"/>
      <c r="DE13" s="483"/>
      <c r="DF13" s="483"/>
      <c r="DG13" s="483"/>
      <c r="DH13" s="483"/>
      <c r="DI13" s="483"/>
      <c r="DJ13" s="483"/>
      <c r="DK13" s="483"/>
      <c r="DL13" s="483"/>
      <c r="DM13" s="483"/>
      <c r="DN13" s="483"/>
      <c r="DO13" s="483"/>
      <c r="DP13" s="483"/>
      <c r="DQ13" s="483"/>
      <c r="DR13" s="483"/>
      <c r="DS13" s="483"/>
      <c r="DT13" s="483"/>
      <c r="DU13" s="483"/>
      <c r="DV13" s="483"/>
      <c r="DW13" s="483"/>
      <c r="DX13" s="483"/>
      <c r="DY13" s="483"/>
      <c r="DZ13" s="483"/>
      <c r="EA13" s="483"/>
      <c r="EB13" s="483"/>
      <c r="EC13" s="483"/>
    </row>
    <row r="14" spans="1:133" ht="17.25" customHeight="1" x14ac:dyDescent="0.25">
      <c r="A14" s="587" t="s">
        <v>414</v>
      </c>
      <c r="B14" s="478" t="s">
        <v>415</v>
      </c>
      <c r="C14" s="533">
        <v>85768.101618001616</v>
      </c>
      <c r="D14" s="533">
        <v>86725.799356485091</v>
      </c>
      <c r="E14" s="533">
        <v>84956.440768187036</v>
      </c>
      <c r="F14" s="534">
        <v>81904.329046623796</v>
      </c>
      <c r="G14" s="533">
        <v>81098.844307442909</v>
      </c>
      <c r="H14" s="535">
        <v>77922.091213270891</v>
      </c>
      <c r="I14" s="533">
        <v>77836.155041532154</v>
      </c>
      <c r="J14" s="533">
        <v>81628.329868855144</v>
      </c>
      <c r="K14" s="533">
        <v>80483.982146845359</v>
      </c>
      <c r="L14" s="533">
        <v>79601.826141637634</v>
      </c>
      <c r="M14" s="534">
        <v>77293.845814212837</v>
      </c>
      <c r="N14" s="533">
        <v>81197.003264282714</v>
      </c>
      <c r="O14" s="533">
        <v>80414.083177176522</v>
      </c>
      <c r="P14" s="533">
        <v>82165.709417242309</v>
      </c>
      <c r="Q14" s="533">
        <v>81879.003795156183</v>
      </c>
      <c r="R14" s="533">
        <v>77790.34492112766</v>
      </c>
      <c r="S14" s="533">
        <v>75679.422153171807</v>
      </c>
      <c r="T14" s="533">
        <v>75242.739826202829</v>
      </c>
      <c r="U14" s="533">
        <v>74950.694285117264</v>
      </c>
      <c r="V14" s="533">
        <v>73817.490238368322</v>
      </c>
      <c r="W14" s="533">
        <v>73793.102170893326</v>
      </c>
      <c r="X14" s="533">
        <v>76649.205505761129</v>
      </c>
      <c r="Y14" s="533">
        <v>82416.771496184316</v>
      </c>
      <c r="Z14" s="533">
        <v>82709.379905860493</v>
      </c>
      <c r="AA14" s="533">
        <v>83753.22513865566</v>
      </c>
      <c r="AB14" s="533">
        <v>82097.369034867952</v>
      </c>
      <c r="AC14" s="533">
        <v>84682.888815698796</v>
      </c>
      <c r="AD14" s="533">
        <v>83395.484899504401</v>
      </c>
      <c r="AE14" s="533">
        <v>82814.570828131255</v>
      </c>
      <c r="AF14" s="533">
        <v>86235.736855679963</v>
      </c>
      <c r="AG14" s="533">
        <v>85592.699238705725</v>
      </c>
      <c r="AH14" s="533">
        <v>86847.866583002033</v>
      </c>
      <c r="AI14" s="533">
        <v>87935.646434789407</v>
      </c>
      <c r="AJ14" s="533">
        <v>75792.299272587217</v>
      </c>
      <c r="AK14" s="533">
        <v>82780.492313511859</v>
      </c>
      <c r="AL14" s="533">
        <v>92953.9536492482</v>
      </c>
      <c r="AM14" s="533">
        <v>98168.8645630721</v>
      </c>
      <c r="AN14" s="533">
        <v>87532.163223141804</v>
      </c>
      <c r="AO14" s="533">
        <v>83537.093903936533</v>
      </c>
      <c r="AP14" s="533">
        <v>81121.660092495367</v>
      </c>
      <c r="AQ14" s="533">
        <v>78695.590004808691</v>
      </c>
      <c r="AR14" s="533">
        <v>77595.451426086671</v>
      </c>
      <c r="AS14" s="533">
        <v>95724.537910414336</v>
      </c>
      <c r="AT14" s="533">
        <v>79497.849259822455</v>
      </c>
      <c r="AU14" s="533">
        <v>80101.791451565427</v>
      </c>
      <c r="AV14" s="533">
        <v>81027.962760390219</v>
      </c>
      <c r="AW14" s="533">
        <v>86810.682307831783</v>
      </c>
      <c r="AX14" s="533">
        <v>88311.381266260389</v>
      </c>
      <c r="AY14" s="533">
        <v>98378.730677803658</v>
      </c>
      <c r="AZ14" s="533">
        <v>106751.2103873233</v>
      </c>
      <c r="BA14" s="533">
        <v>105095.83186605357</v>
      </c>
      <c r="BB14" s="533">
        <v>102090.4187805697</v>
      </c>
      <c r="BC14" s="533">
        <v>104504.09536311703</v>
      </c>
      <c r="BD14" s="533">
        <v>107636.63077667206</v>
      </c>
      <c r="BE14" s="533">
        <v>112580.29737774999</v>
      </c>
      <c r="BF14" s="533">
        <v>113283.95283699065</v>
      </c>
      <c r="BG14" s="533">
        <v>123425.61055936545</v>
      </c>
      <c r="BH14" s="533">
        <v>125147.82091468478</v>
      </c>
      <c r="BI14" s="533">
        <v>131099.95932432913</v>
      </c>
      <c r="BJ14" s="533">
        <v>149411.28451591876</v>
      </c>
      <c r="BK14" s="533">
        <v>145894.76729189398</v>
      </c>
      <c r="BL14" s="533">
        <v>140521.48015151516</v>
      </c>
      <c r="BM14" s="533">
        <v>141984.81507186859</v>
      </c>
      <c r="BN14" s="533">
        <v>148152.31360519517</v>
      </c>
      <c r="BO14" s="533">
        <v>145244.71763102073</v>
      </c>
      <c r="BP14" s="533">
        <v>145300.04737531042</v>
      </c>
      <c r="BQ14" s="533">
        <v>142236.58001312456</v>
      </c>
      <c r="BR14" s="533">
        <v>133650.78699992941</v>
      </c>
      <c r="BS14" s="533">
        <v>129806.03437077765</v>
      </c>
      <c r="BT14" s="533">
        <v>130737.22348823029</v>
      </c>
      <c r="BU14" s="533">
        <v>129580.16269868378</v>
      </c>
      <c r="BV14" s="533">
        <v>122182.56104689998</v>
      </c>
      <c r="BW14" s="533">
        <v>132378.82492657253</v>
      </c>
      <c r="BX14" s="533">
        <v>136296.67640350119</v>
      </c>
      <c r="BY14" s="533">
        <v>138176.53691638046</v>
      </c>
      <c r="BZ14" s="533">
        <v>134900.86854621588</v>
      </c>
      <c r="CA14" s="533">
        <v>136433.58327222336</v>
      </c>
      <c r="CB14" s="533">
        <v>129162.57147044834</v>
      </c>
      <c r="CC14" s="533">
        <v>125800.19534152022</v>
      </c>
      <c r="CD14" s="533">
        <v>137594.30727903513</v>
      </c>
      <c r="CE14" s="533">
        <v>132341.8026527745</v>
      </c>
      <c r="CF14" s="533">
        <v>135432.31771875036</v>
      </c>
      <c r="CG14" s="533">
        <v>139169.0883524252</v>
      </c>
      <c r="CH14" s="533">
        <v>135179.96924033374</v>
      </c>
      <c r="CI14" s="533">
        <v>145398.66199286413</v>
      </c>
      <c r="CJ14" s="533">
        <v>137592.6133651961</v>
      </c>
      <c r="CK14" s="533">
        <v>142779.8234122046</v>
      </c>
      <c r="CL14" s="533">
        <v>145313.72486497837</v>
      </c>
      <c r="CM14" s="533">
        <v>146552.84723938318</v>
      </c>
      <c r="CN14" s="533">
        <v>153501.3643928185</v>
      </c>
      <c r="CO14" s="533">
        <v>133773.74684271324</v>
      </c>
      <c r="CP14" s="533">
        <v>138524.56655245015</v>
      </c>
      <c r="CQ14" s="533">
        <v>143343.46704574098</v>
      </c>
      <c r="CR14" s="533">
        <v>151675.06701490912</v>
      </c>
      <c r="CS14" s="533">
        <v>151292.84146505498</v>
      </c>
      <c r="CT14" s="533">
        <v>152942.65517575535</v>
      </c>
      <c r="CU14" s="533">
        <v>149372.17086628088</v>
      </c>
      <c r="CV14" s="533">
        <v>159673.53533067036</v>
      </c>
      <c r="CW14" s="533">
        <v>158089.45567560461</v>
      </c>
      <c r="CX14" s="533">
        <v>162306.6078591843</v>
      </c>
      <c r="CY14" s="533">
        <v>150458.80137371802</v>
      </c>
      <c r="CZ14" s="533">
        <v>156918.44334227438</v>
      </c>
      <c r="DA14" s="533">
        <v>150458.92853299854</v>
      </c>
      <c r="DB14" s="533">
        <v>155067.06359033793</v>
      </c>
      <c r="DC14" s="533">
        <v>154661.32788848877</v>
      </c>
      <c r="DD14" s="479">
        <v>159063.34399853015</v>
      </c>
      <c r="DE14" s="479">
        <v>154812.7137783498</v>
      </c>
      <c r="DF14" s="479">
        <v>160866.07027832422</v>
      </c>
      <c r="DG14" s="479">
        <v>166143.56734609968</v>
      </c>
      <c r="DH14" s="479">
        <v>164673.81095214363</v>
      </c>
      <c r="DI14" s="479">
        <v>165010.05409671264</v>
      </c>
      <c r="DJ14" s="479">
        <v>186742.58692603617</v>
      </c>
      <c r="DK14" s="479">
        <v>181274.42390325438</v>
      </c>
      <c r="DL14" s="479">
        <v>185520.87421890977</v>
      </c>
      <c r="DM14" s="479">
        <v>180365.57511765067</v>
      </c>
      <c r="DN14" s="479">
        <v>178991.09800846624</v>
      </c>
      <c r="DO14" s="479">
        <v>177983.65285118969</v>
      </c>
      <c r="DP14" s="479">
        <v>191580.93501207433</v>
      </c>
      <c r="DQ14" s="479">
        <v>189374.37597531194</v>
      </c>
      <c r="DR14" s="479">
        <v>193942.45147726033</v>
      </c>
      <c r="DS14" s="479">
        <v>195174.71629779032</v>
      </c>
      <c r="DT14" s="479">
        <v>195135.79320789551</v>
      </c>
      <c r="DU14" s="479">
        <v>196401.34642890317</v>
      </c>
      <c r="DV14" s="479">
        <v>193364.32519121357</v>
      </c>
      <c r="DW14" s="479">
        <v>194504.98437216826</v>
      </c>
      <c r="DX14" s="479">
        <v>196809.5269496853</v>
      </c>
      <c r="DY14" s="479">
        <v>186512.60416584351</v>
      </c>
      <c r="DZ14" s="479">
        <v>190312.40957704344</v>
      </c>
      <c r="EA14" s="479">
        <v>189825.03593973842</v>
      </c>
      <c r="EB14" s="479">
        <v>199157.4499927513</v>
      </c>
      <c r="EC14" s="479">
        <v>198388.97852500872</v>
      </c>
    </row>
    <row r="15" spans="1:133" ht="17.25" customHeight="1" x14ac:dyDescent="0.25">
      <c r="A15" s="588"/>
      <c r="B15" s="482"/>
      <c r="C15" s="537"/>
      <c r="D15" s="537"/>
      <c r="E15" s="537"/>
      <c r="F15" s="538"/>
      <c r="G15" s="537"/>
      <c r="H15" s="539"/>
      <c r="I15" s="537"/>
      <c r="J15" s="537"/>
      <c r="K15" s="537"/>
      <c r="L15" s="537"/>
      <c r="M15" s="538"/>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483"/>
      <c r="DE15" s="483"/>
      <c r="DF15" s="483"/>
      <c r="DG15" s="483"/>
      <c r="DH15" s="483"/>
      <c r="DI15" s="483"/>
      <c r="DJ15" s="483"/>
      <c r="DK15" s="483"/>
      <c r="DL15" s="483"/>
      <c r="DM15" s="483"/>
      <c r="DN15" s="483"/>
      <c r="DO15" s="483"/>
      <c r="DP15" s="483"/>
      <c r="DQ15" s="483"/>
      <c r="DR15" s="483"/>
      <c r="DS15" s="483"/>
      <c r="DT15" s="483"/>
      <c r="DU15" s="483"/>
      <c r="DV15" s="483"/>
      <c r="DW15" s="483"/>
      <c r="DX15" s="483"/>
      <c r="DY15" s="483"/>
      <c r="DZ15" s="483"/>
      <c r="EA15" s="483"/>
      <c r="EB15" s="483"/>
      <c r="EC15" s="483"/>
    </row>
    <row r="16" spans="1:133" ht="17.25" customHeight="1" x14ac:dyDescent="0.25">
      <c r="A16" s="587" t="s">
        <v>416</v>
      </c>
      <c r="B16" s="478" t="s">
        <v>200</v>
      </c>
      <c r="C16" s="533">
        <v>199044.86807115094</v>
      </c>
      <c r="D16" s="533">
        <v>199273.87546531469</v>
      </c>
      <c r="E16" s="533">
        <v>200495.96875494719</v>
      </c>
      <c r="F16" s="534">
        <v>211374.12298909877</v>
      </c>
      <c r="G16" s="533">
        <v>209511.00246092153</v>
      </c>
      <c r="H16" s="535">
        <v>214380.85127147011</v>
      </c>
      <c r="I16" s="533">
        <v>216970.39499971044</v>
      </c>
      <c r="J16" s="533">
        <v>213131.13359317151</v>
      </c>
      <c r="K16" s="533">
        <v>210940.86692220892</v>
      </c>
      <c r="L16" s="533">
        <v>213698.30339226313</v>
      </c>
      <c r="M16" s="534">
        <v>222588.12279015593</v>
      </c>
      <c r="N16" s="533">
        <v>224021.10441421121</v>
      </c>
      <c r="O16" s="533">
        <v>224723.73570730275</v>
      </c>
      <c r="P16" s="533">
        <v>229838.18915842168</v>
      </c>
      <c r="Q16" s="533">
        <v>235868.75987431384</v>
      </c>
      <c r="R16" s="533">
        <v>240171.76476980947</v>
      </c>
      <c r="S16" s="533">
        <v>244440.67127370514</v>
      </c>
      <c r="T16" s="533">
        <v>252325.20331988618</v>
      </c>
      <c r="U16" s="533">
        <v>257409.18419898144</v>
      </c>
      <c r="V16" s="533">
        <v>262165.68204397318</v>
      </c>
      <c r="W16" s="533">
        <v>267493.53941010131</v>
      </c>
      <c r="X16" s="533">
        <v>281565.6706634998</v>
      </c>
      <c r="Y16" s="533">
        <v>286015.18726825056</v>
      </c>
      <c r="Z16" s="533">
        <v>293370.46462622704</v>
      </c>
      <c r="AA16" s="533">
        <v>304210.65120580251</v>
      </c>
      <c r="AB16" s="533">
        <v>302206.42017566657</v>
      </c>
      <c r="AC16" s="533">
        <v>304231.07448118116</v>
      </c>
      <c r="AD16" s="533">
        <v>311040.32277567685</v>
      </c>
      <c r="AE16" s="533">
        <v>320397.54983698472</v>
      </c>
      <c r="AF16" s="533">
        <v>331158.09054063866</v>
      </c>
      <c r="AG16" s="533">
        <v>331584.08298876742</v>
      </c>
      <c r="AH16" s="533">
        <v>342869.78521438804</v>
      </c>
      <c r="AI16" s="533">
        <v>348051.61166220682</v>
      </c>
      <c r="AJ16" s="533">
        <v>351947.5163436741</v>
      </c>
      <c r="AK16" s="533">
        <v>361502.89571217826</v>
      </c>
      <c r="AL16" s="533">
        <v>381153.23289374856</v>
      </c>
      <c r="AM16" s="533">
        <v>372472.46521316923</v>
      </c>
      <c r="AN16" s="533">
        <v>379003.75121309294</v>
      </c>
      <c r="AO16" s="533">
        <v>395775.9335207729</v>
      </c>
      <c r="AP16" s="533">
        <v>406834.60189462733</v>
      </c>
      <c r="AQ16" s="533">
        <v>436364.27636165597</v>
      </c>
      <c r="AR16" s="533">
        <v>438699.17790112528</v>
      </c>
      <c r="AS16" s="533">
        <v>437685.23793102987</v>
      </c>
      <c r="AT16" s="533">
        <v>437963.12173500529</v>
      </c>
      <c r="AU16" s="533">
        <v>439346.65455416957</v>
      </c>
      <c r="AV16" s="533">
        <v>424656.87682331202</v>
      </c>
      <c r="AW16" s="533">
        <v>419404.1463423876</v>
      </c>
      <c r="AX16" s="533">
        <v>414458.31451376568</v>
      </c>
      <c r="AY16" s="533">
        <v>410554.79309852852</v>
      </c>
      <c r="AZ16" s="533">
        <v>416485.54505075578</v>
      </c>
      <c r="BA16" s="533">
        <v>424937.65203636384</v>
      </c>
      <c r="BB16" s="533">
        <v>422625.32893888786</v>
      </c>
      <c r="BC16" s="533">
        <v>407640.50574806577</v>
      </c>
      <c r="BD16" s="533">
        <v>401543.06341815571</v>
      </c>
      <c r="BE16" s="533">
        <v>401376.81859416811</v>
      </c>
      <c r="BF16" s="533">
        <v>399243.52598673524</v>
      </c>
      <c r="BG16" s="533">
        <v>405466.44113927928</v>
      </c>
      <c r="BH16" s="533">
        <v>400972.46744072455</v>
      </c>
      <c r="BI16" s="533">
        <v>406537.31378205703</v>
      </c>
      <c r="BJ16" s="533">
        <v>433189.61248306325</v>
      </c>
      <c r="BK16" s="533">
        <v>442087.62024915137</v>
      </c>
      <c r="BL16" s="533">
        <v>441283.6088587023</v>
      </c>
      <c r="BM16" s="533">
        <v>450408.83801341825</v>
      </c>
      <c r="BN16" s="533">
        <v>445690.54504195182</v>
      </c>
      <c r="BO16" s="533">
        <v>443414.1225878126</v>
      </c>
      <c r="BP16" s="533">
        <v>446137.76658484689</v>
      </c>
      <c r="BQ16" s="533">
        <v>459466.78179734439</v>
      </c>
      <c r="BR16" s="533">
        <v>454961.55947965285</v>
      </c>
      <c r="BS16" s="533">
        <v>460404.29006142786</v>
      </c>
      <c r="BT16" s="533">
        <v>464652.66967792017</v>
      </c>
      <c r="BU16" s="533">
        <v>462654.02410401317</v>
      </c>
      <c r="BV16" s="533">
        <v>479648.43227309361</v>
      </c>
      <c r="BW16" s="533">
        <v>488435.90139164717</v>
      </c>
      <c r="BX16" s="533">
        <v>493550.4179817565</v>
      </c>
      <c r="BY16" s="533">
        <v>502263.41366293386</v>
      </c>
      <c r="BZ16" s="533">
        <v>509989.11698373855</v>
      </c>
      <c r="CA16" s="533">
        <v>512171.04834408086</v>
      </c>
      <c r="CB16" s="533">
        <v>521216.10183510539</v>
      </c>
      <c r="CC16" s="533">
        <v>533230.02726011456</v>
      </c>
      <c r="CD16" s="533">
        <v>536867.2763463913</v>
      </c>
      <c r="CE16" s="533">
        <v>525394.7975881641</v>
      </c>
      <c r="CF16" s="533">
        <v>526865.93319035333</v>
      </c>
      <c r="CG16" s="533">
        <v>527549.37775482878</v>
      </c>
      <c r="CH16" s="533">
        <v>536956.54280896531</v>
      </c>
      <c r="CI16" s="533">
        <v>557198.28514259751</v>
      </c>
      <c r="CJ16" s="533">
        <v>549969.14302484749</v>
      </c>
      <c r="CK16" s="533">
        <v>542636.02177314542</v>
      </c>
      <c r="CL16" s="533">
        <v>547270.4549938601</v>
      </c>
      <c r="CM16" s="533">
        <v>562688.6582219745</v>
      </c>
      <c r="CN16" s="533">
        <v>573128.48870609084</v>
      </c>
      <c r="CO16" s="533">
        <v>572836.64611042477</v>
      </c>
      <c r="CP16" s="533">
        <v>567285.89485305955</v>
      </c>
      <c r="CQ16" s="533">
        <v>576052.60663343885</v>
      </c>
      <c r="CR16" s="533">
        <v>565986.73899171792</v>
      </c>
      <c r="CS16" s="533">
        <v>575598.77089072135</v>
      </c>
      <c r="CT16" s="533">
        <v>577173.94285986328</v>
      </c>
      <c r="CU16" s="533">
        <v>580687.38346187875</v>
      </c>
      <c r="CV16" s="533">
        <v>586519.62847970054</v>
      </c>
      <c r="CW16" s="533">
        <v>595701.36300285079</v>
      </c>
      <c r="CX16" s="533">
        <v>588717.21137349878</v>
      </c>
      <c r="CY16" s="533">
        <v>588161.50215942971</v>
      </c>
      <c r="CZ16" s="533">
        <v>595968.39827161573</v>
      </c>
      <c r="DA16" s="533">
        <v>590129.46080587571</v>
      </c>
      <c r="DB16" s="533">
        <v>587569.69376326213</v>
      </c>
      <c r="DC16" s="533">
        <v>586919.09243850491</v>
      </c>
      <c r="DD16" s="479">
        <v>583219.23576268775</v>
      </c>
      <c r="DE16" s="479">
        <v>595577.4291535907</v>
      </c>
      <c r="DF16" s="479">
        <v>602736.20708928129</v>
      </c>
      <c r="DG16" s="479">
        <v>603841.48757523263</v>
      </c>
      <c r="DH16" s="479">
        <v>600239.45313483907</v>
      </c>
      <c r="DI16" s="479">
        <v>609034.50684880477</v>
      </c>
      <c r="DJ16" s="479">
        <v>617477.66437426326</v>
      </c>
      <c r="DK16" s="479">
        <v>627422.99513192452</v>
      </c>
      <c r="DL16" s="479">
        <v>648332.51590198616</v>
      </c>
      <c r="DM16" s="479">
        <v>652051.62483870215</v>
      </c>
      <c r="DN16" s="479">
        <v>649743.91469364008</v>
      </c>
      <c r="DO16" s="479">
        <v>658530.8891699824</v>
      </c>
      <c r="DP16" s="479">
        <v>680706.59086098475</v>
      </c>
      <c r="DQ16" s="479">
        <v>655409.81340131792</v>
      </c>
      <c r="DR16" s="479">
        <v>644279.41312078887</v>
      </c>
      <c r="DS16" s="479">
        <v>642244.30361891037</v>
      </c>
      <c r="DT16" s="479">
        <v>644297.87199349981</v>
      </c>
      <c r="DU16" s="479">
        <v>650277.84243415971</v>
      </c>
      <c r="DV16" s="479">
        <v>643370.7655961836</v>
      </c>
      <c r="DW16" s="479">
        <v>638202.71834665118</v>
      </c>
      <c r="DX16" s="479">
        <v>647008.76700035576</v>
      </c>
      <c r="DY16" s="479">
        <v>638697.6265733334</v>
      </c>
      <c r="DZ16" s="479">
        <v>636296.97315812716</v>
      </c>
      <c r="EA16" s="479">
        <v>633703.1978042213</v>
      </c>
      <c r="EB16" s="479">
        <v>625050.72861738631</v>
      </c>
      <c r="EC16" s="479">
        <v>614823.14678005641</v>
      </c>
    </row>
    <row r="17" spans="1:133" ht="17.25" customHeight="1" x14ac:dyDescent="0.25">
      <c r="A17" s="588"/>
      <c r="B17" s="482"/>
      <c r="C17" s="537"/>
      <c r="D17" s="537"/>
      <c r="E17" s="537"/>
      <c r="F17" s="538"/>
      <c r="G17" s="537"/>
      <c r="H17" s="539"/>
      <c r="I17" s="537"/>
      <c r="J17" s="537"/>
      <c r="K17" s="537"/>
      <c r="L17" s="537"/>
      <c r="M17" s="538"/>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483"/>
      <c r="DE17" s="483"/>
      <c r="DF17" s="483"/>
      <c r="DG17" s="483"/>
      <c r="DH17" s="483"/>
      <c r="DI17" s="483"/>
      <c r="DJ17" s="483"/>
      <c r="DK17" s="483"/>
      <c r="DL17" s="483"/>
      <c r="DM17" s="483"/>
      <c r="DN17" s="483"/>
      <c r="DO17" s="483"/>
      <c r="DP17" s="483"/>
      <c r="DQ17" s="483"/>
      <c r="DR17" s="483"/>
      <c r="DS17" s="483"/>
      <c r="DT17" s="483"/>
      <c r="DU17" s="483"/>
      <c r="DV17" s="483"/>
      <c r="DW17" s="483"/>
      <c r="DX17" s="483"/>
      <c r="DY17" s="483"/>
      <c r="DZ17" s="483"/>
      <c r="EA17" s="483"/>
      <c r="EB17" s="483"/>
      <c r="EC17" s="483"/>
    </row>
    <row r="18" spans="1:133" ht="17.25" customHeight="1" x14ac:dyDescent="0.25">
      <c r="A18" s="587" t="s">
        <v>417</v>
      </c>
      <c r="B18" s="478" t="s">
        <v>418</v>
      </c>
      <c r="C18" s="533">
        <v>5531.3803072675273</v>
      </c>
      <c r="D18" s="533">
        <v>6387.5791570814499</v>
      </c>
      <c r="E18" s="533">
        <v>6435.8123346383036</v>
      </c>
      <c r="F18" s="534">
        <v>6358.3726471190885</v>
      </c>
      <c r="G18" s="533">
        <v>6542.0766587614062</v>
      </c>
      <c r="H18" s="535">
        <v>6668.0273447598711</v>
      </c>
      <c r="I18" s="533">
        <v>6894.7895552277487</v>
      </c>
      <c r="J18" s="533">
        <v>6210.6469639805737</v>
      </c>
      <c r="K18" s="533">
        <v>6506.7939579539252</v>
      </c>
      <c r="L18" s="533">
        <v>6725.2691993683256</v>
      </c>
      <c r="M18" s="534">
        <v>6598.1875387907567</v>
      </c>
      <c r="N18" s="533">
        <v>6278.6362166460058</v>
      </c>
      <c r="O18" s="533">
        <v>7148.2176707650815</v>
      </c>
      <c r="P18" s="533">
        <v>7908.8866773073569</v>
      </c>
      <c r="Q18" s="533">
        <v>8262.1763758011475</v>
      </c>
      <c r="R18" s="533">
        <v>8439.8508473656493</v>
      </c>
      <c r="S18" s="533">
        <v>8876.5765234594801</v>
      </c>
      <c r="T18" s="533">
        <v>9159.1296191671809</v>
      </c>
      <c r="U18" s="533">
        <v>9227.589290234595</v>
      </c>
      <c r="V18" s="533">
        <v>8978.897620083173</v>
      </c>
      <c r="W18" s="533">
        <v>8949.6615872760776</v>
      </c>
      <c r="X18" s="533">
        <v>9163.1837597375415</v>
      </c>
      <c r="Y18" s="533">
        <v>9007.7821756606354</v>
      </c>
      <c r="Z18" s="533">
        <v>9274.506712431059</v>
      </c>
      <c r="AA18" s="533">
        <v>9830.2076527208119</v>
      </c>
      <c r="AB18" s="533">
        <v>9838.630834851343</v>
      </c>
      <c r="AC18" s="533">
        <v>9756.1844034573533</v>
      </c>
      <c r="AD18" s="533">
        <v>10025.473527816757</v>
      </c>
      <c r="AE18" s="533">
        <v>10193.467147840891</v>
      </c>
      <c r="AF18" s="533">
        <v>10055.262286736246</v>
      </c>
      <c r="AG18" s="533">
        <v>9654.0002269930301</v>
      </c>
      <c r="AH18" s="533">
        <v>9300.7369838365121</v>
      </c>
      <c r="AI18" s="533">
        <v>9242.7451026681883</v>
      </c>
      <c r="AJ18" s="533">
        <v>9192.6543237565475</v>
      </c>
      <c r="AK18" s="533">
        <v>9730.5789755466085</v>
      </c>
      <c r="AL18" s="533">
        <v>10188.353875013227</v>
      </c>
      <c r="AM18" s="533">
        <v>10558.961892640469</v>
      </c>
      <c r="AN18" s="533">
        <v>10430.709256339031</v>
      </c>
      <c r="AO18" s="533">
        <v>10420.232326054505</v>
      </c>
      <c r="AP18" s="533">
        <v>10283.576908598152</v>
      </c>
      <c r="AQ18" s="533">
        <v>10541.917578099252</v>
      </c>
      <c r="AR18" s="533">
        <v>10406.70067774412</v>
      </c>
      <c r="AS18" s="533">
        <v>10191.067582308317</v>
      </c>
      <c r="AT18" s="533">
        <v>10658.039614393652</v>
      </c>
      <c r="AU18" s="533">
        <v>10623.769803176141</v>
      </c>
      <c r="AV18" s="533">
        <v>10520.695410769431</v>
      </c>
      <c r="AW18" s="533">
        <v>10959.411512755578</v>
      </c>
      <c r="AX18" s="533">
        <v>11109.244786260213</v>
      </c>
      <c r="AY18" s="533">
        <v>11333.925216700934</v>
      </c>
      <c r="AZ18" s="533">
        <v>11142.604930165548</v>
      </c>
      <c r="BA18" s="533">
        <v>11197.881889352053</v>
      </c>
      <c r="BB18" s="533">
        <v>11521.457824656423</v>
      </c>
      <c r="BC18" s="533">
        <v>11428.483071625669</v>
      </c>
      <c r="BD18" s="533">
        <v>10972.59682197724</v>
      </c>
      <c r="BE18" s="533">
        <v>10744.865053888021</v>
      </c>
      <c r="BF18" s="533">
        <v>10824.733215237027</v>
      </c>
      <c r="BG18" s="533">
        <v>10314.152701945242</v>
      </c>
      <c r="BH18" s="533">
        <v>10598.433889664768</v>
      </c>
      <c r="BI18" s="533">
        <v>10538.736307325125</v>
      </c>
      <c r="BJ18" s="533">
        <v>10865.438622063248</v>
      </c>
      <c r="BK18" s="533">
        <v>11011.583328469778</v>
      </c>
      <c r="BL18" s="533">
        <v>10717.871770146487</v>
      </c>
      <c r="BM18" s="533">
        <v>10656.442933645629</v>
      </c>
      <c r="BN18" s="533">
        <v>10802.052404263091</v>
      </c>
      <c r="BO18" s="533">
        <v>10651.057622400416</v>
      </c>
      <c r="BP18" s="533">
        <v>10829.986002679034</v>
      </c>
      <c r="BQ18" s="533">
        <v>11359.467919985384</v>
      </c>
      <c r="BR18" s="533">
        <v>11304.982898396216</v>
      </c>
      <c r="BS18" s="533">
        <v>14357.840949577105</v>
      </c>
      <c r="BT18" s="533">
        <v>14343.210789106744</v>
      </c>
      <c r="BU18" s="533">
        <v>14222.00636356217</v>
      </c>
      <c r="BV18" s="533">
        <v>14480.126228350526</v>
      </c>
      <c r="BW18" s="533">
        <v>14898.04368517014</v>
      </c>
      <c r="BX18" s="533">
        <v>14758.578493405426</v>
      </c>
      <c r="BY18" s="533">
        <v>14517.367938910365</v>
      </c>
      <c r="BZ18" s="533">
        <v>15764.188411157973</v>
      </c>
      <c r="CA18" s="533">
        <v>15580.806845007333</v>
      </c>
      <c r="CB18" s="533">
        <v>15687.677436771995</v>
      </c>
      <c r="CC18" s="533">
        <v>13019.25104160525</v>
      </c>
      <c r="CD18" s="533">
        <v>12516.397201959582</v>
      </c>
      <c r="CE18" s="533">
        <v>13010.489896758496</v>
      </c>
      <c r="CF18" s="533">
        <v>14424.495194139741</v>
      </c>
      <c r="CG18" s="533">
        <v>15094.444195205204</v>
      </c>
      <c r="CH18" s="533">
        <v>15158.76710254092</v>
      </c>
      <c r="CI18" s="533">
        <v>15562.900465170398</v>
      </c>
      <c r="CJ18" s="533">
        <v>13910.043776192188</v>
      </c>
      <c r="CK18" s="533">
        <v>14241.144984327355</v>
      </c>
      <c r="CL18" s="533">
        <v>13492.500500712837</v>
      </c>
      <c r="CM18" s="533">
        <v>14024.466817268953</v>
      </c>
      <c r="CN18" s="533">
        <v>13762.226982812961</v>
      </c>
      <c r="CO18" s="533">
        <v>14506.032264859767</v>
      </c>
      <c r="CP18" s="533">
        <v>14008.857242580611</v>
      </c>
      <c r="CQ18" s="533">
        <v>13964.903900511505</v>
      </c>
      <c r="CR18" s="533">
        <v>14731.668035126782</v>
      </c>
      <c r="CS18" s="533">
        <v>15675.746735911605</v>
      </c>
      <c r="CT18" s="533">
        <v>17427.129096901157</v>
      </c>
      <c r="CU18" s="533">
        <v>16388.295159861784</v>
      </c>
      <c r="CV18" s="533">
        <v>15684.912529701458</v>
      </c>
      <c r="CW18" s="533">
        <v>14633.007551274062</v>
      </c>
      <c r="CX18" s="533">
        <v>15043.772992744618</v>
      </c>
      <c r="CY18" s="533">
        <v>15907.734889215501</v>
      </c>
      <c r="CZ18" s="533">
        <v>15738.582291339371</v>
      </c>
      <c r="DA18" s="533">
        <v>15373.211958661608</v>
      </c>
      <c r="DB18" s="533">
        <v>15327.034943849416</v>
      </c>
      <c r="DC18" s="533">
        <v>15340.378772302898</v>
      </c>
      <c r="DD18" s="479">
        <v>15795.325884716456</v>
      </c>
      <c r="DE18" s="479">
        <v>16213.914816034627</v>
      </c>
      <c r="DF18" s="479">
        <v>18601.116393538407</v>
      </c>
      <c r="DG18" s="479">
        <v>15283.691793063517</v>
      </c>
      <c r="DH18" s="479">
        <v>17113.54867804559</v>
      </c>
      <c r="DI18" s="479">
        <v>16333.511758810044</v>
      </c>
      <c r="DJ18" s="479">
        <v>15594.449729505366</v>
      </c>
      <c r="DK18" s="479">
        <v>16158.583665514321</v>
      </c>
      <c r="DL18" s="479">
        <v>16403.615938519375</v>
      </c>
      <c r="DM18" s="479">
        <v>16538.728900531834</v>
      </c>
      <c r="DN18" s="479">
        <v>17862.010553343509</v>
      </c>
      <c r="DO18" s="479">
        <v>19291.447846781586</v>
      </c>
      <c r="DP18" s="479">
        <v>20981.512444979417</v>
      </c>
      <c r="DQ18" s="479">
        <v>20499.936429927839</v>
      </c>
      <c r="DR18" s="479">
        <v>20739.10726062227</v>
      </c>
      <c r="DS18" s="479">
        <v>20144.481818450826</v>
      </c>
      <c r="DT18" s="479">
        <v>21744.576451521501</v>
      </c>
      <c r="DU18" s="479">
        <v>20367.179729698408</v>
      </c>
      <c r="DV18" s="479">
        <v>18635.015016273112</v>
      </c>
      <c r="DW18" s="479">
        <v>18091.150894143815</v>
      </c>
      <c r="DX18" s="479">
        <v>15731.347743492082</v>
      </c>
      <c r="DY18" s="479">
        <v>13847.883557901587</v>
      </c>
      <c r="DZ18" s="479">
        <v>12358.589343638852</v>
      </c>
      <c r="EA18" s="479">
        <v>11631.875406727229</v>
      </c>
      <c r="EB18" s="479">
        <v>11652.317402383071</v>
      </c>
      <c r="EC18" s="479">
        <v>11470.757260339673</v>
      </c>
    </row>
    <row r="19" spans="1:133" ht="17.25" customHeight="1" x14ac:dyDescent="0.25">
      <c r="A19" s="588"/>
      <c r="B19" s="486"/>
      <c r="C19" s="537"/>
      <c r="D19" s="537"/>
      <c r="E19" s="537"/>
      <c r="F19" s="538"/>
      <c r="G19" s="537"/>
      <c r="H19" s="539"/>
      <c r="I19" s="537"/>
      <c r="J19" s="537"/>
      <c r="K19" s="537"/>
      <c r="L19" s="537"/>
      <c r="M19" s="538"/>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483"/>
      <c r="DE19" s="483"/>
      <c r="DF19" s="483"/>
      <c r="DG19" s="483"/>
      <c r="DH19" s="483"/>
      <c r="DI19" s="483"/>
      <c r="DJ19" s="483"/>
      <c r="DK19" s="483"/>
      <c r="DL19" s="483"/>
      <c r="DM19" s="483"/>
      <c r="DN19" s="483"/>
      <c r="DO19" s="483"/>
      <c r="DP19" s="483"/>
      <c r="DQ19" s="483"/>
      <c r="DR19" s="483"/>
      <c r="DS19" s="483"/>
      <c r="DT19" s="483"/>
      <c r="DU19" s="483"/>
      <c r="DV19" s="483"/>
      <c r="DW19" s="483"/>
      <c r="DX19" s="483"/>
      <c r="DY19" s="483"/>
      <c r="DZ19" s="483"/>
      <c r="EA19" s="483"/>
      <c r="EB19" s="483"/>
      <c r="EC19" s="483"/>
    </row>
    <row r="20" spans="1:133" ht="17.25" customHeight="1" x14ac:dyDescent="0.25">
      <c r="A20" s="587" t="s">
        <v>419</v>
      </c>
      <c r="B20" s="478" t="s">
        <v>420</v>
      </c>
      <c r="C20" s="533">
        <v>0</v>
      </c>
      <c r="D20" s="533">
        <v>0</v>
      </c>
      <c r="E20" s="533">
        <v>0</v>
      </c>
      <c r="F20" s="534">
        <v>0</v>
      </c>
      <c r="G20" s="533">
        <v>0</v>
      </c>
      <c r="H20" s="535">
        <v>0</v>
      </c>
      <c r="I20" s="533">
        <v>0</v>
      </c>
      <c r="J20" s="533">
        <v>0</v>
      </c>
      <c r="K20" s="533">
        <v>0</v>
      </c>
      <c r="L20" s="533">
        <v>0</v>
      </c>
      <c r="M20" s="534">
        <v>0</v>
      </c>
      <c r="N20" s="533">
        <v>0</v>
      </c>
      <c r="O20" s="533">
        <v>0</v>
      </c>
      <c r="P20" s="533">
        <v>0</v>
      </c>
      <c r="Q20" s="533">
        <v>0</v>
      </c>
      <c r="R20" s="533">
        <v>0</v>
      </c>
      <c r="S20" s="533">
        <v>0</v>
      </c>
      <c r="T20" s="533">
        <v>0</v>
      </c>
      <c r="U20" s="533">
        <v>0</v>
      </c>
      <c r="V20" s="533">
        <v>0</v>
      </c>
      <c r="W20" s="533">
        <v>0</v>
      </c>
      <c r="X20" s="533">
        <v>0</v>
      </c>
      <c r="Y20" s="533">
        <v>0</v>
      </c>
      <c r="Z20" s="533">
        <v>0</v>
      </c>
      <c r="AA20" s="533">
        <v>0</v>
      </c>
      <c r="AB20" s="533">
        <v>0</v>
      </c>
      <c r="AC20" s="533">
        <v>0</v>
      </c>
      <c r="AD20" s="533">
        <v>0</v>
      </c>
      <c r="AE20" s="533">
        <v>0</v>
      </c>
      <c r="AF20" s="533">
        <v>0</v>
      </c>
      <c r="AG20" s="533">
        <v>0</v>
      </c>
      <c r="AH20" s="533">
        <v>0</v>
      </c>
      <c r="AI20" s="533">
        <v>0</v>
      </c>
      <c r="AJ20" s="533">
        <v>0</v>
      </c>
      <c r="AK20" s="533">
        <v>0</v>
      </c>
      <c r="AL20" s="533">
        <v>0</v>
      </c>
      <c r="AM20" s="533">
        <v>0</v>
      </c>
      <c r="AN20" s="533">
        <v>0</v>
      </c>
      <c r="AO20" s="533">
        <v>0</v>
      </c>
      <c r="AP20" s="533">
        <v>0</v>
      </c>
      <c r="AQ20" s="533">
        <v>0</v>
      </c>
      <c r="AR20" s="533">
        <v>0</v>
      </c>
      <c r="AS20" s="533">
        <v>0</v>
      </c>
      <c r="AT20" s="533">
        <v>0</v>
      </c>
      <c r="AU20" s="533">
        <v>0</v>
      </c>
      <c r="AV20" s="533">
        <v>0</v>
      </c>
      <c r="AW20" s="533">
        <v>0</v>
      </c>
      <c r="AX20" s="533">
        <v>0</v>
      </c>
      <c r="AY20" s="533">
        <v>0</v>
      </c>
      <c r="AZ20" s="533">
        <v>0</v>
      </c>
      <c r="BA20" s="533">
        <v>0</v>
      </c>
      <c r="BB20" s="533">
        <v>0</v>
      </c>
      <c r="BC20" s="533">
        <v>0</v>
      </c>
      <c r="BD20" s="533">
        <v>0</v>
      </c>
      <c r="BE20" s="533">
        <v>0</v>
      </c>
      <c r="BF20" s="533">
        <v>0</v>
      </c>
      <c r="BG20" s="533">
        <v>0</v>
      </c>
      <c r="BH20" s="533">
        <v>0</v>
      </c>
      <c r="BI20" s="533">
        <v>0</v>
      </c>
      <c r="BJ20" s="533">
        <v>0</v>
      </c>
      <c r="BK20" s="533">
        <v>0</v>
      </c>
      <c r="BL20" s="533">
        <v>0</v>
      </c>
      <c r="BM20" s="533">
        <v>0</v>
      </c>
      <c r="BN20" s="533">
        <v>0</v>
      </c>
      <c r="BO20" s="533">
        <v>0</v>
      </c>
      <c r="BP20" s="533">
        <v>0</v>
      </c>
      <c r="BQ20" s="533">
        <v>0</v>
      </c>
      <c r="BR20" s="533">
        <v>0</v>
      </c>
      <c r="BS20" s="533">
        <v>0</v>
      </c>
      <c r="BT20" s="533">
        <v>0</v>
      </c>
      <c r="BU20" s="533">
        <v>0</v>
      </c>
      <c r="BV20" s="533">
        <v>0</v>
      </c>
      <c r="BW20" s="533">
        <v>0</v>
      </c>
      <c r="BX20" s="533">
        <v>0</v>
      </c>
      <c r="BY20" s="533">
        <v>0</v>
      </c>
      <c r="BZ20" s="533">
        <v>0</v>
      </c>
      <c r="CA20" s="533">
        <v>0</v>
      </c>
      <c r="CB20" s="533">
        <v>0</v>
      </c>
      <c r="CC20" s="533">
        <v>0</v>
      </c>
      <c r="CD20" s="533">
        <v>0</v>
      </c>
      <c r="CE20" s="533">
        <v>0</v>
      </c>
      <c r="CF20" s="533">
        <v>0</v>
      </c>
      <c r="CG20" s="533">
        <v>0</v>
      </c>
      <c r="CH20" s="533">
        <v>0</v>
      </c>
      <c r="CI20" s="533">
        <v>0</v>
      </c>
      <c r="CJ20" s="533">
        <v>0</v>
      </c>
      <c r="CK20" s="533">
        <v>0</v>
      </c>
      <c r="CL20" s="533">
        <v>0</v>
      </c>
      <c r="CM20" s="533">
        <v>0</v>
      </c>
      <c r="CN20" s="533">
        <v>0</v>
      </c>
      <c r="CO20" s="533">
        <v>0</v>
      </c>
      <c r="CP20" s="533">
        <v>0</v>
      </c>
      <c r="CQ20" s="533">
        <v>0</v>
      </c>
      <c r="CR20" s="533">
        <v>0</v>
      </c>
      <c r="CS20" s="533">
        <v>0</v>
      </c>
      <c r="CT20" s="533">
        <v>0</v>
      </c>
      <c r="CU20" s="533">
        <v>0</v>
      </c>
      <c r="CV20" s="533">
        <v>0</v>
      </c>
      <c r="CW20" s="533">
        <v>0</v>
      </c>
      <c r="CX20" s="533">
        <v>0</v>
      </c>
      <c r="CY20" s="533">
        <v>0</v>
      </c>
      <c r="CZ20" s="533">
        <v>0</v>
      </c>
      <c r="DA20" s="533">
        <v>0</v>
      </c>
      <c r="DB20" s="533">
        <v>0</v>
      </c>
      <c r="DC20" s="533">
        <v>0</v>
      </c>
      <c r="DD20" s="479">
        <v>0</v>
      </c>
      <c r="DE20" s="479">
        <v>0</v>
      </c>
      <c r="DF20" s="479">
        <v>0</v>
      </c>
      <c r="DG20" s="479">
        <v>0</v>
      </c>
      <c r="DH20" s="479">
        <v>0</v>
      </c>
      <c r="DI20" s="479">
        <v>0</v>
      </c>
      <c r="DJ20" s="479">
        <v>0</v>
      </c>
      <c r="DK20" s="479">
        <v>0</v>
      </c>
      <c r="DL20" s="479">
        <v>0</v>
      </c>
      <c r="DM20" s="479">
        <v>0</v>
      </c>
      <c r="DN20" s="479">
        <v>0</v>
      </c>
      <c r="DO20" s="479">
        <v>0</v>
      </c>
      <c r="DP20" s="479">
        <v>0</v>
      </c>
      <c r="DQ20" s="479">
        <v>0</v>
      </c>
      <c r="DR20" s="479">
        <v>0</v>
      </c>
      <c r="DS20" s="479">
        <v>0</v>
      </c>
      <c r="DT20" s="479">
        <v>0</v>
      </c>
      <c r="DU20" s="479">
        <v>0</v>
      </c>
      <c r="DV20" s="479">
        <v>0</v>
      </c>
      <c r="DW20" s="479">
        <v>0</v>
      </c>
      <c r="DX20" s="479">
        <v>0</v>
      </c>
      <c r="DY20" s="479">
        <v>0</v>
      </c>
      <c r="DZ20" s="479">
        <v>0</v>
      </c>
      <c r="EA20" s="479">
        <v>0</v>
      </c>
      <c r="EB20" s="479">
        <v>0</v>
      </c>
      <c r="EC20" s="479">
        <v>0</v>
      </c>
    </row>
    <row r="21" spans="1:133" ht="17.25" customHeight="1" x14ac:dyDescent="0.25">
      <c r="A21" s="588"/>
      <c r="B21" s="482"/>
      <c r="C21" s="537"/>
      <c r="D21" s="537"/>
      <c r="E21" s="537"/>
      <c r="F21" s="538"/>
      <c r="G21" s="537"/>
      <c r="H21" s="539"/>
      <c r="I21" s="537"/>
      <c r="J21" s="537"/>
      <c r="K21" s="537"/>
      <c r="L21" s="537"/>
      <c r="M21" s="538"/>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483"/>
      <c r="DE21" s="483"/>
      <c r="DF21" s="483"/>
      <c r="DG21" s="483"/>
      <c r="DH21" s="483"/>
      <c r="DI21" s="483"/>
      <c r="DJ21" s="483"/>
      <c r="DK21" s="483"/>
      <c r="DL21" s="483"/>
      <c r="DM21" s="483"/>
      <c r="DN21" s="483"/>
      <c r="DO21" s="483"/>
      <c r="DP21" s="483"/>
      <c r="DQ21" s="483"/>
      <c r="DR21" s="483"/>
      <c r="DS21" s="483"/>
      <c r="DT21" s="483"/>
      <c r="DU21" s="483"/>
      <c r="DV21" s="483"/>
      <c r="DW21" s="483"/>
      <c r="DX21" s="483"/>
      <c r="DY21" s="483"/>
      <c r="DZ21" s="483"/>
      <c r="EA21" s="483"/>
      <c r="EB21" s="483"/>
      <c r="EC21" s="483"/>
    </row>
    <row r="22" spans="1:133" ht="17.25" customHeight="1" x14ac:dyDescent="0.25">
      <c r="A22" s="587" t="s">
        <v>421</v>
      </c>
      <c r="B22" s="478" t="s">
        <v>422</v>
      </c>
      <c r="C22" s="533">
        <v>26183.901282920287</v>
      </c>
      <c r="D22" s="533">
        <v>30920.629340638301</v>
      </c>
      <c r="E22" s="533">
        <v>30127.544491920886</v>
      </c>
      <c r="F22" s="534">
        <v>27572.021538983245</v>
      </c>
      <c r="G22" s="533">
        <v>33933.736539922735</v>
      </c>
      <c r="H22" s="535">
        <v>32760.140197956243</v>
      </c>
      <c r="I22" s="533">
        <v>30932.200626476388</v>
      </c>
      <c r="J22" s="533">
        <v>36789.194293661276</v>
      </c>
      <c r="K22" s="533">
        <v>38716.69300264043</v>
      </c>
      <c r="L22" s="533">
        <v>35113.899233169977</v>
      </c>
      <c r="M22" s="534">
        <v>38261.367843577915</v>
      </c>
      <c r="N22" s="533">
        <v>35373.730196793753</v>
      </c>
      <c r="O22" s="533">
        <v>30702.881672898991</v>
      </c>
      <c r="P22" s="533">
        <v>24608.514195546501</v>
      </c>
      <c r="Q22" s="533">
        <v>23590.456271051909</v>
      </c>
      <c r="R22" s="533">
        <v>26051.634146052649</v>
      </c>
      <c r="S22" s="533">
        <v>23754.468337843799</v>
      </c>
      <c r="T22" s="533">
        <v>26204.682153106383</v>
      </c>
      <c r="U22" s="533">
        <v>20675.033267786333</v>
      </c>
      <c r="V22" s="533">
        <v>22950.153968386727</v>
      </c>
      <c r="W22" s="533">
        <v>23418.528605273306</v>
      </c>
      <c r="X22" s="533">
        <v>25423.366629636468</v>
      </c>
      <c r="Y22" s="533">
        <v>29513.872719127681</v>
      </c>
      <c r="Z22" s="533">
        <v>23818.396172333396</v>
      </c>
      <c r="AA22" s="533">
        <v>34451.741724165789</v>
      </c>
      <c r="AB22" s="533">
        <v>33222.715717653664</v>
      </c>
      <c r="AC22" s="533">
        <v>30110.290967177945</v>
      </c>
      <c r="AD22" s="533">
        <v>28922.717702781105</v>
      </c>
      <c r="AE22" s="533">
        <v>34532.161147931627</v>
      </c>
      <c r="AF22" s="533">
        <v>30103.844928940875</v>
      </c>
      <c r="AG22" s="533">
        <v>26603.276718278383</v>
      </c>
      <c r="AH22" s="533">
        <v>26714.359443100075</v>
      </c>
      <c r="AI22" s="533">
        <v>40370.62161006096</v>
      </c>
      <c r="AJ22" s="533">
        <v>42571.506750741144</v>
      </c>
      <c r="AK22" s="533">
        <v>34963.558149141951</v>
      </c>
      <c r="AL22" s="533">
        <v>38700.580017500237</v>
      </c>
      <c r="AM22" s="533">
        <v>38769.383876147826</v>
      </c>
      <c r="AN22" s="533">
        <v>38750.924156272849</v>
      </c>
      <c r="AO22" s="533">
        <v>41982.447517360888</v>
      </c>
      <c r="AP22" s="533">
        <v>37091.78975061958</v>
      </c>
      <c r="AQ22" s="533">
        <v>57479.341437148803</v>
      </c>
      <c r="AR22" s="533">
        <v>42436.091494125823</v>
      </c>
      <c r="AS22" s="533">
        <v>48467.510631874728</v>
      </c>
      <c r="AT22" s="533">
        <v>43766.19374855388</v>
      </c>
      <c r="AU22" s="533">
        <v>43751.220261671922</v>
      </c>
      <c r="AV22" s="533">
        <v>43168.524312416805</v>
      </c>
      <c r="AW22" s="533">
        <v>54777.149352958186</v>
      </c>
      <c r="AX22" s="533">
        <v>56565.334847755534</v>
      </c>
      <c r="AY22" s="533">
        <v>70806.799089933018</v>
      </c>
      <c r="AZ22" s="533">
        <v>90527.344397130335</v>
      </c>
      <c r="BA22" s="533">
        <v>96028.651392077169</v>
      </c>
      <c r="BB22" s="533">
        <v>76118.656717261925</v>
      </c>
      <c r="BC22" s="533">
        <v>80474.430639867147</v>
      </c>
      <c r="BD22" s="533">
        <v>77218.847195249997</v>
      </c>
      <c r="BE22" s="533">
        <v>98721.071718576917</v>
      </c>
      <c r="BF22" s="533">
        <v>111246.1864692542</v>
      </c>
      <c r="BG22" s="533">
        <v>123630.10038815008</v>
      </c>
      <c r="BH22" s="533">
        <v>137628.01191243459</v>
      </c>
      <c r="BI22" s="533">
        <v>145174.68787323617</v>
      </c>
      <c r="BJ22" s="533">
        <v>179768.03997429187</v>
      </c>
      <c r="BK22" s="533">
        <v>170478.7823330292</v>
      </c>
      <c r="BL22" s="533">
        <v>161000.1806050069</v>
      </c>
      <c r="BM22" s="533">
        <v>164772.99928111248</v>
      </c>
      <c r="BN22" s="533">
        <v>180117.91477136695</v>
      </c>
      <c r="BO22" s="533">
        <v>196966.81957067244</v>
      </c>
      <c r="BP22" s="533">
        <v>164974.35568354317</v>
      </c>
      <c r="BQ22" s="533">
        <v>205532.71512867292</v>
      </c>
      <c r="BR22" s="533">
        <v>233615.43440302191</v>
      </c>
      <c r="BS22" s="533">
        <v>237429.01184841729</v>
      </c>
      <c r="BT22" s="533">
        <v>229439.60619730927</v>
      </c>
      <c r="BU22" s="533">
        <v>264086.64914514747</v>
      </c>
      <c r="BV22" s="533">
        <v>227132.10828651127</v>
      </c>
      <c r="BW22" s="533">
        <v>243937.36260248709</v>
      </c>
      <c r="BX22" s="533">
        <v>234468.511852241</v>
      </c>
      <c r="BY22" s="533">
        <v>223431.57729376826</v>
      </c>
      <c r="BZ22" s="533">
        <v>280749.98540102836</v>
      </c>
      <c r="CA22" s="533">
        <v>259276.10367702376</v>
      </c>
      <c r="CB22" s="533">
        <v>238813.20075755485</v>
      </c>
      <c r="CC22" s="533">
        <v>291326.19892175758</v>
      </c>
      <c r="CD22" s="533">
        <v>332228.6903683822</v>
      </c>
      <c r="CE22" s="533">
        <v>366057.60420105705</v>
      </c>
      <c r="CF22" s="533">
        <v>332692.92225448351</v>
      </c>
      <c r="CG22" s="533">
        <v>306885.93879038072</v>
      </c>
      <c r="CH22" s="533">
        <v>326897.43717744708</v>
      </c>
      <c r="CI22" s="533">
        <v>345977.21981359209</v>
      </c>
      <c r="CJ22" s="533">
        <v>356196.03470418812</v>
      </c>
      <c r="CK22" s="533">
        <v>345138.7756166319</v>
      </c>
      <c r="CL22" s="533">
        <v>352278.96527660429</v>
      </c>
      <c r="CM22" s="533">
        <v>331072.12614123517</v>
      </c>
      <c r="CN22" s="533">
        <v>288516.44618739793</v>
      </c>
      <c r="CO22" s="533">
        <v>281109.40385980502</v>
      </c>
      <c r="CP22" s="533">
        <v>298079.43139751867</v>
      </c>
      <c r="CQ22" s="533">
        <v>298951.46021708444</v>
      </c>
      <c r="CR22" s="533">
        <v>308166.34326273529</v>
      </c>
      <c r="CS22" s="533">
        <v>284867.13106017641</v>
      </c>
      <c r="CT22" s="533">
        <v>297357.83912524022</v>
      </c>
      <c r="CU22" s="533">
        <v>295323.93049225374</v>
      </c>
      <c r="CV22" s="533">
        <v>314515.56371994573</v>
      </c>
      <c r="CW22" s="533">
        <v>370297.8490114939</v>
      </c>
      <c r="CX22" s="533">
        <v>363107.71730177087</v>
      </c>
      <c r="CY22" s="533">
        <v>312843.50544339872</v>
      </c>
      <c r="CZ22" s="533">
        <v>290773.28742760501</v>
      </c>
      <c r="DA22" s="533">
        <v>245961.29706358048</v>
      </c>
      <c r="DB22" s="533">
        <v>228788.83545939447</v>
      </c>
      <c r="DC22" s="533">
        <v>236889.84815945203</v>
      </c>
      <c r="DD22" s="479">
        <v>224507.99969644891</v>
      </c>
      <c r="DE22" s="479">
        <v>216242.61411776507</v>
      </c>
      <c r="DF22" s="479">
        <v>210178.16381137507</v>
      </c>
      <c r="DG22" s="479">
        <v>199296.28029635065</v>
      </c>
      <c r="DH22" s="479">
        <v>162926.06365316006</v>
      </c>
      <c r="DI22" s="479">
        <v>137350.36057499834</v>
      </c>
      <c r="DJ22" s="479">
        <v>168027.54636504498</v>
      </c>
      <c r="DK22" s="479">
        <v>151683.13655269722</v>
      </c>
      <c r="DL22" s="479">
        <v>140420.28511015893</v>
      </c>
      <c r="DM22" s="479">
        <v>146732.48401225373</v>
      </c>
      <c r="DN22" s="479">
        <v>145309.89309986381</v>
      </c>
      <c r="DO22" s="479">
        <v>146940.14293640625</v>
      </c>
      <c r="DP22" s="479">
        <v>181061.12408194668</v>
      </c>
      <c r="DQ22" s="479">
        <v>183160.03853034083</v>
      </c>
      <c r="DR22" s="479">
        <v>174470.07187032959</v>
      </c>
      <c r="DS22" s="479">
        <v>146450.01639286181</v>
      </c>
      <c r="DT22" s="479">
        <v>138211.80318640507</v>
      </c>
      <c r="DU22" s="479">
        <v>138841.27612053964</v>
      </c>
      <c r="DV22" s="479">
        <v>157659.00386504576</v>
      </c>
      <c r="DW22" s="479">
        <v>134233.95268593746</v>
      </c>
      <c r="DX22" s="479">
        <v>133075.68389919461</v>
      </c>
      <c r="DY22" s="479">
        <v>149892.21979515898</v>
      </c>
      <c r="DZ22" s="479">
        <v>166946.90620761373</v>
      </c>
      <c r="EA22" s="479">
        <v>206445.59285607078</v>
      </c>
      <c r="EB22" s="479">
        <v>133461.54425450499</v>
      </c>
      <c r="EC22" s="479">
        <v>81449.778673306471</v>
      </c>
    </row>
    <row r="23" spans="1:133" ht="17.25" customHeight="1" x14ac:dyDescent="0.25">
      <c r="A23" s="588"/>
      <c r="B23" s="482"/>
      <c r="C23" s="537"/>
      <c r="D23" s="537"/>
      <c r="E23" s="537"/>
      <c r="F23" s="538"/>
      <c r="G23" s="537"/>
      <c r="H23" s="539"/>
      <c r="I23" s="537"/>
      <c r="J23" s="537"/>
      <c r="K23" s="537"/>
      <c r="L23" s="537"/>
      <c r="M23" s="538"/>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483"/>
      <c r="DE23" s="483"/>
      <c r="DF23" s="483"/>
      <c r="DG23" s="483"/>
      <c r="DH23" s="483"/>
      <c r="DI23" s="483"/>
      <c r="DJ23" s="483"/>
      <c r="DK23" s="483"/>
      <c r="DL23" s="483"/>
      <c r="DM23" s="483"/>
      <c r="DN23" s="483"/>
      <c r="DO23" s="483"/>
      <c r="DP23" s="483"/>
      <c r="DQ23" s="483"/>
      <c r="DR23" s="483"/>
      <c r="DS23" s="483"/>
      <c r="DT23" s="483"/>
      <c r="DU23" s="483"/>
      <c r="DV23" s="483"/>
      <c r="DW23" s="483"/>
      <c r="DX23" s="483"/>
      <c r="DY23" s="483"/>
      <c r="DZ23" s="483"/>
      <c r="EA23" s="483"/>
      <c r="EB23" s="483"/>
      <c r="EC23" s="483"/>
    </row>
    <row r="24" spans="1:133" ht="17.25" customHeight="1" x14ac:dyDescent="0.25">
      <c r="A24" s="587" t="s">
        <v>423</v>
      </c>
      <c r="B24" s="478" t="s">
        <v>424</v>
      </c>
      <c r="C24" s="533">
        <v>6383.2490385549081</v>
      </c>
      <c r="D24" s="533">
        <v>6649.8405896661707</v>
      </c>
      <c r="E24" s="533">
        <v>7114.2721878804759</v>
      </c>
      <c r="F24" s="534">
        <v>8514.2723916826089</v>
      </c>
      <c r="G24" s="533">
        <v>7303.9531977657052</v>
      </c>
      <c r="H24" s="535">
        <v>6915.06683532226</v>
      </c>
      <c r="I24" s="533">
        <v>7351.6898221375768</v>
      </c>
      <c r="J24" s="533">
        <v>7413.8849713734871</v>
      </c>
      <c r="K24" s="533">
        <v>7834.4323220745764</v>
      </c>
      <c r="L24" s="533">
        <v>7607.2765266712577</v>
      </c>
      <c r="M24" s="534">
        <v>8447.5385416162244</v>
      </c>
      <c r="N24" s="533">
        <v>8554.2135511803626</v>
      </c>
      <c r="O24" s="533">
        <v>9073.511018862926</v>
      </c>
      <c r="P24" s="533">
        <v>5899.4864869296798</v>
      </c>
      <c r="Q24" s="533">
        <v>6416.5738889620161</v>
      </c>
      <c r="R24" s="533">
        <v>8286.586384338043</v>
      </c>
      <c r="S24" s="533">
        <v>8298.6934993518025</v>
      </c>
      <c r="T24" s="533">
        <v>8975.7309610712982</v>
      </c>
      <c r="U24" s="533">
        <v>8215.2288523839616</v>
      </c>
      <c r="V24" s="533">
        <v>7728.3014778496608</v>
      </c>
      <c r="W24" s="533">
        <v>8629.2179477669088</v>
      </c>
      <c r="X24" s="533">
        <v>9340.7354288686456</v>
      </c>
      <c r="Y24" s="533">
        <v>12455.983672407905</v>
      </c>
      <c r="Z24" s="533">
        <v>13814.342736707898</v>
      </c>
      <c r="AA24" s="533">
        <v>14568.723427268338</v>
      </c>
      <c r="AB24" s="533">
        <v>12229.331331489073</v>
      </c>
      <c r="AC24" s="533">
        <v>12616.693411344611</v>
      </c>
      <c r="AD24" s="533">
        <v>11780.312898310107</v>
      </c>
      <c r="AE24" s="533">
        <v>12642.616229038504</v>
      </c>
      <c r="AF24" s="533">
        <v>11514.791850246491</v>
      </c>
      <c r="AG24" s="533">
        <v>11408.89432211054</v>
      </c>
      <c r="AH24" s="533">
        <v>12066.10625621072</v>
      </c>
      <c r="AI24" s="533">
        <v>12795.007061236227</v>
      </c>
      <c r="AJ24" s="533">
        <v>13327.70138321153</v>
      </c>
      <c r="AK24" s="533">
        <v>12470.688510267537</v>
      </c>
      <c r="AL24" s="533">
        <v>12401.375957310336</v>
      </c>
      <c r="AM24" s="533">
        <v>16578.990062358636</v>
      </c>
      <c r="AN24" s="533">
        <v>14233.110935510573</v>
      </c>
      <c r="AO24" s="533">
        <v>11871.338927178003</v>
      </c>
      <c r="AP24" s="533">
        <v>13742.275090813202</v>
      </c>
      <c r="AQ24" s="533">
        <v>16301.614131301429</v>
      </c>
      <c r="AR24" s="533">
        <v>14028.447093499477</v>
      </c>
      <c r="AS24" s="533">
        <v>14139.58602274734</v>
      </c>
      <c r="AT24" s="533">
        <v>11506.650629684891</v>
      </c>
      <c r="AU24" s="533">
        <v>12165.676450732737</v>
      </c>
      <c r="AV24" s="533">
        <v>13579.916542724737</v>
      </c>
      <c r="AW24" s="533">
        <v>12725.279247709694</v>
      </c>
      <c r="AX24" s="533">
        <v>12737.41604833714</v>
      </c>
      <c r="AY24" s="533">
        <v>12124.612961108782</v>
      </c>
      <c r="AZ24" s="533">
        <v>11017.24773704162</v>
      </c>
      <c r="BA24" s="533">
        <v>11875.871985426129</v>
      </c>
      <c r="BB24" s="533">
        <v>11104.933083112432</v>
      </c>
      <c r="BC24" s="533">
        <v>10153.916028146237</v>
      </c>
      <c r="BD24" s="533">
        <v>10149.670348070938</v>
      </c>
      <c r="BE24" s="533">
        <v>12306.792525007198</v>
      </c>
      <c r="BF24" s="533">
        <v>12112.721526070703</v>
      </c>
      <c r="BG24" s="533">
        <v>11582.558207341845</v>
      </c>
      <c r="BH24" s="533">
        <v>9518.4790455101702</v>
      </c>
      <c r="BI24" s="533">
        <v>8681.0042345374677</v>
      </c>
      <c r="BJ24" s="533">
        <v>7713.9847456788284</v>
      </c>
      <c r="BK24" s="533">
        <v>10163.115702151084</v>
      </c>
      <c r="BL24" s="533">
        <v>12977.486856481886</v>
      </c>
      <c r="BM24" s="533">
        <v>9168.8171159211252</v>
      </c>
      <c r="BN24" s="533">
        <v>8811.5464913536125</v>
      </c>
      <c r="BO24" s="533">
        <v>11821.644279738002</v>
      </c>
      <c r="BP24" s="533">
        <v>13645.589335515086</v>
      </c>
      <c r="BQ24" s="533">
        <v>13612.214057874427</v>
      </c>
      <c r="BR24" s="533">
        <v>13680.717392060966</v>
      </c>
      <c r="BS24" s="533">
        <v>12760.772569695599</v>
      </c>
      <c r="BT24" s="533">
        <v>24013.506030372882</v>
      </c>
      <c r="BU24" s="533">
        <v>23013.201073529097</v>
      </c>
      <c r="BV24" s="533">
        <v>18677.003819306119</v>
      </c>
      <c r="BW24" s="533">
        <v>16736.971253524825</v>
      </c>
      <c r="BX24" s="533">
        <v>16341.12426787452</v>
      </c>
      <c r="BY24" s="533">
        <v>8331.8106840226228</v>
      </c>
      <c r="BZ24" s="533">
        <v>18461.318596219749</v>
      </c>
      <c r="CA24" s="533">
        <v>18557.850228962649</v>
      </c>
      <c r="CB24" s="533">
        <v>20120.93315196945</v>
      </c>
      <c r="CC24" s="533">
        <v>21892.161488708211</v>
      </c>
      <c r="CD24" s="533">
        <v>19769.976753474097</v>
      </c>
      <c r="CE24" s="533">
        <v>19424.047709338327</v>
      </c>
      <c r="CF24" s="533">
        <v>18861.794187661322</v>
      </c>
      <c r="CG24" s="533">
        <v>20053.202827854817</v>
      </c>
      <c r="CH24" s="533">
        <v>25084.961723414857</v>
      </c>
      <c r="CI24" s="533">
        <v>24469.048413259949</v>
      </c>
      <c r="CJ24" s="533">
        <v>23530.975873098447</v>
      </c>
      <c r="CK24" s="533">
        <v>22241.974738439789</v>
      </c>
      <c r="CL24" s="533">
        <v>21840.044962163753</v>
      </c>
      <c r="CM24" s="533">
        <v>20331.502870957593</v>
      </c>
      <c r="CN24" s="533">
        <v>19280.85071621116</v>
      </c>
      <c r="CO24" s="533">
        <v>27604.694450787036</v>
      </c>
      <c r="CP24" s="533">
        <v>26935.272888946314</v>
      </c>
      <c r="CQ24" s="533">
        <v>26263.908825751721</v>
      </c>
      <c r="CR24" s="533">
        <v>23970.443309422441</v>
      </c>
      <c r="CS24" s="533">
        <v>24072.447682477483</v>
      </c>
      <c r="CT24" s="533">
        <v>21775.253964864623</v>
      </c>
      <c r="CU24" s="533">
        <v>23393.112546856104</v>
      </c>
      <c r="CV24" s="533">
        <v>25576.786002686127</v>
      </c>
      <c r="CW24" s="533">
        <v>26435.227941971436</v>
      </c>
      <c r="CX24" s="533">
        <v>25675.635647600808</v>
      </c>
      <c r="CY24" s="533">
        <v>22615.936895204573</v>
      </c>
      <c r="CZ24" s="533">
        <v>14873.142389816247</v>
      </c>
      <c r="DA24" s="533">
        <v>14760.620502544829</v>
      </c>
      <c r="DB24" s="533">
        <v>14726.619122892487</v>
      </c>
      <c r="DC24" s="533">
        <v>16138.105107426947</v>
      </c>
      <c r="DD24" s="479">
        <v>13998.813096603109</v>
      </c>
      <c r="DE24" s="479">
        <v>14965.689715532197</v>
      </c>
      <c r="DF24" s="479">
        <v>15091.165610121518</v>
      </c>
      <c r="DG24" s="479">
        <v>16380.913855891731</v>
      </c>
      <c r="DH24" s="479">
        <v>15437.529762923561</v>
      </c>
      <c r="DI24" s="479">
        <v>16929.732938862195</v>
      </c>
      <c r="DJ24" s="479">
        <v>18409.350164106458</v>
      </c>
      <c r="DK24" s="479">
        <v>16625.771401019141</v>
      </c>
      <c r="DL24" s="479">
        <v>17474.593291096346</v>
      </c>
      <c r="DM24" s="479">
        <v>17038.991399696199</v>
      </c>
      <c r="DN24" s="479">
        <v>18456.822239132885</v>
      </c>
      <c r="DO24" s="479">
        <v>17768.908608686761</v>
      </c>
      <c r="DP24" s="479">
        <v>18592.736764077152</v>
      </c>
      <c r="DQ24" s="479">
        <v>18909.718441675181</v>
      </c>
      <c r="DR24" s="479">
        <v>18055.551455303881</v>
      </c>
      <c r="DS24" s="479">
        <v>18153.567145530498</v>
      </c>
      <c r="DT24" s="479">
        <v>18922.086422444208</v>
      </c>
      <c r="DU24" s="479">
        <v>19688.046935321312</v>
      </c>
      <c r="DV24" s="479">
        <v>19439.865808456318</v>
      </c>
      <c r="DW24" s="479">
        <v>18791.609332512526</v>
      </c>
      <c r="DX24" s="479">
        <v>20283.223932237834</v>
      </c>
      <c r="DY24" s="479">
        <v>20254.24131475843</v>
      </c>
      <c r="DZ24" s="479">
        <v>20902.924293922468</v>
      </c>
      <c r="EA24" s="479">
        <v>21455.964240259425</v>
      </c>
      <c r="EB24" s="479">
        <v>18149.883532931453</v>
      </c>
      <c r="EC24" s="479">
        <v>20134.856145641443</v>
      </c>
    </row>
    <row r="25" spans="1:133" ht="17.25" customHeight="1" x14ac:dyDescent="0.25">
      <c r="A25" s="588"/>
      <c r="B25" s="482"/>
      <c r="C25" s="537"/>
      <c r="D25" s="537"/>
      <c r="E25" s="537"/>
      <c r="F25" s="538"/>
      <c r="G25" s="537"/>
      <c r="H25" s="539"/>
      <c r="I25" s="537"/>
      <c r="J25" s="537"/>
      <c r="K25" s="537"/>
      <c r="L25" s="537"/>
      <c r="M25" s="538"/>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483"/>
      <c r="DE25" s="483"/>
      <c r="DF25" s="483"/>
      <c r="DG25" s="483"/>
      <c r="DH25" s="483"/>
      <c r="DI25" s="483"/>
      <c r="DJ25" s="483"/>
      <c r="DK25" s="483"/>
      <c r="DL25" s="483"/>
      <c r="DM25" s="483"/>
      <c r="DN25" s="483"/>
      <c r="DO25" s="483"/>
      <c r="DP25" s="483"/>
      <c r="DQ25" s="483"/>
      <c r="DR25" s="483"/>
      <c r="DS25" s="483"/>
      <c r="DT25" s="483"/>
      <c r="DU25" s="483"/>
      <c r="DV25" s="483"/>
      <c r="DW25" s="483"/>
      <c r="DX25" s="483"/>
      <c r="DY25" s="483"/>
      <c r="DZ25" s="483"/>
      <c r="EA25" s="483"/>
      <c r="EB25" s="483"/>
      <c r="EC25" s="483"/>
    </row>
    <row r="26" spans="1:133" ht="17.25" customHeight="1" x14ac:dyDescent="0.25">
      <c r="A26" s="587" t="s">
        <v>425</v>
      </c>
      <c r="B26" s="478" t="s">
        <v>426</v>
      </c>
      <c r="C26" s="533">
        <v>11014.033481526913</v>
      </c>
      <c r="D26" s="533">
        <v>11048.727608207602</v>
      </c>
      <c r="E26" s="533">
        <v>11113.043092204985</v>
      </c>
      <c r="F26" s="534">
        <v>11153.496667586149</v>
      </c>
      <c r="G26" s="533">
        <v>11298.29312364251</v>
      </c>
      <c r="H26" s="535">
        <v>11278.38058623231</v>
      </c>
      <c r="I26" s="533">
        <v>11519.591591549974</v>
      </c>
      <c r="J26" s="533">
        <v>11540.759456266354</v>
      </c>
      <c r="K26" s="533">
        <v>11567.307409254552</v>
      </c>
      <c r="L26" s="533">
        <v>11603.499793669256</v>
      </c>
      <c r="M26" s="534">
        <v>11633.93335772253</v>
      </c>
      <c r="N26" s="533">
        <v>11807.799435036495</v>
      </c>
      <c r="O26" s="533">
        <v>11950.837410409435</v>
      </c>
      <c r="P26" s="533">
        <v>11977.17019824984</v>
      </c>
      <c r="Q26" s="533">
        <v>12000.18354502578</v>
      </c>
      <c r="R26" s="533">
        <v>12139.855507300956</v>
      </c>
      <c r="S26" s="533">
        <v>12169.938106646932</v>
      </c>
      <c r="T26" s="533">
        <v>12150.793829544418</v>
      </c>
      <c r="U26" s="533">
        <v>12221.782184337251</v>
      </c>
      <c r="V26" s="533">
        <v>12246.514085820239</v>
      </c>
      <c r="W26" s="533">
        <v>12221.421608163026</v>
      </c>
      <c r="X26" s="533">
        <v>12295.28914683382</v>
      </c>
      <c r="Y26" s="533">
        <v>12382.660895437844</v>
      </c>
      <c r="Z26" s="533">
        <v>12461.038735059528</v>
      </c>
      <c r="AA26" s="533">
        <v>12616.279351228695</v>
      </c>
      <c r="AB26" s="533">
        <v>12624.981711947359</v>
      </c>
      <c r="AC26" s="533">
        <v>12635.224624657145</v>
      </c>
      <c r="AD26" s="533">
        <v>12732.488328174561</v>
      </c>
      <c r="AE26" s="533">
        <v>12803.934268793244</v>
      </c>
      <c r="AF26" s="533">
        <v>12914.352655954235</v>
      </c>
      <c r="AG26" s="533">
        <v>13034.980613430849</v>
      </c>
      <c r="AH26" s="533">
        <v>13065.772707911896</v>
      </c>
      <c r="AI26" s="533">
        <v>13111.795636254179</v>
      </c>
      <c r="AJ26" s="533">
        <v>13135.517572718358</v>
      </c>
      <c r="AK26" s="533">
        <v>13340.71964781003</v>
      </c>
      <c r="AL26" s="533">
        <v>13385.633625959959</v>
      </c>
      <c r="AM26" s="533">
        <v>13497.897804176378</v>
      </c>
      <c r="AN26" s="533">
        <v>13542.863819914795</v>
      </c>
      <c r="AO26" s="533">
        <v>13847.265824195511</v>
      </c>
      <c r="AP26" s="533">
        <v>13895.378361877878</v>
      </c>
      <c r="AQ26" s="533">
        <v>14061.225677049795</v>
      </c>
      <c r="AR26" s="533">
        <v>14129.948875812004</v>
      </c>
      <c r="AS26" s="533">
        <v>14867.49662544334</v>
      </c>
      <c r="AT26" s="533">
        <v>15016.376592499861</v>
      </c>
      <c r="AU26" s="533">
        <v>14883.294521875829</v>
      </c>
      <c r="AV26" s="533">
        <v>15041.956249365756</v>
      </c>
      <c r="AW26" s="533">
        <v>15235.583839148105</v>
      </c>
      <c r="AX26" s="533">
        <v>15416.093372723208</v>
      </c>
      <c r="AY26" s="533">
        <v>15511.952693063038</v>
      </c>
      <c r="AZ26" s="533">
        <v>15628.316686064878</v>
      </c>
      <c r="BA26" s="533">
        <v>15724.480587961425</v>
      </c>
      <c r="BB26" s="533">
        <v>15728.165902294089</v>
      </c>
      <c r="BC26" s="533">
        <v>15948.920227210907</v>
      </c>
      <c r="BD26" s="533">
        <v>16046.530928559725</v>
      </c>
      <c r="BE26" s="533">
        <v>16179.164306182563</v>
      </c>
      <c r="BF26" s="533">
        <v>16186.430466736743</v>
      </c>
      <c r="BG26" s="533">
        <v>16268.813904278057</v>
      </c>
      <c r="BH26" s="533">
        <v>16370.446699364229</v>
      </c>
      <c r="BI26" s="533">
        <v>16665.968852907914</v>
      </c>
      <c r="BJ26" s="533">
        <v>16991.67181004403</v>
      </c>
      <c r="BK26" s="533">
        <v>17384.710621928669</v>
      </c>
      <c r="BL26" s="533">
        <v>17365.152191463854</v>
      </c>
      <c r="BM26" s="533">
        <v>17523.195378059605</v>
      </c>
      <c r="BN26" s="533">
        <v>17892.213160755415</v>
      </c>
      <c r="BO26" s="533">
        <v>17974.062573762763</v>
      </c>
      <c r="BP26" s="533">
        <v>19541.268493632055</v>
      </c>
      <c r="BQ26" s="533">
        <v>19839.07444869414</v>
      </c>
      <c r="BR26" s="533">
        <v>19881.415035014634</v>
      </c>
      <c r="BS26" s="533">
        <v>19895.270451295564</v>
      </c>
      <c r="BT26" s="533">
        <v>20065.058771296935</v>
      </c>
      <c r="BU26" s="533">
        <v>20064.027496214749</v>
      </c>
      <c r="BV26" s="533">
        <v>20196.003639849067</v>
      </c>
      <c r="BW26" s="533">
        <v>20558.658169025657</v>
      </c>
      <c r="BX26" s="533">
        <v>20793.085392956549</v>
      </c>
      <c r="BY26" s="533">
        <v>21056.009486298484</v>
      </c>
      <c r="BZ26" s="533">
        <v>21211.197226594864</v>
      </c>
      <c r="CA26" s="533">
        <v>21326.651264443</v>
      </c>
      <c r="CB26" s="533">
        <v>21456.918350381893</v>
      </c>
      <c r="CC26" s="533">
        <v>21790.382353207417</v>
      </c>
      <c r="CD26" s="533">
        <v>21813.765446692763</v>
      </c>
      <c r="CE26" s="533">
        <v>21821.621603021606</v>
      </c>
      <c r="CF26" s="533">
        <v>21858.585494262614</v>
      </c>
      <c r="CG26" s="533">
        <v>21896.466863457536</v>
      </c>
      <c r="CH26" s="533">
        <v>22339.695730386007</v>
      </c>
      <c r="CI26" s="533">
        <v>22562.627234666605</v>
      </c>
      <c r="CJ26" s="533">
        <v>21198.993556181529</v>
      </c>
      <c r="CK26" s="533">
        <v>20989.900446220578</v>
      </c>
      <c r="CL26" s="533">
        <v>20999.00918223854</v>
      </c>
      <c r="CM26" s="533">
        <v>21074.540085685647</v>
      </c>
      <c r="CN26" s="533">
        <v>21108.568285388013</v>
      </c>
      <c r="CO26" s="533">
        <v>21466.921812800294</v>
      </c>
      <c r="CP26" s="533">
        <v>21670.397031735833</v>
      </c>
      <c r="CQ26" s="533">
        <v>21722.483108871726</v>
      </c>
      <c r="CR26" s="533">
        <v>21755.276499939078</v>
      </c>
      <c r="CS26" s="533">
        <v>21693.701409915764</v>
      </c>
      <c r="CT26" s="533">
        <v>21773.99069525153</v>
      </c>
      <c r="CU26" s="533">
        <v>21767.139061038757</v>
      </c>
      <c r="CV26" s="533">
        <v>21768.024056184444</v>
      </c>
      <c r="CW26" s="533">
        <v>21789.667662884174</v>
      </c>
      <c r="CX26" s="533">
        <v>21919.728767470304</v>
      </c>
      <c r="CY26" s="533">
        <v>21922.52917172237</v>
      </c>
      <c r="CZ26" s="533">
        <v>21899.189093248657</v>
      </c>
      <c r="DA26" s="533">
        <v>22030.605270988261</v>
      </c>
      <c r="DB26" s="533">
        <v>22142.547430580122</v>
      </c>
      <c r="DC26" s="533">
        <v>22110.232217238514</v>
      </c>
      <c r="DD26" s="479">
        <v>22011.968287195839</v>
      </c>
      <c r="DE26" s="479">
        <v>21973.051377668962</v>
      </c>
      <c r="DF26" s="479">
        <v>22022.779691456803</v>
      </c>
      <c r="DG26" s="479">
        <v>22198.046125911344</v>
      </c>
      <c r="DH26" s="479">
        <v>22250.094945873188</v>
      </c>
      <c r="DI26" s="479">
        <v>22451.788501331364</v>
      </c>
      <c r="DJ26" s="479">
        <v>23806.14403392691</v>
      </c>
      <c r="DK26" s="479">
        <v>23978.770974241517</v>
      </c>
      <c r="DL26" s="479">
        <v>24017.583107453953</v>
      </c>
      <c r="DM26" s="479">
        <v>24137.343537317305</v>
      </c>
      <c r="DN26" s="479">
        <v>24140.564619004457</v>
      </c>
      <c r="DO26" s="479">
        <v>24141.564087079951</v>
      </c>
      <c r="DP26" s="479">
        <v>24221.549891363655</v>
      </c>
      <c r="DQ26" s="479">
        <v>24242.067375324197</v>
      </c>
      <c r="DR26" s="479">
        <v>24273.205548110891</v>
      </c>
      <c r="DS26" s="479">
        <v>24283.40577055372</v>
      </c>
      <c r="DT26" s="479">
        <v>24298.775407468009</v>
      </c>
      <c r="DU26" s="479">
        <v>24336.764815885352</v>
      </c>
      <c r="DV26" s="479">
        <v>24417.929159778458</v>
      </c>
      <c r="DW26" s="479">
        <v>24561.972366705511</v>
      </c>
      <c r="DX26" s="479">
        <v>24609.340597408685</v>
      </c>
      <c r="DY26" s="479">
        <v>24637.083965851118</v>
      </c>
      <c r="DZ26" s="479">
        <v>24651.2389265942</v>
      </c>
      <c r="EA26" s="479">
        <v>24736.880190148837</v>
      </c>
      <c r="EB26" s="479">
        <v>24882.649394728232</v>
      </c>
      <c r="EC26" s="479">
        <v>24825.861472844212</v>
      </c>
    </row>
    <row r="27" spans="1:133" ht="17.25" customHeight="1" x14ac:dyDescent="0.25">
      <c r="A27" s="588"/>
      <c r="B27" s="482"/>
      <c r="C27" s="502"/>
      <c r="D27" s="502"/>
      <c r="E27" s="502"/>
      <c r="F27" s="541"/>
      <c r="G27" s="502"/>
      <c r="H27" s="542"/>
      <c r="I27" s="502"/>
      <c r="J27" s="502"/>
      <c r="K27" s="502"/>
      <c r="L27" s="502"/>
      <c r="M27" s="541"/>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02"/>
      <c r="BZ27" s="502"/>
      <c r="CA27" s="502"/>
      <c r="CB27" s="502"/>
      <c r="CC27" s="502"/>
      <c r="CD27" s="502"/>
      <c r="CE27" s="502"/>
      <c r="CF27" s="502"/>
      <c r="CG27" s="502"/>
      <c r="CH27" s="502"/>
      <c r="CI27" s="502"/>
      <c r="CJ27" s="502"/>
      <c r="CK27" s="502"/>
      <c r="CL27" s="502"/>
      <c r="CM27" s="502"/>
      <c r="CN27" s="502"/>
      <c r="CO27" s="502"/>
      <c r="CP27" s="502"/>
      <c r="CQ27" s="502"/>
      <c r="CR27" s="502"/>
      <c r="CS27" s="502"/>
      <c r="CT27" s="502"/>
      <c r="CU27" s="502"/>
      <c r="CV27" s="502"/>
      <c r="CW27" s="502"/>
      <c r="CX27" s="502"/>
      <c r="CY27" s="502"/>
      <c r="CZ27" s="502"/>
      <c r="DA27" s="502"/>
      <c r="DB27" s="502"/>
      <c r="DC27" s="502"/>
      <c r="DD27" s="484"/>
      <c r="DE27" s="484"/>
      <c r="DF27" s="484"/>
      <c r="DG27" s="484"/>
      <c r="DH27" s="484"/>
      <c r="DI27" s="484"/>
      <c r="DJ27" s="484"/>
      <c r="DK27" s="484"/>
      <c r="DL27" s="484"/>
      <c r="DM27" s="484"/>
      <c r="DN27" s="484"/>
      <c r="DO27" s="484"/>
      <c r="DP27" s="484"/>
      <c r="DQ27" s="484"/>
      <c r="DR27" s="484"/>
      <c r="DS27" s="484"/>
      <c r="DT27" s="484"/>
      <c r="DU27" s="484"/>
      <c r="DV27" s="484"/>
      <c r="DW27" s="484"/>
      <c r="DX27" s="484"/>
      <c r="DY27" s="484"/>
      <c r="DZ27" s="484"/>
      <c r="EA27" s="484"/>
      <c r="EB27" s="484"/>
      <c r="EC27" s="484"/>
    </row>
    <row r="28" spans="1:133" ht="17.25" customHeight="1" x14ac:dyDescent="0.25">
      <c r="A28" s="587"/>
      <c r="B28" s="478" t="s">
        <v>427</v>
      </c>
      <c r="C28" s="533">
        <v>471311.56792716432</v>
      </c>
      <c r="D28" s="533">
        <v>458405.79961119429</v>
      </c>
      <c r="E28" s="533">
        <v>471368.36617523001</v>
      </c>
      <c r="F28" s="534">
        <v>487597.21233473998</v>
      </c>
      <c r="G28" s="533">
        <v>490699.53375006304</v>
      </c>
      <c r="H28" s="535">
        <v>509422.04600683041</v>
      </c>
      <c r="I28" s="533">
        <v>496790.44643401378</v>
      </c>
      <c r="J28" s="533">
        <v>506831.090651448</v>
      </c>
      <c r="K28" s="533">
        <v>536189.32489575329</v>
      </c>
      <c r="L28" s="533">
        <v>539946.7159698375</v>
      </c>
      <c r="M28" s="534">
        <v>536591.34873983543</v>
      </c>
      <c r="N28" s="533">
        <v>565086.19033303193</v>
      </c>
      <c r="O28" s="533">
        <v>553754.69138722611</v>
      </c>
      <c r="P28" s="533">
        <v>563618.70857038384</v>
      </c>
      <c r="Q28" s="533">
        <v>575394.00702426536</v>
      </c>
      <c r="R28" s="533">
        <v>605259.06123920635</v>
      </c>
      <c r="S28" s="533">
        <v>608440.06014277297</v>
      </c>
      <c r="T28" s="533">
        <v>637096.64947550418</v>
      </c>
      <c r="U28" s="533">
        <v>661145.8894725315</v>
      </c>
      <c r="V28" s="533">
        <v>633159.18734289054</v>
      </c>
      <c r="W28" s="533">
        <v>636947.78133060329</v>
      </c>
      <c r="X28" s="533">
        <v>655844.07059561671</v>
      </c>
      <c r="Y28" s="533">
        <v>662667.18801874912</v>
      </c>
      <c r="Z28" s="533">
        <v>664628.03592560661</v>
      </c>
      <c r="AA28" s="533">
        <v>695845.12316598266</v>
      </c>
      <c r="AB28" s="533">
        <v>714781.22867027926</v>
      </c>
      <c r="AC28" s="533">
        <v>729675.19286680454</v>
      </c>
      <c r="AD28" s="533">
        <v>737089.28856492438</v>
      </c>
      <c r="AE28" s="533">
        <v>740351.71167019883</v>
      </c>
      <c r="AF28" s="533">
        <v>780083.3295117286</v>
      </c>
      <c r="AG28" s="533">
        <v>758266.41427968536</v>
      </c>
      <c r="AH28" s="533">
        <v>788136.06321539462</v>
      </c>
      <c r="AI28" s="533">
        <v>784205.4456981275</v>
      </c>
      <c r="AJ28" s="533">
        <v>769965.96097859775</v>
      </c>
      <c r="AK28" s="533">
        <v>756096.5212078559</v>
      </c>
      <c r="AL28" s="533">
        <v>797078.89871579094</v>
      </c>
      <c r="AM28" s="533">
        <v>810394.94968197751</v>
      </c>
      <c r="AN28" s="533">
        <v>828459.34888786869</v>
      </c>
      <c r="AO28" s="533">
        <v>819943.30276826583</v>
      </c>
      <c r="AP28" s="533">
        <v>803102.41851690516</v>
      </c>
      <c r="AQ28" s="533">
        <v>860616.11619672494</v>
      </c>
      <c r="AR28" s="533">
        <v>844613.98383109039</v>
      </c>
      <c r="AS28" s="533">
        <v>847548.11865141056</v>
      </c>
      <c r="AT28" s="533">
        <v>846906.62767257448</v>
      </c>
      <c r="AU28" s="533">
        <v>856623.22336467297</v>
      </c>
      <c r="AV28" s="533">
        <v>849664.16610216291</v>
      </c>
      <c r="AW28" s="533">
        <v>850875.33540920669</v>
      </c>
      <c r="AX28" s="533">
        <v>845763.63654899003</v>
      </c>
      <c r="AY28" s="533">
        <v>857777.29400790727</v>
      </c>
      <c r="AZ28" s="533">
        <v>873787.36227380787</v>
      </c>
      <c r="BA28" s="533">
        <v>878017.7705192311</v>
      </c>
      <c r="BB28" s="533">
        <v>860432.47357552964</v>
      </c>
      <c r="BC28" s="533">
        <v>860188.9541019632</v>
      </c>
      <c r="BD28" s="533">
        <v>848848.64170295815</v>
      </c>
      <c r="BE28" s="533">
        <v>894608.69760575343</v>
      </c>
      <c r="BF28" s="533">
        <v>915505.73865312291</v>
      </c>
      <c r="BG28" s="533">
        <v>937137.81343298568</v>
      </c>
      <c r="BH28" s="533">
        <v>958041.17726875655</v>
      </c>
      <c r="BI28" s="533">
        <v>958842.1455475667</v>
      </c>
      <c r="BJ28" s="533">
        <v>1070992.4571643467</v>
      </c>
      <c r="BK28" s="533">
        <v>1055271.1206003062</v>
      </c>
      <c r="BL28" s="533">
        <v>997219.36388874415</v>
      </c>
      <c r="BM28" s="533">
        <v>1035500.4015942985</v>
      </c>
      <c r="BN28" s="533">
        <v>1056066.0486383529</v>
      </c>
      <c r="BO28" s="533">
        <v>1077273.9333575058</v>
      </c>
      <c r="BP28" s="533">
        <v>1058366.3717629386</v>
      </c>
      <c r="BQ28" s="533">
        <v>1106725.2287313228</v>
      </c>
      <c r="BR28" s="533">
        <v>1122998.4580237856</v>
      </c>
      <c r="BS28" s="533">
        <v>1131601.8792808035</v>
      </c>
      <c r="BT28" s="533">
        <v>1099361.3938665676</v>
      </c>
      <c r="BU28" s="533">
        <v>1166032.9445951278</v>
      </c>
      <c r="BV28" s="533">
        <v>1094115.9506793264</v>
      </c>
      <c r="BW28" s="533">
        <v>1160356.9790443636</v>
      </c>
      <c r="BX28" s="533">
        <v>1134584.961710559</v>
      </c>
      <c r="BY28" s="533">
        <v>1112955.0925948888</v>
      </c>
      <c r="BZ28" s="533">
        <v>1198674.0724062677</v>
      </c>
      <c r="CA28" s="533">
        <v>1181223.9003387662</v>
      </c>
      <c r="CB28" s="533">
        <v>1211293.1754387375</v>
      </c>
      <c r="CC28" s="533">
        <v>1221711.2032623517</v>
      </c>
      <c r="CD28" s="533">
        <v>1235903.3137268671</v>
      </c>
      <c r="CE28" s="533">
        <v>1274384.0037559315</v>
      </c>
      <c r="CF28" s="533">
        <v>1295912.2835303352</v>
      </c>
      <c r="CG28" s="533">
        <v>1274120.3794816772</v>
      </c>
      <c r="CH28" s="533">
        <v>1311993.346262435</v>
      </c>
      <c r="CI28" s="533">
        <v>1302799.933905883</v>
      </c>
      <c r="CJ28" s="533">
        <v>1336708.8400578236</v>
      </c>
      <c r="CK28" s="533">
        <v>1291958.9124607658</v>
      </c>
      <c r="CL28" s="533">
        <v>1315134.6475510746</v>
      </c>
      <c r="CM28" s="533">
        <v>1318305.6145117909</v>
      </c>
      <c r="CN28" s="533">
        <v>1292269.3594599015</v>
      </c>
      <c r="CO28" s="533">
        <v>1298120.7727997475</v>
      </c>
      <c r="CP28" s="533">
        <v>1328344.738319339</v>
      </c>
      <c r="CQ28" s="533">
        <v>1295942.0223781262</v>
      </c>
      <c r="CR28" s="533">
        <v>1339915.7211470155</v>
      </c>
      <c r="CS28" s="533">
        <v>1328981.7561254341</v>
      </c>
      <c r="CT28" s="533">
        <v>1367299.7785201175</v>
      </c>
      <c r="CU28" s="533">
        <v>1346126.8034570767</v>
      </c>
      <c r="CV28" s="533">
        <v>1401146.8867968624</v>
      </c>
      <c r="CW28" s="533">
        <v>1437709.198247212</v>
      </c>
      <c r="CX28" s="533">
        <v>1425057.8552799604</v>
      </c>
      <c r="CY28" s="533">
        <v>1355225.2935294721</v>
      </c>
      <c r="CZ28" s="533">
        <v>1347066.8456805258</v>
      </c>
      <c r="DA28" s="533">
        <v>1337575.1882134248</v>
      </c>
      <c r="DB28" s="533">
        <v>1290068.1048533451</v>
      </c>
      <c r="DC28" s="533">
        <v>1308970.542030727</v>
      </c>
      <c r="DD28" s="479">
        <v>1312688.1238442992</v>
      </c>
      <c r="DE28" s="479">
        <v>1301376.0418925567</v>
      </c>
      <c r="DF28" s="479">
        <v>1281129.753076937</v>
      </c>
      <c r="DG28" s="479">
        <v>1268393.3452365631</v>
      </c>
      <c r="DH28" s="479">
        <v>1249180.0291490473</v>
      </c>
      <c r="DI28" s="479">
        <v>1238084.4632689934</v>
      </c>
      <c r="DJ28" s="479">
        <v>1328751.9980645983</v>
      </c>
      <c r="DK28" s="479">
        <v>1361867.4050801324</v>
      </c>
      <c r="DL28" s="479">
        <v>1337655.2811770877</v>
      </c>
      <c r="DM28" s="479">
        <v>1362220.9111913845</v>
      </c>
      <c r="DN28" s="479">
        <v>1382301.4725315513</v>
      </c>
      <c r="DO28" s="479">
        <v>1385494.9291409315</v>
      </c>
      <c r="DP28" s="479">
        <v>1504433.562228183</v>
      </c>
      <c r="DQ28" s="479">
        <v>1495169.4640303906</v>
      </c>
      <c r="DR28" s="479">
        <v>1433350.33450782</v>
      </c>
      <c r="DS28" s="479">
        <v>1392360.9066897326</v>
      </c>
      <c r="DT28" s="479">
        <v>1390788.669369587</v>
      </c>
      <c r="DU28" s="479">
        <v>1375021.8172715178</v>
      </c>
      <c r="DV28" s="479">
        <v>1388850.2532668235</v>
      </c>
      <c r="DW28" s="479">
        <v>1387145.4200737812</v>
      </c>
      <c r="DX28" s="479">
        <v>1388738.6579590752</v>
      </c>
      <c r="DY28" s="479">
        <v>1411260.1133669897</v>
      </c>
      <c r="DZ28" s="479">
        <v>1451882.4582397216</v>
      </c>
      <c r="EA28" s="479">
        <v>1498510.6753542603</v>
      </c>
      <c r="EB28" s="479">
        <v>1386006.3822214834</v>
      </c>
      <c r="EC28" s="479">
        <v>1345054.1494216439</v>
      </c>
    </row>
    <row r="29" spans="1:133" ht="16.5" thickBot="1" x14ac:dyDescent="0.3">
      <c r="A29" s="589"/>
      <c r="B29" s="488"/>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8"/>
      <c r="DE29" s="548"/>
      <c r="DF29" s="548"/>
      <c r="DG29" s="548"/>
      <c r="DH29" s="548"/>
      <c r="DI29" s="548"/>
      <c r="DJ29" s="548"/>
      <c r="DK29" s="548"/>
      <c r="DL29" s="548"/>
      <c r="DM29" s="548"/>
      <c r="DN29" s="548"/>
      <c r="DO29" s="548"/>
      <c r="DP29" s="548"/>
      <c r="DQ29" s="548"/>
      <c r="DR29" s="548"/>
      <c r="DS29" s="548"/>
      <c r="DT29" s="548"/>
      <c r="DU29" s="548"/>
      <c r="DV29" s="548"/>
      <c r="DW29" s="548"/>
      <c r="DX29" s="548"/>
      <c r="DY29" s="548"/>
      <c r="DZ29" s="548"/>
      <c r="EA29" s="548"/>
      <c r="EB29" s="548"/>
      <c r="EC29" s="548"/>
    </row>
    <row r="30" spans="1:133" s="172" customFormat="1" ht="16.5" hidden="1" thickTop="1" x14ac:dyDescent="0.25">
      <c r="A30" s="590"/>
      <c r="B30" s="549"/>
      <c r="C30" s="550"/>
      <c r="D30" s="550"/>
      <c r="E30" s="550"/>
      <c r="F30" s="550"/>
      <c r="G30" s="550"/>
      <c r="H30" s="551"/>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494"/>
      <c r="AW30" s="550"/>
      <c r="AX30" s="550"/>
      <c r="AY30" s="550"/>
      <c r="AZ30" s="550"/>
      <c r="BA30" s="550"/>
      <c r="BB30" s="550"/>
      <c r="BC30" s="550"/>
      <c r="BD30" s="550"/>
      <c r="BE30" s="550"/>
      <c r="BF30" s="550"/>
      <c r="BG30" s="550"/>
      <c r="BH30" s="550"/>
      <c r="BI30" s="550"/>
      <c r="BJ30" s="550"/>
      <c r="BK30" s="550"/>
      <c r="BL30" s="550"/>
      <c r="BM30" s="550"/>
      <c r="BN30" s="550"/>
      <c r="BO30" s="550"/>
      <c r="BP30" s="550"/>
      <c r="BQ30" s="550"/>
      <c r="BR30" s="550"/>
      <c r="BS30" s="550"/>
      <c r="BT30" s="550"/>
      <c r="BU30" s="550"/>
      <c r="BV30" s="550"/>
      <c r="BW30" s="550"/>
      <c r="BX30" s="550"/>
      <c r="BY30" s="550"/>
      <c r="BZ30" s="550"/>
      <c r="CA30" s="550"/>
      <c r="CB30" s="550"/>
      <c r="CC30" s="550"/>
      <c r="CD30" s="550"/>
      <c r="CE30" s="550"/>
      <c r="CF30" s="550"/>
      <c r="CG30" s="550"/>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494"/>
      <c r="DE30" s="494"/>
      <c r="DF30" s="494"/>
      <c r="DG30" s="494"/>
      <c r="DH30" s="494"/>
      <c r="DI30" s="494"/>
      <c r="DJ30" s="494"/>
      <c r="DK30" s="494"/>
      <c r="DL30" s="494"/>
      <c r="DM30" s="494"/>
      <c r="DN30" s="494"/>
      <c r="DO30" s="494"/>
      <c r="DP30" s="494"/>
      <c r="DQ30" s="494"/>
      <c r="DR30" s="494"/>
      <c r="DS30" s="494"/>
      <c r="DT30" s="494"/>
      <c r="DU30" s="494"/>
      <c r="DV30" s="494"/>
      <c r="DW30" s="494"/>
      <c r="DX30" s="494"/>
      <c r="DY30" s="494"/>
      <c r="DZ30" s="494"/>
      <c r="EA30" s="494"/>
      <c r="EB30" s="494"/>
      <c r="EC30" s="494"/>
    </row>
    <row r="31" spans="1:133" s="172" customFormat="1" ht="16.5" thickTop="1" x14ac:dyDescent="0.25">
      <c r="A31" s="550"/>
      <c r="B31" s="550"/>
      <c r="C31" s="550"/>
      <c r="D31" s="550"/>
      <c r="E31" s="550"/>
      <c r="F31" s="550"/>
      <c r="G31" s="550"/>
      <c r="H31" s="552"/>
      <c r="I31" s="550"/>
      <c r="J31" s="550"/>
      <c r="K31" s="550"/>
      <c r="L31" s="550"/>
      <c r="M31" s="550"/>
      <c r="N31" s="550"/>
      <c r="O31" s="550"/>
      <c r="P31" s="550"/>
      <c r="Q31" s="550"/>
      <c r="R31" s="550"/>
      <c r="S31" s="550"/>
      <c r="T31" s="550"/>
      <c r="U31" s="550"/>
      <c r="V31" s="550"/>
      <c r="W31" s="550"/>
      <c r="X31" s="550"/>
      <c r="Y31" s="550"/>
      <c r="Z31" s="550"/>
      <c r="AA31" s="550"/>
      <c r="AB31" s="550"/>
      <c r="AC31" s="550"/>
      <c r="AD31" s="550"/>
      <c r="AE31" s="550"/>
      <c r="AF31" s="550"/>
      <c r="AG31" s="550"/>
      <c r="AH31" s="550"/>
      <c r="AI31" s="550"/>
      <c r="AJ31" s="550"/>
      <c r="AK31" s="550"/>
      <c r="AL31" s="550"/>
      <c r="AM31" s="550"/>
      <c r="AN31" s="550"/>
      <c r="AO31" s="550"/>
      <c r="AP31" s="550"/>
      <c r="AQ31" s="550"/>
      <c r="AR31" s="550"/>
      <c r="AS31" s="550"/>
      <c r="AT31" s="550"/>
      <c r="AU31" s="550"/>
      <c r="AV31" s="494"/>
      <c r="AW31" s="550"/>
      <c r="AX31" s="550"/>
      <c r="AY31" s="550"/>
      <c r="AZ31" s="550"/>
      <c r="BA31" s="550"/>
      <c r="BB31" s="550"/>
      <c r="BC31" s="550"/>
      <c r="BD31" s="550"/>
      <c r="BE31" s="550"/>
      <c r="BF31" s="550"/>
      <c r="BG31" s="550"/>
      <c r="BH31" s="550"/>
      <c r="BI31" s="550"/>
      <c r="BJ31" s="550"/>
      <c r="BK31" s="550"/>
      <c r="BL31" s="550"/>
      <c r="BM31" s="550"/>
      <c r="BN31" s="550"/>
      <c r="BO31" s="550"/>
      <c r="BP31" s="550"/>
      <c r="BQ31" s="550"/>
      <c r="BR31" s="550"/>
      <c r="BS31" s="550"/>
      <c r="BT31" s="550"/>
      <c r="BU31" s="550"/>
      <c r="BV31" s="550"/>
      <c r="BW31" s="550"/>
      <c r="BX31" s="550"/>
      <c r="BY31" s="550"/>
      <c r="BZ31" s="550"/>
      <c r="CA31" s="550"/>
      <c r="CB31" s="550"/>
      <c r="CC31" s="550"/>
      <c r="CD31" s="550"/>
      <c r="CE31" s="550"/>
      <c r="CF31" s="550"/>
      <c r="CG31" s="550"/>
      <c r="CH31" s="550"/>
      <c r="CI31" s="550"/>
      <c r="CJ31" s="550"/>
      <c r="CK31" s="550"/>
      <c r="CL31" s="550"/>
      <c r="CM31" s="550"/>
      <c r="CN31" s="550"/>
      <c r="CO31" s="550"/>
      <c r="CP31" s="550"/>
      <c r="CQ31" s="550"/>
      <c r="CR31" s="550"/>
      <c r="CS31" s="550"/>
      <c r="CT31" s="550"/>
      <c r="CU31" s="550"/>
      <c r="CV31" s="550"/>
      <c r="CW31" s="550"/>
      <c r="CX31" s="550"/>
      <c r="CY31" s="550"/>
      <c r="CZ31" s="550"/>
      <c r="DA31" s="550"/>
      <c r="DB31" s="550"/>
      <c r="DC31" s="550"/>
      <c r="DD31" s="494"/>
      <c r="DE31" s="494"/>
      <c r="DF31" s="494"/>
      <c r="DG31" s="494"/>
      <c r="DH31" s="494"/>
      <c r="DI31" s="494"/>
      <c r="DJ31" s="494"/>
      <c r="DK31" s="494"/>
      <c r="DL31" s="494"/>
      <c r="DM31" s="494"/>
      <c r="DN31" s="494"/>
      <c r="DO31" s="494"/>
      <c r="DP31" s="494"/>
      <c r="DQ31" s="494"/>
      <c r="DR31" s="494"/>
      <c r="DS31" s="494"/>
      <c r="DT31" s="494"/>
      <c r="DU31" s="494"/>
      <c r="DV31" s="494"/>
      <c r="DW31" s="494"/>
      <c r="DX31" s="494"/>
      <c r="DY31" s="494"/>
      <c r="DZ31" s="494"/>
      <c r="EA31" s="494"/>
      <c r="EB31" s="494"/>
      <c r="EC31" s="494"/>
    </row>
    <row r="32" spans="1:133" s="172" customFormat="1" ht="16.5" thickBot="1" x14ac:dyDescent="0.3">
      <c r="A32" s="553"/>
      <c r="B32" s="553"/>
      <c r="C32" s="553"/>
      <c r="D32" s="553"/>
      <c r="E32" s="553"/>
      <c r="F32" s="553"/>
      <c r="G32" s="553"/>
      <c r="H32" s="554"/>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553"/>
      <c r="AO32" s="553"/>
      <c r="AP32" s="553"/>
      <c r="AQ32" s="553"/>
      <c r="AR32" s="553"/>
      <c r="AS32" s="553"/>
      <c r="AT32" s="553"/>
      <c r="AU32" s="553"/>
      <c r="AV32" s="555"/>
      <c r="AW32" s="553"/>
      <c r="AX32" s="553"/>
      <c r="AY32" s="553"/>
      <c r="AZ32" s="553"/>
      <c r="BA32" s="553"/>
      <c r="BB32" s="553"/>
      <c r="BC32" s="553"/>
      <c r="BD32" s="553"/>
      <c r="BE32" s="553"/>
      <c r="BF32" s="553"/>
      <c r="BG32" s="553"/>
      <c r="BH32" s="553"/>
      <c r="BI32" s="553"/>
      <c r="BJ32" s="553"/>
      <c r="BK32" s="553"/>
      <c r="BL32" s="553"/>
      <c r="BM32" s="553"/>
      <c r="BN32" s="553"/>
      <c r="BO32" s="553"/>
      <c r="BP32" s="553"/>
      <c r="BQ32" s="553"/>
      <c r="BR32" s="553"/>
      <c r="BS32" s="553"/>
      <c r="BT32" s="553"/>
      <c r="BU32" s="553"/>
      <c r="BV32" s="553"/>
      <c r="BW32" s="553"/>
      <c r="BX32" s="553"/>
      <c r="BY32" s="553"/>
      <c r="BZ32" s="553"/>
      <c r="CA32" s="553"/>
      <c r="CB32" s="553"/>
      <c r="CC32" s="553"/>
      <c r="CD32" s="553"/>
      <c r="CE32" s="553"/>
      <c r="CF32" s="553"/>
      <c r="CG32" s="553"/>
      <c r="CH32" s="553"/>
      <c r="CI32" s="553"/>
      <c r="CJ32" s="553"/>
      <c r="CK32" s="553"/>
      <c r="CL32" s="553"/>
      <c r="CM32" s="553"/>
      <c r="CN32" s="553"/>
      <c r="CO32" s="553"/>
      <c r="CP32" s="553"/>
      <c r="CQ32" s="553"/>
      <c r="CR32" s="553"/>
      <c r="CS32" s="553"/>
      <c r="CT32" s="553"/>
      <c r="CU32" s="553"/>
      <c r="CV32" s="553"/>
      <c r="CW32" s="553"/>
      <c r="CX32" s="553"/>
      <c r="CY32" s="553"/>
      <c r="CZ32" s="553"/>
      <c r="DA32" s="553"/>
      <c r="DB32" s="553"/>
      <c r="DC32" s="553"/>
      <c r="DD32" s="494"/>
      <c r="DE32" s="494"/>
      <c r="DF32" s="494"/>
      <c r="DG32" s="494"/>
      <c r="DH32" s="494"/>
      <c r="DI32" s="494"/>
      <c r="DJ32" s="494"/>
      <c r="DK32" s="494"/>
      <c r="DL32" s="494"/>
      <c r="DM32" s="494"/>
      <c r="DN32" s="494"/>
      <c r="DO32" s="494"/>
      <c r="DP32" s="494"/>
      <c r="DQ32" s="494"/>
      <c r="DR32" s="494"/>
      <c r="DS32" s="494"/>
      <c r="DT32" s="494"/>
      <c r="DU32" s="494"/>
      <c r="DV32" s="494"/>
      <c r="DW32" s="494"/>
      <c r="DX32" s="494"/>
      <c r="DY32" s="494"/>
      <c r="DZ32" s="494"/>
      <c r="EA32" s="494"/>
      <c r="EB32" s="494"/>
      <c r="EC32" s="494"/>
    </row>
    <row r="33" spans="1:133" ht="23.25" customHeight="1" thickTop="1" thickBot="1" x14ac:dyDescent="0.3">
      <c r="A33" s="591" t="s">
        <v>400</v>
      </c>
      <c r="B33" s="464" t="s">
        <v>428</v>
      </c>
      <c r="C33" s="497">
        <f t="shared" ref="C33:AR33" si="0">C4</f>
        <v>38504</v>
      </c>
      <c r="D33" s="497">
        <f t="shared" si="0"/>
        <v>38534</v>
      </c>
      <c r="E33" s="497">
        <f t="shared" si="0"/>
        <v>38565</v>
      </c>
      <c r="F33" s="556">
        <f t="shared" si="0"/>
        <v>38596</v>
      </c>
      <c r="G33" s="497">
        <f t="shared" si="0"/>
        <v>38626</v>
      </c>
      <c r="H33" s="557">
        <f t="shared" si="0"/>
        <v>38657</v>
      </c>
      <c r="I33" s="497">
        <f t="shared" si="0"/>
        <v>38687</v>
      </c>
      <c r="J33" s="497">
        <f t="shared" si="0"/>
        <v>38718</v>
      </c>
      <c r="K33" s="497">
        <f t="shared" si="0"/>
        <v>38749</v>
      </c>
      <c r="L33" s="497">
        <f t="shared" si="0"/>
        <v>38777</v>
      </c>
      <c r="M33" s="556">
        <f t="shared" si="0"/>
        <v>38808</v>
      </c>
      <c r="N33" s="497">
        <f t="shared" si="0"/>
        <v>38838</v>
      </c>
      <c r="O33" s="497">
        <f t="shared" si="0"/>
        <v>38869</v>
      </c>
      <c r="P33" s="497">
        <f t="shared" si="0"/>
        <v>38899</v>
      </c>
      <c r="Q33" s="497">
        <f t="shared" si="0"/>
        <v>38930</v>
      </c>
      <c r="R33" s="497">
        <f t="shared" si="0"/>
        <v>38961</v>
      </c>
      <c r="S33" s="497">
        <f t="shared" si="0"/>
        <v>38991</v>
      </c>
      <c r="T33" s="497">
        <f t="shared" si="0"/>
        <v>39022</v>
      </c>
      <c r="U33" s="497">
        <f t="shared" si="0"/>
        <v>39052</v>
      </c>
      <c r="V33" s="497">
        <f t="shared" si="0"/>
        <v>39083</v>
      </c>
      <c r="W33" s="497">
        <f t="shared" si="0"/>
        <v>39114</v>
      </c>
      <c r="X33" s="497">
        <f t="shared" si="0"/>
        <v>39142</v>
      </c>
      <c r="Y33" s="497">
        <f t="shared" si="0"/>
        <v>39173</v>
      </c>
      <c r="Z33" s="497">
        <f t="shared" si="0"/>
        <v>39203</v>
      </c>
      <c r="AA33" s="497">
        <f t="shared" si="0"/>
        <v>39234</v>
      </c>
      <c r="AB33" s="497">
        <f t="shared" si="0"/>
        <v>39264</v>
      </c>
      <c r="AC33" s="497">
        <f t="shared" si="0"/>
        <v>39295</v>
      </c>
      <c r="AD33" s="497">
        <f t="shared" si="0"/>
        <v>39326</v>
      </c>
      <c r="AE33" s="495">
        <f t="shared" si="0"/>
        <v>39356</v>
      </c>
      <c r="AF33" s="495">
        <f t="shared" si="0"/>
        <v>39387</v>
      </c>
      <c r="AG33" s="496">
        <f t="shared" si="0"/>
        <v>39417</v>
      </c>
      <c r="AH33" s="497">
        <f t="shared" si="0"/>
        <v>39448</v>
      </c>
      <c r="AI33" s="497">
        <f t="shared" si="0"/>
        <v>39479</v>
      </c>
      <c r="AJ33" s="497">
        <f t="shared" si="0"/>
        <v>39508</v>
      </c>
      <c r="AK33" s="497">
        <f t="shared" si="0"/>
        <v>39539</v>
      </c>
      <c r="AL33" s="497">
        <f t="shared" si="0"/>
        <v>39569</v>
      </c>
      <c r="AM33" s="497">
        <f t="shared" si="0"/>
        <v>39600</v>
      </c>
      <c r="AN33" s="497">
        <f t="shared" si="0"/>
        <v>39630</v>
      </c>
      <c r="AO33" s="497">
        <f t="shared" si="0"/>
        <v>39661</v>
      </c>
      <c r="AP33" s="497">
        <f t="shared" si="0"/>
        <v>39692</v>
      </c>
      <c r="AQ33" s="497">
        <f t="shared" si="0"/>
        <v>39722</v>
      </c>
      <c r="AR33" s="497">
        <f t="shared" si="0"/>
        <v>39753</v>
      </c>
      <c r="AS33" s="497">
        <f>AS4</f>
        <v>39783</v>
      </c>
      <c r="AT33" s="497">
        <f>AT4</f>
        <v>39814</v>
      </c>
      <c r="AU33" s="497">
        <f>AU4</f>
        <v>39845</v>
      </c>
      <c r="AV33" s="497" t="s">
        <v>473</v>
      </c>
      <c r="AW33" s="497">
        <f t="shared" ref="AW33:CV33" si="1">AW4</f>
        <v>39904</v>
      </c>
      <c r="AX33" s="497">
        <f t="shared" si="1"/>
        <v>39934</v>
      </c>
      <c r="AY33" s="497">
        <f t="shared" si="1"/>
        <v>39965</v>
      </c>
      <c r="AZ33" s="497">
        <f t="shared" si="1"/>
        <v>39995</v>
      </c>
      <c r="BA33" s="497">
        <f t="shared" si="1"/>
        <v>40026</v>
      </c>
      <c r="BB33" s="497">
        <f t="shared" si="1"/>
        <v>40057</v>
      </c>
      <c r="BC33" s="497">
        <f t="shared" si="1"/>
        <v>40087</v>
      </c>
      <c r="BD33" s="497">
        <f t="shared" si="1"/>
        <v>40118</v>
      </c>
      <c r="BE33" s="497">
        <f t="shared" si="1"/>
        <v>40148</v>
      </c>
      <c r="BF33" s="497">
        <f t="shared" si="1"/>
        <v>40179</v>
      </c>
      <c r="BG33" s="497">
        <f t="shared" si="1"/>
        <v>40210</v>
      </c>
      <c r="BH33" s="497">
        <f t="shared" si="1"/>
        <v>40238</v>
      </c>
      <c r="BI33" s="497">
        <f t="shared" si="1"/>
        <v>40269</v>
      </c>
      <c r="BJ33" s="497">
        <f t="shared" si="1"/>
        <v>40299</v>
      </c>
      <c r="BK33" s="497">
        <f t="shared" si="1"/>
        <v>40330</v>
      </c>
      <c r="BL33" s="497">
        <f t="shared" si="1"/>
        <v>40360</v>
      </c>
      <c r="BM33" s="497">
        <f t="shared" si="1"/>
        <v>40391</v>
      </c>
      <c r="BN33" s="497">
        <f t="shared" si="1"/>
        <v>40422</v>
      </c>
      <c r="BO33" s="497">
        <f t="shared" si="1"/>
        <v>40452</v>
      </c>
      <c r="BP33" s="497">
        <f t="shared" si="1"/>
        <v>40483</v>
      </c>
      <c r="BQ33" s="497">
        <f t="shared" si="1"/>
        <v>40513</v>
      </c>
      <c r="BR33" s="497">
        <f t="shared" si="1"/>
        <v>40544</v>
      </c>
      <c r="BS33" s="497">
        <f t="shared" si="1"/>
        <v>40575</v>
      </c>
      <c r="BT33" s="497">
        <f t="shared" si="1"/>
        <v>40603</v>
      </c>
      <c r="BU33" s="497">
        <f t="shared" si="1"/>
        <v>40634</v>
      </c>
      <c r="BV33" s="497">
        <f t="shared" si="1"/>
        <v>40664</v>
      </c>
      <c r="BW33" s="497">
        <f t="shared" si="1"/>
        <v>40695</v>
      </c>
      <c r="BX33" s="497">
        <f t="shared" si="1"/>
        <v>40725</v>
      </c>
      <c r="BY33" s="497">
        <f t="shared" si="1"/>
        <v>40756</v>
      </c>
      <c r="BZ33" s="497">
        <f t="shared" si="1"/>
        <v>40787</v>
      </c>
      <c r="CA33" s="497">
        <f t="shared" si="1"/>
        <v>40817</v>
      </c>
      <c r="CB33" s="497">
        <f t="shared" si="1"/>
        <v>40848</v>
      </c>
      <c r="CC33" s="497">
        <f t="shared" si="1"/>
        <v>40878</v>
      </c>
      <c r="CD33" s="497">
        <f t="shared" si="1"/>
        <v>40909</v>
      </c>
      <c r="CE33" s="497">
        <f t="shared" si="1"/>
        <v>40940</v>
      </c>
      <c r="CF33" s="497">
        <f t="shared" si="1"/>
        <v>40969</v>
      </c>
      <c r="CG33" s="497">
        <f t="shared" si="1"/>
        <v>41000</v>
      </c>
      <c r="CH33" s="497">
        <f t="shared" si="1"/>
        <v>41030</v>
      </c>
      <c r="CI33" s="497">
        <f t="shared" si="1"/>
        <v>41061</v>
      </c>
      <c r="CJ33" s="497">
        <f t="shared" si="1"/>
        <v>41091</v>
      </c>
      <c r="CK33" s="497">
        <f t="shared" si="1"/>
        <v>41122</v>
      </c>
      <c r="CL33" s="497">
        <f t="shared" si="1"/>
        <v>41153</v>
      </c>
      <c r="CM33" s="497">
        <f t="shared" si="1"/>
        <v>41183</v>
      </c>
      <c r="CN33" s="497">
        <f t="shared" si="1"/>
        <v>41214</v>
      </c>
      <c r="CO33" s="497">
        <f t="shared" si="1"/>
        <v>41244</v>
      </c>
      <c r="CP33" s="497">
        <f t="shared" si="1"/>
        <v>41275</v>
      </c>
      <c r="CQ33" s="497">
        <f t="shared" si="1"/>
        <v>41306</v>
      </c>
      <c r="CR33" s="497">
        <f t="shared" si="1"/>
        <v>41334</v>
      </c>
      <c r="CS33" s="467">
        <f t="shared" si="1"/>
        <v>41365</v>
      </c>
      <c r="CT33" s="467">
        <f t="shared" si="1"/>
        <v>41395</v>
      </c>
      <c r="CU33" s="467">
        <f t="shared" si="1"/>
        <v>41426</v>
      </c>
      <c r="CV33" s="467">
        <f t="shared" si="1"/>
        <v>41456</v>
      </c>
      <c r="CW33" s="467">
        <f>CW4</f>
        <v>41487</v>
      </c>
      <c r="CX33" s="467">
        <v>41518</v>
      </c>
      <c r="CY33" s="467">
        <f>CY4</f>
        <v>41548</v>
      </c>
      <c r="CZ33" s="467">
        <f>CZ4</f>
        <v>41579</v>
      </c>
      <c r="DA33" s="467">
        <f>DA4</f>
        <v>41609</v>
      </c>
      <c r="DB33" s="467">
        <f>DB4</f>
        <v>41640</v>
      </c>
      <c r="DC33" s="467">
        <v>41671</v>
      </c>
      <c r="DD33" s="465">
        <v>41699</v>
      </c>
      <c r="DE33" s="465">
        <v>41730</v>
      </c>
      <c r="DF33" s="465">
        <v>41760</v>
      </c>
      <c r="DG33" s="465">
        <v>41791</v>
      </c>
      <c r="DH33" s="465">
        <v>41821</v>
      </c>
      <c r="DI33" s="465">
        <v>41852</v>
      </c>
      <c r="DJ33" s="465">
        <f>DJ4</f>
        <v>41883</v>
      </c>
      <c r="DK33" s="465">
        <v>41913</v>
      </c>
      <c r="DL33" s="465">
        <v>41944</v>
      </c>
      <c r="DM33" s="465">
        <v>41974</v>
      </c>
      <c r="DN33" s="465">
        <v>42005</v>
      </c>
      <c r="DO33" s="465">
        <v>42036</v>
      </c>
      <c r="DP33" s="465">
        <v>42064</v>
      </c>
      <c r="DQ33" s="465">
        <v>42095</v>
      </c>
      <c r="DR33" s="465">
        <v>42125</v>
      </c>
      <c r="DS33" s="465">
        <v>42156</v>
      </c>
      <c r="DT33" s="465">
        <v>42186</v>
      </c>
      <c r="DU33" s="465">
        <v>42217</v>
      </c>
      <c r="DV33" s="465">
        <v>42248</v>
      </c>
      <c r="DW33" s="465">
        <v>42278</v>
      </c>
      <c r="DX33" s="465">
        <v>42309</v>
      </c>
      <c r="DY33" s="465">
        <v>42339</v>
      </c>
      <c r="DZ33" s="465">
        <v>42370</v>
      </c>
      <c r="EA33" s="465">
        <v>42401</v>
      </c>
      <c r="EB33" s="465">
        <v>42430</v>
      </c>
      <c r="EC33" s="465">
        <v>42461</v>
      </c>
    </row>
    <row r="34" spans="1:133" ht="16.5" thickTop="1" x14ac:dyDescent="0.25">
      <c r="A34" s="588"/>
      <c r="B34" s="500"/>
      <c r="C34" s="502"/>
      <c r="D34" s="502"/>
      <c r="E34" s="502"/>
      <c r="F34" s="541"/>
      <c r="G34" s="502"/>
      <c r="H34" s="542"/>
      <c r="I34" s="502"/>
      <c r="J34" s="502"/>
      <c r="K34" s="502"/>
      <c r="L34" s="502"/>
      <c r="M34" s="541"/>
      <c r="N34" s="502"/>
      <c r="O34" s="502"/>
      <c r="P34" s="502"/>
      <c r="Q34" s="502"/>
      <c r="R34" s="502"/>
      <c r="S34" s="502"/>
      <c r="T34" s="502"/>
      <c r="U34" s="502"/>
      <c r="V34" s="502"/>
      <c r="W34" s="502"/>
      <c r="X34" s="502"/>
      <c r="Y34" s="502"/>
      <c r="Z34" s="502"/>
      <c r="AA34" s="502"/>
      <c r="AB34" s="502"/>
      <c r="AC34" s="502"/>
      <c r="AD34" s="502"/>
      <c r="AE34" s="484"/>
      <c r="AF34" s="484"/>
      <c r="AG34" s="501"/>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41"/>
      <c r="DC34" s="502"/>
      <c r="DD34" s="484"/>
      <c r="DE34" s="484"/>
      <c r="DF34" s="484"/>
      <c r="DG34" s="484"/>
      <c r="DH34" s="484"/>
      <c r="DI34" s="484"/>
      <c r="DJ34" s="484"/>
      <c r="DK34" s="484"/>
      <c r="DL34" s="484"/>
      <c r="DM34" s="484"/>
      <c r="DN34" s="484"/>
      <c r="DO34" s="484"/>
      <c r="DP34" s="484"/>
      <c r="DQ34" s="484"/>
      <c r="DR34" s="484"/>
      <c r="DS34" s="484"/>
      <c r="DT34" s="484"/>
      <c r="DU34" s="484"/>
      <c r="DV34" s="484"/>
      <c r="DW34" s="484"/>
      <c r="DX34" s="484"/>
      <c r="DY34" s="484"/>
      <c r="DZ34" s="484"/>
      <c r="EA34" s="484"/>
      <c r="EB34" s="484"/>
      <c r="EC34" s="484"/>
    </row>
    <row r="35" spans="1:133" ht="17.25" customHeight="1" x14ac:dyDescent="0.25">
      <c r="A35" s="587" t="s">
        <v>429</v>
      </c>
      <c r="B35" s="478" t="s">
        <v>430</v>
      </c>
      <c r="C35" s="533">
        <v>0</v>
      </c>
      <c r="D35" s="533">
        <v>0</v>
      </c>
      <c r="E35" s="533">
        <v>0</v>
      </c>
      <c r="F35" s="534">
        <v>0</v>
      </c>
      <c r="G35" s="533">
        <v>0</v>
      </c>
      <c r="H35" s="535">
        <v>0</v>
      </c>
      <c r="I35" s="533">
        <v>0</v>
      </c>
      <c r="J35" s="533">
        <v>0</v>
      </c>
      <c r="K35" s="533">
        <v>0</v>
      </c>
      <c r="L35" s="533">
        <v>0</v>
      </c>
      <c r="M35" s="534">
        <v>0</v>
      </c>
      <c r="N35" s="533">
        <v>0</v>
      </c>
      <c r="O35" s="533">
        <v>0</v>
      </c>
      <c r="P35" s="533">
        <v>0</v>
      </c>
      <c r="Q35" s="533">
        <v>0</v>
      </c>
      <c r="R35" s="533">
        <v>0</v>
      </c>
      <c r="S35" s="533">
        <v>0</v>
      </c>
      <c r="T35" s="533">
        <v>0</v>
      </c>
      <c r="U35" s="533">
        <v>0</v>
      </c>
      <c r="V35" s="533">
        <v>0</v>
      </c>
      <c r="W35" s="533">
        <v>0</v>
      </c>
      <c r="X35" s="533">
        <v>0</v>
      </c>
      <c r="Y35" s="533">
        <v>0</v>
      </c>
      <c r="Z35" s="533">
        <v>0</v>
      </c>
      <c r="AA35" s="533">
        <v>0</v>
      </c>
      <c r="AB35" s="533">
        <v>0</v>
      </c>
      <c r="AC35" s="533">
        <v>0</v>
      </c>
      <c r="AD35" s="533">
        <v>0</v>
      </c>
      <c r="AE35" s="479">
        <v>0</v>
      </c>
      <c r="AF35" s="479">
        <v>0</v>
      </c>
      <c r="AG35" s="560">
        <v>0</v>
      </c>
      <c r="AH35" s="533">
        <v>0</v>
      </c>
      <c r="AI35" s="533">
        <v>0</v>
      </c>
      <c r="AJ35" s="533">
        <v>0</v>
      </c>
      <c r="AK35" s="533">
        <v>0</v>
      </c>
      <c r="AL35" s="533">
        <v>0</v>
      </c>
      <c r="AM35" s="533">
        <v>0</v>
      </c>
      <c r="AN35" s="533">
        <v>0</v>
      </c>
      <c r="AO35" s="533">
        <v>0</v>
      </c>
      <c r="AP35" s="533">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3">
        <v>0</v>
      </c>
      <c r="CD35" s="533">
        <v>0</v>
      </c>
      <c r="CE35" s="533">
        <v>0</v>
      </c>
      <c r="CF35" s="533">
        <v>0</v>
      </c>
      <c r="CG35" s="533">
        <v>0</v>
      </c>
      <c r="CH35" s="533">
        <v>0</v>
      </c>
      <c r="CI35" s="533">
        <v>0</v>
      </c>
      <c r="CJ35" s="533">
        <v>0</v>
      </c>
      <c r="CK35" s="533">
        <v>0</v>
      </c>
      <c r="CL35" s="533">
        <v>0</v>
      </c>
      <c r="CM35" s="533">
        <v>0</v>
      </c>
      <c r="CN35" s="533">
        <v>0</v>
      </c>
      <c r="CO35" s="533">
        <v>0</v>
      </c>
      <c r="CP35" s="533">
        <v>0</v>
      </c>
      <c r="CQ35" s="533">
        <v>0</v>
      </c>
      <c r="CR35" s="533">
        <v>0</v>
      </c>
      <c r="CS35" s="533">
        <v>0</v>
      </c>
      <c r="CT35" s="533">
        <v>0</v>
      </c>
      <c r="CU35" s="533">
        <v>0</v>
      </c>
      <c r="CV35" s="533">
        <v>0</v>
      </c>
      <c r="CW35" s="533">
        <v>0</v>
      </c>
      <c r="CX35" s="533">
        <v>0</v>
      </c>
      <c r="CY35" s="533">
        <v>0</v>
      </c>
      <c r="CZ35" s="533">
        <v>0</v>
      </c>
      <c r="DA35" s="533">
        <v>0</v>
      </c>
      <c r="DB35" s="534">
        <v>0</v>
      </c>
      <c r="DC35" s="533">
        <v>0</v>
      </c>
      <c r="DD35" s="479">
        <v>0</v>
      </c>
      <c r="DE35" s="479">
        <v>0</v>
      </c>
      <c r="DF35" s="479">
        <v>0</v>
      </c>
      <c r="DG35" s="479">
        <v>0</v>
      </c>
      <c r="DH35" s="479">
        <v>0</v>
      </c>
      <c r="DI35" s="479">
        <v>0</v>
      </c>
      <c r="DJ35" s="479">
        <v>0</v>
      </c>
      <c r="DK35" s="479">
        <v>0</v>
      </c>
      <c r="DL35" s="479">
        <v>0</v>
      </c>
      <c r="DM35" s="479">
        <v>0</v>
      </c>
      <c r="DN35" s="479">
        <v>0</v>
      </c>
      <c r="DO35" s="479">
        <v>0</v>
      </c>
      <c r="DP35" s="479">
        <v>0</v>
      </c>
      <c r="DQ35" s="479">
        <v>0</v>
      </c>
      <c r="DR35" s="479">
        <v>0</v>
      </c>
      <c r="DS35" s="479">
        <v>0</v>
      </c>
      <c r="DT35" s="479">
        <v>0</v>
      </c>
      <c r="DU35" s="479">
        <v>0</v>
      </c>
      <c r="DV35" s="479">
        <v>0</v>
      </c>
      <c r="DW35" s="479">
        <v>0</v>
      </c>
      <c r="DX35" s="479">
        <v>0</v>
      </c>
      <c r="DY35" s="479">
        <v>0</v>
      </c>
      <c r="DZ35" s="479">
        <v>0</v>
      </c>
      <c r="EA35" s="479">
        <v>0</v>
      </c>
      <c r="EB35" s="479">
        <v>0</v>
      </c>
      <c r="EC35" s="479">
        <v>0</v>
      </c>
    </row>
    <row r="36" spans="1:133" ht="17.25" customHeight="1" x14ac:dyDescent="0.25">
      <c r="A36" s="588"/>
      <c r="B36" s="482"/>
      <c r="C36" s="561"/>
      <c r="D36" s="561"/>
      <c r="E36" s="561"/>
      <c r="F36" s="562"/>
      <c r="G36" s="561"/>
      <c r="H36" s="563"/>
      <c r="I36" s="561"/>
      <c r="J36" s="561"/>
      <c r="K36" s="561"/>
      <c r="L36" s="561"/>
      <c r="M36" s="562"/>
      <c r="N36" s="561"/>
      <c r="O36" s="561"/>
      <c r="P36" s="561"/>
      <c r="Q36" s="561"/>
      <c r="R36" s="561"/>
      <c r="S36" s="561"/>
      <c r="T36" s="561"/>
      <c r="U36" s="561"/>
      <c r="V36" s="561"/>
      <c r="W36" s="561"/>
      <c r="X36" s="561"/>
      <c r="Y36" s="561"/>
      <c r="Z36" s="561"/>
      <c r="AA36" s="561"/>
      <c r="AB36" s="561"/>
      <c r="AC36" s="561"/>
      <c r="AD36" s="561"/>
      <c r="AE36" s="564"/>
      <c r="AF36" s="564"/>
      <c r="AG36" s="565"/>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2"/>
      <c r="DC36" s="561"/>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row>
    <row r="37" spans="1:133" ht="17.25" customHeight="1" x14ac:dyDescent="0.25">
      <c r="A37" s="587" t="s">
        <v>431</v>
      </c>
      <c r="B37" s="478" t="s">
        <v>432</v>
      </c>
      <c r="C37" s="533">
        <v>250458.84323342523</v>
      </c>
      <c r="D37" s="533">
        <v>232344.37571881473</v>
      </c>
      <c r="E37" s="533">
        <v>228235.39118466986</v>
      </c>
      <c r="F37" s="534">
        <v>238102.012621676</v>
      </c>
      <c r="G37" s="533">
        <v>241945.84697592363</v>
      </c>
      <c r="H37" s="535">
        <v>257530.96081466269</v>
      </c>
      <c r="I37" s="533">
        <v>257623.06344593974</v>
      </c>
      <c r="J37" s="533">
        <v>256496.45372474135</v>
      </c>
      <c r="K37" s="533">
        <v>266363.06062173715</v>
      </c>
      <c r="L37" s="533">
        <v>273240.13640816254</v>
      </c>
      <c r="M37" s="534">
        <v>271081.39112987602</v>
      </c>
      <c r="N37" s="533">
        <v>291097.30383042991</v>
      </c>
      <c r="O37" s="533">
        <v>288151.83005216735</v>
      </c>
      <c r="P37" s="533">
        <v>297918.84544162243</v>
      </c>
      <c r="Q37" s="533">
        <v>299555.12527521281</v>
      </c>
      <c r="R37" s="533">
        <v>312892.8379162114</v>
      </c>
      <c r="S37" s="533">
        <v>312515.85639029462</v>
      </c>
      <c r="T37" s="533">
        <v>319055.78120631597</v>
      </c>
      <c r="U37" s="533">
        <v>351509.22976781055</v>
      </c>
      <c r="V37" s="533">
        <v>336198.90510089661</v>
      </c>
      <c r="W37" s="533">
        <v>334056.8722718244</v>
      </c>
      <c r="X37" s="533">
        <v>345204.18698770378</v>
      </c>
      <c r="Y37" s="533">
        <v>339100.00185046456</v>
      </c>
      <c r="Z37" s="533">
        <v>343243.54984322423</v>
      </c>
      <c r="AA37" s="533">
        <v>358543.0601197778</v>
      </c>
      <c r="AB37" s="533">
        <v>373286.11364297924</v>
      </c>
      <c r="AC37" s="533">
        <v>374521.69560020615</v>
      </c>
      <c r="AD37" s="533">
        <v>387184.87756857043</v>
      </c>
      <c r="AE37" s="479">
        <v>391272.4695004368</v>
      </c>
      <c r="AF37" s="479">
        <v>421208.54206902086</v>
      </c>
      <c r="AG37" s="560">
        <v>401734.97128093918</v>
      </c>
      <c r="AH37" s="533">
        <v>433883.31707653031</v>
      </c>
      <c r="AI37" s="533">
        <v>420367.22269114229</v>
      </c>
      <c r="AJ37" s="533">
        <v>408014.73015083134</v>
      </c>
      <c r="AK37" s="533">
        <v>401309.23228438455</v>
      </c>
      <c r="AL37" s="533">
        <v>434604.45687616104</v>
      </c>
      <c r="AM37" s="533">
        <v>446231.22637777217</v>
      </c>
      <c r="AN37" s="533">
        <v>467892.65871725255</v>
      </c>
      <c r="AO37" s="533">
        <v>453509.44685149851</v>
      </c>
      <c r="AP37" s="533">
        <v>442464.53634706739</v>
      </c>
      <c r="AQ37" s="533">
        <v>449069.69028428837</v>
      </c>
      <c r="AR37" s="533">
        <v>452010.91733216215</v>
      </c>
      <c r="AS37" s="533">
        <v>450075.27047679329</v>
      </c>
      <c r="AT37" s="533">
        <v>453393.31970747019</v>
      </c>
      <c r="AU37" s="533">
        <v>460107.41472062981</v>
      </c>
      <c r="AV37" s="533">
        <v>459064.63089732453</v>
      </c>
      <c r="AW37" s="533">
        <v>463010.61895082297</v>
      </c>
      <c r="AX37" s="533">
        <v>471326.59715211438</v>
      </c>
      <c r="AY37" s="533">
        <v>470412.89928072237</v>
      </c>
      <c r="AZ37" s="533">
        <v>473336.31794361444</v>
      </c>
      <c r="BA37" s="533">
        <v>467026.51013994718</v>
      </c>
      <c r="BB37" s="533">
        <v>477372.11456896149</v>
      </c>
      <c r="BC37" s="533">
        <v>478651.28298538964</v>
      </c>
      <c r="BD37" s="533">
        <v>487447.76954633754</v>
      </c>
      <c r="BE37" s="533">
        <v>502634.61776737764</v>
      </c>
      <c r="BF37" s="533">
        <v>524230.97142096853</v>
      </c>
      <c r="BG37" s="533">
        <v>527845.64946072246</v>
      </c>
      <c r="BH37" s="533">
        <v>535092.36629862385</v>
      </c>
      <c r="BI37" s="533">
        <v>518088.96985501703</v>
      </c>
      <c r="BJ37" s="533">
        <v>569427.28420735314</v>
      </c>
      <c r="BK37" s="533">
        <v>566747.13613899588</v>
      </c>
      <c r="BL37" s="533">
        <v>526730.61480739736</v>
      </c>
      <c r="BM37" s="533">
        <v>549887.63141466305</v>
      </c>
      <c r="BN37" s="533">
        <v>552391.26138741407</v>
      </c>
      <c r="BO37" s="533">
        <v>555741.30023550731</v>
      </c>
      <c r="BP37" s="533">
        <v>564920.64286760148</v>
      </c>
      <c r="BQ37" s="533">
        <v>578900.95919625671</v>
      </c>
      <c r="BR37" s="533">
        <v>578819.25118008675</v>
      </c>
      <c r="BS37" s="533">
        <v>574059.2310141545</v>
      </c>
      <c r="BT37" s="533">
        <v>543670.68089811946</v>
      </c>
      <c r="BU37" s="533">
        <v>562040.55001311097</v>
      </c>
      <c r="BV37" s="533">
        <v>553963.14019487565</v>
      </c>
      <c r="BW37" s="533">
        <v>584700.86251400737</v>
      </c>
      <c r="BX37" s="533">
        <v>571978.46058021334</v>
      </c>
      <c r="BY37" s="533">
        <v>557158.7642709401</v>
      </c>
      <c r="BZ37" s="533">
        <v>562006.82047325955</v>
      </c>
      <c r="CA37" s="533">
        <v>564711.89723256102</v>
      </c>
      <c r="CB37" s="533">
        <v>617615.43948026793</v>
      </c>
      <c r="CC37" s="533">
        <v>565582.70624645427</v>
      </c>
      <c r="CD37" s="533">
        <v>539500.78679740021</v>
      </c>
      <c r="CE37" s="533">
        <v>544676.60483027366</v>
      </c>
      <c r="CF37" s="533">
        <v>594606.38741712971</v>
      </c>
      <c r="CG37" s="533">
        <v>595417.81737846974</v>
      </c>
      <c r="CH37" s="533">
        <v>615520.59286046412</v>
      </c>
      <c r="CI37" s="533">
        <v>554581.58495534596</v>
      </c>
      <c r="CJ37" s="533">
        <v>583839.66747363354</v>
      </c>
      <c r="CK37" s="533">
        <v>544720.87648373784</v>
      </c>
      <c r="CL37" s="533">
        <v>568865.35817346</v>
      </c>
      <c r="CM37" s="533">
        <v>590119.2052139343</v>
      </c>
      <c r="CN37" s="533">
        <v>593019.77146263747</v>
      </c>
      <c r="CO37" s="533">
        <v>602521.53799288091</v>
      </c>
      <c r="CP37" s="533">
        <v>621679.87125581503</v>
      </c>
      <c r="CQ37" s="533">
        <v>569878.42518445873</v>
      </c>
      <c r="CR37" s="533">
        <v>594480.2261923647</v>
      </c>
      <c r="CS37" s="533">
        <v>602369.28841782268</v>
      </c>
      <c r="CT37" s="533">
        <v>633548.93816647946</v>
      </c>
      <c r="CU37" s="533">
        <v>592613.50269915839</v>
      </c>
      <c r="CV37" s="533">
        <v>613811.28732334753</v>
      </c>
      <c r="CW37" s="533">
        <v>595422.16785062524</v>
      </c>
      <c r="CX37" s="533">
        <v>586391.14164995018</v>
      </c>
      <c r="CY37" s="533">
        <v>581706.77132610918</v>
      </c>
      <c r="CZ37" s="533">
        <v>589882.33867977094</v>
      </c>
      <c r="DA37" s="533">
        <v>619931.55078409833</v>
      </c>
      <c r="DB37" s="534">
        <v>589571.66774254874</v>
      </c>
      <c r="DC37" s="533">
        <v>596316.52203706396</v>
      </c>
      <c r="DD37" s="479">
        <v>590544.18367156386</v>
      </c>
      <c r="DE37" s="479">
        <v>611437.66581801255</v>
      </c>
      <c r="DF37" s="479">
        <v>598303.5378212264</v>
      </c>
      <c r="DG37" s="479">
        <v>595446.08077493508</v>
      </c>
      <c r="DH37" s="479">
        <v>605076.35199605348</v>
      </c>
      <c r="DI37" s="479">
        <v>620238.3358120888</v>
      </c>
      <c r="DJ37" s="479">
        <v>652935.36353394599</v>
      </c>
      <c r="DK37" s="479">
        <v>699688.151826774</v>
      </c>
      <c r="DL37" s="479">
        <v>669708.45040650154</v>
      </c>
      <c r="DM37" s="479">
        <v>686465.58550224965</v>
      </c>
      <c r="DN37" s="479">
        <v>706053.4213612508</v>
      </c>
      <c r="DO37" s="479">
        <v>710933.77678833297</v>
      </c>
      <c r="DP37" s="479">
        <v>773647.15841448866</v>
      </c>
      <c r="DQ37" s="479">
        <v>786460.72768748458</v>
      </c>
      <c r="DR37" s="479">
        <v>751066.34084334294</v>
      </c>
      <c r="DS37" s="479">
        <v>744504.95499241783</v>
      </c>
      <c r="DT37" s="479">
        <v>751248.12209057529</v>
      </c>
      <c r="DU37" s="479">
        <v>740064.66069075989</v>
      </c>
      <c r="DV37" s="479">
        <v>733595.79469126719</v>
      </c>
      <c r="DW37" s="479">
        <v>755638.52219080739</v>
      </c>
      <c r="DX37" s="479">
        <v>737821.34959590167</v>
      </c>
      <c r="DY37" s="479">
        <v>757325.00816535426</v>
      </c>
      <c r="DZ37" s="479">
        <v>757416.54707689327</v>
      </c>
      <c r="EA37" s="479">
        <v>765183.95334747096</v>
      </c>
      <c r="EB37" s="479">
        <v>734814.55434611707</v>
      </c>
      <c r="EC37" s="479">
        <v>753308.98463839141</v>
      </c>
    </row>
    <row r="38" spans="1:133" ht="17.25" customHeight="1" x14ac:dyDescent="0.25">
      <c r="A38" s="588" t="s">
        <v>433</v>
      </c>
      <c r="B38" s="482" t="s">
        <v>434</v>
      </c>
      <c r="C38" s="502">
        <v>85971.344917090784</v>
      </c>
      <c r="D38" s="502">
        <v>56233.825152112688</v>
      </c>
      <c r="E38" s="502">
        <v>60252.107619653412</v>
      </c>
      <c r="F38" s="541">
        <v>64917.25499278737</v>
      </c>
      <c r="G38" s="502">
        <v>67143.919556244378</v>
      </c>
      <c r="H38" s="542">
        <v>70429.597058082552</v>
      </c>
      <c r="I38" s="502">
        <v>73115.848879623896</v>
      </c>
      <c r="J38" s="502">
        <v>70584.508932084369</v>
      </c>
      <c r="K38" s="502">
        <v>72388.476477591976</v>
      </c>
      <c r="L38" s="502">
        <v>71006.542502962737</v>
      </c>
      <c r="M38" s="541">
        <v>64762.956991548017</v>
      </c>
      <c r="N38" s="502">
        <v>71376.843475018992</v>
      </c>
      <c r="O38" s="502">
        <v>70370.849442147213</v>
      </c>
      <c r="P38" s="502">
        <v>77834.490277323697</v>
      </c>
      <c r="Q38" s="502">
        <v>75479.578502125776</v>
      </c>
      <c r="R38" s="502">
        <v>75715.975696240974</v>
      </c>
      <c r="S38" s="502">
        <v>76501.098940951473</v>
      </c>
      <c r="T38" s="502">
        <v>83317.123458625007</v>
      </c>
      <c r="U38" s="502">
        <v>94783.297528469324</v>
      </c>
      <c r="V38" s="502">
        <v>97807.679188481052</v>
      </c>
      <c r="W38" s="502">
        <v>102541.53625631204</v>
      </c>
      <c r="X38" s="502">
        <v>104937.78384865716</v>
      </c>
      <c r="Y38" s="502">
        <v>102759.74497819504</v>
      </c>
      <c r="Z38" s="502">
        <v>98156.099633431339</v>
      </c>
      <c r="AA38" s="502">
        <v>108098.47599634138</v>
      </c>
      <c r="AB38" s="502">
        <v>113433.44803029559</v>
      </c>
      <c r="AC38" s="502">
        <v>107036.0017067583</v>
      </c>
      <c r="AD38" s="502">
        <v>123742.79734739376</v>
      </c>
      <c r="AE38" s="484">
        <v>120595.07091522172</v>
      </c>
      <c r="AF38" s="484">
        <v>136796.36000051288</v>
      </c>
      <c r="AG38" s="501">
        <v>126677.09650045166</v>
      </c>
      <c r="AH38" s="502">
        <v>132787.34762984278</v>
      </c>
      <c r="AI38" s="502">
        <v>121694.13096946044</v>
      </c>
      <c r="AJ38" s="502">
        <v>119716.94916424096</v>
      </c>
      <c r="AK38" s="502">
        <v>115913.87573404826</v>
      </c>
      <c r="AL38" s="502">
        <v>120037.92474904569</v>
      </c>
      <c r="AM38" s="502">
        <v>136102.50982904684</v>
      </c>
      <c r="AN38" s="502">
        <v>137760.12289358673</v>
      </c>
      <c r="AO38" s="502">
        <v>132653.62250465617</v>
      </c>
      <c r="AP38" s="502">
        <v>130313.38993089984</v>
      </c>
      <c r="AQ38" s="502">
        <v>140758.29932319175</v>
      </c>
      <c r="AR38" s="502">
        <v>141554.31136313253</v>
      </c>
      <c r="AS38" s="502">
        <v>143107.30549762354</v>
      </c>
      <c r="AT38" s="502">
        <v>150046.43147167374</v>
      </c>
      <c r="AU38" s="502">
        <v>155851.9510543645</v>
      </c>
      <c r="AV38" s="502">
        <v>160566.56518537708</v>
      </c>
      <c r="AW38" s="502">
        <v>158720.16497322492</v>
      </c>
      <c r="AX38" s="502">
        <v>164232.75667122781</v>
      </c>
      <c r="AY38" s="502">
        <v>170748.1548239853</v>
      </c>
      <c r="AZ38" s="502">
        <v>171344.24881251989</v>
      </c>
      <c r="BA38" s="502">
        <v>164099.5067574085</v>
      </c>
      <c r="BB38" s="502">
        <v>172846.76150691375</v>
      </c>
      <c r="BC38" s="502">
        <v>172189.43734370044</v>
      </c>
      <c r="BD38" s="502">
        <v>174265.05114018475</v>
      </c>
      <c r="BE38" s="502">
        <v>191048.92176675834</v>
      </c>
      <c r="BF38" s="502">
        <v>179915.97869980364</v>
      </c>
      <c r="BG38" s="502">
        <v>192180.69027072741</v>
      </c>
      <c r="BH38" s="502">
        <v>208788.97038426899</v>
      </c>
      <c r="BI38" s="502">
        <v>194250.10949376694</v>
      </c>
      <c r="BJ38" s="502">
        <v>208407.65075018074</v>
      </c>
      <c r="BK38" s="502">
        <v>208555.91568728545</v>
      </c>
      <c r="BL38" s="502">
        <v>182576.24376396686</v>
      </c>
      <c r="BM38" s="502">
        <v>191037.94546439327</v>
      </c>
      <c r="BN38" s="502">
        <v>204607.59015881389</v>
      </c>
      <c r="BO38" s="502">
        <v>200360.84813562041</v>
      </c>
      <c r="BP38" s="502">
        <v>209518.89747008457</v>
      </c>
      <c r="BQ38" s="502">
        <v>209295.6548992754</v>
      </c>
      <c r="BR38" s="502">
        <v>209637.39292402792</v>
      </c>
      <c r="BS38" s="502">
        <v>210767.21309718012</v>
      </c>
      <c r="BT38" s="502">
        <v>207308.49139739011</v>
      </c>
      <c r="BU38" s="502">
        <v>192464.96509982963</v>
      </c>
      <c r="BV38" s="502">
        <v>188726.39556423103</v>
      </c>
      <c r="BW38" s="502">
        <v>205308.35758070156</v>
      </c>
      <c r="BX38" s="502">
        <v>188313.19618431921</v>
      </c>
      <c r="BY38" s="502">
        <v>200419.60044157729</v>
      </c>
      <c r="BZ38" s="502">
        <v>198422.70198409588</v>
      </c>
      <c r="CA38" s="502">
        <v>201743.29043449453</v>
      </c>
      <c r="CB38" s="502">
        <v>214088.36141710865</v>
      </c>
      <c r="CC38" s="502">
        <v>205537.91356101009</v>
      </c>
      <c r="CD38" s="502">
        <v>205231.05536734877</v>
      </c>
      <c r="CE38" s="502">
        <v>206772.43078668762</v>
      </c>
      <c r="CF38" s="502">
        <v>259119.8327835619</v>
      </c>
      <c r="CG38" s="502">
        <v>256831.62678008329</v>
      </c>
      <c r="CH38" s="502">
        <v>266347.0832634134</v>
      </c>
      <c r="CI38" s="502">
        <v>185588.34878833563</v>
      </c>
      <c r="CJ38" s="502">
        <v>229789.48133857647</v>
      </c>
      <c r="CK38" s="502">
        <v>191664.32839531542</v>
      </c>
      <c r="CL38" s="502">
        <v>195659.65666632872</v>
      </c>
      <c r="CM38" s="502">
        <v>206437.66452216063</v>
      </c>
      <c r="CN38" s="502">
        <v>226858.78085671514</v>
      </c>
      <c r="CO38" s="502">
        <v>232397.77744178093</v>
      </c>
      <c r="CP38" s="502">
        <v>253266.41093040814</v>
      </c>
      <c r="CQ38" s="502">
        <v>205912.76219806424</v>
      </c>
      <c r="CR38" s="502">
        <v>228974.53216202161</v>
      </c>
      <c r="CS38" s="502">
        <v>209603.3922520495</v>
      </c>
      <c r="CT38" s="502">
        <v>236948.74495882238</v>
      </c>
      <c r="CU38" s="502">
        <v>226473.41388209624</v>
      </c>
      <c r="CV38" s="502">
        <v>249298.55269370315</v>
      </c>
      <c r="CW38" s="502">
        <v>232142.11169179843</v>
      </c>
      <c r="CX38" s="502">
        <v>219823.81216103063</v>
      </c>
      <c r="CY38" s="502">
        <v>215430.08009683026</v>
      </c>
      <c r="CZ38" s="502">
        <v>211132.13329911508</v>
      </c>
      <c r="DA38" s="502">
        <v>242832.98239723389</v>
      </c>
      <c r="DB38" s="541">
        <v>227138.3075219765</v>
      </c>
      <c r="DC38" s="502">
        <v>228630.83169578706</v>
      </c>
      <c r="DD38" s="484">
        <v>213634.22806992469</v>
      </c>
      <c r="DE38" s="484">
        <v>229625.01475195846</v>
      </c>
      <c r="DF38" s="484">
        <v>225075.36073976403</v>
      </c>
      <c r="DG38" s="484">
        <v>228962.60459457073</v>
      </c>
      <c r="DH38" s="484">
        <v>231670.43968625861</v>
      </c>
      <c r="DI38" s="484">
        <v>246604.26970415618</v>
      </c>
      <c r="DJ38" s="484">
        <v>257148.33085572478</v>
      </c>
      <c r="DK38" s="484">
        <v>258265.77502031249</v>
      </c>
      <c r="DL38" s="484">
        <v>236540.50958382024</v>
      </c>
      <c r="DM38" s="484">
        <v>246027.30395213159</v>
      </c>
      <c r="DN38" s="484">
        <v>266623.00285208237</v>
      </c>
      <c r="DO38" s="484">
        <v>271457.37271150126</v>
      </c>
      <c r="DP38" s="484">
        <v>316116.81090445758</v>
      </c>
      <c r="DQ38" s="484">
        <v>300166.50758820149</v>
      </c>
      <c r="DR38" s="484">
        <v>307377.53370310925</v>
      </c>
      <c r="DS38" s="484">
        <v>303181.43465204397</v>
      </c>
      <c r="DT38" s="484">
        <v>331130.31653619237</v>
      </c>
      <c r="DU38" s="484">
        <v>322523.15917334607</v>
      </c>
      <c r="DV38" s="484">
        <v>301145.0877967382</v>
      </c>
      <c r="DW38" s="484">
        <v>313292.87928460108</v>
      </c>
      <c r="DX38" s="484">
        <v>311591.52106263599</v>
      </c>
      <c r="DY38" s="484">
        <v>319648.37259481556</v>
      </c>
      <c r="DZ38" s="484">
        <v>323716.42503841536</v>
      </c>
      <c r="EA38" s="484">
        <v>323181.44238302106</v>
      </c>
      <c r="EB38" s="484">
        <v>309144.50124674872</v>
      </c>
      <c r="EC38" s="484">
        <v>318281.7585259492</v>
      </c>
    </row>
    <row r="39" spans="1:133" ht="17.25" customHeight="1" x14ac:dyDescent="0.25">
      <c r="A39" s="588" t="s">
        <v>435</v>
      </c>
      <c r="B39" s="482" t="s">
        <v>436</v>
      </c>
      <c r="C39" s="502">
        <v>55456.766540586381</v>
      </c>
      <c r="D39" s="502">
        <v>56409.558026902225</v>
      </c>
      <c r="E39" s="502">
        <v>56676.916913203575</v>
      </c>
      <c r="F39" s="541">
        <v>56446.331932011293</v>
      </c>
      <c r="G39" s="502">
        <v>57023.894498805021</v>
      </c>
      <c r="H39" s="542">
        <v>57907.788493609805</v>
      </c>
      <c r="I39" s="502">
        <v>62650.892724799902</v>
      </c>
      <c r="J39" s="502">
        <v>63024.610843555834</v>
      </c>
      <c r="K39" s="502">
        <v>61368.13042007175</v>
      </c>
      <c r="L39" s="502">
        <v>61053.283205791515</v>
      </c>
      <c r="M39" s="541">
        <v>60661.301301923188</v>
      </c>
      <c r="N39" s="502">
        <v>60978.126222878513</v>
      </c>
      <c r="O39" s="502">
        <v>60695.757939274074</v>
      </c>
      <c r="P39" s="502">
        <v>61009.736416268446</v>
      </c>
      <c r="Q39" s="502">
        <v>61732.874148325602</v>
      </c>
      <c r="R39" s="502">
        <v>61868.283133865785</v>
      </c>
      <c r="S39" s="502">
        <v>61522.229134000823</v>
      </c>
      <c r="T39" s="502">
        <v>62711.695908190661</v>
      </c>
      <c r="U39" s="502">
        <v>63729.516027608399</v>
      </c>
      <c r="V39" s="502">
        <v>64056.650559507521</v>
      </c>
      <c r="W39" s="502">
        <v>63638.572947251698</v>
      </c>
      <c r="X39" s="502">
        <v>65376.081047683816</v>
      </c>
      <c r="Y39" s="502">
        <v>65259.079659228315</v>
      </c>
      <c r="Z39" s="502">
        <v>64221.929274373069</v>
      </c>
      <c r="AA39" s="502">
        <v>66095.544656614788</v>
      </c>
      <c r="AB39" s="502">
        <v>65476.390059388992</v>
      </c>
      <c r="AC39" s="502">
        <v>65524.031192194372</v>
      </c>
      <c r="AD39" s="502">
        <v>61639.513680147509</v>
      </c>
      <c r="AE39" s="484">
        <v>61266.200567152599</v>
      </c>
      <c r="AF39" s="484">
        <v>62427.347630855766</v>
      </c>
      <c r="AG39" s="501">
        <v>65109.481147923419</v>
      </c>
      <c r="AH39" s="502">
        <v>66235.347691635165</v>
      </c>
      <c r="AI39" s="502">
        <v>67541.612313420977</v>
      </c>
      <c r="AJ39" s="502">
        <v>68108.303640445869</v>
      </c>
      <c r="AK39" s="502">
        <v>68869.179737235681</v>
      </c>
      <c r="AL39" s="502">
        <v>70219.272296007737</v>
      </c>
      <c r="AM39" s="502">
        <v>72298.326680456827</v>
      </c>
      <c r="AN39" s="502">
        <v>72576.095937727485</v>
      </c>
      <c r="AO39" s="502">
        <v>72458.780755457192</v>
      </c>
      <c r="AP39" s="502">
        <v>72977.193008200804</v>
      </c>
      <c r="AQ39" s="502">
        <v>72899.072392498012</v>
      </c>
      <c r="AR39" s="502">
        <v>74037.375257457243</v>
      </c>
      <c r="AS39" s="502">
        <v>75741.779815326096</v>
      </c>
      <c r="AT39" s="502">
        <v>76733.620682598455</v>
      </c>
      <c r="AU39" s="502">
        <v>78546.715695242718</v>
      </c>
      <c r="AV39" s="502">
        <v>79373.583615378142</v>
      </c>
      <c r="AW39" s="502">
        <v>78286.506441269856</v>
      </c>
      <c r="AX39" s="502">
        <v>79232.876773291457</v>
      </c>
      <c r="AY39" s="502">
        <v>81184.456778495878</v>
      </c>
      <c r="AZ39" s="502">
        <v>80487.755268852343</v>
      </c>
      <c r="BA39" s="502">
        <v>81476.260017902969</v>
      </c>
      <c r="BB39" s="502">
        <v>82165.97893315494</v>
      </c>
      <c r="BC39" s="502">
        <v>82772.057491794549</v>
      </c>
      <c r="BD39" s="502">
        <v>83498.608520614493</v>
      </c>
      <c r="BE39" s="502">
        <v>86281.150663870008</v>
      </c>
      <c r="BF39" s="502">
        <v>88129.266809014298</v>
      </c>
      <c r="BG39" s="502">
        <v>88038.78346473517</v>
      </c>
      <c r="BH39" s="502">
        <v>91457.634472638601</v>
      </c>
      <c r="BI39" s="502">
        <v>91898.67339562827</v>
      </c>
      <c r="BJ39" s="502">
        <v>91946.587501666989</v>
      </c>
      <c r="BK39" s="502">
        <v>93117.177439518855</v>
      </c>
      <c r="BL39" s="502">
        <v>93437.863100276925</v>
      </c>
      <c r="BM39" s="502">
        <v>98462.572505369142</v>
      </c>
      <c r="BN39" s="502">
        <v>99298.158751124836</v>
      </c>
      <c r="BO39" s="502">
        <v>102824.66932761139</v>
      </c>
      <c r="BP39" s="502">
        <v>102517.31023425236</v>
      </c>
      <c r="BQ39" s="502">
        <v>107483.18354177562</v>
      </c>
      <c r="BR39" s="502">
        <v>107065.91005206616</v>
      </c>
      <c r="BS39" s="502">
        <v>109948.37318606768</v>
      </c>
      <c r="BT39" s="502">
        <v>111176.82874093382</v>
      </c>
      <c r="BU39" s="502">
        <v>112551.09675535634</v>
      </c>
      <c r="BV39" s="502">
        <v>109592.48049322369</v>
      </c>
      <c r="BW39" s="502">
        <v>111080.41143256948</v>
      </c>
      <c r="BX39" s="502">
        <v>111393.18539564757</v>
      </c>
      <c r="BY39" s="502">
        <v>113241.97139249006</v>
      </c>
      <c r="BZ39" s="502">
        <v>110891.86366255653</v>
      </c>
      <c r="CA39" s="502">
        <v>112639.88002488608</v>
      </c>
      <c r="CB39" s="502">
        <v>111886.48328748738</v>
      </c>
      <c r="CC39" s="502">
        <v>115797.38828890627</v>
      </c>
      <c r="CD39" s="502">
        <v>115690.50203494569</v>
      </c>
      <c r="CE39" s="502">
        <v>117900.182190494</v>
      </c>
      <c r="CF39" s="502">
        <v>118773.81156699044</v>
      </c>
      <c r="CG39" s="502">
        <v>117546.4122682593</v>
      </c>
      <c r="CH39" s="502">
        <v>117387.25336958896</v>
      </c>
      <c r="CI39" s="502">
        <v>119606.41901363849</v>
      </c>
      <c r="CJ39" s="502">
        <v>119171.18732266128</v>
      </c>
      <c r="CK39" s="502">
        <v>118554.92876637385</v>
      </c>
      <c r="CL39" s="502">
        <v>121203.67452061395</v>
      </c>
      <c r="CM39" s="502">
        <v>119785.97243249523</v>
      </c>
      <c r="CN39" s="502">
        <v>121459.92141209303</v>
      </c>
      <c r="CO39" s="502">
        <v>125248.1103539145</v>
      </c>
      <c r="CP39" s="502">
        <v>128076.82253925536</v>
      </c>
      <c r="CQ39" s="502">
        <v>129827.67324198829</v>
      </c>
      <c r="CR39" s="502">
        <v>132021.90818918028</v>
      </c>
      <c r="CS39" s="502">
        <v>133058.74331657309</v>
      </c>
      <c r="CT39" s="502">
        <v>134590.07749324129</v>
      </c>
      <c r="CU39" s="502">
        <v>133996.57534747222</v>
      </c>
      <c r="CV39" s="502">
        <v>136089.66475867567</v>
      </c>
      <c r="CW39" s="502">
        <v>134376.5194241025</v>
      </c>
      <c r="CX39" s="502">
        <v>134703.34851609514</v>
      </c>
      <c r="CY39" s="502">
        <v>133844.32236795936</v>
      </c>
      <c r="CZ39" s="502">
        <v>134900.08177348072</v>
      </c>
      <c r="DA39" s="502">
        <v>138963.07560330845</v>
      </c>
      <c r="DB39" s="541">
        <v>141486.48654951985</v>
      </c>
      <c r="DC39" s="502">
        <v>143237.74079877391</v>
      </c>
      <c r="DD39" s="484">
        <v>144755.38747650504</v>
      </c>
      <c r="DE39" s="484">
        <v>144710.49033561134</v>
      </c>
      <c r="DF39" s="484">
        <v>144933.47361842843</v>
      </c>
      <c r="DG39" s="484">
        <v>146778.10574774371</v>
      </c>
      <c r="DH39" s="484">
        <v>149014.06272058343</v>
      </c>
      <c r="DI39" s="484">
        <v>148447.05111742966</v>
      </c>
      <c r="DJ39" s="484">
        <v>149173.36185346637</v>
      </c>
      <c r="DK39" s="484">
        <v>152623.97654745489</v>
      </c>
      <c r="DL39" s="484">
        <v>151699.94722115251</v>
      </c>
      <c r="DM39" s="484">
        <v>153580.05274598414</v>
      </c>
      <c r="DN39" s="484">
        <v>158116.58360671537</v>
      </c>
      <c r="DO39" s="484">
        <v>159721.8553873591</v>
      </c>
      <c r="DP39" s="484">
        <v>160474.59665869805</v>
      </c>
      <c r="DQ39" s="484">
        <v>160618.97627511015</v>
      </c>
      <c r="DR39" s="484">
        <v>161656.10945234966</v>
      </c>
      <c r="DS39" s="484">
        <v>164110.63317595926</v>
      </c>
      <c r="DT39" s="484">
        <v>164844.80342250853</v>
      </c>
      <c r="DU39" s="484">
        <v>165174.12681402225</v>
      </c>
      <c r="DV39" s="484">
        <v>167301.81255988599</v>
      </c>
      <c r="DW39" s="484">
        <v>168291.01885748853</v>
      </c>
      <c r="DX39" s="484">
        <v>168364.32883507459</v>
      </c>
      <c r="DY39" s="484">
        <v>174242.43508418003</v>
      </c>
      <c r="DZ39" s="484">
        <v>180180.59161826217</v>
      </c>
      <c r="EA39" s="484">
        <v>181832.35233834173</v>
      </c>
      <c r="EB39" s="484">
        <v>179429.51127814452</v>
      </c>
      <c r="EC39" s="484">
        <v>178987.08602601947</v>
      </c>
    </row>
    <row r="40" spans="1:133" ht="17.25" customHeight="1" x14ac:dyDescent="0.25">
      <c r="A40" s="588" t="s">
        <v>437</v>
      </c>
      <c r="B40" s="482" t="s">
        <v>438</v>
      </c>
      <c r="C40" s="502">
        <v>109030.73177574809</v>
      </c>
      <c r="D40" s="502">
        <v>119700.9925397998</v>
      </c>
      <c r="E40" s="502">
        <v>111306.36665181286</v>
      </c>
      <c r="F40" s="541">
        <v>116738.42569687733</v>
      </c>
      <c r="G40" s="502">
        <v>117778.03292087425</v>
      </c>
      <c r="H40" s="542">
        <v>129193.57526297031</v>
      </c>
      <c r="I40" s="502">
        <v>121856.32184151594</v>
      </c>
      <c r="J40" s="502">
        <v>122887.33394910117</v>
      </c>
      <c r="K40" s="502">
        <v>132606.45372407339</v>
      </c>
      <c r="L40" s="502">
        <v>141180.31069940826</v>
      </c>
      <c r="M40" s="541">
        <v>145657.13283640481</v>
      </c>
      <c r="N40" s="502">
        <v>158742.33413253239</v>
      </c>
      <c r="O40" s="502">
        <v>157085.22267074606</v>
      </c>
      <c r="P40" s="502">
        <v>159074.61874803028</v>
      </c>
      <c r="Q40" s="502">
        <v>162342.67262476141</v>
      </c>
      <c r="R40" s="502">
        <v>175308.57908610464</v>
      </c>
      <c r="S40" s="502">
        <v>174492.52831534229</v>
      </c>
      <c r="T40" s="502">
        <v>173026.96183950026</v>
      </c>
      <c r="U40" s="502">
        <v>192996.41621173284</v>
      </c>
      <c r="V40" s="502">
        <v>174334.57535290802</v>
      </c>
      <c r="W40" s="502">
        <v>167876.76306826068</v>
      </c>
      <c r="X40" s="502">
        <v>174890.32209136282</v>
      </c>
      <c r="Y40" s="502">
        <v>171081.1772130412</v>
      </c>
      <c r="Z40" s="502">
        <v>180865.5209354198</v>
      </c>
      <c r="AA40" s="502">
        <v>184349.03946682162</v>
      </c>
      <c r="AB40" s="502">
        <v>194376.27555329466</v>
      </c>
      <c r="AC40" s="502">
        <v>201961.66270125346</v>
      </c>
      <c r="AD40" s="502">
        <v>201802.5665410292</v>
      </c>
      <c r="AE40" s="484">
        <v>209411.19801806248</v>
      </c>
      <c r="AF40" s="484">
        <v>221984.8344376522</v>
      </c>
      <c r="AG40" s="501">
        <v>209948.39363256414</v>
      </c>
      <c r="AH40" s="502">
        <v>234860.62175505236</v>
      </c>
      <c r="AI40" s="502">
        <v>231131.47940826087</v>
      </c>
      <c r="AJ40" s="502">
        <v>220189.4773461445</v>
      </c>
      <c r="AK40" s="502">
        <v>216526.17681310058</v>
      </c>
      <c r="AL40" s="502">
        <v>244347.2598311076</v>
      </c>
      <c r="AM40" s="502">
        <v>237830.38986826851</v>
      </c>
      <c r="AN40" s="502">
        <v>257556.43988593834</v>
      </c>
      <c r="AO40" s="502">
        <v>248397.04359138513</v>
      </c>
      <c r="AP40" s="502">
        <v>239173.95340796676</v>
      </c>
      <c r="AQ40" s="502">
        <v>235412.31856859857</v>
      </c>
      <c r="AR40" s="502">
        <v>236419.23071157237</v>
      </c>
      <c r="AS40" s="502">
        <v>231226.18516384368</v>
      </c>
      <c r="AT40" s="502">
        <v>226613.26755319798</v>
      </c>
      <c r="AU40" s="502">
        <v>225708.74797102256</v>
      </c>
      <c r="AV40" s="502">
        <v>219124.48209656932</v>
      </c>
      <c r="AW40" s="502">
        <v>226003.94753632817</v>
      </c>
      <c r="AX40" s="502">
        <v>227860.9637075951</v>
      </c>
      <c r="AY40" s="502">
        <v>218480.28767824118</v>
      </c>
      <c r="AZ40" s="502">
        <v>221504.31386224221</v>
      </c>
      <c r="BA40" s="502">
        <v>221450.74336463574</v>
      </c>
      <c r="BB40" s="502">
        <v>222359.37412889278</v>
      </c>
      <c r="BC40" s="502">
        <v>223689.78814989465</v>
      </c>
      <c r="BD40" s="502">
        <v>229684.10988553832</v>
      </c>
      <c r="BE40" s="502">
        <v>225304.54533674929</v>
      </c>
      <c r="BF40" s="502">
        <v>256185.72591215058</v>
      </c>
      <c r="BG40" s="502">
        <v>247626.17572525988</v>
      </c>
      <c r="BH40" s="502">
        <v>234845.7614417162</v>
      </c>
      <c r="BI40" s="502">
        <v>231940.18696562186</v>
      </c>
      <c r="BJ40" s="502">
        <v>269073.04595550534</v>
      </c>
      <c r="BK40" s="502">
        <v>265074.04301219148</v>
      </c>
      <c r="BL40" s="502">
        <v>250716.5079431535</v>
      </c>
      <c r="BM40" s="502">
        <v>260387.11344490063</v>
      </c>
      <c r="BN40" s="502">
        <v>248485.51247747539</v>
      </c>
      <c r="BO40" s="502">
        <v>252555.7827722755</v>
      </c>
      <c r="BP40" s="502">
        <v>252884.43516326445</v>
      </c>
      <c r="BQ40" s="502">
        <v>262122.12075520572</v>
      </c>
      <c r="BR40" s="502">
        <v>262115.94820399274</v>
      </c>
      <c r="BS40" s="502">
        <v>253343.64473090673</v>
      </c>
      <c r="BT40" s="502">
        <v>225185.36075979553</v>
      </c>
      <c r="BU40" s="502">
        <v>257024.48815792499</v>
      </c>
      <c r="BV40" s="502">
        <v>255644.26413742092</v>
      </c>
      <c r="BW40" s="502">
        <v>268312.09350073629</v>
      </c>
      <c r="BX40" s="502">
        <v>272272.07900024659</v>
      </c>
      <c r="BY40" s="502">
        <v>243497.19243687281</v>
      </c>
      <c r="BZ40" s="502">
        <v>252692.25482660718</v>
      </c>
      <c r="CA40" s="502">
        <v>250328.72677318042</v>
      </c>
      <c r="CB40" s="502">
        <v>291640.59477567184</v>
      </c>
      <c r="CC40" s="502">
        <v>244247.40439653795</v>
      </c>
      <c r="CD40" s="502">
        <v>218579.22939510574</v>
      </c>
      <c r="CE40" s="502">
        <v>220003.99185309198</v>
      </c>
      <c r="CF40" s="502">
        <v>216712.74306657736</v>
      </c>
      <c r="CG40" s="502">
        <v>221039.77833012716</v>
      </c>
      <c r="CH40" s="502">
        <v>231786.25622746177</v>
      </c>
      <c r="CI40" s="502">
        <v>249386.81715337187</v>
      </c>
      <c r="CJ40" s="502">
        <v>234878.99881239576</v>
      </c>
      <c r="CK40" s="502">
        <v>234501.61932204853</v>
      </c>
      <c r="CL40" s="502">
        <v>252002.02698651736</v>
      </c>
      <c r="CM40" s="502">
        <v>263895.56825927843</v>
      </c>
      <c r="CN40" s="502">
        <v>244701.06919382926</v>
      </c>
      <c r="CO40" s="502">
        <v>244875.65019718549</v>
      </c>
      <c r="CP40" s="502">
        <v>240336.63778615158</v>
      </c>
      <c r="CQ40" s="502">
        <v>234137.98974440614</v>
      </c>
      <c r="CR40" s="502">
        <v>233483.78584116284</v>
      </c>
      <c r="CS40" s="502">
        <v>259707.15284920012</v>
      </c>
      <c r="CT40" s="502">
        <v>262010.11571441576</v>
      </c>
      <c r="CU40" s="502">
        <v>232143.51346958987</v>
      </c>
      <c r="CV40" s="502">
        <v>228423.06987096876</v>
      </c>
      <c r="CW40" s="502">
        <v>228903.53673472427</v>
      </c>
      <c r="CX40" s="502">
        <v>231863.98097282439</v>
      </c>
      <c r="CY40" s="502">
        <v>232432.36886131956</v>
      </c>
      <c r="CZ40" s="502">
        <v>243850.12360717508</v>
      </c>
      <c r="DA40" s="502">
        <v>238135.49278355602</v>
      </c>
      <c r="DB40" s="541">
        <v>220946.8736710524</v>
      </c>
      <c r="DC40" s="502">
        <v>224447.94954250293</v>
      </c>
      <c r="DD40" s="484">
        <v>232154.56812513413</v>
      </c>
      <c r="DE40" s="484">
        <v>237102.1607304427</v>
      </c>
      <c r="DF40" s="484">
        <v>228294.70346303398</v>
      </c>
      <c r="DG40" s="484">
        <v>219705.37043262066</v>
      </c>
      <c r="DH40" s="484">
        <v>224391.84958921143</v>
      </c>
      <c r="DI40" s="484">
        <v>225187.014990503</v>
      </c>
      <c r="DJ40" s="484">
        <v>246613.67082475481</v>
      </c>
      <c r="DK40" s="484">
        <v>288798.40025900665</v>
      </c>
      <c r="DL40" s="484">
        <v>281467.99360152881</v>
      </c>
      <c r="DM40" s="484">
        <v>286858.22880413389</v>
      </c>
      <c r="DN40" s="484">
        <v>281313.834902453</v>
      </c>
      <c r="DO40" s="484">
        <v>279754.54868947266</v>
      </c>
      <c r="DP40" s="484">
        <v>297055.75085133297</v>
      </c>
      <c r="DQ40" s="484">
        <v>325675.24382417294</v>
      </c>
      <c r="DR40" s="484">
        <v>282032.69768788398</v>
      </c>
      <c r="DS40" s="484">
        <v>277212.88716441463</v>
      </c>
      <c r="DT40" s="484">
        <v>255273.00213187435</v>
      </c>
      <c r="DU40" s="484">
        <v>252367.3747033916</v>
      </c>
      <c r="DV40" s="484">
        <v>265148.89433464297</v>
      </c>
      <c r="DW40" s="484">
        <v>274054.62404871779</v>
      </c>
      <c r="DX40" s="484">
        <v>257865.49969819107</v>
      </c>
      <c r="DY40" s="484">
        <v>263434.20048635866</v>
      </c>
      <c r="DZ40" s="484">
        <v>253519.53042021577</v>
      </c>
      <c r="EA40" s="484">
        <v>260170.15862610817</v>
      </c>
      <c r="EB40" s="484">
        <v>246240.54182122383</v>
      </c>
      <c r="EC40" s="484">
        <v>256040.14008642273</v>
      </c>
    </row>
    <row r="41" spans="1:133" ht="17.25" customHeight="1" x14ac:dyDescent="0.25">
      <c r="A41" s="588"/>
      <c r="B41" s="482"/>
      <c r="C41" s="561"/>
      <c r="D41" s="561"/>
      <c r="E41" s="561"/>
      <c r="F41" s="562"/>
      <c r="G41" s="561"/>
      <c r="H41" s="563"/>
      <c r="I41" s="561"/>
      <c r="J41" s="561"/>
      <c r="K41" s="561"/>
      <c r="L41" s="561"/>
      <c r="M41" s="562"/>
      <c r="N41" s="561"/>
      <c r="O41" s="561"/>
      <c r="P41" s="561"/>
      <c r="Q41" s="561"/>
      <c r="R41" s="561"/>
      <c r="S41" s="561"/>
      <c r="T41" s="561"/>
      <c r="U41" s="561"/>
      <c r="V41" s="561"/>
      <c r="W41" s="561"/>
      <c r="X41" s="561"/>
      <c r="Y41" s="561"/>
      <c r="Z41" s="561"/>
      <c r="AA41" s="561"/>
      <c r="AB41" s="561"/>
      <c r="AC41" s="561"/>
      <c r="AD41" s="561"/>
      <c r="AE41" s="564"/>
      <c r="AF41" s="564"/>
      <c r="AG41" s="565"/>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2"/>
      <c r="DC41" s="561"/>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row>
    <row r="42" spans="1:133" ht="17.25" customHeight="1" x14ac:dyDescent="0.25">
      <c r="A42" s="587" t="s">
        <v>439</v>
      </c>
      <c r="B42" s="478" t="s">
        <v>463</v>
      </c>
      <c r="C42" s="533">
        <v>80491.5790556188</v>
      </c>
      <c r="D42" s="533">
        <v>80697.809106184024</v>
      </c>
      <c r="E42" s="533">
        <v>87705.678274143997</v>
      </c>
      <c r="F42" s="534">
        <v>73784.756130328082</v>
      </c>
      <c r="G42" s="533">
        <v>72490.460604305175</v>
      </c>
      <c r="H42" s="535">
        <v>77427.406255812166</v>
      </c>
      <c r="I42" s="533">
        <v>66099.699093659015</v>
      </c>
      <c r="J42" s="533">
        <v>70833.680370135378</v>
      </c>
      <c r="K42" s="533">
        <v>88120.068275375394</v>
      </c>
      <c r="L42" s="533">
        <v>85019.088950657184</v>
      </c>
      <c r="M42" s="534">
        <v>73327.205655888421</v>
      </c>
      <c r="N42" s="533">
        <v>71069.375960490041</v>
      </c>
      <c r="O42" s="533">
        <v>77230.859836294956</v>
      </c>
      <c r="P42" s="533">
        <v>78255.409937428543</v>
      </c>
      <c r="Q42" s="533">
        <v>83007.09680195454</v>
      </c>
      <c r="R42" s="533">
        <v>93373.797255076002</v>
      </c>
      <c r="S42" s="533">
        <v>96481.845470338289</v>
      </c>
      <c r="T42" s="533">
        <v>114964.85499125741</v>
      </c>
      <c r="U42" s="533">
        <v>111645.24791947874</v>
      </c>
      <c r="V42" s="533">
        <v>99942.546984468252</v>
      </c>
      <c r="W42" s="533">
        <v>106620.44209692487</v>
      </c>
      <c r="X42" s="533">
        <v>105632.61913818453</v>
      </c>
      <c r="Y42" s="533">
        <v>111745.27884125496</v>
      </c>
      <c r="Z42" s="533">
        <v>103575.80796826008</v>
      </c>
      <c r="AA42" s="533">
        <v>99741.828133381481</v>
      </c>
      <c r="AB42" s="533">
        <v>119569.0172397062</v>
      </c>
      <c r="AC42" s="533">
        <v>127180.72113339081</v>
      </c>
      <c r="AD42" s="533">
        <v>121899.28328782997</v>
      </c>
      <c r="AE42" s="479">
        <v>120843.8192943973</v>
      </c>
      <c r="AF42" s="479">
        <v>131575.3054988909</v>
      </c>
      <c r="AG42" s="560">
        <v>129517.69597165757</v>
      </c>
      <c r="AH42" s="533">
        <v>128257.47232984914</v>
      </c>
      <c r="AI42" s="533">
        <v>122215.01007093082</v>
      </c>
      <c r="AJ42" s="533">
        <v>121890.88919858025</v>
      </c>
      <c r="AK42" s="533">
        <v>121794.56796619685</v>
      </c>
      <c r="AL42" s="533">
        <v>126312.25483534057</v>
      </c>
      <c r="AM42" s="533">
        <v>118841.74642610786</v>
      </c>
      <c r="AN42" s="533">
        <v>117863.20924431557</v>
      </c>
      <c r="AO42" s="533">
        <v>116355.45662098803</v>
      </c>
      <c r="AP42" s="533">
        <v>115587.07566438038</v>
      </c>
      <c r="AQ42" s="533">
        <v>133111.1564387317</v>
      </c>
      <c r="AR42" s="533">
        <v>131663.11318076306</v>
      </c>
      <c r="AS42" s="533">
        <v>128065.81607268049</v>
      </c>
      <c r="AT42" s="533">
        <v>131799.72708023948</v>
      </c>
      <c r="AU42" s="533">
        <v>131086.67195544034</v>
      </c>
      <c r="AV42" s="533">
        <v>128665.46387125392</v>
      </c>
      <c r="AW42" s="533">
        <v>123297.80121491598</v>
      </c>
      <c r="AX42" s="533">
        <v>116791.89378671935</v>
      </c>
      <c r="AY42" s="533">
        <v>108415.04497313853</v>
      </c>
      <c r="AZ42" s="533">
        <v>104289.99226519052</v>
      </c>
      <c r="BA42" s="533">
        <v>102716.08842777211</v>
      </c>
      <c r="BB42" s="533">
        <v>101757.81214174069</v>
      </c>
      <c r="BC42" s="533">
        <v>99433.722607934236</v>
      </c>
      <c r="BD42" s="533">
        <v>82944.729221307134</v>
      </c>
      <c r="BE42" s="533">
        <v>90309.277111334784</v>
      </c>
      <c r="BF42" s="533">
        <v>78667.024526159774</v>
      </c>
      <c r="BG42" s="533">
        <v>80554.354239733191</v>
      </c>
      <c r="BH42" s="533">
        <v>84690.225909486326</v>
      </c>
      <c r="BI42" s="533">
        <v>85623.26794906109</v>
      </c>
      <c r="BJ42" s="533">
        <v>96156.265010870848</v>
      </c>
      <c r="BK42" s="533">
        <v>91807.748033646349</v>
      </c>
      <c r="BL42" s="533">
        <v>90778.265086634579</v>
      </c>
      <c r="BM42" s="533">
        <v>93282.964628330083</v>
      </c>
      <c r="BN42" s="533">
        <v>98468.279970911579</v>
      </c>
      <c r="BO42" s="533">
        <v>99069.431729936943</v>
      </c>
      <c r="BP42" s="533">
        <v>98610.640375597839</v>
      </c>
      <c r="BQ42" s="533">
        <v>94524.236984010495</v>
      </c>
      <c r="BR42" s="533">
        <v>92182.966555755789</v>
      </c>
      <c r="BS42" s="533">
        <v>96030.450212167765</v>
      </c>
      <c r="BT42" s="533">
        <v>94772.472537003501</v>
      </c>
      <c r="BU42" s="533">
        <v>107690.070906644</v>
      </c>
      <c r="BV42" s="533">
        <v>93879.980016062153</v>
      </c>
      <c r="BW42" s="533">
        <v>103502.69653744902</v>
      </c>
      <c r="BX42" s="533">
        <v>91631.185972174542</v>
      </c>
      <c r="BY42" s="533">
        <v>96996.300713116405</v>
      </c>
      <c r="BZ42" s="533">
        <v>96954.886827257025</v>
      </c>
      <c r="CA42" s="533">
        <v>91673.207968479444</v>
      </c>
      <c r="CB42" s="533">
        <v>93348.601159788828</v>
      </c>
      <c r="CC42" s="533">
        <v>93697.154047417454</v>
      </c>
      <c r="CD42" s="533">
        <v>91501.42869486702</v>
      </c>
      <c r="CE42" s="533">
        <v>92537.9906437475</v>
      </c>
      <c r="CF42" s="533">
        <v>103149.97996094101</v>
      </c>
      <c r="CG42" s="533">
        <v>102551.27243887875</v>
      </c>
      <c r="CH42" s="533">
        <v>96419.683389639715</v>
      </c>
      <c r="CI42" s="533">
        <v>117452.8730538902</v>
      </c>
      <c r="CJ42" s="533">
        <v>115149.9011788893</v>
      </c>
      <c r="CK42" s="533">
        <v>124903.59743968595</v>
      </c>
      <c r="CL42" s="533">
        <v>113407.32885407397</v>
      </c>
      <c r="CM42" s="533">
        <v>118507.85262060841</v>
      </c>
      <c r="CN42" s="533">
        <v>125593.84637196726</v>
      </c>
      <c r="CO42" s="533">
        <v>139817.43680827963</v>
      </c>
      <c r="CP42" s="533">
        <v>142519.73521105712</v>
      </c>
      <c r="CQ42" s="533">
        <v>163361.4784103022</v>
      </c>
      <c r="CR42" s="533">
        <v>169042.00723445791</v>
      </c>
      <c r="CS42" s="533">
        <v>148489.56406763074</v>
      </c>
      <c r="CT42" s="533">
        <v>156436.13094266233</v>
      </c>
      <c r="CU42" s="533">
        <v>172787.31623900167</v>
      </c>
      <c r="CV42" s="533">
        <v>179554.05256704643</v>
      </c>
      <c r="CW42" s="533">
        <v>177098.25635244997</v>
      </c>
      <c r="CX42" s="533">
        <v>180542.27517278696</v>
      </c>
      <c r="CY42" s="533">
        <v>169453.70012330479</v>
      </c>
      <c r="CZ42" s="533">
        <v>166481.50102469139</v>
      </c>
      <c r="DA42" s="533">
        <v>192564.99889843416</v>
      </c>
      <c r="DB42" s="534">
        <v>189473.45742364379</v>
      </c>
      <c r="DC42" s="533">
        <v>193106.00723397272</v>
      </c>
      <c r="DD42" s="479">
        <v>197755.32273692451</v>
      </c>
      <c r="DE42" s="479">
        <v>176455.41817401792</v>
      </c>
      <c r="DF42" s="479">
        <v>146171.62551350016</v>
      </c>
      <c r="DG42" s="479">
        <v>152438.90449626313</v>
      </c>
      <c r="DH42" s="479">
        <v>152791.42553193358</v>
      </c>
      <c r="DI42" s="479">
        <v>149494.44184773127</v>
      </c>
      <c r="DJ42" s="479">
        <v>158615.98794888516</v>
      </c>
      <c r="DK42" s="479">
        <v>168439.44250099061</v>
      </c>
      <c r="DL42" s="479">
        <v>168550.01594421855</v>
      </c>
      <c r="DM42" s="479">
        <v>184232.83156417086</v>
      </c>
      <c r="DN42" s="479">
        <v>185665.66493615811</v>
      </c>
      <c r="DO42" s="479">
        <v>176420.73684061295</v>
      </c>
      <c r="DP42" s="479">
        <v>187738.47065844474</v>
      </c>
      <c r="DQ42" s="479">
        <v>172960.89409869455</v>
      </c>
      <c r="DR42" s="479">
        <v>173171.38005135133</v>
      </c>
      <c r="DS42" s="479">
        <v>171075.25281564827</v>
      </c>
      <c r="DT42" s="479">
        <v>161460.02582595783</v>
      </c>
      <c r="DU42" s="479">
        <v>164572.78616000744</v>
      </c>
      <c r="DV42" s="479">
        <v>173351.67140181048</v>
      </c>
      <c r="DW42" s="479">
        <v>170452.19363743579</v>
      </c>
      <c r="DX42" s="479">
        <v>183094.87985611046</v>
      </c>
      <c r="DY42" s="479">
        <v>182620.63995916588</v>
      </c>
      <c r="DZ42" s="479">
        <v>175721.60209468467</v>
      </c>
      <c r="EA42" s="479">
        <v>173431.18608907083</v>
      </c>
      <c r="EB42" s="479">
        <v>169832.0574969328</v>
      </c>
      <c r="EC42" s="479">
        <v>169501.32024240849</v>
      </c>
    </row>
    <row r="43" spans="1:133" ht="17.25" customHeight="1" x14ac:dyDescent="0.25">
      <c r="A43" s="588" t="s">
        <v>441</v>
      </c>
      <c r="B43" s="482" t="s">
        <v>434</v>
      </c>
      <c r="C43" s="502">
        <v>14022.40692473679</v>
      </c>
      <c r="D43" s="502">
        <v>8614.9470122550247</v>
      </c>
      <c r="E43" s="502">
        <v>9046.7667947900245</v>
      </c>
      <c r="F43" s="541">
        <v>8253.3560588930486</v>
      </c>
      <c r="G43" s="502">
        <v>8243.8970227649188</v>
      </c>
      <c r="H43" s="542">
        <v>14222.774405428938</v>
      </c>
      <c r="I43" s="502">
        <v>9773.4685437383559</v>
      </c>
      <c r="J43" s="502">
        <v>8464.5785294334873</v>
      </c>
      <c r="K43" s="502">
        <v>8618.9981428776773</v>
      </c>
      <c r="L43" s="502">
        <v>9444.8388877828729</v>
      </c>
      <c r="M43" s="541">
        <v>9352.6658480040496</v>
      </c>
      <c r="N43" s="502">
        <v>9078.0655663321577</v>
      </c>
      <c r="O43" s="502">
        <v>9420.9177350316659</v>
      </c>
      <c r="P43" s="502">
        <v>10747.092222015226</v>
      </c>
      <c r="Q43" s="502">
        <v>14520.159524510929</v>
      </c>
      <c r="R43" s="502">
        <v>9991.7010285336255</v>
      </c>
      <c r="S43" s="502">
        <v>9092.5564867792127</v>
      </c>
      <c r="T43" s="502">
        <v>10165.907027228755</v>
      </c>
      <c r="U43" s="502">
        <v>12983.843000142246</v>
      </c>
      <c r="V43" s="502">
        <v>11715.407392950861</v>
      </c>
      <c r="W43" s="502">
        <v>14475.547831222679</v>
      </c>
      <c r="X43" s="502">
        <v>19425.925564734509</v>
      </c>
      <c r="Y43" s="502">
        <v>13960.249322756885</v>
      </c>
      <c r="Z43" s="502">
        <v>15702.057529997388</v>
      </c>
      <c r="AA43" s="502">
        <v>11437.244710425246</v>
      </c>
      <c r="AB43" s="502">
        <v>13168.735278215197</v>
      </c>
      <c r="AC43" s="502">
        <v>13759.003379766453</v>
      </c>
      <c r="AD43" s="502">
        <v>13364.164291648372</v>
      </c>
      <c r="AE43" s="484">
        <v>14167.006895148679</v>
      </c>
      <c r="AF43" s="484">
        <v>13712.581781453029</v>
      </c>
      <c r="AG43" s="501">
        <v>15904.570471189527</v>
      </c>
      <c r="AH43" s="502">
        <v>15992.788304569956</v>
      </c>
      <c r="AI43" s="502">
        <v>19694.302836123796</v>
      </c>
      <c r="AJ43" s="502">
        <v>20611.516611396997</v>
      </c>
      <c r="AK43" s="502">
        <v>18384.805904107274</v>
      </c>
      <c r="AL43" s="502">
        <v>17418.271259703048</v>
      </c>
      <c r="AM43" s="502">
        <v>19673.09198335043</v>
      </c>
      <c r="AN43" s="502">
        <v>17490.392421126409</v>
      </c>
      <c r="AO43" s="502">
        <v>15789.829679464565</v>
      </c>
      <c r="AP43" s="502">
        <v>14897.063393489851</v>
      </c>
      <c r="AQ43" s="502">
        <v>17855.386396686707</v>
      </c>
      <c r="AR43" s="502">
        <v>19704.477664288788</v>
      </c>
      <c r="AS43" s="502">
        <v>19322.249388112468</v>
      </c>
      <c r="AT43" s="502">
        <v>19671.520938299513</v>
      </c>
      <c r="AU43" s="502">
        <v>21946.174337752516</v>
      </c>
      <c r="AV43" s="502">
        <v>22545.557014126411</v>
      </c>
      <c r="AW43" s="502">
        <v>22877.404338369684</v>
      </c>
      <c r="AX43" s="502">
        <v>25594.387499068926</v>
      </c>
      <c r="AY43" s="502">
        <v>24263.926402553021</v>
      </c>
      <c r="AZ43" s="502">
        <v>22543.248311728195</v>
      </c>
      <c r="BA43" s="502">
        <v>21234.901128839534</v>
      </c>
      <c r="BB43" s="502">
        <v>30290.441198478788</v>
      </c>
      <c r="BC43" s="502">
        <v>24337.911634397216</v>
      </c>
      <c r="BD43" s="502">
        <v>23016.085451020259</v>
      </c>
      <c r="BE43" s="502">
        <v>26127.521209808598</v>
      </c>
      <c r="BF43" s="502">
        <v>23921.084562984011</v>
      </c>
      <c r="BG43" s="502">
        <v>22208.752819936391</v>
      </c>
      <c r="BH43" s="502">
        <v>23156.253562813843</v>
      </c>
      <c r="BI43" s="502">
        <v>23121.383518245995</v>
      </c>
      <c r="BJ43" s="502">
        <v>24590.031698467454</v>
      </c>
      <c r="BK43" s="502">
        <v>23916.522247080891</v>
      </c>
      <c r="BL43" s="502">
        <v>23742.905440807965</v>
      </c>
      <c r="BM43" s="502">
        <v>24232.956685809291</v>
      </c>
      <c r="BN43" s="502">
        <v>26599.446508762252</v>
      </c>
      <c r="BO43" s="502">
        <v>29024.633317296066</v>
      </c>
      <c r="BP43" s="502">
        <v>27333.616765043411</v>
      </c>
      <c r="BQ43" s="502">
        <v>25716.207911377434</v>
      </c>
      <c r="BR43" s="502">
        <v>23815.733355021974</v>
      </c>
      <c r="BS43" s="502">
        <v>32057.999938223969</v>
      </c>
      <c r="BT43" s="502">
        <v>29087.255709827485</v>
      </c>
      <c r="BU43" s="502">
        <v>27682.723648223953</v>
      </c>
      <c r="BV43" s="502">
        <v>30605.533021761774</v>
      </c>
      <c r="BW43" s="502">
        <v>36707.213049972961</v>
      </c>
      <c r="BX43" s="502">
        <v>26209.195973646965</v>
      </c>
      <c r="BY43" s="502">
        <v>31883.152481903373</v>
      </c>
      <c r="BZ43" s="502">
        <v>31121.353675311264</v>
      </c>
      <c r="CA43" s="502">
        <v>26986.049667186711</v>
      </c>
      <c r="CB43" s="502">
        <v>27895.361200375159</v>
      </c>
      <c r="CC43" s="502">
        <v>27362.065229344491</v>
      </c>
      <c r="CD43" s="502">
        <v>27991.529754028328</v>
      </c>
      <c r="CE43" s="502">
        <v>30636.40264493529</v>
      </c>
      <c r="CF43" s="502">
        <v>32196.376471926222</v>
      </c>
      <c r="CG43" s="502">
        <v>29295.707543649169</v>
      </c>
      <c r="CH43" s="502">
        <v>31266.113443101447</v>
      </c>
      <c r="CI43" s="502">
        <v>32754.518333397475</v>
      </c>
      <c r="CJ43" s="502">
        <v>32771.984399307403</v>
      </c>
      <c r="CK43" s="502">
        <v>36520.885242843011</v>
      </c>
      <c r="CL43" s="502">
        <v>39405.925889257967</v>
      </c>
      <c r="CM43" s="502">
        <v>42509.915601848712</v>
      </c>
      <c r="CN43" s="502">
        <v>46812.632762614085</v>
      </c>
      <c r="CO43" s="502">
        <v>60404.274066625963</v>
      </c>
      <c r="CP43" s="502">
        <v>64176.642027490969</v>
      </c>
      <c r="CQ43" s="502">
        <v>53141.293309574496</v>
      </c>
      <c r="CR43" s="502">
        <v>57676.282520363959</v>
      </c>
      <c r="CS43" s="502">
        <v>61432.946588381412</v>
      </c>
      <c r="CT43" s="502">
        <v>59701.520731146054</v>
      </c>
      <c r="CU43" s="502">
        <v>67057.075566061321</v>
      </c>
      <c r="CV43" s="502">
        <v>69678.713956968146</v>
      </c>
      <c r="CW43" s="502">
        <v>73191.201505279183</v>
      </c>
      <c r="CX43" s="502">
        <v>68507.625070388312</v>
      </c>
      <c r="CY43" s="502">
        <v>65102.157469224556</v>
      </c>
      <c r="CZ43" s="502">
        <v>58334.616814234541</v>
      </c>
      <c r="DA43" s="502">
        <v>70770.248914523996</v>
      </c>
      <c r="DB43" s="541">
        <v>73227.274624757047</v>
      </c>
      <c r="DC43" s="502">
        <v>71740.712668774038</v>
      </c>
      <c r="DD43" s="484">
        <v>72942.46736347671</v>
      </c>
      <c r="DE43" s="484">
        <v>74106.670448174133</v>
      </c>
      <c r="DF43" s="484">
        <v>66679.538178442323</v>
      </c>
      <c r="DG43" s="484">
        <v>69867.393448514107</v>
      </c>
      <c r="DH43" s="484">
        <v>70233.084989007068</v>
      </c>
      <c r="DI43" s="484">
        <v>68132.574227126781</v>
      </c>
      <c r="DJ43" s="484">
        <v>74753.346603898739</v>
      </c>
      <c r="DK43" s="484">
        <v>83741.408117402083</v>
      </c>
      <c r="DL43" s="484">
        <v>79873.032783677103</v>
      </c>
      <c r="DM43" s="484">
        <v>93625.138333523224</v>
      </c>
      <c r="DN43" s="484">
        <v>95612.710791466394</v>
      </c>
      <c r="DO43" s="484">
        <v>88961.765299336839</v>
      </c>
      <c r="DP43" s="484">
        <v>91097.140368477529</v>
      </c>
      <c r="DQ43" s="484">
        <v>81832.147113959189</v>
      </c>
      <c r="DR43" s="484">
        <v>83314.444418574029</v>
      </c>
      <c r="DS43" s="484">
        <v>85980.003633500368</v>
      </c>
      <c r="DT43" s="484">
        <v>92959.890334712472</v>
      </c>
      <c r="DU43" s="484">
        <v>89618.045780981032</v>
      </c>
      <c r="DV43" s="484">
        <v>94141.075339449162</v>
      </c>
      <c r="DW43" s="484">
        <v>90695.36943860192</v>
      </c>
      <c r="DX43" s="484">
        <v>100064.86712297922</v>
      </c>
      <c r="DY43" s="484">
        <v>103826.92591982184</v>
      </c>
      <c r="DZ43" s="484">
        <v>99195.810213302728</v>
      </c>
      <c r="EA43" s="484">
        <v>101137.56674668306</v>
      </c>
      <c r="EB43" s="484">
        <v>100406.23506734286</v>
      </c>
      <c r="EC43" s="484">
        <v>100706.06956148602</v>
      </c>
    </row>
    <row r="44" spans="1:133" ht="17.25" customHeight="1" x14ac:dyDescent="0.25">
      <c r="A44" s="588" t="s">
        <v>442</v>
      </c>
      <c r="B44" s="482" t="s">
        <v>436</v>
      </c>
      <c r="C44" s="502">
        <v>3495.6415684986182</v>
      </c>
      <c r="D44" s="502">
        <v>3384.107689595849</v>
      </c>
      <c r="E44" s="502">
        <v>3271.6331236176302</v>
      </c>
      <c r="F44" s="541">
        <v>3272.7762917866294</v>
      </c>
      <c r="G44" s="502">
        <v>3255.0807226595352</v>
      </c>
      <c r="H44" s="542">
        <v>3742.6917097622304</v>
      </c>
      <c r="I44" s="502">
        <v>3648.2700050894687</v>
      </c>
      <c r="J44" s="502">
        <v>3230.8517671701861</v>
      </c>
      <c r="K44" s="502">
        <v>3662.8683849574359</v>
      </c>
      <c r="L44" s="502">
        <v>3848.8774807486584</v>
      </c>
      <c r="M44" s="541">
        <v>4134.721223380081</v>
      </c>
      <c r="N44" s="502">
        <v>3827.4946287044336</v>
      </c>
      <c r="O44" s="502">
        <v>4255.0011438979927</v>
      </c>
      <c r="P44" s="502">
        <v>4395.8558839348952</v>
      </c>
      <c r="Q44" s="502">
        <v>4170.1062686102305</v>
      </c>
      <c r="R44" s="502">
        <v>5002.1153473357035</v>
      </c>
      <c r="S44" s="502">
        <v>4347.658543524788</v>
      </c>
      <c r="T44" s="502">
        <v>4186.6316760905156</v>
      </c>
      <c r="U44" s="502">
        <v>4344.949446737709</v>
      </c>
      <c r="V44" s="502">
        <v>4129.9172620029522</v>
      </c>
      <c r="W44" s="502">
        <v>4392.8096184761398</v>
      </c>
      <c r="X44" s="502">
        <v>4095.4837599173816</v>
      </c>
      <c r="Y44" s="502">
        <v>4256.1719938747665</v>
      </c>
      <c r="Z44" s="502">
        <v>4183.4421946075481</v>
      </c>
      <c r="AA44" s="502">
        <v>4617.6160151286349</v>
      </c>
      <c r="AB44" s="502">
        <v>4614.5771849940811</v>
      </c>
      <c r="AC44" s="502">
        <v>4710.6523175544962</v>
      </c>
      <c r="AD44" s="502">
        <v>4157.6511166712844</v>
      </c>
      <c r="AE44" s="484">
        <v>4038.7104524642345</v>
      </c>
      <c r="AF44" s="484">
        <v>4161.2685977659812</v>
      </c>
      <c r="AG44" s="501">
        <v>4160.5040427488939</v>
      </c>
      <c r="AH44" s="502">
        <v>4837.0598256773301</v>
      </c>
      <c r="AI44" s="502">
        <v>4985.6069986008079</v>
      </c>
      <c r="AJ44" s="502">
        <v>5438.6799747489231</v>
      </c>
      <c r="AK44" s="502">
        <v>5310.7663303224208</v>
      </c>
      <c r="AL44" s="502">
        <v>5005.8586778588924</v>
      </c>
      <c r="AM44" s="502">
        <v>5291.6350886730352</v>
      </c>
      <c r="AN44" s="502">
        <v>4997.2479176020934</v>
      </c>
      <c r="AO44" s="502">
        <v>5598.6997302054842</v>
      </c>
      <c r="AP44" s="502">
        <v>4923.9416743037127</v>
      </c>
      <c r="AQ44" s="502">
        <v>4948.6041173017156</v>
      </c>
      <c r="AR44" s="502">
        <v>5083.326256160818</v>
      </c>
      <c r="AS44" s="502">
        <v>5066.4971476266437</v>
      </c>
      <c r="AT44" s="502">
        <v>5618.949444723492</v>
      </c>
      <c r="AU44" s="502">
        <v>5602.6020136190482</v>
      </c>
      <c r="AV44" s="502">
        <v>5770.8321336090139</v>
      </c>
      <c r="AW44" s="502">
        <v>5857.5384242466353</v>
      </c>
      <c r="AX44" s="502">
        <v>6028.7026773694788</v>
      </c>
      <c r="AY44" s="502">
        <v>6878.0023383476537</v>
      </c>
      <c r="AZ44" s="502">
        <v>7604.0455844604112</v>
      </c>
      <c r="BA44" s="502">
        <v>7893.7426159151346</v>
      </c>
      <c r="BB44" s="502">
        <v>7562.7404225683313</v>
      </c>
      <c r="BC44" s="502">
        <v>7715.2243616121796</v>
      </c>
      <c r="BD44" s="502">
        <v>7596.9742925374294</v>
      </c>
      <c r="BE44" s="502">
        <v>7545.8616838301859</v>
      </c>
      <c r="BF44" s="502">
        <v>7440.8625507930419</v>
      </c>
      <c r="BG44" s="502">
        <v>7823.5347870919741</v>
      </c>
      <c r="BH44" s="502">
        <v>7708.0265372259964</v>
      </c>
      <c r="BI44" s="502">
        <v>8489.0008841432118</v>
      </c>
      <c r="BJ44" s="502">
        <v>8506.3998487766876</v>
      </c>
      <c r="BK44" s="502">
        <v>8605.045459682482</v>
      </c>
      <c r="BL44" s="502">
        <v>8698.2606262574591</v>
      </c>
      <c r="BM44" s="502">
        <v>9280.4259172492548</v>
      </c>
      <c r="BN44" s="502">
        <v>9294.2342306476767</v>
      </c>
      <c r="BO44" s="502">
        <v>9635.5659515614152</v>
      </c>
      <c r="BP44" s="502">
        <v>9475.1206773081976</v>
      </c>
      <c r="BQ44" s="502">
        <v>9125.2985669564332</v>
      </c>
      <c r="BR44" s="502">
        <v>9288.7431539777772</v>
      </c>
      <c r="BS44" s="502">
        <v>9422.6555083620933</v>
      </c>
      <c r="BT44" s="502">
        <v>10264.134516770358</v>
      </c>
      <c r="BU44" s="502">
        <v>10721.405525402562</v>
      </c>
      <c r="BV44" s="502">
        <v>10046.549590326807</v>
      </c>
      <c r="BW44" s="502">
        <v>9537.0308950808067</v>
      </c>
      <c r="BX44" s="502">
        <v>9847.4090509647467</v>
      </c>
      <c r="BY44" s="502">
        <v>10097.346815957313</v>
      </c>
      <c r="BZ44" s="502">
        <v>10154.280731005787</v>
      </c>
      <c r="CA44" s="502">
        <v>10522.355121407993</v>
      </c>
      <c r="CB44" s="502">
        <v>10352.366136982795</v>
      </c>
      <c r="CC44" s="502">
        <v>10037.617270339781</v>
      </c>
      <c r="CD44" s="502">
        <v>10567.819826471554</v>
      </c>
      <c r="CE44" s="502">
        <v>10469.568391697207</v>
      </c>
      <c r="CF44" s="502">
        <v>10415.538359530783</v>
      </c>
      <c r="CG44" s="502">
        <v>11376.6833224169</v>
      </c>
      <c r="CH44" s="502">
        <v>10830.176198437317</v>
      </c>
      <c r="CI44" s="502">
        <v>10910.724934795169</v>
      </c>
      <c r="CJ44" s="502">
        <v>10828.158954843757</v>
      </c>
      <c r="CK44" s="502">
        <v>10776.328819657454</v>
      </c>
      <c r="CL44" s="502">
        <v>10680.105423668449</v>
      </c>
      <c r="CM44" s="502">
        <v>11095.252952426592</v>
      </c>
      <c r="CN44" s="502">
        <v>11140.947177616612</v>
      </c>
      <c r="CO44" s="502">
        <v>11379.951547673976</v>
      </c>
      <c r="CP44" s="502">
        <v>11595.072669347646</v>
      </c>
      <c r="CQ44" s="502">
        <v>11868.461831969422</v>
      </c>
      <c r="CR44" s="502">
        <v>11867.282196275353</v>
      </c>
      <c r="CS44" s="502">
        <v>12115.10142639816</v>
      </c>
      <c r="CT44" s="502">
        <v>12149.83826369694</v>
      </c>
      <c r="CU44" s="502">
        <v>12328.263682215664</v>
      </c>
      <c r="CV44" s="502">
        <v>12747.634636687382</v>
      </c>
      <c r="CW44" s="502">
        <v>12930.971464633123</v>
      </c>
      <c r="CX44" s="502">
        <v>13206.402540258914</v>
      </c>
      <c r="CY44" s="502">
        <v>13024.60011847623</v>
      </c>
      <c r="CZ44" s="502">
        <v>12826.45625597953</v>
      </c>
      <c r="DA44" s="502">
        <v>12993.682354884986</v>
      </c>
      <c r="DB44" s="541">
        <v>12442.048648592074</v>
      </c>
      <c r="DC44" s="502">
        <v>12887.461789553057</v>
      </c>
      <c r="DD44" s="484">
        <v>13154.226620819973</v>
      </c>
      <c r="DE44" s="484">
        <v>13366.470651808098</v>
      </c>
      <c r="DF44" s="484">
        <v>13702.425117124852</v>
      </c>
      <c r="DG44" s="484">
        <v>14383.121785474061</v>
      </c>
      <c r="DH44" s="484">
        <v>14947.903045389963</v>
      </c>
      <c r="DI44" s="484">
        <v>14766.185860499636</v>
      </c>
      <c r="DJ44" s="484">
        <v>14810.461342452931</v>
      </c>
      <c r="DK44" s="484">
        <v>14898.210738568056</v>
      </c>
      <c r="DL44" s="484">
        <v>14956.459656182262</v>
      </c>
      <c r="DM44" s="484">
        <v>14559.627373831481</v>
      </c>
      <c r="DN44" s="484">
        <v>14669.690969162668</v>
      </c>
      <c r="DO44" s="484">
        <v>14935.023783121873</v>
      </c>
      <c r="DP44" s="484">
        <v>15314.528794097789</v>
      </c>
      <c r="DQ44" s="484">
        <v>14985.673115780344</v>
      </c>
      <c r="DR44" s="484">
        <v>23051.163311469336</v>
      </c>
      <c r="DS44" s="484">
        <v>16149.542283132785</v>
      </c>
      <c r="DT44" s="484">
        <v>15885.939104603836</v>
      </c>
      <c r="DU44" s="484">
        <v>16220.436141178368</v>
      </c>
      <c r="DV44" s="484">
        <v>17418.158168435188</v>
      </c>
      <c r="DW44" s="484">
        <v>16770.777906887495</v>
      </c>
      <c r="DX44" s="484">
        <v>18146.22986509898</v>
      </c>
      <c r="DY44" s="484">
        <v>16802.751870402852</v>
      </c>
      <c r="DZ44" s="484">
        <v>17270.32506874813</v>
      </c>
      <c r="EA44" s="484">
        <v>16815.000822994087</v>
      </c>
      <c r="EB44" s="484">
        <v>16884.164750755248</v>
      </c>
      <c r="EC44" s="484">
        <v>16462.376780928622</v>
      </c>
    </row>
    <row r="45" spans="1:133" ht="17.25" customHeight="1" x14ac:dyDescent="0.25">
      <c r="A45" s="588" t="s">
        <v>443</v>
      </c>
      <c r="B45" s="482" t="s">
        <v>438</v>
      </c>
      <c r="C45" s="502">
        <v>62973.530562383392</v>
      </c>
      <c r="D45" s="502">
        <v>68698.754404333158</v>
      </c>
      <c r="E45" s="502">
        <v>75387.278355736344</v>
      </c>
      <c r="F45" s="541">
        <v>62258.623779648398</v>
      </c>
      <c r="G45" s="502">
        <v>60991.482858880714</v>
      </c>
      <c r="H45" s="542">
        <v>59461.940140620994</v>
      </c>
      <c r="I45" s="502">
        <v>52677.960544831192</v>
      </c>
      <c r="J45" s="502">
        <v>59138.250073531701</v>
      </c>
      <c r="K45" s="502">
        <v>75838.201747540283</v>
      </c>
      <c r="L45" s="502">
        <v>71725.372582125652</v>
      </c>
      <c r="M45" s="541">
        <v>59839.81858450429</v>
      </c>
      <c r="N45" s="502">
        <v>58163.815765453452</v>
      </c>
      <c r="O45" s="502">
        <v>63554.940957365296</v>
      </c>
      <c r="P45" s="502">
        <v>63112.461831478417</v>
      </c>
      <c r="Q45" s="502">
        <v>64316.831008833382</v>
      </c>
      <c r="R45" s="502">
        <v>78379.980879206676</v>
      </c>
      <c r="S45" s="502">
        <v>83041.630440034292</v>
      </c>
      <c r="T45" s="502">
        <v>100612.31628793814</v>
      </c>
      <c r="U45" s="502">
        <v>94316.455472598784</v>
      </c>
      <c r="V45" s="502">
        <v>84097.222329514436</v>
      </c>
      <c r="W45" s="502">
        <v>87752.08464722606</v>
      </c>
      <c r="X45" s="502">
        <v>82111.209813532638</v>
      </c>
      <c r="Y45" s="502">
        <v>93528.857524623309</v>
      </c>
      <c r="Z45" s="502">
        <v>83690.308243655149</v>
      </c>
      <c r="AA45" s="502">
        <v>83686.9674078276</v>
      </c>
      <c r="AB45" s="502">
        <v>101785.70477649692</v>
      </c>
      <c r="AC45" s="502">
        <v>108711.06543606985</v>
      </c>
      <c r="AD45" s="502">
        <v>104377.46787951031</v>
      </c>
      <c r="AE45" s="484">
        <v>102638.10194678439</v>
      </c>
      <c r="AF45" s="484">
        <v>113701.45511967188</v>
      </c>
      <c r="AG45" s="501">
        <v>109452.62145771914</v>
      </c>
      <c r="AH45" s="502">
        <v>107427.62419960187</v>
      </c>
      <c r="AI45" s="502">
        <v>97535.100236206214</v>
      </c>
      <c r="AJ45" s="502">
        <v>95840.69261243433</v>
      </c>
      <c r="AK45" s="502">
        <v>98098.995731767151</v>
      </c>
      <c r="AL45" s="502">
        <v>103888.12489777863</v>
      </c>
      <c r="AM45" s="502">
        <v>93877.01935408439</v>
      </c>
      <c r="AN45" s="502">
        <v>95375.568905587075</v>
      </c>
      <c r="AO45" s="502">
        <v>94966.927211317976</v>
      </c>
      <c r="AP45" s="502">
        <v>95766.070596586811</v>
      </c>
      <c r="AQ45" s="502">
        <v>110307.1659247433</v>
      </c>
      <c r="AR45" s="502">
        <v>106875.30926031344</v>
      </c>
      <c r="AS45" s="502">
        <v>103677.06953694137</v>
      </c>
      <c r="AT45" s="502">
        <v>106509.25669721646</v>
      </c>
      <c r="AU45" s="502">
        <v>103537.89560406878</v>
      </c>
      <c r="AV45" s="502">
        <v>100349.0747235185</v>
      </c>
      <c r="AW45" s="502">
        <v>94562.858452299653</v>
      </c>
      <c r="AX45" s="502">
        <v>85168.803610280942</v>
      </c>
      <c r="AY45" s="502">
        <v>77273.116232237851</v>
      </c>
      <c r="AZ45" s="502">
        <v>74142.698369001911</v>
      </c>
      <c r="BA45" s="502">
        <v>73587.444683017427</v>
      </c>
      <c r="BB45" s="502">
        <v>63904.630520693587</v>
      </c>
      <c r="BC45" s="502">
        <v>67380.586611924839</v>
      </c>
      <c r="BD45" s="502">
        <v>52331.669477749441</v>
      </c>
      <c r="BE45" s="502">
        <v>56635.89421769599</v>
      </c>
      <c r="BF45" s="502">
        <v>47305.077412382729</v>
      </c>
      <c r="BG45" s="502">
        <v>50522.066632704824</v>
      </c>
      <c r="BH45" s="502">
        <v>53825.945809446479</v>
      </c>
      <c r="BI45" s="502">
        <v>54012.883546671888</v>
      </c>
      <c r="BJ45" s="502">
        <v>63059.83346362671</v>
      </c>
      <c r="BK45" s="502">
        <v>59286.180326882968</v>
      </c>
      <c r="BL45" s="502">
        <v>58337.099019569163</v>
      </c>
      <c r="BM45" s="502">
        <v>59769.582025271528</v>
      </c>
      <c r="BN45" s="502">
        <v>62574.599231501648</v>
      </c>
      <c r="BO45" s="502">
        <v>60409.232461079453</v>
      </c>
      <c r="BP45" s="502">
        <v>61801.902933246223</v>
      </c>
      <c r="BQ45" s="502">
        <v>59682.730505676634</v>
      </c>
      <c r="BR45" s="502">
        <v>59078.490046756036</v>
      </c>
      <c r="BS45" s="502">
        <v>54549.794765581704</v>
      </c>
      <c r="BT45" s="502">
        <v>55421.082310405662</v>
      </c>
      <c r="BU45" s="502">
        <v>69285.941733017491</v>
      </c>
      <c r="BV45" s="502">
        <v>53227.897403973569</v>
      </c>
      <c r="BW45" s="502">
        <v>57258.452592395268</v>
      </c>
      <c r="BX45" s="502">
        <v>55574.580947562841</v>
      </c>
      <c r="BY45" s="502">
        <v>55015.801415255715</v>
      </c>
      <c r="BZ45" s="502">
        <v>55679.252420939971</v>
      </c>
      <c r="CA45" s="502">
        <v>54164.803179884737</v>
      </c>
      <c r="CB45" s="502">
        <v>55100.873822430876</v>
      </c>
      <c r="CC45" s="502">
        <v>56297.471547733192</v>
      </c>
      <c r="CD45" s="502">
        <v>52942.079114367138</v>
      </c>
      <c r="CE45" s="502">
        <v>51432.019607114999</v>
      </c>
      <c r="CF45" s="502">
        <v>60538.065129484006</v>
      </c>
      <c r="CG45" s="502">
        <v>61878.881572812686</v>
      </c>
      <c r="CH45" s="502">
        <v>54323.393748100949</v>
      </c>
      <c r="CI45" s="502">
        <v>73787.629785697558</v>
      </c>
      <c r="CJ45" s="502">
        <v>71549.757824738146</v>
      </c>
      <c r="CK45" s="502">
        <v>77606.383377185484</v>
      </c>
      <c r="CL45" s="502">
        <v>63321.297541147564</v>
      </c>
      <c r="CM45" s="502">
        <v>64902.684066333095</v>
      </c>
      <c r="CN45" s="502">
        <v>67640.266431736571</v>
      </c>
      <c r="CO45" s="502">
        <v>68033.211193979689</v>
      </c>
      <c r="CP45" s="502">
        <v>66748.02051421853</v>
      </c>
      <c r="CQ45" s="502">
        <v>98351.723268758287</v>
      </c>
      <c r="CR45" s="502">
        <v>99498.442517818592</v>
      </c>
      <c r="CS45" s="502">
        <v>74941.516052851177</v>
      </c>
      <c r="CT45" s="502">
        <v>84584.771947819332</v>
      </c>
      <c r="CU45" s="502">
        <v>93401.976990724681</v>
      </c>
      <c r="CV45" s="502">
        <v>97127.70397339089</v>
      </c>
      <c r="CW45" s="502">
        <v>90976.083382537661</v>
      </c>
      <c r="CX45" s="502">
        <v>98828.247562139746</v>
      </c>
      <c r="CY45" s="502">
        <v>91326.942535603986</v>
      </c>
      <c r="CZ45" s="502">
        <v>95320.427954477331</v>
      </c>
      <c r="DA45" s="502">
        <v>108801.06762902519</v>
      </c>
      <c r="DB45" s="541">
        <v>103804.13415029467</v>
      </c>
      <c r="DC45" s="502">
        <v>108477.83277564563</v>
      </c>
      <c r="DD45" s="484">
        <v>111658.62875262782</v>
      </c>
      <c r="DE45" s="484">
        <v>88982.277074035694</v>
      </c>
      <c r="DF45" s="484">
        <v>65789.662217932986</v>
      </c>
      <c r="DG45" s="484">
        <v>68188.389262274941</v>
      </c>
      <c r="DH45" s="484">
        <v>67610.43749753655</v>
      </c>
      <c r="DI45" s="484">
        <v>66595.681760104853</v>
      </c>
      <c r="DJ45" s="484">
        <v>69052.180002533481</v>
      </c>
      <c r="DK45" s="484">
        <v>69799.823645020471</v>
      </c>
      <c r="DL45" s="484">
        <v>73720.523504359197</v>
      </c>
      <c r="DM45" s="484">
        <v>76048.06585681616</v>
      </c>
      <c r="DN45" s="484">
        <v>75383.263175529049</v>
      </c>
      <c r="DO45" s="484">
        <v>72523.94775815426</v>
      </c>
      <c r="DP45" s="484">
        <v>81326.801495869411</v>
      </c>
      <c r="DQ45" s="484">
        <v>76143.073868955005</v>
      </c>
      <c r="DR45" s="484">
        <v>66805.772321307973</v>
      </c>
      <c r="DS45" s="484">
        <v>68945.706899015102</v>
      </c>
      <c r="DT45" s="484">
        <v>52614.196386641517</v>
      </c>
      <c r="DU45" s="484">
        <v>58734.304237848024</v>
      </c>
      <c r="DV45" s="484">
        <v>61792.437893926137</v>
      </c>
      <c r="DW45" s="484">
        <v>62986.046291946383</v>
      </c>
      <c r="DX45" s="484">
        <v>64883.782868032249</v>
      </c>
      <c r="DY45" s="484">
        <v>61990.962168941216</v>
      </c>
      <c r="DZ45" s="484">
        <v>59255.466812633807</v>
      </c>
      <c r="EA45" s="484">
        <v>55478.618519393676</v>
      </c>
      <c r="EB45" s="484">
        <v>52541.657678834679</v>
      </c>
      <c r="EC45" s="484">
        <v>52332.873899993843</v>
      </c>
    </row>
    <row r="46" spans="1:133" ht="17.25" customHeight="1" x14ac:dyDescent="0.25">
      <c r="A46" s="588"/>
      <c r="B46" s="482"/>
      <c r="C46" s="561"/>
      <c r="D46" s="561"/>
      <c r="E46" s="561"/>
      <c r="F46" s="562"/>
      <c r="G46" s="561"/>
      <c r="H46" s="563"/>
      <c r="I46" s="561"/>
      <c r="J46" s="561"/>
      <c r="K46" s="561"/>
      <c r="L46" s="561"/>
      <c r="M46" s="562"/>
      <c r="N46" s="561"/>
      <c r="O46" s="561"/>
      <c r="P46" s="561"/>
      <c r="Q46" s="561"/>
      <c r="R46" s="561"/>
      <c r="S46" s="561"/>
      <c r="T46" s="561"/>
      <c r="U46" s="561"/>
      <c r="V46" s="561"/>
      <c r="W46" s="561"/>
      <c r="X46" s="561"/>
      <c r="Y46" s="561"/>
      <c r="Z46" s="561"/>
      <c r="AA46" s="561"/>
      <c r="AB46" s="561"/>
      <c r="AC46" s="561"/>
      <c r="AD46" s="561"/>
      <c r="AE46" s="564"/>
      <c r="AF46" s="564"/>
      <c r="AG46" s="565"/>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2"/>
      <c r="DC46" s="561"/>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row>
    <row r="47" spans="1:133" ht="17.25" customHeight="1" x14ac:dyDescent="0.25">
      <c r="A47" s="587" t="s">
        <v>444</v>
      </c>
      <c r="B47" s="478" t="s">
        <v>445</v>
      </c>
      <c r="C47" s="533">
        <v>231.56321800000001</v>
      </c>
      <c r="D47" s="533">
        <v>244.56903</v>
      </c>
      <c r="E47" s="533">
        <v>243.88480200000001</v>
      </c>
      <c r="F47" s="534">
        <v>894.87686329999997</v>
      </c>
      <c r="G47" s="533">
        <v>902.47286123000003</v>
      </c>
      <c r="H47" s="535">
        <v>913.28048660000002</v>
      </c>
      <c r="I47" s="533">
        <v>924.24705643000004</v>
      </c>
      <c r="J47" s="533">
        <v>935.94412235000004</v>
      </c>
      <c r="K47" s="533">
        <v>947.48504020000007</v>
      </c>
      <c r="L47" s="533">
        <v>958.67395076888897</v>
      </c>
      <c r="M47" s="534">
        <v>970.47936142111109</v>
      </c>
      <c r="N47" s="533">
        <v>982.71418112888898</v>
      </c>
      <c r="O47" s="533">
        <v>1029.9734679333333</v>
      </c>
      <c r="P47" s="533">
        <v>1039.2984984133332</v>
      </c>
      <c r="Q47" s="533">
        <v>1054.6342642622224</v>
      </c>
      <c r="R47" s="533">
        <v>1064.6590485788888</v>
      </c>
      <c r="S47" s="533">
        <v>1076.2280478177779</v>
      </c>
      <c r="T47" s="533">
        <v>1088.8792321111112</v>
      </c>
      <c r="U47" s="533">
        <v>1101.5320324188888</v>
      </c>
      <c r="V47" s="533">
        <v>1114.4294483033332</v>
      </c>
      <c r="W47" s="533">
        <v>1127.11884353</v>
      </c>
      <c r="X47" s="533">
        <v>1141.7175953866667</v>
      </c>
      <c r="Y47" s="533">
        <v>1158.3885001033332</v>
      </c>
      <c r="Z47" s="533">
        <v>1173.85555658</v>
      </c>
      <c r="AA47" s="533">
        <v>1192.1119814356903</v>
      </c>
      <c r="AB47" s="533">
        <v>1204.7922557448296</v>
      </c>
      <c r="AC47" s="533">
        <v>1219.8609252011217</v>
      </c>
      <c r="AD47" s="533">
        <v>1231.7610712585674</v>
      </c>
      <c r="AE47" s="479">
        <v>1236.045001036345</v>
      </c>
      <c r="AF47" s="479">
        <v>1261.7841879768891</v>
      </c>
      <c r="AG47" s="560">
        <v>1278.5503714638587</v>
      </c>
      <c r="AH47" s="533">
        <v>1292.6733276455918</v>
      </c>
      <c r="AI47" s="533">
        <v>1307.8143752879118</v>
      </c>
      <c r="AJ47" s="533">
        <v>1325.2377130349007</v>
      </c>
      <c r="AK47" s="533">
        <v>1340.5265307413711</v>
      </c>
      <c r="AL47" s="533">
        <v>1356.4140406065899</v>
      </c>
      <c r="AM47" s="533">
        <v>1371.9830373129037</v>
      </c>
      <c r="AN47" s="533">
        <v>1387.7294814627639</v>
      </c>
      <c r="AO47" s="533">
        <v>1391.9710411111112</v>
      </c>
      <c r="AP47" s="533">
        <v>1345.0189419933752</v>
      </c>
      <c r="AQ47" s="533">
        <v>1356.0663831839051</v>
      </c>
      <c r="AR47" s="533">
        <v>1372.5229543510598</v>
      </c>
      <c r="AS47" s="533">
        <v>1389.1917470284782</v>
      </c>
      <c r="AT47" s="533">
        <v>1406.7636767705512</v>
      </c>
      <c r="AU47" s="533">
        <v>1424.1167111904763</v>
      </c>
      <c r="AV47" s="533">
        <v>1438.8276591848639</v>
      </c>
      <c r="AW47" s="533">
        <v>1437.5671838838095</v>
      </c>
      <c r="AX47" s="533">
        <v>1532.8619360233331</v>
      </c>
      <c r="AY47" s="533">
        <v>1555.8646305122222</v>
      </c>
      <c r="AZ47" s="533">
        <v>1570.2510025755557</v>
      </c>
      <c r="BA47" s="533">
        <v>1586.1209918133334</v>
      </c>
      <c r="BB47" s="533">
        <v>742.05842346999998</v>
      </c>
      <c r="BC47" s="533">
        <v>747.63109256000007</v>
      </c>
      <c r="BD47" s="533">
        <v>759.73270224999999</v>
      </c>
      <c r="BE47" s="533">
        <v>772.19647421000002</v>
      </c>
      <c r="BF47" s="533">
        <v>783.64372535000007</v>
      </c>
      <c r="BG47" s="533">
        <v>795.03426162999995</v>
      </c>
      <c r="BH47" s="533">
        <v>806.36142286999996</v>
      </c>
      <c r="BI47" s="533">
        <v>817.11920386999998</v>
      </c>
      <c r="BJ47" s="533">
        <v>829.69099343000005</v>
      </c>
      <c r="BK47" s="533">
        <v>841.75958768999999</v>
      </c>
      <c r="BL47" s="533">
        <v>841.34192214999996</v>
      </c>
      <c r="BM47" s="533">
        <v>850.71337003999997</v>
      </c>
      <c r="BN47" s="533">
        <v>860.90493549999997</v>
      </c>
      <c r="BO47" s="533">
        <v>871.46817457999987</v>
      </c>
      <c r="BP47" s="533">
        <v>882.04527719000009</v>
      </c>
      <c r="BQ47" s="533">
        <v>892.00809130000005</v>
      </c>
      <c r="BR47" s="533">
        <v>903.91998393000006</v>
      </c>
      <c r="BS47" s="533">
        <v>913.01940185000001</v>
      </c>
      <c r="BT47" s="533">
        <v>921.02394779999997</v>
      </c>
      <c r="BU47" s="533">
        <v>929.69761502000006</v>
      </c>
      <c r="BV47" s="533">
        <v>941.94318427000007</v>
      </c>
      <c r="BW47" s="533">
        <v>951.54407246999995</v>
      </c>
      <c r="BX47" s="533">
        <v>951.26087802999996</v>
      </c>
      <c r="BY47" s="533">
        <v>960.51654225000004</v>
      </c>
      <c r="BZ47" s="533">
        <v>959.27091482999992</v>
      </c>
      <c r="CA47" s="533">
        <v>968.69937096000001</v>
      </c>
      <c r="CB47" s="533">
        <v>976.84763184999997</v>
      </c>
      <c r="CC47" s="533">
        <v>987.94876218999991</v>
      </c>
      <c r="CD47" s="533">
        <v>997.67433128999994</v>
      </c>
      <c r="CE47" s="533">
        <v>1008.3339269400001</v>
      </c>
      <c r="CF47" s="533">
        <v>1018.04001825</v>
      </c>
      <c r="CG47" s="533">
        <v>1027.9046779100001</v>
      </c>
      <c r="CH47" s="533">
        <v>1034.54105153</v>
      </c>
      <c r="CI47" s="533">
        <v>1046.3292143400001</v>
      </c>
      <c r="CJ47" s="533">
        <v>1056.93696527</v>
      </c>
      <c r="CK47" s="533">
        <v>1068.1048831099999</v>
      </c>
      <c r="CL47" s="533">
        <v>1086.2447271100002</v>
      </c>
      <c r="CM47" s="533">
        <v>1094.89581032</v>
      </c>
      <c r="CN47" s="533">
        <v>1103.7077119</v>
      </c>
      <c r="CO47" s="533">
        <v>1114.0039380399999</v>
      </c>
      <c r="CP47" s="533">
        <v>1126.4172563299999</v>
      </c>
      <c r="CQ47" s="533">
        <v>1136.3494650599998</v>
      </c>
      <c r="CR47" s="533">
        <v>1148.6181616200001</v>
      </c>
      <c r="CS47" s="533">
        <v>1159.7702537600001</v>
      </c>
      <c r="CT47" s="533">
        <v>1170.5591787599999</v>
      </c>
      <c r="CU47" s="533">
        <v>1181.90419982</v>
      </c>
      <c r="CV47" s="533">
        <v>1190.8741275899999</v>
      </c>
      <c r="CW47" s="533">
        <v>1201.6446606699999</v>
      </c>
      <c r="CX47" s="533">
        <v>1213.0932805299999</v>
      </c>
      <c r="CY47" s="533">
        <v>1224.16639169</v>
      </c>
      <c r="CZ47" s="533">
        <v>1235.9602562800001</v>
      </c>
      <c r="DA47" s="533">
        <v>1250.3412743499998</v>
      </c>
      <c r="DB47" s="534">
        <v>1263.11193826</v>
      </c>
      <c r="DC47" s="533">
        <v>1275.6406891000001</v>
      </c>
      <c r="DD47" s="479">
        <v>1286.59783924</v>
      </c>
      <c r="DE47" s="479">
        <v>1297.00956477</v>
      </c>
      <c r="DF47" s="479">
        <v>1309.7397866099998</v>
      </c>
      <c r="DG47" s="479">
        <v>1321.1902400800002</v>
      </c>
      <c r="DH47" s="479">
        <v>1329.31778654</v>
      </c>
      <c r="DI47" s="479">
        <v>1337.5223003600001</v>
      </c>
      <c r="DJ47" s="479">
        <v>1348.4084109800001</v>
      </c>
      <c r="DK47" s="479">
        <v>1358.71483412</v>
      </c>
      <c r="DL47" s="479">
        <v>1367.46305525</v>
      </c>
      <c r="DM47" s="479">
        <v>1380.1434952499999</v>
      </c>
      <c r="DN47" s="479">
        <v>1392.2231166600002</v>
      </c>
      <c r="DO47" s="479">
        <v>1404.5468900500002</v>
      </c>
      <c r="DP47" s="479">
        <v>1413.72892305</v>
      </c>
      <c r="DQ47" s="479">
        <v>1419.5644658799999</v>
      </c>
      <c r="DR47" s="479">
        <v>1426.2431410899999</v>
      </c>
      <c r="DS47" s="479">
        <v>1439.1363995300001</v>
      </c>
      <c r="DT47" s="479">
        <v>1448.1125531499999</v>
      </c>
      <c r="DU47" s="479">
        <v>1459.4493050000001</v>
      </c>
      <c r="DV47" s="479">
        <v>1471.3457274500001</v>
      </c>
      <c r="DW47" s="479">
        <v>1481.4124169300001</v>
      </c>
      <c r="DX47" s="479">
        <v>1491.0998258900001</v>
      </c>
      <c r="DY47" s="479">
        <v>1504.0677675400002</v>
      </c>
      <c r="DZ47" s="479">
        <v>1517.5112380400003</v>
      </c>
      <c r="EA47" s="479">
        <v>1523.5827490800002</v>
      </c>
      <c r="EB47" s="479">
        <v>1524.93549147</v>
      </c>
      <c r="EC47" s="479">
        <v>1534.5647254300002</v>
      </c>
    </row>
    <row r="48" spans="1:133" ht="17.25" customHeight="1" x14ac:dyDescent="0.25">
      <c r="A48" s="588"/>
      <c r="B48" s="482"/>
      <c r="C48" s="561"/>
      <c r="D48" s="561"/>
      <c r="E48" s="561"/>
      <c r="F48" s="562"/>
      <c r="G48" s="561"/>
      <c r="H48" s="563"/>
      <c r="I48" s="561"/>
      <c r="J48" s="561"/>
      <c r="K48" s="561"/>
      <c r="L48" s="561"/>
      <c r="M48" s="562"/>
      <c r="N48" s="561"/>
      <c r="O48" s="561"/>
      <c r="P48" s="561"/>
      <c r="Q48" s="561"/>
      <c r="R48" s="561"/>
      <c r="S48" s="561"/>
      <c r="T48" s="561"/>
      <c r="U48" s="561"/>
      <c r="V48" s="561"/>
      <c r="W48" s="561"/>
      <c r="X48" s="561"/>
      <c r="Y48" s="561"/>
      <c r="Z48" s="561"/>
      <c r="AA48" s="561"/>
      <c r="AB48" s="561"/>
      <c r="AC48" s="561"/>
      <c r="AD48" s="561"/>
      <c r="AE48" s="564"/>
      <c r="AF48" s="564"/>
      <c r="AG48" s="565"/>
      <c r="AH48" s="561"/>
      <c r="AI48" s="561"/>
      <c r="AJ48" s="561"/>
      <c r="AK48" s="561"/>
      <c r="AL48" s="561"/>
      <c r="AM48" s="561"/>
      <c r="AN48" s="561"/>
      <c r="AO48" s="561"/>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1"/>
      <c r="CL48" s="561"/>
      <c r="CM48" s="561"/>
      <c r="CN48" s="561"/>
      <c r="CO48" s="561"/>
      <c r="CP48" s="561"/>
      <c r="CQ48" s="561"/>
      <c r="CR48" s="561"/>
      <c r="CS48" s="561"/>
      <c r="CT48" s="561"/>
      <c r="CU48" s="561"/>
      <c r="CV48" s="561"/>
      <c r="CW48" s="561"/>
      <c r="CX48" s="561"/>
      <c r="CY48" s="561"/>
      <c r="CZ48" s="561"/>
      <c r="DA48" s="561"/>
      <c r="DB48" s="562"/>
      <c r="DC48" s="561"/>
      <c r="DD48" s="564"/>
      <c r="DE48" s="564"/>
      <c r="DF48" s="564"/>
      <c r="DG48" s="564"/>
      <c r="DH48" s="564"/>
      <c r="DI48" s="564"/>
      <c r="DJ48" s="564"/>
      <c r="DK48" s="564"/>
      <c r="DL48" s="564"/>
      <c r="DM48" s="564"/>
      <c r="DN48" s="564"/>
      <c r="DO48" s="564"/>
      <c r="DP48" s="564"/>
      <c r="DQ48" s="564"/>
      <c r="DR48" s="564"/>
      <c r="DS48" s="564"/>
      <c r="DT48" s="564"/>
      <c r="DU48" s="564"/>
      <c r="DV48" s="564"/>
      <c r="DW48" s="564"/>
      <c r="DX48" s="564"/>
      <c r="DY48" s="564"/>
      <c r="DZ48" s="564"/>
      <c r="EA48" s="564"/>
      <c r="EB48" s="564"/>
      <c r="EC48" s="564"/>
    </row>
    <row r="49" spans="1:133" ht="17.25" customHeight="1" x14ac:dyDescent="0.25">
      <c r="A49" s="587" t="s">
        <v>446</v>
      </c>
      <c r="B49" s="478" t="s">
        <v>464</v>
      </c>
      <c r="C49" s="533">
        <v>15645.512661406454</v>
      </c>
      <c r="D49" s="533">
        <v>15884.783669947929</v>
      </c>
      <c r="E49" s="533">
        <v>15153.842182608641</v>
      </c>
      <c r="F49" s="534">
        <v>15555.179380714215</v>
      </c>
      <c r="G49" s="533">
        <v>15292.70664958403</v>
      </c>
      <c r="H49" s="535">
        <v>14953.233001055829</v>
      </c>
      <c r="I49" s="533">
        <v>14949.287617767368</v>
      </c>
      <c r="J49" s="533">
        <v>14910.769174447587</v>
      </c>
      <c r="K49" s="533">
        <v>14835.403570225628</v>
      </c>
      <c r="L49" s="533">
        <v>14973.117719108574</v>
      </c>
      <c r="M49" s="534">
        <v>15410.342053047403</v>
      </c>
      <c r="N49" s="533">
        <v>15917.045083821948</v>
      </c>
      <c r="O49" s="533">
        <v>15643.62357843216</v>
      </c>
      <c r="P49" s="533">
        <v>15910.206036265174</v>
      </c>
      <c r="Q49" s="533">
        <v>16604.716301156575</v>
      </c>
      <c r="R49" s="533">
        <v>16569.771371776089</v>
      </c>
      <c r="S49" s="533">
        <v>16688.439361394347</v>
      </c>
      <c r="T49" s="533">
        <v>17479.208170804999</v>
      </c>
      <c r="U49" s="533">
        <v>16594.99025579686</v>
      </c>
      <c r="V49" s="533">
        <v>16716.496205298907</v>
      </c>
      <c r="W49" s="533">
        <v>16465.24152062762</v>
      </c>
      <c r="X49" s="533">
        <v>16478.725589911319</v>
      </c>
      <c r="Y49" s="533">
        <v>16614.809302686383</v>
      </c>
      <c r="Z49" s="533">
        <v>16325.490808256562</v>
      </c>
      <c r="AA49" s="533">
        <v>16380.635298681034</v>
      </c>
      <c r="AB49" s="533">
        <v>16722.130606199535</v>
      </c>
      <c r="AC49" s="533">
        <v>16622.821207805198</v>
      </c>
      <c r="AD49" s="533">
        <v>17046.157512781752</v>
      </c>
      <c r="AE49" s="479">
        <v>17264.306770457344</v>
      </c>
      <c r="AF49" s="479">
        <v>17498.136859660164</v>
      </c>
      <c r="AG49" s="560">
        <v>16698.808618465773</v>
      </c>
      <c r="AH49" s="533">
        <v>17100.436710464823</v>
      </c>
      <c r="AI49" s="533">
        <v>16746.070150179548</v>
      </c>
      <c r="AJ49" s="533">
        <v>1127.4601422405112</v>
      </c>
      <c r="AK49" s="533">
        <v>1095.5860619152888</v>
      </c>
      <c r="AL49" s="533">
        <v>1328.9540850303999</v>
      </c>
      <c r="AM49" s="533">
        <v>1211.6644621771668</v>
      </c>
      <c r="AN49" s="533">
        <v>1171.1074587792891</v>
      </c>
      <c r="AO49" s="533">
        <v>1236.2121890800224</v>
      </c>
      <c r="AP49" s="533">
        <v>1234.8537371959333</v>
      </c>
      <c r="AQ49" s="533">
        <v>1343.019678987924</v>
      </c>
      <c r="AR49" s="533">
        <v>1243.2708294678093</v>
      </c>
      <c r="AS49" s="533">
        <v>1279.8613689733668</v>
      </c>
      <c r="AT49" s="533">
        <v>1271.5996806622595</v>
      </c>
      <c r="AU49" s="533">
        <v>1199.1619262505569</v>
      </c>
      <c r="AV49" s="533">
        <v>1155.0305887734644</v>
      </c>
      <c r="AW49" s="533">
        <v>1139.6961893274311</v>
      </c>
      <c r="AX49" s="533">
        <v>1259.9482977386983</v>
      </c>
      <c r="AY49" s="533">
        <v>1238.3272744853004</v>
      </c>
      <c r="AZ49" s="533">
        <v>878.95489068434142</v>
      </c>
      <c r="BA49" s="533">
        <v>956.08903745806265</v>
      </c>
      <c r="BB49" s="533">
        <v>783.97270425570832</v>
      </c>
      <c r="BC49" s="533">
        <v>854.14120872096305</v>
      </c>
      <c r="BD49" s="533">
        <v>883.47022197736339</v>
      </c>
      <c r="BE49" s="533">
        <v>918.97752635636073</v>
      </c>
      <c r="BF49" s="533">
        <v>1006.803345868023</v>
      </c>
      <c r="BG49" s="533">
        <v>1541.7032591520708</v>
      </c>
      <c r="BH49" s="533">
        <v>1157.0924238882374</v>
      </c>
      <c r="BI49" s="533">
        <v>1220.1777750274027</v>
      </c>
      <c r="BJ49" s="533">
        <v>1247.2652278087021</v>
      </c>
      <c r="BK49" s="533">
        <v>1237.6344496282929</v>
      </c>
      <c r="BL49" s="533">
        <v>1219.0656411219168</v>
      </c>
      <c r="BM49" s="533">
        <v>1157.2090045506454</v>
      </c>
      <c r="BN49" s="533">
        <v>1256.4355875570463</v>
      </c>
      <c r="BO49" s="533">
        <v>1254.3869285360436</v>
      </c>
      <c r="BP49" s="533">
        <v>1302.1468264104776</v>
      </c>
      <c r="BQ49" s="533">
        <v>1217.2545327702653</v>
      </c>
      <c r="BR49" s="533">
        <v>1302.3310317796659</v>
      </c>
      <c r="BS49" s="533">
        <v>1204.6501408748975</v>
      </c>
      <c r="BT49" s="533">
        <v>1237.765141539488</v>
      </c>
      <c r="BU49" s="533">
        <v>1313.8005488732629</v>
      </c>
      <c r="BV49" s="533">
        <v>1182.4475531745416</v>
      </c>
      <c r="BW49" s="533">
        <v>1119.8991953549641</v>
      </c>
      <c r="BX49" s="533">
        <v>993.62369071162891</v>
      </c>
      <c r="BY49" s="533">
        <v>6420.4863756678606</v>
      </c>
      <c r="BZ49" s="533">
        <v>6486.7428962633339</v>
      </c>
      <c r="CA49" s="533">
        <v>6651.4769204397489</v>
      </c>
      <c r="CB49" s="533">
        <v>7714.8385189486571</v>
      </c>
      <c r="CC49" s="533">
        <v>7528.5721509488194</v>
      </c>
      <c r="CD49" s="533">
        <v>7609.5393174411147</v>
      </c>
      <c r="CE49" s="533">
        <v>7647.6678899913604</v>
      </c>
      <c r="CF49" s="533">
        <v>7764.8705142639292</v>
      </c>
      <c r="CG49" s="533">
        <v>7612.2662415359828</v>
      </c>
      <c r="CH49" s="533">
        <v>7669.7182570720006</v>
      </c>
      <c r="CI49" s="533">
        <v>8095.0391335804443</v>
      </c>
      <c r="CJ49" s="533">
        <v>7865.4789433237111</v>
      </c>
      <c r="CK49" s="533">
        <v>7890.0037322446178</v>
      </c>
      <c r="CL49" s="533">
        <v>8008.3467121284702</v>
      </c>
      <c r="CM49" s="533">
        <v>8646.3296934415921</v>
      </c>
      <c r="CN49" s="533">
        <v>7840.0146798454643</v>
      </c>
      <c r="CO49" s="533">
        <v>7766.9697828987692</v>
      </c>
      <c r="CP49" s="533">
        <v>8058.7182430322773</v>
      </c>
      <c r="CQ49" s="533">
        <v>8234.571529147137</v>
      </c>
      <c r="CR49" s="533">
        <v>8001.7661182826023</v>
      </c>
      <c r="CS49" s="533">
        <v>7978.7580518328195</v>
      </c>
      <c r="CT49" s="533">
        <v>8064.0392681820485</v>
      </c>
      <c r="CU49" s="533">
        <v>9343.9465719759646</v>
      </c>
      <c r="CV49" s="533">
        <v>9396.7240134001313</v>
      </c>
      <c r="CW49" s="533">
        <v>13780.199132482079</v>
      </c>
      <c r="CX49" s="533">
        <v>13694.15438558099</v>
      </c>
      <c r="CY49" s="533">
        <v>13561.030678638792</v>
      </c>
      <c r="CZ49" s="533">
        <v>13631.460155642533</v>
      </c>
      <c r="DA49" s="533">
        <v>13272.061651796099</v>
      </c>
      <c r="DB49" s="534">
        <v>13437.867494984626</v>
      </c>
      <c r="DC49" s="533">
        <v>13376.222837683907</v>
      </c>
      <c r="DD49" s="479">
        <v>14909.119321448543</v>
      </c>
      <c r="DE49" s="479">
        <v>15045.142499000014</v>
      </c>
      <c r="DF49" s="479">
        <v>17030.176292038144</v>
      </c>
      <c r="DG49" s="479">
        <v>17013.154985804216</v>
      </c>
      <c r="DH49" s="479">
        <v>17248.484776916484</v>
      </c>
      <c r="DI49" s="479">
        <v>17246.213901513034</v>
      </c>
      <c r="DJ49" s="479">
        <v>17316.854302356103</v>
      </c>
      <c r="DK49" s="479">
        <v>13829.275139381234</v>
      </c>
      <c r="DL49" s="479">
        <v>13926.674153755353</v>
      </c>
      <c r="DM49" s="479">
        <v>14026.051920884778</v>
      </c>
      <c r="DN49" s="479">
        <v>13993.503242497189</v>
      </c>
      <c r="DO49" s="479">
        <v>14008.446436449878</v>
      </c>
      <c r="DP49" s="479">
        <v>14807.128672268238</v>
      </c>
      <c r="DQ49" s="479">
        <v>15648.52590588326</v>
      </c>
      <c r="DR49" s="479">
        <v>15683.09577426965</v>
      </c>
      <c r="DS49" s="479">
        <v>11138.615411240744</v>
      </c>
      <c r="DT49" s="479">
        <v>11454.582084452775</v>
      </c>
      <c r="DU49" s="479">
        <v>11493.657605587368</v>
      </c>
      <c r="DV49" s="479">
        <v>11211.318724714867</v>
      </c>
      <c r="DW49" s="479">
        <v>11287.294820702169</v>
      </c>
      <c r="DX49" s="479">
        <v>11872.181735896005</v>
      </c>
      <c r="DY49" s="479">
        <v>11711.225934468555</v>
      </c>
      <c r="DZ49" s="479">
        <v>11793.018830789541</v>
      </c>
      <c r="EA49" s="479">
        <v>11415.004431410907</v>
      </c>
      <c r="EB49" s="479">
        <v>11288.538802566312</v>
      </c>
      <c r="EC49" s="479">
        <v>11216.184830299879</v>
      </c>
    </row>
    <row r="50" spans="1:133" ht="17.25" customHeight="1" x14ac:dyDescent="0.25">
      <c r="A50" s="588"/>
      <c r="B50" s="482"/>
      <c r="C50" s="561"/>
      <c r="D50" s="561"/>
      <c r="E50" s="561"/>
      <c r="F50" s="562"/>
      <c r="G50" s="561"/>
      <c r="H50" s="563"/>
      <c r="I50" s="561"/>
      <c r="J50" s="561"/>
      <c r="K50" s="561"/>
      <c r="L50" s="561"/>
      <c r="M50" s="562"/>
      <c r="N50" s="561"/>
      <c r="O50" s="561"/>
      <c r="P50" s="561"/>
      <c r="Q50" s="561"/>
      <c r="R50" s="561"/>
      <c r="S50" s="561"/>
      <c r="T50" s="561"/>
      <c r="U50" s="561"/>
      <c r="V50" s="561"/>
      <c r="W50" s="561"/>
      <c r="X50" s="561"/>
      <c r="Y50" s="561"/>
      <c r="Z50" s="561"/>
      <c r="AA50" s="561"/>
      <c r="AB50" s="561"/>
      <c r="AC50" s="561"/>
      <c r="AD50" s="561"/>
      <c r="AE50" s="564"/>
      <c r="AF50" s="564"/>
      <c r="AG50" s="565"/>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2"/>
      <c r="DC50" s="561"/>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row>
    <row r="51" spans="1:133" ht="17.25" customHeight="1" x14ac:dyDescent="0.25">
      <c r="A51" s="587" t="s">
        <v>448</v>
      </c>
      <c r="B51" s="478" t="s">
        <v>200</v>
      </c>
      <c r="C51" s="533">
        <v>38593.247237861709</v>
      </c>
      <c r="D51" s="533">
        <v>38677.340497140096</v>
      </c>
      <c r="E51" s="533">
        <v>42843.641158210005</v>
      </c>
      <c r="F51" s="534">
        <v>65483.236434659811</v>
      </c>
      <c r="G51" s="533">
        <v>64657.918560286758</v>
      </c>
      <c r="H51" s="535">
        <v>64909.87494291264</v>
      </c>
      <c r="I51" s="533">
        <v>66614.03196911265</v>
      </c>
      <c r="J51" s="533">
        <v>61194.403880325684</v>
      </c>
      <c r="K51" s="533">
        <v>61153.779540520707</v>
      </c>
      <c r="L51" s="533">
        <v>63267.283073639701</v>
      </c>
      <c r="M51" s="534">
        <v>68506.473766113093</v>
      </c>
      <c r="N51" s="533">
        <v>81825.475170299338</v>
      </c>
      <c r="O51" s="533">
        <v>73897.512442902123</v>
      </c>
      <c r="P51" s="533">
        <v>80482.069269630156</v>
      </c>
      <c r="Q51" s="533">
        <v>84050.252673433017</v>
      </c>
      <c r="R51" s="533">
        <v>83508.332175396252</v>
      </c>
      <c r="S51" s="533">
        <v>86283.661007009461</v>
      </c>
      <c r="T51" s="533">
        <v>84335.767344295877</v>
      </c>
      <c r="U51" s="533">
        <v>87801.587539537431</v>
      </c>
      <c r="V51" s="533">
        <v>84138.146538588568</v>
      </c>
      <c r="W51" s="533">
        <v>83924.254523185446</v>
      </c>
      <c r="X51" s="533">
        <v>89536.739291579681</v>
      </c>
      <c r="Y51" s="533">
        <v>88898.621396624178</v>
      </c>
      <c r="Z51" s="533">
        <v>97270.407194049927</v>
      </c>
      <c r="AA51" s="533">
        <v>105709.30663084517</v>
      </c>
      <c r="AB51" s="533">
        <v>92965.195511556536</v>
      </c>
      <c r="AC51" s="533">
        <v>99661.822357810452</v>
      </c>
      <c r="AD51" s="533">
        <v>103050.03455237173</v>
      </c>
      <c r="AE51" s="479">
        <v>94890.696139107196</v>
      </c>
      <c r="AF51" s="479">
        <v>98491.443921532758</v>
      </c>
      <c r="AG51" s="560">
        <v>100097.47735002411</v>
      </c>
      <c r="AH51" s="533">
        <v>96837.04364484665</v>
      </c>
      <c r="AI51" s="533">
        <v>98964.390651508802</v>
      </c>
      <c r="AJ51" s="533">
        <v>117346.8929578658</v>
      </c>
      <c r="AK51" s="533">
        <v>111275.61328789066</v>
      </c>
      <c r="AL51" s="533">
        <v>107262.44080956784</v>
      </c>
      <c r="AM51" s="533">
        <v>113670.27935133062</v>
      </c>
      <c r="AN51" s="533">
        <v>113755.21719033859</v>
      </c>
      <c r="AO51" s="533">
        <v>117193.49835107665</v>
      </c>
      <c r="AP51" s="533">
        <v>114680.19077415405</v>
      </c>
      <c r="AQ51" s="533">
        <v>123147.90621819874</v>
      </c>
      <c r="AR51" s="533">
        <v>119425.2267136252</v>
      </c>
      <c r="AS51" s="533">
        <v>118576.46671077813</v>
      </c>
      <c r="AT51" s="533">
        <v>116573.48517141373</v>
      </c>
      <c r="AU51" s="533">
        <v>120426.57360885096</v>
      </c>
      <c r="AV51" s="533">
        <v>116359.87033590101</v>
      </c>
      <c r="AW51" s="533">
        <v>105825.28699763148</v>
      </c>
      <c r="AX51" s="533">
        <v>98288.130353572473</v>
      </c>
      <c r="AY51" s="533">
        <v>104969.86663035757</v>
      </c>
      <c r="AZ51" s="533">
        <v>103948.52686116811</v>
      </c>
      <c r="BA51" s="533">
        <v>106507.97710862385</v>
      </c>
      <c r="BB51" s="533">
        <v>105168.80115035707</v>
      </c>
      <c r="BC51" s="533">
        <v>103289.30802621595</v>
      </c>
      <c r="BD51" s="533">
        <v>101209.88974647276</v>
      </c>
      <c r="BE51" s="533">
        <v>101802.88519657716</v>
      </c>
      <c r="BF51" s="533">
        <v>102215.43641454133</v>
      </c>
      <c r="BG51" s="533">
        <v>103186.64767693872</v>
      </c>
      <c r="BH51" s="533">
        <v>98237.147598277501</v>
      </c>
      <c r="BI51" s="533">
        <v>110456.56631133109</v>
      </c>
      <c r="BJ51" s="533">
        <v>117905.54553182973</v>
      </c>
      <c r="BK51" s="533">
        <v>116040.77335440496</v>
      </c>
      <c r="BL51" s="533">
        <v>111607.27794559913</v>
      </c>
      <c r="BM51" s="533">
        <v>120807.88255158193</v>
      </c>
      <c r="BN51" s="533">
        <v>118421.7534043886</v>
      </c>
      <c r="BO51" s="533">
        <v>113453.92012670453</v>
      </c>
      <c r="BP51" s="533">
        <v>111410.28450875383</v>
      </c>
      <c r="BQ51" s="533">
        <v>108772.31658004419</v>
      </c>
      <c r="BR51" s="533">
        <v>100975.44984973417</v>
      </c>
      <c r="BS51" s="533">
        <v>103454.89570334017</v>
      </c>
      <c r="BT51" s="533">
        <v>99451.910636502347</v>
      </c>
      <c r="BU51" s="533">
        <v>112738.19159063847</v>
      </c>
      <c r="BV51" s="533">
        <v>92730.008417822915</v>
      </c>
      <c r="BW51" s="533">
        <v>101962.05765910193</v>
      </c>
      <c r="BX51" s="533">
        <v>110765.08047791531</v>
      </c>
      <c r="BY51" s="533">
        <v>111531.95376658885</v>
      </c>
      <c r="BZ51" s="533">
        <v>124500.70438389295</v>
      </c>
      <c r="CA51" s="533">
        <v>128817.85302633214</v>
      </c>
      <c r="CB51" s="533">
        <v>119372.22481696228</v>
      </c>
      <c r="CC51" s="533">
        <v>130596.76080115068</v>
      </c>
      <c r="CD51" s="533">
        <v>133632.61062397828</v>
      </c>
      <c r="CE51" s="533">
        <v>130688.20569288245</v>
      </c>
      <c r="CF51" s="533">
        <v>122836.55612158577</v>
      </c>
      <c r="CG51" s="533">
        <v>124753.3283890309</v>
      </c>
      <c r="CH51" s="533">
        <v>118691.79673997832</v>
      </c>
      <c r="CI51" s="533">
        <v>127483.06080769184</v>
      </c>
      <c r="CJ51" s="533">
        <v>128990.12625627106</v>
      </c>
      <c r="CK51" s="533">
        <v>123734.53352169989</v>
      </c>
      <c r="CL51" s="533">
        <v>127917.19779857068</v>
      </c>
      <c r="CM51" s="533">
        <v>124318.47468098615</v>
      </c>
      <c r="CN51" s="533">
        <v>129666.95852809249</v>
      </c>
      <c r="CO51" s="533">
        <v>110358.23086029646</v>
      </c>
      <c r="CP51" s="533">
        <v>101027.91452672864</v>
      </c>
      <c r="CQ51" s="533">
        <v>94486.307687178443</v>
      </c>
      <c r="CR51" s="533">
        <v>98994.926734894529</v>
      </c>
      <c r="CS51" s="533">
        <v>119669.25134560544</v>
      </c>
      <c r="CT51" s="533">
        <v>112193.33946003798</v>
      </c>
      <c r="CU51" s="533">
        <v>113894.3952691341</v>
      </c>
      <c r="CV51" s="533">
        <v>120406.59304772885</v>
      </c>
      <c r="CW51" s="533">
        <v>116101.81193159243</v>
      </c>
      <c r="CX51" s="533">
        <v>115245.58941464416</v>
      </c>
      <c r="CY51" s="533">
        <v>116335.2518167284</v>
      </c>
      <c r="CZ51" s="533">
        <v>130861.25681762684</v>
      </c>
      <c r="DA51" s="533">
        <v>111386.08029227542</v>
      </c>
      <c r="DB51" s="534">
        <v>113765.48877805106</v>
      </c>
      <c r="DC51" s="533">
        <v>112455.14903501561</v>
      </c>
      <c r="DD51" s="479">
        <v>126395.53454864303</v>
      </c>
      <c r="DE51" s="479">
        <v>124179.88455053105</v>
      </c>
      <c r="DF51" s="479">
        <v>149385.98101848501</v>
      </c>
      <c r="DG51" s="479">
        <v>141377.18825667602</v>
      </c>
      <c r="DH51" s="479">
        <v>146889.30273567344</v>
      </c>
      <c r="DI51" s="479">
        <v>147479.5134372098</v>
      </c>
      <c r="DJ51" s="479">
        <v>160816.50570887057</v>
      </c>
      <c r="DK51" s="479">
        <v>157793.49341056636</v>
      </c>
      <c r="DL51" s="479">
        <v>171512.83087663387</v>
      </c>
      <c r="DM51" s="479">
        <v>157745.23645916328</v>
      </c>
      <c r="DN51" s="479">
        <v>154713.47998257953</v>
      </c>
      <c r="DO51" s="479">
        <v>156186.94840728308</v>
      </c>
      <c r="DP51" s="479">
        <v>157090.14973219205</v>
      </c>
      <c r="DQ51" s="479">
        <v>148746.24105407996</v>
      </c>
      <c r="DR51" s="479">
        <v>135821.40477458693</v>
      </c>
      <c r="DS51" s="479">
        <v>129463.31401157564</v>
      </c>
      <c r="DT51" s="479">
        <v>139096.1029056301</v>
      </c>
      <c r="DU51" s="479">
        <v>128148.1954642389</v>
      </c>
      <c r="DV51" s="479">
        <v>120749.79546275982</v>
      </c>
      <c r="DW51" s="479">
        <v>119198.50799540449</v>
      </c>
      <c r="DX51" s="479">
        <v>121280.93846981676</v>
      </c>
      <c r="DY51" s="479">
        <v>112386.89796360635</v>
      </c>
      <c r="DZ51" s="479">
        <v>129953.126467543</v>
      </c>
      <c r="EA51" s="479">
        <v>139291.28285310027</v>
      </c>
      <c r="EB51" s="479">
        <v>137924.98260162448</v>
      </c>
      <c r="EC51" s="479">
        <v>128956.90636388789</v>
      </c>
    </row>
    <row r="52" spans="1:133" ht="17.25" customHeight="1" x14ac:dyDescent="0.25">
      <c r="A52" s="588"/>
      <c r="B52" s="504"/>
      <c r="C52" s="561"/>
      <c r="D52" s="561"/>
      <c r="E52" s="561"/>
      <c r="F52" s="562"/>
      <c r="G52" s="561"/>
      <c r="H52" s="563"/>
      <c r="I52" s="561"/>
      <c r="J52" s="561"/>
      <c r="K52" s="561"/>
      <c r="L52" s="561"/>
      <c r="M52" s="562"/>
      <c r="N52" s="561"/>
      <c r="O52" s="561"/>
      <c r="P52" s="561"/>
      <c r="Q52" s="561"/>
      <c r="R52" s="561"/>
      <c r="S52" s="561"/>
      <c r="T52" s="561"/>
      <c r="U52" s="561"/>
      <c r="V52" s="561"/>
      <c r="W52" s="561"/>
      <c r="X52" s="561"/>
      <c r="Y52" s="561"/>
      <c r="Z52" s="561"/>
      <c r="AA52" s="561"/>
      <c r="AB52" s="561"/>
      <c r="AC52" s="561"/>
      <c r="AD52" s="561"/>
      <c r="AE52" s="564"/>
      <c r="AF52" s="564"/>
      <c r="AG52" s="565"/>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2"/>
      <c r="DC52" s="561"/>
      <c r="DD52" s="564"/>
      <c r="DE52" s="564"/>
      <c r="DF52" s="564"/>
      <c r="DG52" s="564"/>
      <c r="DH52" s="564"/>
      <c r="DI52" s="564"/>
      <c r="DJ52" s="564"/>
      <c r="DK52" s="564"/>
      <c r="DL52" s="564"/>
      <c r="DM52" s="564"/>
      <c r="DN52" s="564"/>
      <c r="DO52" s="564"/>
      <c r="DP52" s="564"/>
      <c r="DQ52" s="564"/>
      <c r="DR52" s="564"/>
      <c r="DS52" s="564"/>
      <c r="DT52" s="564"/>
      <c r="DU52" s="564"/>
      <c r="DV52" s="564"/>
      <c r="DW52" s="564"/>
      <c r="DX52" s="564"/>
      <c r="DY52" s="564"/>
      <c r="DZ52" s="564"/>
      <c r="EA52" s="564"/>
      <c r="EB52" s="564"/>
      <c r="EC52" s="564"/>
    </row>
    <row r="53" spans="1:133" ht="17.25" customHeight="1" x14ac:dyDescent="0.25">
      <c r="A53" s="587" t="s">
        <v>449</v>
      </c>
      <c r="B53" s="478" t="s">
        <v>420</v>
      </c>
      <c r="C53" s="533">
        <v>0</v>
      </c>
      <c r="D53" s="533">
        <v>0</v>
      </c>
      <c r="E53" s="533">
        <v>0</v>
      </c>
      <c r="F53" s="534">
        <v>0</v>
      </c>
      <c r="G53" s="533">
        <v>0</v>
      </c>
      <c r="H53" s="535">
        <v>0</v>
      </c>
      <c r="I53" s="533">
        <v>0</v>
      </c>
      <c r="J53" s="533">
        <v>0</v>
      </c>
      <c r="K53" s="533">
        <v>0</v>
      </c>
      <c r="L53" s="533">
        <v>0</v>
      </c>
      <c r="M53" s="534">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3">
        <v>0</v>
      </c>
      <c r="AE53" s="479">
        <v>0</v>
      </c>
      <c r="AF53" s="479">
        <v>0</v>
      </c>
      <c r="AG53" s="560">
        <v>0</v>
      </c>
      <c r="AH53" s="533">
        <v>0</v>
      </c>
      <c r="AI53" s="533">
        <v>0</v>
      </c>
      <c r="AJ53" s="533">
        <v>0</v>
      </c>
      <c r="AK53" s="533">
        <v>0</v>
      </c>
      <c r="AL53" s="533">
        <v>0</v>
      </c>
      <c r="AM53" s="533">
        <v>0</v>
      </c>
      <c r="AN53" s="533">
        <v>0</v>
      </c>
      <c r="AO53" s="533">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3">
        <v>0</v>
      </c>
      <c r="CD53" s="533">
        <v>0</v>
      </c>
      <c r="CE53" s="533">
        <v>0</v>
      </c>
      <c r="CF53" s="533">
        <v>0</v>
      </c>
      <c r="CG53" s="533">
        <v>0</v>
      </c>
      <c r="CH53" s="533">
        <v>0</v>
      </c>
      <c r="CI53" s="533">
        <v>0</v>
      </c>
      <c r="CJ53" s="533">
        <v>0</v>
      </c>
      <c r="CK53" s="533">
        <v>0</v>
      </c>
      <c r="CL53" s="533">
        <v>0</v>
      </c>
      <c r="CM53" s="533">
        <v>0</v>
      </c>
      <c r="CN53" s="533">
        <v>0</v>
      </c>
      <c r="CO53" s="533">
        <v>0</v>
      </c>
      <c r="CP53" s="533">
        <v>0</v>
      </c>
      <c r="CQ53" s="533">
        <v>0</v>
      </c>
      <c r="CR53" s="533">
        <v>0</v>
      </c>
      <c r="CS53" s="533">
        <v>0</v>
      </c>
      <c r="CT53" s="533">
        <v>0</v>
      </c>
      <c r="CU53" s="533">
        <v>0</v>
      </c>
      <c r="CV53" s="533">
        <v>0</v>
      </c>
      <c r="CW53" s="533">
        <v>0</v>
      </c>
      <c r="CX53" s="533">
        <v>0</v>
      </c>
      <c r="CY53" s="533">
        <v>0</v>
      </c>
      <c r="CZ53" s="533">
        <v>0</v>
      </c>
      <c r="DA53" s="533">
        <v>0</v>
      </c>
      <c r="DB53" s="534">
        <v>0</v>
      </c>
      <c r="DC53" s="533">
        <v>0</v>
      </c>
      <c r="DD53" s="479">
        <v>0</v>
      </c>
      <c r="DE53" s="479">
        <v>0</v>
      </c>
      <c r="DF53" s="479">
        <v>0</v>
      </c>
      <c r="DG53" s="479">
        <v>0</v>
      </c>
      <c r="DH53" s="479">
        <v>0</v>
      </c>
      <c r="DI53" s="479">
        <v>0</v>
      </c>
      <c r="DJ53" s="479">
        <v>0</v>
      </c>
      <c r="DK53" s="479">
        <v>0</v>
      </c>
      <c r="DL53" s="479">
        <v>0</v>
      </c>
      <c r="DM53" s="479">
        <v>0</v>
      </c>
      <c r="DN53" s="479">
        <v>0</v>
      </c>
      <c r="DO53" s="479">
        <v>0</v>
      </c>
      <c r="DP53" s="479">
        <v>0</v>
      </c>
      <c r="DQ53" s="479">
        <v>0</v>
      </c>
      <c r="DR53" s="479">
        <v>0</v>
      </c>
      <c r="DS53" s="479">
        <v>0</v>
      </c>
      <c r="DT53" s="479">
        <v>0</v>
      </c>
      <c r="DU53" s="479">
        <v>0</v>
      </c>
      <c r="DV53" s="479">
        <v>0</v>
      </c>
      <c r="DW53" s="479">
        <v>0</v>
      </c>
      <c r="DX53" s="479">
        <v>0</v>
      </c>
      <c r="DY53" s="479">
        <v>0</v>
      </c>
      <c r="DZ53" s="479">
        <v>0</v>
      </c>
      <c r="EA53" s="479">
        <v>0</v>
      </c>
      <c r="EB53" s="479">
        <v>0</v>
      </c>
      <c r="EC53" s="479">
        <v>0</v>
      </c>
    </row>
    <row r="54" spans="1:133" ht="17.25" customHeight="1" x14ac:dyDescent="0.25">
      <c r="A54" s="588"/>
      <c r="B54" s="482"/>
      <c r="C54" s="561"/>
      <c r="D54" s="561"/>
      <c r="E54" s="561"/>
      <c r="F54" s="562"/>
      <c r="G54" s="561"/>
      <c r="H54" s="563"/>
      <c r="I54" s="561"/>
      <c r="J54" s="561"/>
      <c r="K54" s="561"/>
      <c r="L54" s="561"/>
      <c r="M54" s="562"/>
      <c r="N54" s="561"/>
      <c r="O54" s="561"/>
      <c r="P54" s="561"/>
      <c r="Q54" s="561"/>
      <c r="R54" s="561"/>
      <c r="S54" s="561"/>
      <c r="T54" s="561"/>
      <c r="U54" s="561"/>
      <c r="V54" s="561"/>
      <c r="W54" s="561"/>
      <c r="X54" s="561"/>
      <c r="Y54" s="561"/>
      <c r="Z54" s="561"/>
      <c r="AA54" s="561"/>
      <c r="AB54" s="561"/>
      <c r="AC54" s="561"/>
      <c r="AD54" s="561"/>
      <c r="AE54" s="564"/>
      <c r="AF54" s="564"/>
      <c r="AG54" s="565"/>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2"/>
      <c r="DC54" s="561"/>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row>
    <row r="55" spans="1:133" ht="17.25" customHeight="1" x14ac:dyDescent="0.25">
      <c r="A55" s="587" t="s">
        <v>450</v>
      </c>
      <c r="B55" s="478" t="s">
        <v>422</v>
      </c>
      <c r="C55" s="533">
        <v>29432.767018766855</v>
      </c>
      <c r="D55" s="533">
        <v>34260.080803627447</v>
      </c>
      <c r="E55" s="533">
        <v>33736.445753137697</v>
      </c>
      <c r="F55" s="534">
        <v>30869.665977368513</v>
      </c>
      <c r="G55" s="533">
        <v>33148.508443650164</v>
      </c>
      <c r="H55" s="535">
        <v>32103.114393552522</v>
      </c>
      <c r="I55" s="533">
        <v>30169.13539053157</v>
      </c>
      <c r="J55" s="533">
        <v>39529.378811924573</v>
      </c>
      <c r="K55" s="533">
        <v>40813.964159177995</v>
      </c>
      <c r="L55" s="533">
        <v>38298.472398335762</v>
      </c>
      <c r="M55" s="534">
        <v>42561.914226997869</v>
      </c>
      <c r="N55" s="533">
        <v>39547.513947527019</v>
      </c>
      <c r="O55" s="533">
        <v>34322.485455183065</v>
      </c>
      <c r="P55" s="533">
        <v>23458.447846964125</v>
      </c>
      <c r="Q55" s="533">
        <v>22783.893341378978</v>
      </c>
      <c r="R55" s="533">
        <v>28642.687883647355</v>
      </c>
      <c r="S55" s="533">
        <v>25554.180948222551</v>
      </c>
      <c r="T55" s="533">
        <v>28986.653275119956</v>
      </c>
      <c r="U55" s="533">
        <v>23144.521802052503</v>
      </c>
      <c r="V55" s="533">
        <v>24778.631760438147</v>
      </c>
      <c r="W55" s="533">
        <v>25578.83426078095</v>
      </c>
      <c r="X55" s="533">
        <v>28469.195348005636</v>
      </c>
      <c r="Y55" s="533">
        <v>35207.911461794189</v>
      </c>
      <c r="Z55" s="533">
        <v>29022.884805908736</v>
      </c>
      <c r="AA55" s="533">
        <v>39967.940543216449</v>
      </c>
      <c r="AB55" s="533">
        <v>38952.669907664116</v>
      </c>
      <c r="AC55" s="533">
        <v>35611.417045563867</v>
      </c>
      <c r="AD55" s="533">
        <v>33834.882104414784</v>
      </c>
      <c r="AE55" s="479">
        <v>39070.798615132757</v>
      </c>
      <c r="AF55" s="479">
        <v>34309.875560910383</v>
      </c>
      <c r="AG55" s="560">
        <v>30761.533252157133</v>
      </c>
      <c r="AH55" s="533">
        <v>30209.616689337126</v>
      </c>
      <c r="AI55" s="533">
        <v>44387.928754471606</v>
      </c>
      <c r="AJ55" s="533">
        <v>40145.866677087492</v>
      </c>
      <c r="AK55" s="533">
        <v>37941.127663167666</v>
      </c>
      <c r="AL55" s="533">
        <v>40551.299268888004</v>
      </c>
      <c r="AM55" s="533">
        <v>43238.137322506242</v>
      </c>
      <c r="AN55" s="533">
        <v>42618.980175564284</v>
      </c>
      <c r="AO55" s="533">
        <v>44457.242976324567</v>
      </c>
      <c r="AP55" s="533">
        <v>39691.1360705482</v>
      </c>
      <c r="AQ55" s="533">
        <v>59777.699357459212</v>
      </c>
      <c r="AR55" s="533">
        <v>44315.485858984328</v>
      </c>
      <c r="AS55" s="533">
        <v>50022.483865121387</v>
      </c>
      <c r="AT55" s="533">
        <v>45071.427850664673</v>
      </c>
      <c r="AU55" s="533">
        <v>44825.023681978993</v>
      </c>
      <c r="AV55" s="533">
        <v>45723.11009277204</v>
      </c>
      <c r="AW55" s="533">
        <v>56623.470659186809</v>
      </c>
      <c r="AX55" s="533">
        <v>58954.183824958382</v>
      </c>
      <c r="AY55" s="533">
        <v>71511.057699533572</v>
      </c>
      <c r="AZ55" s="533">
        <v>90538.775278142028</v>
      </c>
      <c r="BA55" s="533">
        <v>96306.272537237586</v>
      </c>
      <c r="BB55" s="533">
        <v>77032.912200377803</v>
      </c>
      <c r="BC55" s="533">
        <v>81370.840048575323</v>
      </c>
      <c r="BD55" s="533">
        <v>78336.510964634406</v>
      </c>
      <c r="BE55" s="533">
        <v>99663.735643111504</v>
      </c>
      <c r="BF55" s="533">
        <v>111707.05893216262</v>
      </c>
      <c r="BG55" s="533">
        <v>123272.0779647421</v>
      </c>
      <c r="BH55" s="533">
        <v>137833.12623258727</v>
      </c>
      <c r="BI55" s="533">
        <v>143953.15384429533</v>
      </c>
      <c r="BJ55" s="533">
        <v>178862.29597032876</v>
      </c>
      <c r="BK55" s="533">
        <v>169154.96589423789</v>
      </c>
      <c r="BL55" s="533">
        <v>160607.1231365795</v>
      </c>
      <c r="BM55" s="533">
        <v>164575.23255486466</v>
      </c>
      <c r="BN55" s="533">
        <v>179484.48929827844</v>
      </c>
      <c r="BO55" s="533">
        <v>196442.74826099002</v>
      </c>
      <c r="BP55" s="533">
        <v>164531.17855713627</v>
      </c>
      <c r="BQ55" s="533">
        <v>204934.24004247849</v>
      </c>
      <c r="BR55" s="533">
        <v>232314.69118893062</v>
      </c>
      <c r="BS55" s="533">
        <v>236566.50196854505</v>
      </c>
      <c r="BT55" s="533">
        <v>228442.52946675199</v>
      </c>
      <c r="BU55" s="533">
        <v>262787.18552714447</v>
      </c>
      <c r="BV55" s="533">
        <v>225701.43862436843</v>
      </c>
      <c r="BW55" s="533">
        <v>242684.51972220954</v>
      </c>
      <c r="BX55" s="533">
        <v>233419.56582643723</v>
      </c>
      <c r="BY55" s="533">
        <v>222553.99565980441</v>
      </c>
      <c r="BZ55" s="533">
        <v>280216.22471588483</v>
      </c>
      <c r="CA55" s="533">
        <v>258504.49647729652</v>
      </c>
      <c r="CB55" s="533">
        <v>238443.67931575485</v>
      </c>
      <c r="CC55" s="533">
        <v>291258.19929144433</v>
      </c>
      <c r="CD55" s="533">
        <v>331551.52239167277</v>
      </c>
      <c r="CE55" s="533">
        <v>365150.9206607173</v>
      </c>
      <c r="CF55" s="533">
        <v>331744.64526177425</v>
      </c>
      <c r="CG55" s="533">
        <v>306206.7874403724</v>
      </c>
      <c r="CH55" s="533">
        <v>326287.14330588136</v>
      </c>
      <c r="CI55" s="533">
        <v>345566.76871943782</v>
      </c>
      <c r="CJ55" s="533">
        <v>355620.70449500385</v>
      </c>
      <c r="CK55" s="533">
        <v>344224.6446809328</v>
      </c>
      <c r="CL55" s="533">
        <v>351250.84561238473</v>
      </c>
      <c r="CM55" s="533">
        <v>330178.31108843983</v>
      </c>
      <c r="CN55" s="533">
        <v>287721.32492861018</v>
      </c>
      <c r="CO55" s="533">
        <v>279939.08250933321</v>
      </c>
      <c r="CP55" s="533">
        <v>296836.98913296411</v>
      </c>
      <c r="CQ55" s="533">
        <v>297892.84432366665</v>
      </c>
      <c r="CR55" s="533">
        <v>307347.90835321526</v>
      </c>
      <c r="CS55" s="533">
        <v>284028.29083379696</v>
      </c>
      <c r="CT55" s="533">
        <v>296186.66098618211</v>
      </c>
      <c r="CU55" s="533">
        <v>294401.09124277084</v>
      </c>
      <c r="CV55" s="533">
        <v>313836.05786084075</v>
      </c>
      <c r="CW55" s="533">
        <v>367269.29246765771</v>
      </c>
      <c r="CX55" s="533">
        <v>360956.46484693687</v>
      </c>
      <c r="CY55" s="533">
        <v>310919.57905538724</v>
      </c>
      <c r="CZ55" s="533">
        <v>288355.94132487784</v>
      </c>
      <c r="DA55" s="533">
        <v>244096.76228233028</v>
      </c>
      <c r="DB55" s="534">
        <v>226887.54080734405</v>
      </c>
      <c r="DC55" s="533">
        <v>235220.8493683727</v>
      </c>
      <c r="DD55" s="479">
        <v>223332.05145226975</v>
      </c>
      <c r="DE55" s="479">
        <v>213015.07227861648</v>
      </c>
      <c r="DF55" s="479">
        <v>208067.28408345862</v>
      </c>
      <c r="DG55" s="479">
        <v>198664.07230677677</v>
      </c>
      <c r="DH55" s="479">
        <v>163011.89731705171</v>
      </c>
      <c r="DI55" s="479">
        <v>136937.24142526506</v>
      </c>
      <c r="DJ55" s="479">
        <v>168231.58288372419</v>
      </c>
      <c r="DK55" s="479">
        <v>151653.23715752174</v>
      </c>
      <c r="DL55" s="479">
        <v>139977.31040497901</v>
      </c>
      <c r="DM55" s="479">
        <v>147077.22059171399</v>
      </c>
      <c r="DN55" s="479">
        <v>146627.91770260001</v>
      </c>
      <c r="DO55" s="479">
        <v>148457.33312874945</v>
      </c>
      <c r="DP55" s="479">
        <v>181837.55940702357</v>
      </c>
      <c r="DQ55" s="479">
        <v>182150.91998237191</v>
      </c>
      <c r="DR55" s="479">
        <v>173382.35923417661</v>
      </c>
      <c r="DS55" s="479">
        <v>144842.61480010487</v>
      </c>
      <c r="DT55" s="479">
        <v>136691.45247165122</v>
      </c>
      <c r="DU55" s="479">
        <v>136396.17829938509</v>
      </c>
      <c r="DV55" s="479">
        <v>155476.07297999755</v>
      </c>
      <c r="DW55" s="479">
        <v>133018.6432050424</v>
      </c>
      <c r="DX55" s="479">
        <v>132037.4436814787</v>
      </c>
      <c r="DY55" s="479">
        <v>149999.05563883213</v>
      </c>
      <c r="DZ55" s="479">
        <v>165742.32393762539</v>
      </c>
      <c r="EA55" s="479">
        <v>205225.69487357917</v>
      </c>
      <c r="EB55" s="479">
        <v>132487.54496389805</v>
      </c>
      <c r="EC55" s="479">
        <v>80813.698965197778</v>
      </c>
    </row>
    <row r="56" spans="1:133" ht="17.25" customHeight="1" x14ac:dyDescent="0.25">
      <c r="A56" s="588"/>
      <c r="B56" s="482"/>
      <c r="C56" s="561"/>
      <c r="D56" s="561"/>
      <c r="E56" s="561"/>
      <c r="F56" s="562"/>
      <c r="G56" s="561"/>
      <c r="H56" s="563"/>
      <c r="I56" s="561"/>
      <c r="J56" s="561"/>
      <c r="K56" s="561"/>
      <c r="L56" s="561"/>
      <c r="M56" s="562"/>
      <c r="N56" s="561"/>
      <c r="O56" s="561"/>
      <c r="P56" s="561"/>
      <c r="Q56" s="561"/>
      <c r="R56" s="561"/>
      <c r="S56" s="561"/>
      <c r="T56" s="561"/>
      <c r="U56" s="561"/>
      <c r="V56" s="561"/>
      <c r="W56" s="561"/>
      <c r="X56" s="561"/>
      <c r="Y56" s="561"/>
      <c r="Z56" s="561"/>
      <c r="AA56" s="561"/>
      <c r="AB56" s="561"/>
      <c r="AC56" s="561"/>
      <c r="AD56" s="561"/>
      <c r="AE56" s="564"/>
      <c r="AF56" s="564"/>
      <c r="AG56" s="565"/>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2"/>
      <c r="DC56" s="561"/>
      <c r="DD56" s="564"/>
      <c r="DE56" s="564"/>
      <c r="DF56" s="564"/>
      <c r="DG56" s="564"/>
      <c r="DH56" s="564"/>
      <c r="DI56" s="564"/>
      <c r="DJ56" s="564"/>
      <c r="DK56" s="564"/>
      <c r="DL56" s="564"/>
      <c r="DM56" s="564"/>
      <c r="DN56" s="564"/>
      <c r="DO56" s="564"/>
      <c r="DP56" s="564"/>
      <c r="DQ56" s="564"/>
      <c r="DR56" s="564"/>
      <c r="DS56" s="564"/>
      <c r="DT56" s="564"/>
      <c r="DU56" s="564"/>
      <c r="DV56" s="564"/>
      <c r="DW56" s="564"/>
      <c r="DX56" s="564"/>
      <c r="DY56" s="564"/>
      <c r="DZ56" s="564"/>
      <c r="EA56" s="564"/>
      <c r="EB56" s="564"/>
      <c r="EC56" s="564"/>
    </row>
    <row r="57" spans="1:133" ht="17.25" customHeight="1" x14ac:dyDescent="0.25">
      <c r="A57" s="587" t="s">
        <v>451</v>
      </c>
      <c r="B57" s="478" t="s">
        <v>452</v>
      </c>
      <c r="C57" s="533">
        <v>16158.678189872391</v>
      </c>
      <c r="D57" s="533">
        <v>15399.666391304083</v>
      </c>
      <c r="E57" s="533">
        <v>22031.435805337154</v>
      </c>
      <c r="F57" s="534">
        <v>21475.643292177294</v>
      </c>
      <c r="G57" s="533">
        <v>20607.766992034929</v>
      </c>
      <c r="H57" s="535">
        <v>19201.823949447185</v>
      </c>
      <c r="I57" s="533">
        <v>17793.633641827717</v>
      </c>
      <c r="J57" s="533">
        <v>19316.304427188974</v>
      </c>
      <c r="K57" s="533">
        <v>20013.990508662733</v>
      </c>
      <c r="L57" s="533">
        <v>20256.913851944213</v>
      </c>
      <c r="M57" s="534">
        <v>19950.461601384475</v>
      </c>
      <c r="N57" s="533">
        <v>20450.920981053732</v>
      </c>
      <c r="O57" s="533">
        <v>19805.145389509093</v>
      </c>
      <c r="P57" s="533">
        <v>21329.915646678241</v>
      </c>
      <c r="Q57" s="533">
        <v>21488.567996316975</v>
      </c>
      <c r="R57" s="533">
        <v>22923.550957587766</v>
      </c>
      <c r="S57" s="533">
        <v>21825.190813529563</v>
      </c>
      <c r="T57" s="533">
        <v>21701.793808469345</v>
      </c>
      <c r="U57" s="533">
        <v>20872.484472240048</v>
      </c>
      <c r="V57" s="533">
        <v>20463.48981438058</v>
      </c>
      <c r="W57" s="533">
        <v>22331.350880751113</v>
      </c>
      <c r="X57" s="533">
        <v>22285.405925518662</v>
      </c>
      <c r="Y57" s="533">
        <v>22020.184815563014</v>
      </c>
      <c r="Z57" s="533">
        <v>25267.34982926305</v>
      </c>
      <c r="AA57" s="533">
        <v>24608.293075993377</v>
      </c>
      <c r="AB57" s="533">
        <v>21855.939058989279</v>
      </c>
      <c r="AC57" s="533">
        <v>24601.761641271045</v>
      </c>
      <c r="AD57" s="533">
        <v>22669.225900420108</v>
      </c>
      <c r="AE57" s="479">
        <v>24127.530389359155</v>
      </c>
      <c r="AF57" s="479">
        <v>23603.189087562012</v>
      </c>
      <c r="AG57" s="560">
        <v>26253.53710648734</v>
      </c>
      <c r="AH57" s="533">
        <v>26265.073123399943</v>
      </c>
      <c r="AI57" s="533">
        <v>25663.53690178521</v>
      </c>
      <c r="AJ57" s="533">
        <v>25332.953733783797</v>
      </c>
      <c r="AK57" s="533">
        <v>25047.975926123618</v>
      </c>
      <c r="AL57" s="533">
        <v>26628.938733172014</v>
      </c>
      <c r="AM57" s="533">
        <v>25493.150156275744</v>
      </c>
      <c r="AN57" s="533">
        <v>25336.709046442629</v>
      </c>
      <c r="AO57" s="533">
        <v>24076.817668915755</v>
      </c>
      <c r="AP57" s="533">
        <v>26978.584588775855</v>
      </c>
      <c r="AQ57" s="533">
        <v>28156.884939248106</v>
      </c>
      <c r="AR57" s="533">
        <v>28644.84748098725</v>
      </c>
      <c r="AS57" s="533">
        <v>30566.384319011457</v>
      </c>
      <c r="AT57" s="533">
        <v>28545.864615857005</v>
      </c>
      <c r="AU57" s="533">
        <v>26934.996123423614</v>
      </c>
      <c r="AV57" s="533">
        <v>25841.93165764619</v>
      </c>
      <c r="AW57" s="533">
        <v>28092.860571302979</v>
      </c>
      <c r="AX57" s="533">
        <v>26292.40951873811</v>
      </c>
      <c r="AY57" s="533">
        <v>28037.893862271598</v>
      </c>
      <c r="AZ57" s="533">
        <v>26860.379091036237</v>
      </c>
      <c r="BA57" s="533">
        <v>30188.881181034689</v>
      </c>
      <c r="BB57" s="533">
        <v>27094.074399699584</v>
      </c>
      <c r="BC57" s="533">
        <v>25315.67576164853</v>
      </c>
      <c r="BD57" s="533">
        <v>26697.460388662541</v>
      </c>
      <c r="BE57" s="533">
        <v>26492.668315637879</v>
      </c>
      <c r="BF57" s="533">
        <v>24927.705293513598</v>
      </c>
      <c r="BG57" s="533">
        <v>26670.992764928367</v>
      </c>
      <c r="BH57" s="533">
        <v>26375.217146415311</v>
      </c>
      <c r="BI57" s="533">
        <v>24820.832289797665</v>
      </c>
      <c r="BJ57" s="533">
        <v>29511.327082950043</v>
      </c>
      <c r="BK57" s="533">
        <v>30383.526504520516</v>
      </c>
      <c r="BL57" s="533">
        <v>28105.254953831773</v>
      </c>
      <c r="BM57" s="533">
        <v>26388.752473113425</v>
      </c>
      <c r="BN57" s="533">
        <v>26902.131664199755</v>
      </c>
      <c r="BO57" s="533">
        <v>31140.300341097565</v>
      </c>
      <c r="BP57" s="533">
        <v>32235.78470779585</v>
      </c>
      <c r="BQ57" s="533">
        <v>32445.356367323093</v>
      </c>
      <c r="BR57" s="533">
        <v>30805.015896943492</v>
      </c>
      <c r="BS57" s="533">
        <v>32671.667518136597</v>
      </c>
      <c r="BT57" s="533">
        <v>43780.854184367941</v>
      </c>
      <c r="BU57" s="533">
        <v>31436.979178190988</v>
      </c>
      <c r="BV57" s="533">
        <v>38380.12334699653</v>
      </c>
      <c r="BW57" s="533">
        <v>36398.612039613196</v>
      </c>
      <c r="BX57" s="533">
        <v>35610.019238602908</v>
      </c>
      <c r="BY57" s="533">
        <v>28220.660586893697</v>
      </c>
      <c r="BZ57" s="533">
        <v>35548.391283481265</v>
      </c>
      <c r="CA57" s="533">
        <v>37072.284151340195</v>
      </c>
      <c r="CB57" s="533">
        <v>38910.345796089772</v>
      </c>
      <c r="CC57" s="533">
        <v>39404.278051939822</v>
      </c>
      <c r="CD57" s="533">
        <v>37722.337078564677</v>
      </c>
      <c r="CE57" s="533">
        <v>38363.013823103916</v>
      </c>
      <c r="CF57" s="533">
        <v>38726.190562285257</v>
      </c>
      <c r="CG57" s="533">
        <v>39682.82334167861</v>
      </c>
      <c r="CH57" s="533">
        <v>46399.182294254191</v>
      </c>
      <c r="CI57" s="533">
        <v>46430.379387273628</v>
      </c>
      <c r="CJ57" s="533">
        <v>41199.290900733613</v>
      </c>
      <c r="CK57" s="533">
        <v>41543.969723707953</v>
      </c>
      <c r="CL57" s="533">
        <v>40483.929504703643</v>
      </c>
      <c r="CM57" s="533">
        <v>40217.169470184948</v>
      </c>
      <c r="CN57" s="533">
        <v>41140.443707170554</v>
      </c>
      <c r="CO57" s="533">
        <v>47446.201200333257</v>
      </c>
      <c r="CP57" s="533">
        <v>46961.57136462153</v>
      </c>
      <c r="CQ57" s="533">
        <v>48254.780355956907</v>
      </c>
      <c r="CR57" s="533">
        <v>46443.40917528428</v>
      </c>
      <c r="CS57" s="533">
        <v>49848.44690615451</v>
      </c>
      <c r="CT57" s="533">
        <v>45063.887441249055</v>
      </c>
      <c r="CU57" s="533">
        <v>46124.190772908441</v>
      </c>
      <c r="CV57" s="533">
        <v>46152.672104306788</v>
      </c>
      <c r="CW57" s="533">
        <v>50117.451247433062</v>
      </c>
      <c r="CX57" s="533">
        <v>51724.260593636587</v>
      </c>
      <c r="CY57" s="533">
        <v>46208.060636966627</v>
      </c>
      <c r="CZ57" s="533">
        <v>39718.043248880866</v>
      </c>
      <c r="DA57" s="533">
        <v>38629.663142935802</v>
      </c>
      <c r="DB57" s="534">
        <v>37955.90510136378</v>
      </c>
      <c r="DC57" s="533">
        <v>37742.235100137405</v>
      </c>
      <c r="DD57" s="479">
        <v>38076.078846724471</v>
      </c>
      <c r="DE57" s="479">
        <v>38609.971275321041</v>
      </c>
      <c r="DF57" s="479">
        <v>38417.566021774794</v>
      </c>
      <c r="DG57" s="479">
        <v>39378.186523585653</v>
      </c>
      <c r="DH57" s="479">
        <v>40494.360367042915</v>
      </c>
      <c r="DI57" s="479">
        <v>42252.213296070215</v>
      </c>
      <c r="DJ57" s="479">
        <v>46875.94909998068</v>
      </c>
      <c r="DK57" s="479">
        <v>46117.34828008146</v>
      </c>
      <c r="DL57" s="479">
        <v>47696.622416991995</v>
      </c>
      <c r="DM57" s="479">
        <v>45307.899130647558</v>
      </c>
      <c r="DN57" s="479">
        <v>45006.518026723817</v>
      </c>
      <c r="DO57" s="479">
        <v>46593.618340221117</v>
      </c>
      <c r="DP57" s="479">
        <v>50613.797049734661</v>
      </c>
      <c r="DQ57" s="479">
        <v>51525.459408858595</v>
      </c>
      <c r="DR57" s="479">
        <v>45064.945020367886</v>
      </c>
      <c r="DS57" s="479">
        <v>48499.679774459939</v>
      </c>
      <c r="DT57" s="479">
        <v>46637.706944947604</v>
      </c>
      <c r="DU57" s="479">
        <v>49860.194877802373</v>
      </c>
      <c r="DV57" s="479">
        <v>50452.817612039871</v>
      </c>
      <c r="DW57" s="479">
        <v>50876.830689760667</v>
      </c>
      <c r="DX57" s="479">
        <v>53631.607438347703</v>
      </c>
      <c r="DY57" s="479">
        <v>49434.343196748123</v>
      </c>
      <c r="DZ57" s="479">
        <v>60333.679794097508</v>
      </c>
      <c r="EA57" s="479">
        <v>51751.254853924009</v>
      </c>
      <c r="EB57" s="479">
        <v>55120.699880717199</v>
      </c>
      <c r="EC57" s="479">
        <v>56220.114049570082</v>
      </c>
    </row>
    <row r="58" spans="1:133" ht="17.25" customHeight="1" x14ac:dyDescent="0.25">
      <c r="A58" s="588"/>
      <c r="B58" s="482"/>
      <c r="C58" s="561"/>
      <c r="D58" s="561"/>
      <c r="E58" s="561"/>
      <c r="F58" s="562"/>
      <c r="G58" s="561"/>
      <c r="H58" s="563"/>
      <c r="I58" s="561"/>
      <c r="J58" s="561"/>
      <c r="K58" s="561"/>
      <c r="L58" s="561"/>
      <c r="M58" s="562"/>
      <c r="N58" s="561"/>
      <c r="O58" s="561"/>
      <c r="P58" s="561"/>
      <c r="Q58" s="561"/>
      <c r="R58" s="561"/>
      <c r="S58" s="561"/>
      <c r="T58" s="561"/>
      <c r="U58" s="561"/>
      <c r="V58" s="561"/>
      <c r="W58" s="561"/>
      <c r="X58" s="561"/>
      <c r="Y58" s="561"/>
      <c r="Z58" s="561"/>
      <c r="AA58" s="561"/>
      <c r="AB58" s="561"/>
      <c r="AC58" s="561"/>
      <c r="AD58" s="561"/>
      <c r="AE58" s="564"/>
      <c r="AF58" s="564"/>
      <c r="AG58" s="565"/>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2"/>
      <c r="DC58" s="561"/>
      <c r="DD58" s="564"/>
      <c r="DE58" s="564"/>
      <c r="DF58" s="564"/>
      <c r="DG58" s="564"/>
      <c r="DH58" s="564"/>
      <c r="DI58" s="564"/>
      <c r="DJ58" s="564"/>
      <c r="DK58" s="564"/>
      <c r="DL58" s="564"/>
      <c r="DM58" s="564"/>
      <c r="DN58" s="564"/>
      <c r="DO58" s="564"/>
      <c r="DP58" s="564"/>
      <c r="DQ58" s="564"/>
      <c r="DR58" s="564"/>
      <c r="DS58" s="564"/>
      <c r="DT58" s="564"/>
      <c r="DU58" s="564"/>
      <c r="DV58" s="564"/>
      <c r="DW58" s="564"/>
      <c r="DX58" s="564"/>
      <c r="DY58" s="564"/>
      <c r="DZ58" s="564"/>
      <c r="EA58" s="564"/>
      <c r="EB58" s="564"/>
      <c r="EC58" s="564"/>
    </row>
    <row r="59" spans="1:133" ht="17.25" customHeight="1" x14ac:dyDescent="0.25">
      <c r="A59" s="587" t="s">
        <v>453</v>
      </c>
      <c r="B59" s="478" t="s">
        <v>418</v>
      </c>
      <c r="C59" s="533">
        <v>40299.377312539364</v>
      </c>
      <c r="D59" s="533">
        <v>40897.174464550713</v>
      </c>
      <c r="E59" s="533">
        <v>41418.046998493701</v>
      </c>
      <c r="F59" s="534">
        <v>41431.841635135694</v>
      </c>
      <c r="G59" s="533">
        <v>41653.852711723099</v>
      </c>
      <c r="H59" s="535">
        <v>42382.352172430445</v>
      </c>
      <c r="I59" s="533">
        <v>42617.348218640211</v>
      </c>
      <c r="J59" s="533">
        <v>43614.156140104787</v>
      </c>
      <c r="K59" s="533">
        <v>43941.573180620879</v>
      </c>
      <c r="L59" s="533">
        <v>43933.029616701744</v>
      </c>
      <c r="M59" s="534">
        <v>44783.080922080873</v>
      </c>
      <c r="N59" s="533">
        <v>44195.840824197207</v>
      </c>
      <c r="O59" s="533">
        <v>43673.261159687172</v>
      </c>
      <c r="P59" s="533">
        <v>45224.515831074161</v>
      </c>
      <c r="Q59" s="533">
        <v>46849.720232299231</v>
      </c>
      <c r="R59" s="533">
        <v>46283.42460264438</v>
      </c>
      <c r="S59" s="533">
        <v>48014.658053635692</v>
      </c>
      <c r="T59" s="533">
        <v>49483.711488206434</v>
      </c>
      <c r="U59" s="533">
        <v>48476.295669645828</v>
      </c>
      <c r="V59" s="533">
        <v>49806.541415925356</v>
      </c>
      <c r="W59" s="533">
        <v>46843.666865092833</v>
      </c>
      <c r="X59" s="533">
        <v>47095.480653384591</v>
      </c>
      <c r="Y59" s="533">
        <v>47921.991783679747</v>
      </c>
      <c r="Z59" s="533">
        <v>48748.689920030221</v>
      </c>
      <c r="AA59" s="533">
        <v>49701.947383272287</v>
      </c>
      <c r="AB59" s="533">
        <v>50225.370442197789</v>
      </c>
      <c r="AC59" s="533">
        <v>50255.092954445507</v>
      </c>
      <c r="AD59" s="533">
        <v>50173.066566671099</v>
      </c>
      <c r="AE59" s="479">
        <v>51646.045959744595</v>
      </c>
      <c r="AF59" s="479">
        <v>52135.052324756274</v>
      </c>
      <c r="AG59" s="560">
        <v>51923.840327734593</v>
      </c>
      <c r="AH59" s="533">
        <v>54290.430311067721</v>
      </c>
      <c r="AI59" s="533">
        <v>54553.47210097991</v>
      </c>
      <c r="AJ59" s="533">
        <v>54781.930404075538</v>
      </c>
      <c r="AK59" s="533">
        <v>56291.891485824599</v>
      </c>
      <c r="AL59" s="533">
        <v>59034.14006419474</v>
      </c>
      <c r="AM59" s="533">
        <v>60336.762547660219</v>
      </c>
      <c r="AN59" s="533">
        <v>58433.737571185309</v>
      </c>
      <c r="AO59" s="533">
        <v>61722.657067999608</v>
      </c>
      <c r="AP59" s="533">
        <v>61121.022388491496</v>
      </c>
      <c r="AQ59" s="533">
        <v>64653.692893753156</v>
      </c>
      <c r="AR59" s="533">
        <v>65938.599478865523</v>
      </c>
      <c r="AS59" s="533">
        <v>67572.644090477799</v>
      </c>
      <c r="AT59" s="533">
        <v>68844.439888866429</v>
      </c>
      <c r="AU59" s="533">
        <v>70619.264637318702</v>
      </c>
      <c r="AV59" s="533">
        <v>71415.300964999711</v>
      </c>
      <c r="AW59" s="533">
        <v>71448.033640741909</v>
      </c>
      <c r="AX59" s="533">
        <v>71317.611680365444</v>
      </c>
      <c r="AY59" s="533">
        <v>71636.339654546551</v>
      </c>
      <c r="AZ59" s="533">
        <v>72364.164940520423</v>
      </c>
      <c r="BA59" s="533">
        <v>72729.831094379726</v>
      </c>
      <c r="BB59" s="533">
        <v>70480.727987459832</v>
      </c>
      <c r="BC59" s="533">
        <v>70526.35235032397</v>
      </c>
      <c r="BD59" s="533">
        <v>70569.078909740943</v>
      </c>
      <c r="BE59" s="533">
        <v>72014.339570399199</v>
      </c>
      <c r="BF59" s="533">
        <v>71967.09499391503</v>
      </c>
      <c r="BG59" s="533">
        <v>73271.353804589948</v>
      </c>
      <c r="BH59" s="533">
        <v>73849.64023806437</v>
      </c>
      <c r="BI59" s="533">
        <v>73862.058317793577</v>
      </c>
      <c r="BJ59" s="533">
        <v>77052.783139840336</v>
      </c>
      <c r="BK59" s="533">
        <v>79057.576617151513</v>
      </c>
      <c r="BL59" s="533">
        <v>77330.420374281064</v>
      </c>
      <c r="BM59" s="533">
        <v>78550.01557674598</v>
      </c>
      <c r="BN59" s="533">
        <v>78280.792370200521</v>
      </c>
      <c r="BO59" s="533">
        <v>79300.377539482477</v>
      </c>
      <c r="BP59" s="533">
        <v>84473.648619102474</v>
      </c>
      <c r="BQ59" s="533">
        <v>85038.856916136458</v>
      </c>
      <c r="BR59" s="533">
        <v>85694.832314834071</v>
      </c>
      <c r="BS59" s="533">
        <v>86701.463298792383</v>
      </c>
      <c r="BT59" s="533">
        <v>87084.157034179327</v>
      </c>
      <c r="BU59" s="533">
        <v>87096.469192007018</v>
      </c>
      <c r="BV59" s="533">
        <v>87336.869322237704</v>
      </c>
      <c r="BW59" s="533">
        <v>89036.787249494402</v>
      </c>
      <c r="BX59" s="533">
        <v>89235.76502342461</v>
      </c>
      <c r="BY59" s="533">
        <v>89112.41465863293</v>
      </c>
      <c r="BZ59" s="533">
        <v>92001.030889734742</v>
      </c>
      <c r="CA59" s="533">
        <v>92823.98516812356</v>
      </c>
      <c r="CB59" s="533">
        <v>94911.198696198524</v>
      </c>
      <c r="CC59" s="533">
        <v>92655.583889346046</v>
      </c>
      <c r="CD59" s="533">
        <v>93387.414470685457</v>
      </c>
      <c r="CE59" s="533">
        <v>94311.266267564584</v>
      </c>
      <c r="CF59" s="533">
        <v>96065.61365127757</v>
      </c>
      <c r="CG59" s="533">
        <v>96868.179552567482</v>
      </c>
      <c r="CH59" s="533">
        <v>99970.6883411335</v>
      </c>
      <c r="CI59" s="533">
        <v>102143.89863464859</v>
      </c>
      <c r="CJ59" s="533">
        <v>102986.73384132363</v>
      </c>
      <c r="CK59" s="533">
        <v>103873.18199425921</v>
      </c>
      <c r="CL59" s="533">
        <v>104115.39616690495</v>
      </c>
      <c r="CM59" s="533">
        <v>105223.37593117294</v>
      </c>
      <c r="CN59" s="533">
        <v>106183.2920679449</v>
      </c>
      <c r="CO59" s="533">
        <v>109157.30970641969</v>
      </c>
      <c r="CP59" s="533">
        <v>110133.52132883098</v>
      </c>
      <c r="CQ59" s="533">
        <v>112697.26542386685</v>
      </c>
      <c r="CR59" s="533">
        <v>114456.85917704883</v>
      </c>
      <c r="CS59" s="533">
        <v>115438.38624675125</v>
      </c>
      <c r="CT59" s="533">
        <v>114636.22307468319</v>
      </c>
      <c r="CU59" s="533">
        <v>115780.45646126535</v>
      </c>
      <c r="CV59" s="533">
        <v>116798.62575181546</v>
      </c>
      <c r="CW59" s="533">
        <v>116718.37460353736</v>
      </c>
      <c r="CX59" s="533">
        <v>115290.87593457245</v>
      </c>
      <c r="CY59" s="533">
        <v>115816.73350059979</v>
      </c>
      <c r="CZ59" s="533">
        <v>116900.34417156516</v>
      </c>
      <c r="DA59" s="533">
        <v>116443.72988501663</v>
      </c>
      <c r="DB59" s="534">
        <v>117713.06556413938</v>
      </c>
      <c r="DC59" s="533">
        <v>119477.91572915741</v>
      </c>
      <c r="DD59" s="479">
        <v>120389.23542704701</v>
      </c>
      <c r="DE59" s="479">
        <v>121335.87773175302</v>
      </c>
      <c r="DF59" s="479">
        <v>122443.84253953373</v>
      </c>
      <c r="DG59" s="479">
        <v>122754.56765158188</v>
      </c>
      <c r="DH59" s="479">
        <v>122338.8886387339</v>
      </c>
      <c r="DI59" s="479">
        <v>123098.98124813495</v>
      </c>
      <c r="DJ59" s="479">
        <v>122611.34617465544</v>
      </c>
      <c r="DK59" s="479">
        <v>122987.7419303114</v>
      </c>
      <c r="DL59" s="479">
        <v>124915.91391719096</v>
      </c>
      <c r="DM59" s="479">
        <v>125985.94252650176</v>
      </c>
      <c r="DN59" s="479">
        <v>128848.74416195994</v>
      </c>
      <c r="DO59" s="479">
        <v>131489.52230850048</v>
      </c>
      <c r="DP59" s="479">
        <v>137285.56936983249</v>
      </c>
      <c r="DQ59" s="479">
        <v>136257.13142404266</v>
      </c>
      <c r="DR59" s="479">
        <v>137734.56566677371</v>
      </c>
      <c r="DS59" s="479">
        <v>141397.33848139661</v>
      </c>
      <c r="DT59" s="479">
        <v>142752.56449091074</v>
      </c>
      <c r="DU59" s="479">
        <v>143026.6948692867</v>
      </c>
      <c r="DV59" s="479">
        <v>142541.43666835761</v>
      </c>
      <c r="DW59" s="479">
        <v>145192.01511508328</v>
      </c>
      <c r="DX59" s="479">
        <v>147509.15735366853</v>
      </c>
      <c r="DY59" s="479">
        <v>146278.87474011761</v>
      </c>
      <c r="DZ59" s="479">
        <v>149404.64880138478</v>
      </c>
      <c r="EA59" s="479">
        <v>150688.7161556803</v>
      </c>
      <c r="EB59" s="479">
        <v>143013.06863699132</v>
      </c>
      <c r="EC59" s="479">
        <v>143502.3756052753</v>
      </c>
    </row>
    <row r="60" spans="1:133" ht="17.25" customHeight="1" x14ac:dyDescent="0.25">
      <c r="A60" s="588"/>
      <c r="B60" s="482"/>
      <c r="C60" s="502"/>
      <c r="D60" s="502"/>
      <c r="E60" s="502"/>
      <c r="F60" s="541"/>
      <c r="G60" s="502"/>
      <c r="H60" s="542"/>
      <c r="I60" s="502"/>
      <c r="J60" s="502"/>
      <c r="K60" s="502"/>
      <c r="L60" s="502"/>
      <c r="M60" s="541"/>
      <c r="N60" s="502"/>
      <c r="O60" s="502"/>
      <c r="P60" s="502"/>
      <c r="Q60" s="502"/>
      <c r="R60" s="502"/>
      <c r="S60" s="502"/>
      <c r="T60" s="502"/>
      <c r="U60" s="502"/>
      <c r="V60" s="502"/>
      <c r="W60" s="502"/>
      <c r="X60" s="502"/>
      <c r="Y60" s="502"/>
      <c r="Z60" s="502"/>
      <c r="AA60" s="502"/>
      <c r="AB60" s="502"/>
      <c r="AC60" s="502"/>
      <c r="AD60" s="502"/>
      <c r="AE60" s="484"/>
      <c r="AF60" s="484"/>
      <c r="AG60" s="501"/>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41"/>
      <c r="DC60" s="502"/>
      <c r="DD60" s="484"/>
      <c r="DE60" s="484"/>
      <c r="DF60" s="484"/>
      <c r="DG60" s="484"/>
      <c r="DH60" s="484"/>
      <c r="DI60" s="484"/>
      <c r="DJ60" s="484"/>
      <c r="DK60" s="484"/>
      <c r="DL60" s="484"/>
      <c r="DM60" s="484"/>
      <c r="DN60" s="484"/>
      <c r="DO60" s="484"/>
      <c r="DP60" s="484"/>
      <c r="DQ60" s="484"/>
      <c r="DR60" s="484"/>
      <c r="DS60" s="484"/>
      <c r="DT60" s="484"/>
      <c r="DU60" s="484"/>
      <c r="DV60" s="484"/>
      <c r="DW60" s="484"/>
      <c r="DX60" s="484"/>
      <c r="DY60" s="484"/>
      <c r="DZ60" s="484"/>
      <c r="EA60" s="484"/>
      <c r="EB60" s="484"/>
      <c r="EC60" s="484"/>
    </row>
    <row r="61" spans="1:133" ht="17.25" customHeight="1" x14ac:dyDescent="0.25">
      <c r="A61" s="587"/>
      <c r="B61" s="478" t="s">
        <v>454</v>
      </c>
      <c r="C61" s="533">
        <v>471311.5679274908</v>
      </c>
      <c r="D61" s="533">
        <v>458405.79968156898</v>
      </c>
      <c r="E61" s="533">
        <v>471368.36615860113</v>
      </c>
      <c r="F61" s="534">
        <v>487597.2123353596</v>
      </c>
      <c r="G61" s="533">
        <v>490699.5337987378</v>
      </c>
      <c r="H61" s="535">
        <v>509422.0460164735</v>
      </c>
      <c r="I61" s="533">
        <v>496790.44643390819</v>
      </c>
      <c r="J61" s="533">
        <v>506831.09065121831</v>
      </c>
      <c r="K61" s="533">
        <v>536189.32489652047</v>
      </c>
      <c r="L61" s="533">
        <v>539946.71596931864</v>
      </c>
      <c r="M61" s="534">
        <v>536591.3487168093</v>
      </c>
      <c r="N61" s="533">
        <v>565086.1899789481</v>
      </c>
      <c r="O61" s="533">
        <v>553754.69138210919</v>
      </c>
      <c r="P61" s="533">
        <v>563618.70850807615</v>
      </c>
      <c r="Q61" s="533">
        <v>575394.00688601425</v>
      </c>
      <c r="R61" s="533">
        <v>605259.06121091812</v>
      </c>
      <c r="S61" s="533">
        <v>608440.06009224232</v>
      </c>
      <c r="T61" s="533">
        <v>637096.64951658109</v>
      </c>
      <c r="U61" s="533">
        <v>661145.88945898088</v>
      </c>
      <c r="V61" s="533">
        <v>633159.18726829987</v>
      </c>
      <c r="W61" s="533">
        <v>636947.78126271733</v>
      </c>
      <c r="X61" s="533">
        <v>655844.07052967488</v>
      </c>
      <c r="Y61" s="533">
        <v>662667.18795217026</v>
      </c>
      <c r="Z61" s="533">
        <v>664628.03592557285</v>
      </c>
      <c r="AA61" s="533">
        <v>695845.12316660327</v>
      </c>
      <c r="AB61" s="533">
        <v>714781.22866503743</v>
      </c>
      <c r="AC61" s="533">
        <v>729675.19286569417</v>
      </c>
      <c r="AD61" s="533">
        <v>737089.28856431844</v>
      </c>
      <c r="AE61" s="479">
        <v>740351.71166967158</v>
      </c>
      <c r="AF61" s="479">
        <v>780083.3295103102</v>
      </c>
      <c r="AG61" s="560">
        <v>758266.41427892959</v>
      </c>
      <c r="AH61" s="533">
        <v>788136.06321314129</v>
      </c>
      <c r="AI61" s="533">
        <v>784205.44569628616</v>
      </c>
      <c r="AJ61" s="533">
        <v>769965.96097749961</v>
      </c>
      <c r="AK61" s="533">
        <v>756096.52120624471</v>
      </c>
      <c r="AL61" s="533">
        <v>797078.898712961</v>
      </c>
      <c r="AM61" s="533">
        <v>810394.94968114293</v>
      </c>
      <c r="AN61" s="533">
        <v>828459.34888534085</v>
      </c>
      <c r="AO61" s="533">
        <v>819943.30276699422</v>
      </c>
      <c r="AP61" s="533">
        <v>803102.41851260676</v>
      </c>
      <c r="AQ61" s="533">
        <v>860616.11619385111</v>
      </c>
      <c r="AR61" s="533">
        <v>844613.98382920632</v>
      </c>
      <c r="AS61" s="533">
        <v>847548.11865086446</v>
      </c>
      <c r="AT61" s="533">
        <v>846906.62767194433</v>
      </c>
      <c r="AU61" s="533">
        <v>856623.22336508334</v>
      </c>
      <c r="AV61" s="533">
        <v>849664.16606785567</v>
      </c>
      <c r="AW61" s="533">
        <v>850875.33540781343</v>
      </c>
      <c r="AX61" s="533">
        <v>845763.63655023009</v>
      </c>
      <c r="AY61" s="533">
        <v>857777.29400556756</v>
      </c>
      <c r="AZ61" s="533">
        <v>873787.36227293161</v>
      </c>
      <c r="BA61" s="533">
        <v>878017.77051826671</v>
      </c>
      <c r="BB61" s="533">
        <v>860432.47357632231</v>
      </c>
      <c r="BC61" s="533">
        <v>860188.95408136863</v>
      </c>
      <c r="BD61" s="533">
        <v>848848.64170138247</v>
      </c>
      <c r="BE61" s="533">
        <v>894608.69760500453</v>
      </c>
      <c r="BF61" s="533">
        <v>915505.7386524789</v>
      </c>
      <c r="BG61" s="533">
        <v>937137.8134324369</v>
      </c>
      <c r="BH61" s="533">
        <v>958041.17727021279</v>
      </c>
      <c r="BI61" s="533">
        <v>958842.14554619312</v>
      </c>
      <c r="BJ61" s="533">
        <v>1070992.4571644114</v>
      </c>
      <c r="BK61" s="533">
        <v>1055271.1205802755</v>
      </c>
      <c r="BL61" s="533">
        <v>997219.36386759533</v>
      </c>
      <c r="BM61" s="533">
        <v>1035500.4015738897</v>
      </c>
      <c r="BN61" s="533">
        <v>1056066.0486184501</v>
      </c>
      <c r="BO61" s="533">
        <v>1077273.9333368349</v>
      </c>
      <c r="BP61" s="533">
        <v>1058366.3717395882</v>
      </c>
      <c r="BQ61" s="533">
        <v>1106725.2287103198</v>
      </c>
      <c r="BR61" s="533">
        <v>1122998.4580019945</v>
      </c>
      <c r="BS61" s="533">
        <v>1131601.8792578613</v>
      </c>
      <c r="BT61" s="533">
        <v>1099361.3938462641</v>
      </c>
      <c r="BU61" s="533">
        <v>1166032.9445716292</v>
      </c>
      <c r="BV61" s="533">
        <v>1094115.950659808</v>
      </c>
      <c r="BW61" s="533">
        <v>1160356.9789897006</v>
      </c>
      <c r="BX61" s="533">
        <v>1134584.9616875097</v>
      </c>
      <c r="BY61" s="533">
        <v>1112955.0925738942</v>
      </c>
      <c r="BZ61" s="533">
        <v>1198674.0723846038</v>
      </c>
      <c r="CA61" s="533">
        <v>1181223.9003155327</v>
      </c>
      <c r="CB61" s="533">
        <v>1211293.175415861</v>
      </c>
      <c r="CC61" s="533">
        <v>1221711.2032408915</v>
      </c>
      <c r="CD61" s="533">
        <v>1235903.3137058993</v>
      </c>
      <c r="CE61" s="533">
        <v>1274384.0037352208</v>
      </c>
      <c r="CF61" s="533">
        <v>1295912.2835075075</v>
      </c>
      <c r="CG61" s="533">
        <v>1274120.3794604437</v>
      </c>
      <c r="CH61" s="533">
        <v>1311993.3462399533</v>
      </c>
      <c r="CI61" s="533">
        <v>1302799.9339062085</v>
      </c>
      <c r="CJ61" s="533">
        <v>1336708.8400544485</v>
      </c>
      <c r="CK61" s="533">
        <v>1291958.9124593784</v>
      </c>
      <c r="CL61" s="533">
        <v>1315134.6475493363</v>
      </c>
      <c r="CM61" s="533">
        <v>1318305.6145090882</v>
      </c>
      <c r="CN61" s="533">
        <v>1292269.3594581685</v>
      </c>
      <c r="CO61" s="533">
        <v>1298120.7727984819</v>
      </c>
      <c r="CP61" s="533">
        <v>1328344.7383193797</v>
      </c>
      <c r="CQ61" s="533">
        <v>1295942.022379637</v>
      </c>
      <c r="CR61" s="533">
        <v>1339915.721147168</v>
      </c>
      <c r="CS61" s="533">
        <v>1328981.7561233544</v>
      </c>
      <c r="CT61" s="533">
        <v>1367299.7785182362</v>
      </c>
      <c r="CU61" s="533">
        <v>1346126.803456035</v>
      </c>
      <c r="CV61" s="533">
        <v>1401146.8867960759</v>
      </c>
      <c r="CW61" s="533">
        <v>1437709.1982464476</v>
      </c>
      <c r="CX61" s="533">
        <v>1425057.8552786382</v>
      </c>
      <c r="CY61" s="533">
        <v>1355225.293529425</v>
      </c>
      <c r="CZ61" s="533">
        <v>1347066.8456793358</v>
      </c>
      <c r="DA61" s="533">
        <v>1337575.1882112366</v>
      </c>
      <c r="DB61" s="534">
        <v>1290068.1048503355</v>
      </c>
      <c r="DC61" s="533">
        <v>1308970.5420305035</v>
      </c>
      <c r="DD61" s="479">
        <v>1312688.1238438613</v>
      </c>
      <c r="DE61" s="479">
        <v>1301376.0418920221</v>
      </c>
      <c r="DF61" s="479">
        <v>1281129.7530766272</v>
      </c>
      <c r="DG61" s="479">
        <v>1268393.3452357026</v>
      </c>
      <c r="DH61" s="479">
        <v>1249180.0291499454</v>
      </c>
      <c r="DI61" s="479">
        <v>1238084.4632683732</v>
      </c>
      <c r="DJ61" s="479">
        <v>1328751.9980633983</v>
      </c>
      <c r="DK61" s="479">
        <v>1361867.4050797466</v>
      </c>
      <c r="DL61" s="479">
        <v>1337655.281175521</v>
      </c>
      <c r="DM61" s="479">
        <v>1362220.911190582</v>
      </c>
      <c r="DN61" s="479">
        <v>1382301.4725304293</v>
      </c>
      <c r="DO61" s="479">
        <v>1385494.9291401999</v>
      </c>
      <c r="DP61" s="479">
        <v>1504433.5622270345</v>
      </c>
      <c r="DQ61" s="479">
        <v>1495169.4640272954</v>
      </c>
      <c r="DR61" s="479">
        <v>1433350.3345059589</v>
      </c>
      <c r="DS61" s="479">
        <v>1392360.906686374</v>
      </c>
      <c r="DT61" s="479">
        <v>1390788.6693672752</v>
      </c>
      <c r="DU61" s="479">
        <v>1375021.8172720678</v>
      </c>
      <c r="DV61" s="479">
        <v>1388850.2532683974</v>
      </c>
      <c r="DW61" s="479">
        <v>1387145.420071166</v>
      </c>
      <c r="DX61" s="479">
        <v>1388738.6579571099</v>
      </c>
      <c r="DY61" s="479">
        <v>1411260.1133658329</v>
      </c>
      <c r="DZ61" s="479">
        <v>1451882.4582410583</v>
      </c>
      <c r="EA61" s="479">
        <v>1498510.6753533166</v>
      </c>
      <c r="EB61" s="479">
        <v>1386006.3822203174</v>
      </c>
      <c r="EC61" s="479">
        <v>1345054.1494204612</v>
      </c>
    </row>
    <row r="62" spans="1:133" ht="17.25" customHeight="1" thickBot="1" x14ac:dyDescent="0.3">
      <c r="A62" s="592"/>
      <c r="B62" s="506"/>
      <c r="C62" s="509"/>
      <c r="D62" s="509"/>
      <c r="E62" s="509"/>
      <c r="F62" s="566"/>
      <c r="G62" s="509"/>
      <c r="H62" s="567"/>
      <c r="I62" s="509"/>
      <c r="J62" s="509"/>
      <c r="K62" s="509"/>
      <c r="L62" s="509"/>
      <c r="M62" s="566"/>
      <c r="N62" s="509"/>
      <c r="O62" s="509"/>
      <c r="P62" s="509"/>
      <c r="Q62" s="509"/>
      <c r="R62" s="509"/>
      <c r="S62" s="509"/>
      <c r="T62" s="509"/>
      <c r="U62" s="509"/>
      <c r="V62" s="509"/>
      <c r="W62" s="509"/>
      <c r="X62" s="509"/>
      <c r="Y62" s="509"/>
      <c r="Z62" s="509"/>
      <c r="AA62" s="509"/>
      <c r="AB62" s="509"/>
      <c r="AC62" s="509"/>
      <c r="AD62" s="509"/>
      <c r="AE62" s="507"/>
      <c r="AF62" s="507"/>
      <c r="AG62" s="508"/>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66"/>
      <c r="DC62" s="509"/>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row>
    <row r="63" spans="1:133" ht="15.75" thickTop="1" x14ac:dyDescent="0.25">
      <c r="A63" s="259" t="s">
        <v>239</v>
      </c>
      <c r="B63" s="431"/>
      <c r="C63" s="431"/>
      <c r="D63" s="431"/>
      <c r="E63" s="431"/>
      <c r="F63" s="431"/>
      <c r="G63" s="431"/>
      <c r="H63" s="431"/>
      <c r="I63" s="431"/>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row>
    <row r="64" spans="1:133" ht="18" hidden="1" x14ac:dyDescent="0.25">
      <c r="A64" s="593" t="s">
        <v>474</v>
      </c>
      <c r="B64" s="583"/>
      <c r="C64" s="583"/>
      <c r="D64" s="583"/>
      <c r="E64" s="583"/>
      <c r="F64" s="583"/>
      <c r="G64" s="583"/>
      <c r="H64" s="583"/>
      <c r="I64" s="583"/>
    </row>
    <row r="65" spans="1:106" s="172" customFormat="1" ht="18" x14ac:dyDescent="0.25">
      <c r="A65" s="255" t="s">
        <v>475</v>
      </c>
      <c r="B65" s="431"/>
      <c r="C65" s="431"/>
      <c r="D65" s="431"/>
      <c r="E65" s="431"/>
      <c r="F65" s="431"/>
      <c r="G65" s="431"/>
      <c r="H65" s="431"/>
      <c r="I65" s="431"/>
    </row>
    <row r="66" spans="1:106" x14ac:dyDescent="0.25">
      <c r="A66" s="259" t="s">
        <v>179</v>
      </c>
      <c r="B66" s="431"/>
      <c r="C66" s="431"/>
      <c r="D66" s="431"/>
      <c r="E66" s="431"/>
      <c r="F66" s="431"/>
      <c r="G66" s="431"/>
      <c r="H66" s="431"/>
      <c r="I66" s="431"/>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row>
    <row r="67" spans="1:106" hidden="1" x14ac:dyDescent="0.25">
      <c r="C67" s="568">
        <f>[41]Sheet1!$C$463/1000000</f>
        <v>471311.5679274908</v>
      </c>
      <c r="D67" s="568">
        <f>[42]Sheet1!$C$434/1000000</f>
        <v>458405.79968156898</v>
      </c>
      <c r="E67" s="568">
        <f>[43]Sheet1!$C$434/1000000</f>
        <v>471368.36615860107</v>
      </c>
      <c r="F67" s="568">
        <f>[44]Sheet1!$C$434/1000000</f>
        <v>487597.2123353596</v>
      </c>
      <c r="G67" s="568">
        <f>[45]Sheet1!$C$434/1000000</f>
        <v>490699.53379873774</v>
      </c>
      <c r="H67" s="568">
        <f>[46]Sheet1!$C$434/1000000</f>
        <v>509422.04600647342</v>
      </c>
      <c r="I67" s="568">
        <f>[47]Sheet1!$C$434/1000000</f>
        <v>496790.44643390825</v>
      </c>
      <c r="J67" s="568">
        <f>[48]Sheet1!$C$434/1000000</f>
        <v>506831.09065121826</v>
      </c>
      <c r="K67" s="568">
        <f>[49]Sheet1!$C$434/1000000</f>
        <v>536189.32489552046</v>
      </c>
      <c r="L67" s="568">
        <f>[50]Sheet1!$C$434/1000000</f>
        <v>539946.71596831852</v>
      </c>
      <c r="M67" s="568">
        <f>[51]Sheet1!$C$434/1000000</f>
        <v>536591.3487168093</v>
      </c>
      <c r="N67" s="568">
        <f>[52]Sheet1!$C$434/1000000</f>
        <v>565086.18997894798</v>
      </c>
      <c r="O67" s="568">
        <f>[53]Sheet1!$C$434/1000000</f>
        <v>553754.69138210919</v>
      </c>
      <c r="P67" s="568">
        <f>[54]Sheet1!$C$434/1000000</f>
        <v>563618.70850807615</v>
      </c>
      <c r="Q67" s="568">
        <f>[55]Sheet1!$C$434/1000000</f>
        <v>575394.00688601425</v>
      </c>
      <c r="R67" s="568">
        <f>[56]Sheet1!$C$434/1000000</f>
        <v>605259.06121091812</v>
      </c>
      <c r="S67" s="568">
        <f>[57]Sheet1!$C$434/1000000</f>
        <v>608440.06009224232</v>
      </c>
      <c r="T67" s="568">
        <f>[58]Sheet1!$C$434/1000000</f>
        <v>637096.64951658109</v>
      </c>
      <c r="U67" s="568">
        <f>[59]Sheet1!$C$434/1000000</f>
        <v>661145.88945898088</v>
      </c>
      <c r="V67" s="568">
        <f>[60]Sheet1!$C$434/1000000</f>
        <v>633159.18726829975</v>
      </c>
      <c r="W67" s="568">
        <f>[61]Sheet1!$C$434/1000000</f>
        <v>636947.78126271733</v>
      </c>
      <c r="X67" s="568">
        <f>[62]Sheet1!$C$434/1000000</f>
        <v>655844.07052967488</v>
      </c>
      <c r="Y67" s="568">
        <f>[63]Sheet1!$C$434/1000000</f>
        <v>662667.18795217038</v>
      </c>
      <c r="Z67" s="568">
        <f>[64]Sheet1!$C$434/1000000</f>
        <v>664628.03592557285</v>
      </c>
      <c r="AA67" s="568">
        <f>[65]Sheet1!$C$434/1000000</f>
        <v>695845.12316660339</v>
      </c>
      <c r="AB67" s="568">
        <f>[66]Sheet1!$C$434/1000000</f>
        <v>714781.22866503731</v>
      </c>
      <c r="AC67" s="568">
        <f>[67]Sheet1!$C$434/1000000</f>
        <v>729675.19286569406</v>
      </c>
      <c r="AD67" s="568">
        <f>[68]Sheet1!$C$434/1000000</f>
        <v>737089.28856431856</v>
      </c>
      <c r="AE67" s="568">
        <f>[69]Sheet1!$C$434/1000000</f>
        <v>740351.71166967147</v>
      </c>
      <c r="AF67" s="568">
        <f>[70]Sheet1!$C$434/1000000</f>
        <v>780083.3295103102</v>
      </c>
      <c r="AG67" s="568">
        <f>[71]Sheet1!$C$434/1000000</f>
        <v>758266.41427892959</v>
      </c>
      <c r="AH67" s="568">
        <f>[72]Sheet1!$C$434/1000000</f>
        <v>788136.06321314152</v>
      </c>
      <c r="AI67" s="568">
        <f>[73]Sheet1!$C$434/1000000</f>
        <v>784205.44569628581</v>
      </c>
    </row>
    <row r="68" spans="1:106" hidden="1" x14ac:dyDescent="0.25">
      <c r="C68" s="568">
        <f t="shared" ref="C68:BN68" si="2">C61-C28</f>
        <v>3.2648677006363869E-7</v>
      </c>
      <c r="D68" s="568">
        <f t="shared" si="2"/>
        <v>7.0374691858887672E-5</v>
      </c>
      <c r="E68" s="568">
        <f t="shared" si="2"/>
        <v>-1.6628880985081196E-5</v>
      </c>
      <c r="F68" s="568">
        <f t="shared" si="2"/>
        <v>6.1962055042386055E-7</v>
      </c>
      <c r="G68" s="568">
        <f t="shared" si="2"/>
        <v>4.8674759455025196E-5</v>
      </c>
      <c r="H68" s="568">
        <f t="shared" si="2"/>
        <v>9.643088560551405E-6</v>
      </c>
      <c r="I68" s="568">
        <f t="shared" si="2"/>
        <v>-1.0558869689702988E-7</v>
      </c>
      <c r="J68" s="568">
        <f t="shared" si="2"/>
        <v>-2.2968742996454239E-7</v>
      </c>
      <c r="K68" s="568">
        <f t="shared" si="2"/>
        <v>7.6717697083950043E-7</v>
      </c>
      <c r="L68" s="568">
        <f t="shared" si="2"/>
        <v>-5.1886308938264847E-7</v>
      </c>
      <c r="M68" s="568">
        <f t="shared" si="2"/>
        <v>-2.3026135750114918E-5</v>
      </c>
      <c r="N68" s="568">
        <f t="shared" si="2"/>
        <v>-3.5408383700996637E-4</v>
      </c>
      <c r="O68" s="568">
        <f t="shared" si="2"/>
        <v>-5.1169190555810928E-6</v>
      </c>
      <c r="P68" s="568">
        <f t="shared" si="2"/>
        <v>-6.2307692132890224E-5</v>
      </c>
      <c r="Q68" s="568">
        <f t="shared" si="2"/>
        <v>-1.3825111091136932E-4</v>
      </c>
      <c r="R68" s="568">
        <f t="shared" si="2"/>
        <v>-2.8288224712014198E-5</v>
      </c>
      <c r="S68" s="568">
        <f t="shared" si="2"/>
        <v>-5.0530652515590191E-5</v>
      </c>
      <c r="T68" s="568">
        <f t="shared" si="2"/>
        <v>4.1076913475990295E-5</v>
      </c>
      <c r="U68" s="568">
        <f t="shared" si="2"/>
        <v>-1.3550627045333385E-5</v>
      </c>
      <c r="V68" s="568">
        <f t="shared" si="2"/>
        <v>-7.4590672738850117E-5</v>
      </c>
      <c r="W68" s="568">
        <f t="shared" si="2"/>
        <v>-6.788596510887146E-5</v>
      </c>
      <c r="X68" s="568">
        <f t="shared" si="2"/>
        <v>-6.5941829234361649E-5</v>
      </c>
      <c r="Y68" s="568">
        <f t="shared" si="2"/>
        <v>-6.6578853875398636E-5</v>
      </c>
      <c r="Z68" s="568">
        <f t="shared" si="2"/>
        <v>-3.3760443329811096E-8</v>
      </c>
      <c r="AA68" s="568">
        <f t="shared" si="2"/>
        <v>6.206100806593895E-7</v>
      </c>
      <c r="AB68" s="568">
        <f t="shared" si="2"/>
        <v>-5.2418326959013939E-6</v>
      </c>
      <c r="AC68" s="568">
        <f t="shared" si="2"/>
        <v>-1.1103693395853043E-6</v>
      </c>
      <c r="AD68" s="568">
        <f t="shared" si="2"/>
        <v>-6.0594175010919571E-7</v>
      </c>
      <c r="AE68" s="568">
        <f t="shared" si="2"/>
        <v>-5.2724499255418777E-7</v>
      </c>
      <c r="AF68" s="568">
        <f t="shared" si="2"/>
        <v>-1.4184042811393738E-6</v>
      </c>
      <c r="AG68" s="568">
        <f t="shared" si="2"/>
        <v>-7.5576826930046082E-7</v>
      </c>
      <c r="AH68" s="568">
        <f t="shared" si="2"/>
        <v>-2.2533349692821503E-6</v>
      </c>
      <c r="AI68" s="568">
        <f t="shared" si="2"/>
        <v>-1.841341145336628E-6</v>
      </c>
      <c r="AJ68" s="568">
        <f t="shared" si="2"/>
        <v>-1.0981457307934761E-6</v>
      </c>
      <c r="AK68" s="568">
        <f t="shared" si="2"/>
        <v>-1.6111880540847778E-6</v>
      </c>
      <c r="AL68" s="568">
        <f t="shared" si="2"/>
        <v>-2.8299400582909584E-6</v>
      </c>
      <c r="AM68" s="568">
        <f t="shared" si="2"/>
        <v>-8.3458144217729568E-7</v>
      </c>
      <c r="AN68" s="568">
        <f t="shared" si="2"/>
        <v>-2.5278422981500626E-6</v>
      </c>
      <c r="AO68" s="568">
        <f t="shared" si="2"/>
        <v>-1.271604560315609E-6</v>
      </c>
      <c r="AP68" s="568">
        <f t="shared" si="2"/>
        <v>-4.2984029278159142E-6</v>
      </c>
      <c r="AQ68" s="568">
        <f t="shared" si="2"/>
        <v>-2.8738286346197128E-6</v>
      </c>
      <c r="AR68" s="568">
        <f t="shared" si="2"/>
        <v>-1.884065568447113E-6</v>
      </c>
      <c r="AS68" s="568">
        <f t="shared" si="2"/>
        <v>-5.4610427469015121E-7</v>
      </c>
      <c r="AT68" s="568">
        <f t="shared" si="2"/>
        <v>-6.3015613704919815E-7</v>
      </c>
      <c r="AU68" s="568">
        <f t="shared" si="2"/>
        <v>4.1036400943994522E-7</v>
      </c>
      <c r="AV68" s="568">
        <f t="shared" si="2"/>
        <v>-3.4307246096432209E-5</v>
      </c>
      <c r="AW68" s="568">
        <f t="shared" si="2"/>
        <v>-1.3932585716247559E-6</v>
      </c>
      <c r="AX68" s="568">
        <f t="shared" si="2"/>
        <v>1.2400560081005096E-6</v>
      </c>
      <c r="AY68" s="568">
        <f t="shared" si="2"/>
        <v>-2.3397151380777359E-6</v>
      </c>
      <c r="AZ68" s="568">
        <f t="shared" si="2"/>
        <v>-8.7625812739133835E-7</v>
      </c>
      <c r="BA68" s="568">
        <f t="shared" si="2"/>
        <v>-9.64384526014328E-7</v>
      </c>
      <c r="BB68" s="568">
        <f t="shared" si="2"/>
        <v>7.9267192631959915E-7</v>
      </c>
      <c r="BC68" s="568">
        <f t="shared" si="2"/>
        <v>-2.059456892311573E-5</v>
      </c>
      <c r="BD68" s="568">
        <f t="shared" si="2"/>
        <v>-1.5756813809275627E-6</v>
      </c>
      <c r="BE68" s="568">
        <f t="shared" si="2"/>
        <v>-7.4889976531267166E-7</v>
      </c>
      <c r="BF68" s="568">
        <f t="shared" si="2"/>
        <v>-6.4400956034660339E-7</v>
      </c>
      <c r="BG68" s="568">
        <f t="shared" si="2"/>
        <v>-5.4878182709217072E-7</v>
      </c>
      <c r="BH68" s="568">
        <f t="shared" si="2"/>
        <v>1.4562392607331276E-6</v>
      </c>
      <c r="BI68" s="568">
        <f t="shared" si="2"/>
        <v>-1.3735843822360039E-6</v>
      </c>
      <c r="BJ68" s="568">
        <f t="shared" si="2"/>
        <v>6.4726918935775757E-8</v>
      </c>
      <c r="BK68" s="568">
        <f t="shared" si="2"/>
        <v>-2.0030653104186058E-5</v>
      </c>
      <c r="BL68" s="568">
        <f t="shared" si="2"/>
        <v>-2.1148822270333767E-5</v>
      </c>
      <c r="BM68" s="568">
        <f t="shared" si="2"/>
        <v>-2.0408886484801769E-5</v>
      </c>
      <c r="BN68" s="568">
        <f t="shared" si="2"/>
        <v>-1.9902829080820084E-5</v>
      </c>
      <c r="BO68" s="568">
        <f t="shared" ref="BO68:CX68" si="3">BO61-BO28</f>
        <v>-2.06709373742342E-5</v>
      </c>
      <c r="BP68" s="568">
        <f t="shared" si="3"/>
        <v>-2.3350352421402931E-5</v>
      </c>
      <c r="BQ68" s="568">
        <f t="shared" si="3"/>
        <v>-2.1002953872084618E-5</v>
      </c>
      <c r="BR68" s="568">
        <f t="shared" si="3"/>
        <v>-2.1791085600852966E-5</v>
      </c>
      <c r="BS68" s="568">
        <f t="shared" si="3"/>
        <v>-2.2942200303077698E-5</v>
      </c>
      <c r="BT68" s="568">
        <f t="shared" si="3"/>
        <v>-2.0303530618548393E-5</v>
      </c>
      <c r="BU68" s="568">
        <f t="shared" si="3"/>
        <v>-2.3498665541410446E-5</v>
      </c>
      <c r="BV68" s="568">
        <f t="shared" si="3"/>
        <v>-1.9518425688147545E-5</v>
      </c>
      <c r="BW68" s="568">
        <f t="shared" si="3"/>
        <v>-5.4663047194480896E-5</v>
      </c>
      <c r="BX68" s="568">
        <f t="shared" si="3"/>
        <v>-2.3049302399158478E-5</v>
      </c>
      <c r="BY68" s="568">
        <f t="shared" si="3"/>
        <v>-2.0994571968913078E-5</v>
      </c>
      <c r="BZ68" s="568">
        <f t="shared" si="3"/>
        <v>-2.1663960069417953E-5</v>
      </c>
      <c r="CA68" s="568">
        <f t="shared" si="3"/>
        <v>-2.3233471438288689E-5</v>
      </c>
      <c r="CB68" s="568">
        <f t="shared" si="3"/>
        <v>-2.2876542061567307E-5</v>
      </c>
      <c r="CC68" s="568">
        <f t="shared" si="3"/>
        <v>-2.1460233256220818E-5</v>
      </c>
      <c r="CD68" s="568">
        <f t="shared" si="3"/>
        <v>-2.0967796444892883E-5</v>
      </c>
      <c r="CE68" s="568">
        <f t="shared" si="3"/>
        <v>-2.0710751414299011E-5</v>
      </c>
      <c r="CF68" s="568">
        <f t="shared" si="3"/>
        <v>-2.2827647626399994E-5</v>
      </c>
      <c r="CG68" s="568">
        <f t="shared" si="3"/>
        <v>-2.1233456209301949E-5</v>
      </c>
      <c r="CH68" s="568">
        <f t="shared" si="3"/>
        <v>-2.2481661289930344E-5</v>
      </c>
      <c r="CI68" s="568">
        <f t="shared" si="3"/>
        <v>3.2549723982810974E-7</v>
      </c>
      <c r="CJ68" s="568">
        <f t="shared" si="3"/>
        <v>-3.3751130104064941E-6</v>
      </c>
      <c r="CK68" s="568">
        <f t="shared" si="3"/>
        <v>-1.3874378055334091E-6</v>
      </c>
      <c r="CL68" s="568">
        <f t="shared" si="3"/>
        <v>-1.7383135855197906E-6</v>
      </c>
      <c r="CM68" s="568">
        <f t="shared" si="3"/>
        <v>-2.7026981115341187E-6</v>
      </c>
      <c r="CN68" s="568">
        <f t="shared" si="3"/>
        <v>-1.7329584807157516E-6</v>
      </c>
      <c r="CO68" s="568">
        <f t="shared" si="3"/>
        <v>-1.2656673789024353E-6</v>
      </c>
      <c r="CP68" s="568">
        <f t="shared" si="3"/>
        <v>4.0745362639427185E-8</v>
      </c>
      <c r="CQ68" s="568">
        <f t="shared" si="3"/>
        <v>1.51083804666996E-6</v>
      </c>
      <c r="CR68" s="568">
        <f t="shared" si="3"/>
        <v>1.5250407159328461E-7</v>
      </c>
      <c r="CS68" s="568">
        <f t="shared" si="3"/>
        <v>-2.0796433091163635E-6</v>
      </c>
      <c r="CT68" s="568">
        <f t="shared" si="3"/>
        <v>-1.8812716007232666E-6</v>
      </c>
      <c r="CU68" s="568">
        <f t="shared" si="3"/>
        <v>-1.0416842997074127E-6</v>
      </c>
      <c r="CV68" s="568">
        <f t="shared" si="3"/>
        <v>-7.8650191426277161E-7</v>
      </c>
      <c r="CW68" s="568">
        <f t="shared" si="3"/>
        <v>-7.6438300311565399E-7</v>
      </c>
      <c r="CX68" s="568">
        <f t="shared" si="3"/>
        <v>-1.3222452253103256E-6</v>
      </c>
      <c r="CY68" s="568"/>
      <c r="CZ68" s="568"/>
      <c r="DA68" s="568"/>
      <c r="DB68" s="568"/>
    </row>
    <row r="70" spans="1:106" x14ac:dyDescent="0.25">
      <c r="C70" s="594"/>
      <c r="D70" s="594"/>
      <c r="E70" s="594"/>
      <c r="F70" s="594"/>
      <c r="G70" s="594"/>
      <c r="H70" s="594"/>
      <c r="I70" s="594"/>
      <c r="J70" s="594"/>
      <c r="K70" s="594"/>
      <c r="L70" s="594"/>
      <c r="M70" s="594"/>
      <c r="N70" s="594"/>
      <c r="O70" s="594"/>
      <c r="P70" s="594"/>
      <c r="Q70" s="594"/>
      <c r="R70" s="594"/>
      <c r="S70" s="594"/>
      <c r="T70" s="594"/>
      <c r="U70" s="594"/>
      <c r="V70" s="594"/>
    </row>
    <row r="71" spans="1:106" x14ac:dyDescent="0.25">
      <c r="C71" s="594"/>
      <c r="D71" s="594"/>
      <c r="E71" s="594"/>
      <c r="F71" s="594"/>
      <c r="G71" s="594"/>
      <c r="H71" s="594"/>
      <c r="I71" s="594"/>
      <c r="J71" s="594"/>
      <c r="K71" s="594"/>
      <c r="L71" s="594"/>
      <c r="M71" s="594"/>
      <c r="N71" s="594"/>
      <c r="O71" s="594"/>
      <c r="P71" s="594"/>
      <c r="Q71" s="594"/>
      <c r="R71" s="594"/>
      <c r="S71" s="594"/>
      <c r="T71" s="594"/>
      <c r="U71" s="594"/>
      <c r="V71" s="594"/>
    </row>
    <row r="72" spans="1:106" x14ac:dyDescent="0.25">
      <c r="C72" s="594"/>
      <c r="D72" s="594"/>
      <c r="E72" s="594"/>
      <c r="F72" s="594"/>
      <c r="G72" s="594"/>
      <c r="H72" s="594"/>
      <c r="I72" s="594"/>
      <c r="J72" s="594"/>
      <c r="K72" s="594"/>
      <c r="L72" s="594"/>
      <c r="M72" s="594"/>
      <c r="N72" s="594"/>
      <c r="O72" s="594"/>
      <c r="P72" s="594"/>
      <c r="Q72" s="594"/>
      <c r="R72" s="594"/>
      <c r="S72" s="594"/>
      <c r="T72" s="594"/>
      <c r="U72" s="594"/>
      <c r="V72" s="594"/>
    </row>
    <row r="73" spans="1:106" x14ac:dyDescent="0.25">
      <c r="C73" s="594"/>
      <c r="D73" s="594"/>
      <c r="E73" s="594"/>
      <c r="F73" s="594"/>
      <c r="G73" s="594"/>
      <c r="H73" s="594"/>
      <c r="I73" s="594"/>
      <c r="J73" s="594"/>
      <c r="K73" s="594"/>
      <c r="L73" s="594"/>
      <c r="M73" s="594"/>
      <c r="N73" s="594"/>
      <c r="O73" s="594"/>
      <c r="P73" s="594"/>
      <c r="Q73" s="594"/>
      <c r="R73" s="594"/>
      <c r="S73" s="594"/>
      <c r="T73" s="594"/>
      <c r="U73" s="594"/>
      <c r="V73" s="594"/>
    </row>
    <row r="74" spans="1:106" x14ac:dyDescent="0.25">
      <c r="C74" s="594"/>
      <c r="D74" s="594"/>
      <c r="E74" s="594"/>
      <c r="F74" s="594"/>
      <c r="G74" s="594"/>
      <c r="H74" s="594"/>
      <c r="I74" s="594"/>
      <c r="J74" s="594"/>
      <c r="K74" s="594"/>
      <c r="L74" s="594"/>
      <c r="M74" s="594"/>
      <c r="N74" s="594"/>
      <c r="O74" s="594"/>
      <c r="P74" s="594"/>
      <c r="Q74" s="594"/>
      <c r="R74" s="594"/>
      <c r="S74" s="594"/>
      <c r="T74" s="594"/>
      <c r="U74" s="594"/>
      <c r="V74" s="594"/>
    </row>
    <row r="75" spans="1:106" x14ac:dyDescent="0.25">
      <c r="C75" s="594"/>
      <c r="D75" s="594"/>
      <c r="E75" s="594"/>
      <c r="F75" s="594"/>
      <c r="G75" s="594"/>
      <c r="H75" s="594"/>
      <c r="I75" s="594"/>
      <c r="J75" s="594"/>
      <c r="K75" s="594"/>
      <c r="L75" s="594"/>
      <c r="M75" s="594"/>
      <c r="N75" s="594"/>
      <c r="O75" s="594"/>
      <c r="P75" s="594"/>
      <c r="Q75" s="594"/>
      <c r="R75" s="594"/>
      <c r="S75" s="594"/>
      <c r="T75" s="594"/>
      <c r="U75" s="594"/>
      <c r="V75" s="594"/>
    </row>
    <row r="76" spans="1:106" x14ac:dyDescent="0.25">
      <c r="C76" s="594"/>
      <c r="D76" s="594"/>
      <c r="E76" s="594"/>
      <c r="F76" s="594"/>
      <c r="G76" s="594"/>
      <c r="H76" s="594"/>
      <c r="I76" s="594"/>
      <c r="J76" s="594"/>
      <c r="K76" s="594"/>
      <c r="L76" s="594"/>
      <c r="M76" s="594"/>
      <c r="N76" s="594"/>
      <c r="O76" s="594"/>
      <c r="P76" s="594"/>
      <c r="Q76" s="594"/>
      <c r="R76" s="594"/>
      <c r="S76" s="594"/>
      <c r="T76" s="594"/>
      <c r="U76" s="594"/>
      <c r="V76" s="594"/>
    </row>
    <row r="77" spans="1:106" x14ac:dyDescent="0.25">
      <c r="C77" s="594"/>
      <c r="D77" s="594"/>
      <c r="E77" s="594"/>
      <c r="F77" s="594"/>
      <c r="G77" s="594"/>
      <c r="H77" s="594"/>
      <c r="I77" s="594"/>
      <c r="J77" s="594"/>
      <c r="K77" s="594"/>
      <c r="L77" s="594"/>
      <c r="M77" s="594"/>
      <c r="N77" s="594"/>
      <c r="O77" s="594"/>
      <c r="P77" s="594"/>
      <c r="Q77" s="594"/>
      <c r="R77" s="594"/>
      <c r="S77" s="594"/>
      <c r="T77" s="594"/>
      <c r="U77" s="594"/>
      <c r="V77" s="594"/>
    </row>
    <row r="78" spans="1:106" x14ac:dyDescent="0.25">
      <c r="C78" s="594"/>
      <c r="D78" s="594"/>
      <c r="E78" s="594"/>
      <c r="F78" s="594"/>
      <c r="G78" s="594"/>
      <c r="H78" s="594"/>
      <c r="I78" s="594"/>
      <c r="J78" s="594"/>
      <c r="K78" s="594"/>
      <c r="L78" s="594"/>
      <c r="M78" s="594"/>
      <c r="N78" s="594"/>
      <c r="O78" s="594"/>
      <c r="P78" s="594"/>
      <c r="Q78" s="594"/>
      <c r="R78" s="594"/>
      <c r="S78" s="594"/>
      <c r="T78" s="594"/>
      <c r="U78" s="594"/>
      <c r="V78" s="594"/>
    </row>
    <row r="79" spans="1:106" x14ac:dyDescent="0.25">
      <c r="C79" s="594"/>
      <c r="D79" s="594"/>
      <c r="E79" s="594"/>
      <c r="F79" s="594"/>
      <c r="G79" s="594"/>
      <c r="H79" s="594"/>
      <c r="I79" s="594"/>
      <c r="J79" s="594"/>
      <c r="K79" s="594"/>
      <c r="L79" s="594"/>
      <c r="M79" s="594"/>
      <c r="N79" s="594"/>
      <c r="O79" s="594"/>
      <c r="P79" s="594"/>
      <c r="Q79" s="594"/>
      <c r="R79" s="594"/>
      <c r="S79" s="594"/>
      <c r="T79" s="594"/>
      <c r="U79" s="594"/>
      <c r="V79" s="594"/>
    </row>
    <row r="80" spans="1:106" x14ac:dyDescent="0.25">
      <c r="C80" s="594"/>
      <c r="D80" s="594"/>
      <c r="E80" s="594"/>
      <c r="F80" s="594"/>
      <c r="G80" s="594"/>
      <c r="H80" s="594"/>
      <c r="I80" s="594"/>
      <c r="J80" s="594"/>
      <c r="K80" s="594"/>
      <c r="L80" s="594"/>
      <c r="M80" s="594"/>
      <c r="N80" s="594"/>
      <c r="O80" s="594"/>
      <c r="P80" s="594"/>
      <c r="Q80" s="594"/>
      <c r="R80" s="594"/>
      <c r="S80" s="594"/>
      <c r="T80" s="594"/>
      <c r="U80" s="594"/>
      <c r="V80" s="594"/>
    </row>
    <row r="81" spans="3:22" x14ac:dyDescent="0.25">
      <c r="C81" s="594"/>
      <c r="D81" s="594"/>
      <c r="E81" s="594"/>
      <c r="F81" s="594"/>
      <c r="G81" s="594"/>
      <c r="H81" s="594"/>
      <c r="I81" s="594"/>
      <c r="J81" s="594"/>
      <c r="K81" s="594"/>
      <c r="L81" s="594"/>
      <c r="M81" s="594"/>
      <c r="N81" s="594"/>
      <c r="O81" s="594"/>
      <c r="P81" s="594"/>
      <c r="Q81" s="594"/>
      <c r="R81" s="594"/>
      <c r="S81" s="594"/>
      <c r="T81" s="594"/>
      <c r="U81" s="594"/>
      <c r="V81" s="594"/>
    </row>
    <row r="82" spans="3:22" x14ac:dyDescent="0.25">
      <c r="C82" s="594"/>
      <c r="D82" s="594"/>
      <c r="E82" s="594"/>
      <c r="F82" s="594"/>
      <c r="G82" s="594"/>
      <c r="H82" s="594"/>
      <c r="I82" s="594"/>
      <c r="J82" s="594"/>
      <c r="K82" s="594"/>
      <c r="L82" s="594"/>
      <c r="M82" s="594"/>
      <c r="N82" s="594"/>
      <c r="O82" s="594"/>
      <c r="P82" s="594"/>
      <c r="Q82" s="594"/>
      <c r="R82" s="594"/>
      <c r="S82" s="594"/>
      <c r="T82" s="594"/>
      <c r="U82" s="594"/>
      <c r="V82" s="594"/>
    </row>
    <row r="83" spans="3:22" x14ac:dyDescent="0.25">
      <c r="C83" s="594"/>
      <c r="D83" s="594"/>
      <c r="E83" s="594"/>
      <c r="F83" s="594"/>
      <c r="G83" s="594"/>
      <c r="H83" s="594"/>
      <c r="I83" s="594"/>
      <c r="J83" s="594"/>
      <c r="K83" s="594"/>
      <c r="L83" s="594"/>
      <c r="M83" s="594"/>
      <c r="N83" s="594"/>
      <c r="O83" s="594"/>
      <c r="P83" s="594"/>
      <c r="Q83" s="594"/>
      <c r="R83" s="594"/>
      <c r="S83" s="594"/>
      <c r="T83" s="594"/>
      <c r="U83" s="594"/>
      <c r="V83" s="594"/>
    </row>
    <row r="84" spans="3:22" x14ac:dyDescent="0.25">
      <c r="C84" s="594"/>
      <c r="D84" s="594"/>
      <c r="E84" s="594"/>
      <c r="F84" s="594"/>
      <c r="G84" s="594"/>
      <c r="H84" s="594"/>
      <c r="I84" s="594"/>
      <c r="J84" s="594"/>
      <c r="K84" s="594"/>
      <c r="L84" s="594"/>
      <c r="M84" s="594"/>
      <c r="N84" s="594"/>
      <c r="O84" s="594"/>
      <c r="P84" s="594"/>
      <c r="Q84" s="594"/>
      <c r="R84" s="594"/>
      <c r="S84" s="594"/>
      <c r="T84" s="594"/>
      <c r="U84" s="594"/>
      <c r="V84" s="594"/>
    </row>
    <row r="85" spans="3:22" x14ac:dyDescent="0.25">
      <c r="C85" s="594"/>
      <c r="D85" s="594"/>
      <c r="E85" s="594"/>
      <c r="F85" s="594"/>
      <c r="G85" s="594"/>
      <c r="H85" s="594"/>
      <c r="I85" s="594"/>
      <c r="J85" s="594"/>
      <c r="K85" s="594"/>
      <c r="L85" s="594"/>
      <c r="M85" s="594"/>
      <c r="N85" s="594"/>
      <c r="O85" s="594"/>
      <c r="P85" s="594"/>
      <c r="Q85" s="594"/>
      <c r="R85" s="594"/>
      <c r="S85" s="594"/>
      <c r="T85" s="594"/>
      <c r="U85" s="594"/>
      <c r="V85" s="594"/>
    </row>
    <row r="86" spans="3:22" x14ac:dyDescent="0.25">
      <c r="C86" s="594"/>
      <c r="D86" s="594"/>
      <c r="E86" s="594"/>
      <c r="F86" s="594"/>
      <c r="G86" s="594"/>
      <c r="H86" s="594"/>
      <c r="I86" s="594"/>
      <c r="J86" s="594"/>
      <c r="K86" s="594"/>
      <c r="L86" s="594"/>
      <c r="M86" s="594"/>
      <c r="N86" s="594"/>
      <c r="O86" s="594"/>
      <c r="P86" s="594"/>
      <c r="Q86" s="594"/>
      <c r="R86" s="594"/>
      <c r="S86" s="594"/>
      <c r="T86" s="594"/>
      <c r="U86" s="594"/>
      <c r="V86" s="594"/>
    </row>
    <row r="87" spans="3:22" x14ac:dyDescent="0.25">
      <c r="C87" s="594"/>
      <c r="D87" s="594"/>
      <c r="E87" s="594"/>
      <c r="F87" s="594"/>
      <c r="G87" s="594"/>
      <c r="H87" s="594"/>
      <c r="I87" s="594"/>
      <c r="J87" s="594"/>
      <c r="K87" s="594"/>
      <c r="L87" s="594"/>
      <c r="M87" s="594"/>
      <c r="N87" s="594"/>
      <c r="O87" s="594"/>
      <c r="P87" s="594"/>
      <c r="Q87" s="594"/>
      <c r="R87" s="594"/>
      <c r="S87" s="594"/>
      <c r="T87" s="594"/>
      <c r="U87" s="594"/>
      <c r="V87" s="594"/>
    </row>
    <row r="88" spans="3:22" x14ac:dyDescent="0.25">
      <c r="C88" s="594"/>
      <c r="D88" s="594"/>
      <c r="E88" s="594"/>
      <c r="F88" s="594"/>
      <c r="G88" s="594"/>
      <c r="H88" s="594"/>
      <c r="I88" s="594"/>
      <c r="J88" s="594"/>
      <c r="K88" s="594"/>
      <c r="L88" s="594"/>
      <c r="M88" s="594"/>
      <c r="N88" s="594"/>
      <c r="O88" s="594"/>
      <c r="P88" s="594"/>
      <c r="Q88" s="594"/>
      <c r="R88" s="594"/>
      <c r="S88" s="594"/>
      <c r="T88" s="594"/>
      <c r="U88" s="594"/>
      <c r="V88" s="594"/>
    </row>
    <row r="89" spans="3:22" x14ac:dyDescent="0.25">
      <c r="C89" s="594"/>
      <c r="D89" s="594"/>
      <c r="E89" s="594"/>
      <c r="F89" s="594"/>
      <c r="G89" s="594"/>
      <c r="H89" s="594"/>
      <c r="I89" s="594"/>
      <c r="J89" s="594"/>
      <c r="K89" s="594"/>
      <c r="L89" s="594"/>
      <c r="M89" s="594"/>
      <c r="N89" s="594"/>
      <c r="O89" s="594"/>
      <c r="P89" s="594"/>
      <c r="Q89" s="594"/>
      <c r="R89" s="594"/>
      <c r="S89" s="594"/>
      <c r="T89" s="594"/>
      <c r="U89" s="594"/>
      <c r="V89" s="594"/>
    </row>
    <row r="90" spans="3:22" x14ac:dyDescent="0.25">
      <c r="C90" s="594"/>
      <c r="D90" s="594"/>
      <c r="E90" s="594"/>
      <c r="F90" s="594"/>
      <c r="G90" s="594"/>
      <c r="H90" s="594"/>
      <c r="I90" s="594"/>
      <c r="J90" s="594"/>
      <c r="K90" s="594"/>
      <c r="L90" s="594"/>
      <c r="M90" s="594"/>
      <c r="N90" s="594"/>
      <c r="O90" s="594"/>
      <c r="P90" s="594"/>
      <c r="Q90" s="594"/>
      <c r="R90" s="594"/>
      <c r="S90" s="594"/>
      <c r="T90" s="594"/>
      <c r="U90" s="594"/>
      <c r="V90" s="594"/>
    </row>
    <row r="91" spans="3:22" x14ac:dyDescent="0.25">
      <c r="C91" s="594"/>
      <c r="D91" s="594"/>
      <c r="E91" s="594"/>
      <c r="F91" s="594"/>
      <c r="G91" s="594"/>
      <c r="H91" s="594"/>
      <c r="I91" s="594"/>
      <c r="J91" s="594"/>
      <c r="K91" s="594"/>
      <c r="L91" s="594"/>
      <c r="M91" s="594"/>
      <c r="N91" s="594"/>
      <c r="O91" s="594"/>
      <c r="P91" s="594"/>
      <c r="Q91" s="594"/>
      <c r="R91" s="594"/>
      <c r="S91" s="594"/>
      <c r="T91" s="594"/>
      <c r="U91" s="594"/>
      <c r="V91" s="594"/>
    </row>
    <row r="92" spans="3:22" x14ac:dyDescent="0.25">
      <c r="C92" s="594"/>
      <c r="D92" s="594"/>
      <c r="E92" s="594"/>
      <c r="F92" s="594"/>
      <c r="G92" s="594"/>
      <c r="H92" s="594"/>
      <c r="I92" s="594"/>
      <c r="J92" s="594"/>
      <c r="K92" s="594"/>
      <c r="L92" s="594"/>
      <c r="M92" s="594"/>
      <c r="N92" s="594"/>
      <c r="O92" s="594"/>
      <c r="P92" s="594"/>
      <c r="Q92" s="594"/>
      <c r="R92" s="594"/>
      <c r="S92" s="594"/>
      <c r="T92" s="594"/>
      <c r="U92" s="594"/>
      <c r="V92" s="594"/>
    </row>
    <row r="93" spans="3:22" x14ac:dyDescent="0.25">
      <c r="C93" s="594"/>
      <c r="D93" s="594"/>
      <c r="E93" s="594"/>
      <c r="F93" s="594"/>
      <c r="G93" s="594"/>
      <c r="H93" s="594"/>
      <c r="I93" s="594"/>
      <c r="J93" s="594"/>
      <c r="K93" s="594"/>
      <c r="L93" s="594"/>
      <c r="M93" s="594"/>
      <c r="N93" s="594"/>
      <c r="O93" s="594"/>
      <c r="P93" s="594"/>
      <c r="Q93" s="594"/>
      <c r="R93" s="594"/>
      <c r="S93" s="594"/>
      <c r="T93" s="594"/>
      <c r="U93" s="594"/>
      <c r="V93" s="594"/>
    </row>
    <row r="94" spans="3:22" x14ac:dyDescent="0.25">
      <c r="C94" s="594"/>
      <c r="D94" s="594"/>
      <c r="E94" s="594"/>
      <c r="F94" s="594"/>
      <c r="G94" s="594"/>
      <c r="H94" s="594"/>
      <c r="I94" s="594"/>
      <c r="J94" s="594"/>
      <c r="K94" s="594"/>
      <c r="L94" s="594"/>
      <c r="M94" s="594"/>
      <c r="N94" s="594"/>
      <c r="O94" s="594"/>
      <c r="P94" s="594"/>
      <c r="Q94" s="594"/>
      <c r="R94" s="594"/>
      <c r="S94" s="594"/>
      <c r="T94" s="594"/>
      <c r="U94" s="594"/>
      <c r="V94" s="594"/>
    </row>
    <row r="95" spans="3:22" x14ac:dyDescent="0.25">
      <c r="C95" s="594"/>
      <c r="D95" s="594"/>
      <c r="E95" s="594"/>
      <c r="F95" s="594"/>
      <c r="G95" s="594"/>
      <c r="H95" s="594"/>
      <c r="I95" s="594"/>
      <c r="J95" s="594"/>
      <c r="K95" s="594"/>
      <c r="L95" s="594"/>
      <c r="M95" s="594"/>
      <c r="N95" s="594"/>
      <c r="O95" s="594"/>
      <c r="P95" s="594"/>
      <c r="Q95" s="594"/>
      <c r="R95" s="594"/>
      <c r="S95" s="594"/>
      <c r="T95" s="594"/>
      <c r="U95" s="594"/>
      <c r="V95" s="594"/>
    </row>
    <row r="96" spans="3:22" x14ac:dyDescent="0.25">
      <c r="C96" s="594"/>
      <c r="D96" s="594"/>
      <c r="E96" s="594"/>
      <c r="F96" s="594"/>
      <c r="G96" s="594"/>
      <c r="H96" s="594"/>
      <c r="I96" s="594"/>
      <c r="J96" s="594"/>
      <c r="K96" s="594"/>
      <c r="L96" s="594"/>
      <c r="M96" s="594"/>
      <c r="N96" s="594"/>
      <c r="O96" s="594"/>
      <c r="P96" s="594"/>
      <c r="Q96" s="594"/>
      <c r="R96" s="594"/>
      <c r="S96" s="594"/>
      <c r="T96" s="594"/>
      <c r="U96" s="594"/>
      <c r="V96" s="594"/>
    </row>
    <row r="97" spans="3:22" x14ac:dyDescent="0.25">
      <c r="C97" s="594"/>
      <c r="D97" s="594"/>
      <c r="E97" s="594"/>
      <c r="F97" s="594"/>
      <c r="G97" s="594"/>
      <c r="H97" s="594"/>
      <c r="I97" s="594"/>
      <c r="J97" s="594"/>
      <c r="K97" s="594"/>
      <c r="L97" s="594"/>
      <c r="M97" s="594"/>
      <c r="N97" s="594"/>
      <c r="O97" s="594"/>
      <c r="P97" s="594"/>
      <c r="Q97" s="594"/>
      <c r="R97" s="594"/>
      <c r="S97" s="594"/>
      <c r="T97" s="594"/>
      <c r="U97" s="594"/>
      <c r="V97" s="594"/>
    </row>
    <row r="98" spans="3:22" x14ac:dyDescent="0.25">
      <c r="C98" s="594"/>
      <c r="D98" s="594"/>
      <c r="E98" s="594"/>
      <c r="F98" s="594"/>
      <c r="G98" s="594"/>
      <c r="H98" s="594"/>
      <c r="I98" s="594"/>
      <c r="J98" s="594"/>
      <c r="K98" s="594"/>
      <c r="L98" s="594"/>
      <c r="M98" s="594"/>
      <c r="N98" s="594"/>
      <c r="O98" s="594"/>
      <c r="P98" s="594"/>
      <c r="Q98" s="594"/>
      <c r="R98" s="594"/>
      <c r="S98" s="594"/>
      <c r="T98" s="594"/>
      <c r="U98" s="594"/>
      <c r="V98" s="594"/>
    </row>
    <row r="99" spans="3:22" x14ac:dyDescent="0.25">
      <c r="C99" s="594"/>
      <c r="D99" s="594"/>
      <c r="E99" s="594"/>
      <c r="F99" s="594"/>
      <c r="G99" s="594"/>
      <c r="H99" s="594"/>
      <c r="I99" s="594"/>
      <c r="J99" s="594"/>
      <c r="K99" s="594"/>
      <c r="L99" s="594"/>
      <c r="M99" s="594"/>
      <c r="N99" s="594"/>
      <c r="O99" s="594"/>
      <c r="P99" s="594"/>
      <c r="Q99" s="594"/>
      <c r="R99" s="594"/>
      <c r="S99" s="594"/>
      <c r="T99" s="594"/>
      <c r="U99" s="594"/>
      <c r="V99" s="594"/>
    </row>
    <row r="100" spans="3:22" x14ac:dyDescent="0.25">
      <c r="C100" s="594"/>
      <c r="D100" s="594"/>
      <c r="E100" s="594"/>
      <c r="F100" s="594"/>
      <c r="G100" s="594"/>
      <c r="H100" s="594"/>
      <c r="I100" s="594"/>
      <c r="J100" s="594"/>
      <c r="K100" s="594"/>
      <c r="L100" s="594"/>
      <c r="M100" s="594"/>
      <c r="N100" s="594"/>
      <c r="O100" s="594"/>
      <c r="P100" s="594"/>
      <c r="Q100" s="594"/>
      <c r="R100" s="594"/>
      <c r="S100" s="594"/>
      <c r="T100" s="594"/>
      <c r="U100" s="594"/>
      <c r="V100" s="594"/>
    </row>
    <row r="101" spans="3:22" x14ac:dyDescent="0.25">
      <c r="C101" s="594"/>
      <c r="D101" s="594"/>
      <c r="E101" s="594"/>
      <c r="F101" s="594"/>
      <c r="G101" s="594"/>
      <c r="H101" s="594"/>
      <c r="I101" s="594"/>
      <c r="J101" s="594"/>
      <c r="K101" s="594"/>
      <c r="L101" s="594"/>
      <c r="M101" s="594"/>
      <c r="N101" s="594"/>
      <c r="O101" s="594"/>
      <c r="P101" s="594"/>
      <c r="Q101" s="594"/>
      <c r="R101" s="594"/>
      <c r="S101" s="594"/>
      <c r="T101" s="594"/>
      <c r="U101" s="594"/>
      <c r="V101" s="594"/>
    </row>
    <row r="102" spans="3:22" x14ac:dyDescent="0.25">
      <c r="C102" s="594"/>
      <c r="D102" s="594"/>
      <c r="E102" s="594"/>
      <c r="F102" s="594"/>
      <c r="G102" s="594"/>
      <c r="H102" s="594"/>
      <c r="I102" s="594"/>
      <c r="J102" s="594"/>
      <c r="K102" s="594"/>
      <c r="L102" s="594"/>
      <c r="M102" s="594"/>
      <c r="N102" s="594"/>
      <c r="O102" s="594"/>
      <c r="P102" s="594"/>
      <c r="Q102" s="594"/>
      <c r="R102" s="594"/>
      <c r="S102" s="594"/>
      <c r="T102" s="594"/>
      <c r="U102" s="594"/>
      <c r="V102" s="594"/>
    </row>
    <row r="103" spans="3:22" x14ac:dyDescent="0.25">
      <c r="C103" s="594"/>
      <c r="D103" s="594"/>
      <c r="E103" s="594"/>
      <c r="F103" s="594"/>
      <c r="G103" s="594"/>
      <c r="H103" s="594"/>
      <c r="I103" s="594"/>
      <c r="J103" s="594"/>
      <c r="K103" s="594"/>
      <c r="L103" s="594"/>
      <c r="M103" s="594"/>
      <c r="N103" s="594"/>
      <c r="O103" s="594"/>
      <c r="P103" s="594"/>
      <c r="Q103" s="594"/>
      <c r="R103" s="594"/>
      <c r="S103" s="594"/>
      <c r="T103" s="594"/>
      <c r="U103" s="594"/>
      <c r="V103" s="594"/>
    </row>
    <row r="104" spans="3:22" x14ac:dyDescent="0.25">
      <c r="C104" s="594"/>
      <c r="D104" s="594"/>
      <c r="E104" s="594"/>
      <c r="F104" s="594"/>
      <c r="G104" s="594"/>
      <c r="H104" s="594"/>
      <c r="I104" s="594"/>
      <c r="J104" s="594"/>
      <c r="K104" s="594"/>
      <c r="L104" s="594"/>
      <c r="M104" s="594"/>
      <c r="N104" s="594"/>
      <c r="O104" s="594"/>
      <c r="P104" s="594"/>
      <c r="Q104" s="594"/>
      <c r="R104" s="594"/>
      <c r="S104" s="594"/>
      <c r="T104" s="594"/>
      <c r="U104" s="594"/>
      <c r="V104" s="594"/>
    </row>
    <row r="105" spans="3:22" x14ac:dyDescent="0.25">
      <c r="C105" s="594"/>
      <c r="D105" s="594"/>
      <c r="E105" s="594"/>
      <c r="F105" s="594"/>
      <c r="G105" s="594"/>
      <c r="H105" s="594"/>
      <c r="I105" s="594"/>
      <c r="J105" s="594"/>
      <c r="K105" s="594"/>
      <c r="L105" s="594"/>
      <c r="M105" s="594"/>
      <c r="N105" s="594"/>
      <c r="O105" s="594"/>
      <c r="P105" s="594"/>
      <c r="Q105" s="594"/>
      <c r="R105" s="594"/>
      <c r="S105" s="594"/>
      <c r="T105" s="594"/>
      <c r="U105" s="594"/>
      <c r="V105" s="594"/>
    </row>
    <row r="106" spans="3:22" x14ac:dyDescent="0.25">
      <c r="C106" s="594"/>
      <c r="D106" s="594"/>
      <c r="E106" s="594"/>
      <c r="F106" s="594"/>
      <c r="G106" s="594"/>
      <c r="H106" s="594"/>
      <c r="I106" s="594"/>
      <c r="J106" s="594"/>
      <c r="K106" s="594"/>
      <c r="L106" s="594"/>
      <c r="M106" s="594"/>
      <c r="N106" s="594"/>
      <c r="O106" s="594"/>
      <c r="P106" s="594"/>
      <c r="Q106" s="594"/>
      <c r="R106" s="594"/>
      <c r="S106" s="594"/>
      <c r="T106" s="594"/>
      <c r="U106" s="594"/>
      <c r="V106" s="594"/>
    </row>
    <row r="107" spans="3:22" x14ac:dyDescent="0.25">
      <c r="C107" s="594"/>
      <c r="D107" s="594"/>
      <c r="E107" s="594"/>
      <c r="F107" s="594"/>
      <c r="G107" s="594"/>
      <c r="H107" s="594"/>
      <c r="I107" s="594"/>
      <c r="J107" s="594"/>
      <c r="K107" s="594"/>
      <c r="L107" s="594"/>
      <c r="M107" s="594"/>
      <c r="N107" s="594"/>
      <c r="O107" s="594"/>
      <c r="P107" s="594"/>
      <c r="Q107" s="594"/>
      <c r="R107" s="594"/>
      <c r="S107" s="594"/>
      <c r="T107" s="594"/>
      <c r="U107" s="594"/>
      <c r="V107" s="594"/>
    </row>
    <row r="108" spans="3:22" x14ac:dyDescent="0.25">
      <c r="C108" s="594"/>
      <c r="D108" s="594"/>
      <c r="E108" s="594"/>
      <c r="F108" s="594"/>
      <c r="G108" s="594"/>
      <c r="H108" s="594"/>
      <c r="I108" s="594"/>
      <c r="J108" s="594"/>
      <c r="K108" s="594"/>
      <c r="L108" s="594"/>
      <c r="M108" s="594"/>
      <c r="N108" s="594"/>
      <c r="O108" s="594"/>
      <c r="P108" s="594"/>
      <c r="Q108" s="594"/>
      <c r="R108" s="594"/>
      <c r="S108" s="594"/>
      <c r="T108" s="594"/>
      <c r="U108" s="594"/>
      <c r="V108" s="594"/>
    </row>
    <row r="109" spans="3:22" x14ac:dyDescent="0.25">
      <c r="C109" s="594"/>
      <c r="D109" s="594"/>
      <c r="E109" s="594"/>
      <c r="F109" s="594"/>
      <c r="G109" s="594"/>
      <c r="H109" s="594"/>
      <c r="I109" s="594"/>
      <c r="J109" s="594"/>
      <c r="K109" s="594"/>
      <c r="L109" s="594"/>
      <c r="M109" s="594"/>
      <c r="N109" s="594"/>
      <c r="O109" s="594"/>
      <c r="P109" s="594"/>
      <c r="Q109" s="594"/>
      <c r="R109" s="594"/>
      <c r="S109" s="594"/>
      <c r="T109" s="594"/>
      <c r="U109" s="594"/>
      <c r="V109" s="594"/>
    </row>
    <row r="110" spans="3:22" x14ac:dyDescent="0.25">
      <c r="C110" s="594"/>
      <c r="D110" s="594"/>
      <c r="E110" s="594"/>
      <c r="F110" s="594"/>
      <c r="G110" s="594"/>
      <c r="H110" s="594"/>
      <c r="I110" s="594"/>
      <c r="J110" s="594"/>
      <c r="K110" s="594"/>
      <c r="L110" s="594"/>
      <c r="M110" s="594"/>
      <c r="N110" s="594"/>
      <c r="O110" s="594"/>
      <c r="P110" s="594"/>
      <c r="Q110" s="594"/>
      <c r="R110" s="594"/>
      <c r="S110" s="594"/>
      <c r="T110" s="594"/>
      <c r="U110" s="594"/>
      <c r="V110" s="594"/>
    </row>
    <row r="111" spans="3:22" x14ac:dyDescent="0.25">
      <c r="C111" s="594"/>
      <c r="D111" s="594"/>
      <c r="E111" s="594"/>
      <c r="F111" s="594"/>
      <c r="G111" s="594"/>
      <c r="H111" s="594"/>
      <c r="I111" s="594"/>
      <c r="J111" s="594"/>
      <c r="K111" s="594"/>
      <c r="L111" s="594"/>
      <c r="M111" s="594"/>
      <c r="N111" s="594"/>
      <c r="O111" s="594"/>
      <c r="P111" s="594"/>
      <c r="Q111" s="594"/>
      <c r="R111" s="594"/>
      <c r="S111" s="594"/>
      <c r="T111" s="594"/>
      <c r="U111" s="594"/>
      <c r="V111" s="594"/>
    </row>
    <row r="112" spans="3:22" x14ac:dyDescent="0.25">
      <c r="C112" s="594"/>
      <c r="D112" s="594"/>
      <c r="E112" s="594"/>
      <c r="F112" s="594"/>
      <c r="G112" s="594"/>
      <c r="H112" s="594"/>
      <c r="I112" s="594"/>
      <c r="J112" s="594"/>
      <c r="K112" s="594"/>
      <c r="L112" s="594"/>
      <c r="M112" s="594"/>
      <c r="N112" s="594"/>
      <c r="O112" s="594"/>
      <c r="P112" s="594"/>
      <c r="Q112" s="594"/>
      <c r="R112" s="594"/>
      <c r="S112" s="594"/>
      <c r="T112" s="594"/>
      <c r="U112" s="594"/>
      <c r="V112" s="594"/>
    </row>
    <row r="113" spans="3:22" x14ac:dyDescent="0.25">
      <c r="C113" s="594"/>
      <c r="D113" s="594"/>
      <c r="E113" s="594"/>
      <c r="F113" s="594"/>
      <c r="G113" s="594"/>
      <c r="H113" s="594"/>
      <c r="I113" s="594"/>
      <c r="J113" s="594"/>
      <c r="K113" s="594"/>
      <c r="L113" s="594"/>
      <c r="M113" s="594"/>
      <c r="N113" s="594"/>
      <c r="O113" s="594"/>
      <c r="P113" s="594"/>
      <c r="Q113" s="594"/>
      <c r="R113" s="594"/>
      <c r="S113" s="594"/>
      <c r="T113" s="594"/>
      <c r="U113" s="594"/>
      <c r="V113" s="594"/>
    </row>
    <row r="114" spans="3:22" x14ac:dyDescent="0.25">
      <c r="C114" s="594"/>
      <c r="D114" s="594"/>
      <c r="E114" s="594"/>
      <c r="F114" s="594"/>
      <c r="G114" s="594"/>
      <c r="H114" s="594"/>
      <c r="I114" s="594"/>
      <c r="J114" s="594"/>
      <c r="K114" s="594"/>
      <c r="L114" s="594"/>
      <c r="M114" s="594"/>
      <c r="N114" s="594"/>
      <c r="O114" s="594"/>
      <c r="P114" s="594"/>
      <c r="Q114" s="594"/>
      <c r="R114" s="594"/>
      <c r="S114" s="594"/>
      <c r="T114" s="594"/>
      <c r="U114" s="594"/>
      <c r="V114" s="594"/>
    </row>
    <row r="115" spans="3:22" x14ac:dyDescent="0.25">
      <c r="C115" s="594"/>
      <c r="D115" s="594"/>
      <c r="E115" s="594"/>
      <c r="F115" s="594"/>
      <c r="G115" s="594"/>
      <c r="H115" s="594"/>
      <c r="I115" s="594"/>
      <c r="J115" s="594"/>
      <c r="K115" s="594"/>
      <c r="L115" s="594"/>
      <c r="M115" s="594"/>
      <c r="N115" s="594"/>
      <c r="O115" s="594"/>
      <c r="P115" s="594"/>
      <c r="Q115" s="594"/>
      <c r="R115" s="594"/>
      <c r="S115" s="594"/>
      <c r="T115" s="594"/>
      <c r="U115" s="594"/>
      <c r="V115" s="594"/>
    </row>
    <row r="116" spans="3:22" x14ac:dyDescent="0.25">
      <c r="C116" s="594"/>
      <c r="D116" s="594"/>
      <c r="E116" s="594"/>
      <c r="F116" s="594"/>
      <c r="G116" s="594"/>
      <c r="H116" s="594"/>
      <c r="I116" s="594"/>
      <c r="J116" s="594"/>
      <c r="K116" s="594"/>
      <c r="L116" s="594"/>
      <c r="M116" s="594"/>
      <c r="N116" s="594"/>
      <c r="O116" s="594"/>
      <c r="P116" s="594"/>
      <c r="Q116" s="594"/>
      <c r="R116" s="594"/>
      <c r="S116" s="594"/>
      <c r="T116" s="594"/>
      <c r="U116" s="594"/>
      <c r="V116" s="594"/>
    </row>
    <row r="117" spans="3:22" x14ac:dyDescent="0.25">
      <c r="C117" s="594"/>
      <c r="D117" s="594"/>
      <c r="E117" s="594"/>
      <c r="F117" s="594"/>
      <c r="G117" s="594"/>
      <c r="H117" s="594"/>
      <c r="I117" s="594"/>
      <c r="J117" s="594"/>
      <c r="K117" s="594"/>
      <c r="L117" s="594"/>
      <c r="M117" s="594"/>
      <c r="N117" s="594"/>
      <c r="O117" s="594"/>
      <c r="P117" s="594"/>
      <c r="Q117" s="594"/>
      <c r="R117" s="594"/>
      <c r="S117" s="594"/>
      <c r="T117" s="594"/>
      <c r="U117" s="594"/>
      <c r="V117" s="594"/>
    </row>
    <row r="118" spans="3:22" x14ac:dyDescent="0.25">
      <c r="C118" s="594"/>
      <c r="D118" s="594"/>
      <c r="E118" s="594"/>
      <c r="F118" s="594"/>
      <c r="G118" s="594"/>
      <c r="H118" s="594"/>
      <c r="I118" s="594"/>
      <c r="J118" s="594"/>
      <c r="K118" s="594"/>
      <c r="L118" s="594"/>
      <c r="M118" s="594"/>
      <c r="N118" s="594"/>
      <c r="O118" s="594"/>
      <c r="P118" s="594"/>
      <c r="Q118" s="594"/>
      <c r="R118" s="594"/>
      <c r="S118" s="594"/>
      <c r="T118" s="594"/>
      <c r="U118" s="594"/>
      <c r="V118" s="594"/>
    </row>
    <row r="119" spans="3:22" x14ac:dyDescent="0.25">
      <c r="C119" s="594"/>
      <c r="D119" s="594"/>
      <c r="E119" s="594"/>
      <c r="F119" s="594"/>
      <c r="G119" s="594"/>
      <c r="H119" s="594"/>
      <c r="I119" s="594"/>
      <c r="J119" s="594"/>
      <c r="K119" s="594"/>
      <c r="L119" s="594"/>
      <c r="M119" s="594"/>
      <c r="N119" s="594"/>
      <c r="O119" s="594"/>
      <c r="P119" s="594"/>
      <c r="Q119" s="594"/>
      <c r="R119" s="594"/>
      <c r="S119" s="594"/>
      <c r="T119" s="594"/>
      <c r="U119" s="594"/>
      <c r="V119" s="594"/>
    </row>
    <row r="120" spans="3:22" x14ac:dyDescent="0.25">
      <c r="C120" s="594"/>
      <c r="D120" s="594"/>
      <c r="E120" s="594"/>
      <c r="F120" s="594"/>
      <c r="G120" s="594"/>
      <c r="H120" s="594"/>
      <c r="I120" s="594"/>
      <c r="J120" s="594"/>
      <c r="K120" s="594"/>
      <c r="L120" s="594"/>
      <c r="M120" s="594"/>
      <c r="N120" s="594"/>
      <c r="O120" s="594"/>
      <c r="P120" s="594"/>
      <c r="Q120" s="594"/>
      <c r="R120" s="594"/>
      <c r="S120" s="594"/>
      <c r="T120" s="594"/>
      <c r="U120" s="594"/>
      <c r="V120" s="594"/>
    </row>
    <row r="121" spans="3:22" x14ac:dyDescent="0.25">
      <c r="C121" s="594"/>
      <c r="D121" s="594"/>
      <c r="E121" s="594"/>
      <c r="F121" s="594"/>
      <c r="G121" s="594"/>
      <c r="H121" s="594"/>
      <c r="I121" s="594"/>
      <c r="J121" s="594"/>
      <c r="K121" s="594"/>
      <c r="L121" s="594"/>
      <c r="M121" s="594"/>
      <c r="N121" s="594"/>
      <c r="O121" s="594"/>
      <c r="P121" s="594"/>
      <c r="Q121" s="594"/>
      <c r="R121" s="594"/>
      <c r="S121" s="594"/>
      <c r="T121" s="594"/>
      <c r="U121" s="594"/>
      <c r="V121" s="594"/>
    </row>
    <row r="122" spans="3:22" x14ac:dyDescent="0.25">
      <c r="C122" s="594"/>
      <c r="D122" s="594"/>
      <c r="E122" s="594"/>
      <c r="F122" s="594"/>
      <c r="G122" s="594"/>
      <c r="H122" s="594"/>
      <c r="I122" s="594"/>
      <c r="J122" s="594"/>
      <c r="K122" s="594"/>
      <c r="L122" s="594"/>
      <c r="M122" s="594"/>
      <c r="N122" s="594"/>
      <c r="O122" s="594"/>
      <c r="P122" s="594"/>
      <c r="Q122" s="594"/>
      <c r="R122" s="594"/>
      <c r="S122" s="594"/>
      <c r="T122" s="594"/>
      <c r="U122" s="594"/>
      <c r="V122" s="594"/>
    </row>
    <row r="123" spans="3:22" x14ac:dyDescent="0.25">
      <c r="C123" s="594"/>
      <c r="D123" s="594"/>
      <c r="E123" s="594"/>
      <c r="F123" s="594"/>
      <c r="G123" s="594"/>
      <c r="H123" s="594"/>
      <c r="I123" s="594"/>
      <c r="J123" s="594"/>
      <c r="K123" s="594"/>
      <c r="L123" s="594"/>
      <c r="M123" s="594"/>
      <c r="N123" s="594"/>
      <c r="O123" s="594"/>
      <c r="P123" s="594"/>
      <c r="Q123" s="594"/>
      <c r="R123" s="594"/>
      <c r="S123" s="594"/>
      <c r="T123" s="594"/>
      <c r="U123" s="594"/>
      <c r="V123" s="594"/>
    </row>
    <row r="124" spans="3:22" x14ac:dyDescent="0.25">
      <c r="C124" s="594"/>
      <c r="D124" s="594"/>
      <c r="E124" s="594"/>
      <c r="F124" s="594"/>
      <c r="G124" s="594"/>
      <c r="H124" s="594"/>
      <c r="I124" s="594"/>
      <c r="J124" s="594"/>
      <c r="K124" s="594"/>
      <c r="L124" s="594"/>
      <c r="M124" s="594"/>
      <c r="N124" s="594"/>
      <c r="O124" s="594"/>
      <c r="P124" s="594"/>
      <c r="Q124" s="594"/>
      <c r="R124" s="594"/>
      <c r="S124" s="594"/>
      <c r="T124" s="594"/>
      <c r="U124" s="594"/>
      <c r="V124" s="594"/>
    </row>
    <row r="125" spans="3:22" x14ac:dyDescent="0.25">
      <c r="C125" s="594"/>
      <c r="D125" s="594"/>
      <c r="E125" s="594"/>
      <c r="F125" s="594"/>
      <c r="G125" s="594"/>
      <c r="H125" s="594"/>
      <c r="I125" s="594"/>
      <c r="J125" s="594"/>
      <c r="K125" s="594"/>
      <c r="L125" s="594"/>
      <c r="M125" s="594"/>
      <c r="N125" s="594"/>
      <c r="O125" s="594"/>
      <c r="P125" s="594"/>
      <c r="Q125" s="594"/>
      <c r="R125" s="594"/>
      <c r="S125" s="594"/>
      <c r="T125" s="594"/>
      <c r="U125" s="594"/>
      <c r="V125" s="594"/>
    </row>
    <row r="126" spans="3:22" x14ac:dyDescent="0.25">
      <c r="C126" s="594"/>
      <c r="D126" s="594"/>
      <c r="E126" s="594"/>
      <c r="F126" s="594"/>
      <c r="G126" s="594"/>
      <c r="H126" s="594"/>
      <c r="I126" s="594"/>
      <c r="J126" s="594"/>
      <c r="K126" s="594"/>
      <c r="L126" s="594"/>
      <c r="M126" s="594"/>
      <c r="N126" s="594"/>
      <c r="O126" s="594"/>
      <c r="P126" s="594"/>
      <c r="Q126" s="594"/>
      <c r="R126" s="594"/>
      <c r="S126" s="594"/>
      <c r="T126" s="594"/>
      <c r="U126" s="594"/>
      <c r="V126" s="594"/>
    </row>
    <row r="127" spans="3:22" x14ac:dyDescent="0.25">
      <c r="C127" s="594"/>
      <c r="D127" s="594"/>
      <c r="E127" s="594"/>
      <c r="F127" s="594"/>
      <c r="G127" s="594"/>
      <c r="H127" s="594"/>
      <c r="I127" s="594"/>
      <c r="J127" s="594"/>
      <c r="K127" s="594"/>
      <c r="L127" s="594"/>
      <c r="M127" s="594"/>
      <c r="N127" s="594"/>
      <c r="O127" s="594"/>
      <c r="P127" s="594"/>
      <c r="Q127" s="594"/>
      <c r="R127" s="594"/>
      <c r="S127" s="594"/>
      <c r="T127" s="594"/>
      <c r="U127" s="594"/>
      <c r="V127" s="594"/>
    </row>
    <row r="128" spans="3:22" x14ac:dyDescent="0.25">
      <c r="C128" s="594"/>
      <c r="D128" s="594"/>
      <c r="E128" s="594"/>
      <c r="F128" s="594"/>
      <c r="G128" s="594"/>
      <c r="H128" s="594"/>
      <c r="I128" s="594"/>
      <c r="J128" s="594"/>
      <c r="K128" s="594"/>
      <c r="L128" s="594"/>
      <c r="M128" s="594"/>
      <c r="N128" s="594"/>
      <c r="O128" s="594"/>
      <c r="P128" s="594"/>
      <c r="Q128" s="594"/>
      <c r="R128" s="594"/>
      <c r="S128" s="594"/>
      <c r="T128" s="594"/>
      <c r="U128" s="594"/>
      <c r="V128" s="594"/>
    </row>
    <row r="129" spans="3:22" x14ac:dyDescent="0.25">
      <c r="C129" s="594"/>
      <c r="D129" s="594"/>
      <c r="E129" s="594"/>
      <c r="F129" s="594"/>
      <c r="G129" s="594"/>
      <c r="H129" s="594"/>
      <c r="I129" s="594"/>
      <c r="J129" s="594"/>
      <c r="K129" s="594"/>
      <c r="L129" s="594"/>
      <c r="M129" s="594"/>
      <c r="N129" s="594"/>
      <c r="O129" s="594"/>
      <c r="P129" s="594"/>
      <c r="Q129" s="594"/>
      <c r="R129" s="594"/>
      <c r="S129" s="594"/>
      <c r="T129" s="594"/>
      <c r="U129" s="594"/>
      <c r="V129" s="594"/>
    </row>
    <row r="130" spans="3:22" x14ac:dyDescent="0.25">
      <c r="C130" s="594"/>
      <c r="D130" s="594"/>
      <c r="E130" s="594"/>
      <c r="F130" s="594"/>
      <c r="G130" s="594"/>
      <c r="H130" s="594"/>
      <c r="I130" s="594"/>
      <c r="J130" s="594"/>
      <c r="K130" s="594"/>
      <c r="L130" s="594"/>
      <c r="M130" s="594"/>
      <c r="N130" s="594"/>
      <c r="O130" s="594"/>
      <c r="P130" s="594"/>
      <c r="Q130" s="594"/>
      <c r="R130" s="594"/>
      <c r="S130" s="594"/>
      <c r="T130" s="594"/>
      <c r="U130" s="594"/>
      <c r="V130" s="594"/>
    </row>
    <row r="131" spans="3:22" x14ac:dyDescent="0.25">
      <c r="C131" s="594"/>
      <c r="D131" s="594"/>
      <c r="E131" s="594"/>
      <c r="F131" s="594"/>
      <c r="G131" s="594"/>
      <c r="H131" s="594"/>
      <c r="I131" s="594"/>
      <c r="J131" s="594"/>
      <c r="K131" s="594"/>
      <c r="L131" s="594"/>
      <c r="M131" s="594"/>
      <c r="N131" s="594"/>
      <c r="O131" s="594"/>
      <c r="P131" s="594"/>
      <c r="Q131" s="594"/>
      <c r="R131" s="594"/>
      <c r="S131" s="594"/>
      <c r="T131" s="594"/>
      <c r="U131" s="594"/>
      <c r="V131" s="594"/>
    </row>
    <row r="132" spans="3:22" x14ac:dyDescent="0.25">
      <c r="C132" s="594"/>
      <c r="D132" s="594"/>
      <c r="E132" s="594"/>
      <c r="F132" s="594"/>
      <c r="G132" s="594"/>
      <c r="H132" s="594"/>
      <c r="I132" s="594"/>
      <c r="J132" s="594"/>
      <c r="K132" s="594"/>
      <c r="L132" s="594"/>
      <c r="M132" s="594"/>
      <c r="N132" s="594"/>
      <c r="O132" s="594"/>
      <c r="P132" s="594"/>
      <c r="Q132" s="594"/>
      <c r="R132" s="594"/>
      <c r="S132" s="594"/>
      <c r="T132" s="594"/>
      <c r="U132" s="594"/>
      <c r="V132" s="594"/>
    </row>
    <row r="133" spans="3:22" x14ac:dyDescent="0.25">
      <c r="C133" s="594"/>
      <c r="D133" s="594"/>
      <c r="E133" s="594"/>
      <c r="F133" s="594"/>
      <c r="G133" s="594"/>
      <c r="H133" s="594"/>
      <c r="I133" s="594"/>
      <c r="J133" s="594"/>
      <c r="K133" s="594"/>
      <c r="L133" s="594"/>
      <c r="M133" s="594"/>
      <c r="N133" s="594"/>
      <c r="O133" s="594"/>
      <c r="P133" s="594"/>
      <c r="Q133" s="594"/>
      <c r="R133" s="594"/>
      <c r="S133" s="594"/>
      <c r="T133" s="594"/>
      <c r="U133" s="594"/>
      <c r="V133" s="594"/>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Y49"/>
  <sheetViews>
    <sheetView zoomScaleNormal="100" zoomScaleSheetLayoutView="90" workbookViewId="0">
      <selection activeCell="BY48" sqref="A1:BY48"/>
    </sheetView>
  </sheetViews>
  <sheetFormatPr defaultColWidth="0" defaultRowHeight="12.75" x14ac:dyDescent="0.2"/>
  <cols>
    <col min="1" max="1" width="55.28515625" style="596" customWidth="1"/>
    <col min="2" max="13" width="9" style="596" hidden="1" customWidth="1"/>
    <col min="14" max="26" width="9.140625" style="596" hidden="1" customWidth="1"/>
    <col min="27" max="31" width="0" style="596" hidden="1" customWidth="1"/>
    <col min="32" max="39" width="9.140625" style="596" hidden="1" customWidth="1"/>
    <col min="40" max="40" width="9.7109375" style="596" hidden="1" customWidth="1"/>
    <col min="41" max="64" width="11.28515625" style="596" hidden="1" customWidth="1"/>
    <col min="65" max="77" width="11.28515625" style="596" customWidth="1"/>
    <col min="78" max="207" width="9.140625" style="596" customWidth="1"/>
    <col min="208" max="208" width="55.28515625" style="596" customWidth="1"/>
    <col min="209" max="258" width="0" style="596" hidden="1"/>
    <col min="259" max="259" width="55.28515625" style="596" customWidth="1"/>
    <col min="260" max="297" width="0" style="596" hidden="1" customWidth="1"/>
    <col min="298" max="463" width="9.140625" style="596" customWidth="1"/>
    <col min="464" max="464" width="55.28515625" style="596" customWidth="1"/>
    <col min="465" max="514" width="0" style="596" hidden="1"/>
    <col min="515" max="515" width="55.28515625" style="596" customWidth="1"/>
    <col min="516" max="553" width="0" style="596" hidden="1" customWidth="1"/>
    <col min="554" max="719" width="9.140625" style="596" customWidth="1"/>
    <col min="720" max="720" width="55.28515625" style="596" customWidth="1"/>
    <col min="721" max="770" width="0" style="596" hidden="1"/>
    <col min="771" max="771" width="55.28515625" style="596" customWidth="1"/>
    <col min="772" max="809" width="0" style="596" hidden="1" customWidth="1"/>
    <col min="810" max="975" width="9.140625" style="596" customWidth="1"/>
    <col min="976" max="976" width="55.28515625" style="596" customWidth="1"/>
    <col min="977" max="1026" width="0" style="596" hidden="1"/>
    <col min="1027" max="1027" width="55.28515625" style="596" customWidth="1"/>
    <col min="1028" max="1065" width="0" style="596" hidden="1" customWidth="1"/>
    <col min="1066" max="1231" width="9.140625" style="596" customWidth="1"/>
    <col min="1232" max="1232" width="55.28515625" style="596" customWidth="1"/>
    <col min="1233" max="1282" width="0" style="596" hidden="1"/>
    <col min="1283" max="1283" width="55.28515625" style="596" customWidth="1"/>
    <col min="1284" max="1321" width="0" style="596" hidden="1" customWidth="1"/>
    <col min="1322" max="1487" width="9.140625" style="596" customWidth="1"/>
    <col min="1488" max="1488" width="55.28515625" style="596" customWidth="1"/>
    <col min="1489" max="1538" width="0" style="596" hidden="1"/>
    <col min="1539" max="1539" width="55.28515625" style="596" customWidth="1"/>
    <col min="1540" max="1577" width="0" style="596" hidden="1" customWidth="1"/>
    <col min="1578" max="1743" width="9.140625" style="596" customWidth="1"/>
    <col min="1744" max="1744" width="55.28515625" style="596" customWidth="1"/>
    <col min="1745" max="1794" width="0" style="596" hidden="1"/>
    <col min="1795" max="1795" width="55.28515625" style="596" customWidth="1"/>
    <col min="1796" max="1833" width="0" style="596" hidden="1" customWidth="1"/>
    <col min="1834" max="1999" width="9.140625" style="596" customWidth="1"/>
    <col min="2000" max="2000" width="55.28515625" style="596" customWidth="1"/>
    <col min="2001" max="2050" width="0" style="596" hidden="1"/>
    <col min="2051" max="2051" width="55.28515625" style="596" customWidth="1"/>
    <col min="2052" max="2089" width="0" style="596" hidden="1" customWidth="1"/>
    <col min="2090" max="2255" width="9.140625" style="596" customWidth="1"/>
    <col min="2256" max="2256" width="55.28515625" style="596" customWidth="1"/>
    <col min="2257" max="2306" width="0" style="596" hidden="1"/>
    <col min="2307" max="2307" width="55.28515625" style="596" customWidth="1"/>
    <col min="2308" max="2345" width="0" style="596" hidden="1" customWidth="1"/>
    <col min="2346" max="2511" width="9.140625" style="596" customWidth="1"/>
    <col min="2512" max="2512" width="55.28515625" style="596" customWidth="1"/>
    <col min="2513" max="2562" width="0" style="596" hidden="1"/>
    <col min="2563" max="2563" width="55.28515625" style="596" customWidth="1"/>
    <col min="2564" max="2601" width="0" style="596" hidden="1" customWidth="1"/>
    <col min="2602" max="2767" width="9.140625" style="596" customWidth="1"/>
    <col min="2768" max="2768" width="55.28515625" style="596" customWidth="1"/>
    <col min="2769" max="2818" width="0" style="596" hidden="1"/>
    <col min="2819" max="2819" width="55.28515625" style="596" customWidth="1"/>
    <col min="2820" max="2857" width="0" style="596" hidden="1" customWidth="1"/>
    <col min="2858" max="3023" width="9.140625" style="596" customWidth="1"/>
    <col min="3024" max="3024" width="55.28515625" style="596" customWidth="1"/>
    <col min="3025" max="3074" width="0" style="596" hidden="1"/>
    <col min="3075" max="3075" width="55.28515625" style="596" customWidth="1"/>
    <col min="3076" max="3113" width="0" style="596" hidden="1" customWidth="1"/>
    <col min="3114" max="3279" width="9.140625" style="596" customWidth="1"/>
    <col min="3280" max="3280" width="55.28515625" style="596" customWidth="1"/>
    <col min="3281" max="3330" width="0" style="596" hidden="1"/>
    <col min="3331" max="3331" width="55.28515625" style="596" customWidth="1"/>
    <col min="3332" max="3369" width="0" style="596" hidden="1" customWidth="1"/>
    <col min="3370" max="3535" width="9.140625" style="596" customWidth="1"/>
    <col min="3536" max="3536" width="55.28515625" style="596" customWidth="1"/>
    <col min="3537" max="3586" width="0" style="596" hidden="1"/>
    <col min="3587" max="3587" width="55.28515625" style="596" customWidth="1"/>
    <col min="3588" max="3625" width="0" style="596" hidden="1" customWidth="1"/>
    <col min="3626" max="3791" width="9.140625" style="596" customWidth="1"/>
    <col min="3792" max="3792" width="55.28515625" style="596" customWidth="1"/>
    <col min="3793" max="3842" width="0" style="596" hidden="1"/>
    <col min="3843" max="3843" width="55.28515625" style="596" customWidth="1"/>
    <col min="3844" max="3881" width="0" style="596" hidden="1" customWidth="1"/>
    <col min="3882" max="4047" width="9.140625" style="596" customWidth="1"/>
    <col min="4048" max="4048" width="55.28515625" style="596" customWidth="1"/>
    <col min="4049" max="4098" width="0" style="596" hidden="1"/>
    <col min="4099" max="4099" width="55.28515625" style="596" customWidth="1"/>
    <col min="4100" max="4137" width="0" style="596" hidden="1" customWidth="1"/>
    <col min="4138" max="4303" width="9.140625" style="596" customWidth="1"/>
    <col min="4304" max="4304" width="55.28515625" style="596" customWidth="1"/>
    <col min="4305" max="4354" width="0" style="596" hidden="1"/>
    <col min="4355" max="4355" width="55.28515625" style="596" customWidth="1"/>
    <col min="4356" max="4393" width="0" style="596" hidden="1" customWidth="1"/>
    <col min="4394" max="4559" width="9.140625" style="596" customWidth="1"/>
    <col min="4560" max="4560" width="55.28515625" style="596" customWidth="1"/>
    <col min="4561" max="4610" width="0" style="596" hidden="1"/>
    <col min="4611" max="4611" width="55.28515625" style="596" customWidth="1"/>
    <col min="4612" max="4649" width="0" style="596" hidden="1" customWidth="1"/>
    <col min="4650" max="4815" width="9.140625" style="596" customWidth="1"/>
    <col min="4816" max="4816" width="55.28515625" style="596" customWidth="1"/>
    <col min="4817" max="4866" width="0" style="596" hidden="1"/>
    <col min="4867" max="4867" width="55.28515625" style="596" customWidth="1"/>
    <col min="4868" max="4905" width="0" style="596" hidden="1" customWidth="1"/>
    <col min="4906" max="5071" width="9.140625" style="596" customWidth="1"/>
    <col min="5072" max="5072" width="55.28515625" style="596" customWidth="1"/>
    <col min="5073" max="5122" width="0" style="596" hidden="1"/>
    <col min="5123" max="5123" width="55.28515625" style="596" customWidth="1"/>
    <col min="5124" max="5161" width="0" style="596" hidden="1" customWidth="1"/>
    <col min="5162" max="5327" width="9.140625" style="596" customWidth="1"/>
    <col min="5328" max="5328" width="55.28515625" style="596" customWidth="1"/>
    <col min="5329" max="5378" width="0" style="596" hidden="1"/>
    <col min="5379" max="5379" width="55.28515625" style="596" customWidth="1"/>
    <col min="5380" max="5417" width="0" style="596" hidden="1" customWidth="1"/>
    <col min="5418" max="5583" width="9.140625" style="596" customWidth="1"/>
    <col min="5584" max="5584" width="55.28515625" style="596" customWidth="1"/>
    <col min="5585" max="5634" width="0" style="596" hidden="1"/>
    <col min="5635" max="5635" width="55.28515625" style="596" customWidth="1"/>
    <col min="5636" max="5673" width="0" style="596" hidden="1" customWidth="1"/>
    <col min="5674" max="5839" width="9.140625" style="596" customWidth="1"/>
    <col min="5840" max="5840" width="55.28515625" style="596" customWidth="1"/>
    <col min="5841" max="5890" width="0" style="596" hidden="1"/>
    <col min="5891" max="5891" width="55.28515625" style="596" customWidth="1"/>
    <col min="5892" max="5929" width="0" style="596" hidden="1" customWidth="1"/>
    <col min="5930" max="6095" width="9.140625" style="596" customWidth="1"/>
    <col min="6096" max="6096" width="55.28515625" style="596" customWidth="1"/>
    <col min="6097" max="6146" width="0" style="596" hidden="1"/>
    <col min="6147" max="6147" width="55.28515625" style="596" customWidth="1"/>
    <col min="6148" max="6185" width="0" style="596" hidden="1" customWidth="1"/>
    <col min="6186" max="6351" width="9.140625" style="596" customWidth="1"/>
    <col min="6352" max="6352" width="55.28515625" style="596" customWidth="1"/>
    <col min="6353" max="6402" width="0" style="596" hidden="1"/>
    <col min="6403" max="6403" width="55.28515625" style="596" customWidth="1"/>
    <col min="6404" max="6441" width="0" style="596" hidden="1" customWidth="1"/>
    <col min="6442" max="6607" width="9.140625" style="596" customWidth="1"/>
    <col min="6608" max="6608" width="55.28515625" style="596" customWidth="1"/>
    <col min="6609" max="6658" width="0" style="596" hidden="1"/>
    <col min="6659" max="6659" width="55.28515625" style="596" customWidth="1"/>
    <col min="6660" max="6697" width="0" style="596" hidden="1" customWidth="1"/>
    <col min="6698" max="6863" width="9.140625" style="596" customWidth="1"/>
    <col min="6864" max="6864" width="55.28515625" style="596" customWidth="1"/>
    <col min="6865" max="6914" width="0" style="596" hidden="1"/>
    <col min="6915" max="6915" width="55.28515625" style="596" customWidth="1"/>
    <col min="6916" max="6953" width="0" style="596" hidden="1" customWidth="1"/>
    <col min="6954" max="7119" width="9.140625" style="596" customWidth="1"/>
    <col min="7120" max="7120" width="55.28515625" style="596" customWidth="1"/>
    <col min="7121" max="7170" width="0" style="596" hidden="1"/>
    <col min="7171" max="7171" width="55.28515625" style="596" customWidth="1"/>
    <col min="7172" max="7209" width="0" style="596" hidden="1" customWidth="1"/>
    <col min="7210" max="7375" width="9.140625" style="596" customWidth="1"/>
    <col min="7376" max="7376" width="55.28515625" style="596" customWidth="1"/>
    <col min="7377" max="7426" width="0" style="596" hidden="1"/>
    <col min="7427" max="7427" width="55.28515625" style="596" customWidth="1"/>
    <col min="7428" max="7465" width="0" style="596" hidden="1" customWidth="1"/>
    <col min="7466" max="7631" width="9.140625" style="596" customWidth="1"/>
    <col min="7632" max="7632" width="55.28515625" style="596" customWidth="1"/>
    <col min="7633" max="7682" width="0" style="596" hidden="1"/>
    <col min="7683" max="7683" width="55.28515625" style="596" customWidth="1"/>
    <col min="7684" max="7721" width="0" style="596" hidden="1" customWidth="1"/>
    <col min="7722" max="7887" width="9.140625" style="596" customWidth="1"/>
    <col min="7888" max="7888" width="55.28515625" style="596" customWidth="1"/>
    <col min="7889" max="7938" width="0" style="596" hidden="1"/>
    <col min="7939" max="7939" width="55.28515625" style="596" customWidth="1"/>
    <col min="7940" max="7977" width="0" style="596" hidden="1" customWidth="1"/>
    <col min="7978" max="8143" width="9.140625" style="596" customWidth="1"/>
    <col min="8144" max="8144" width="55.28515625" style="596" customWidth="1"/>
    <col min="8145" max="8194" width="0" style="596" hidden="1"/>
    <col min="8195" max="8195" width="55.28515625" style="596" customWidth="1"/>
    <col min="8196" max="8233" width="0" style="596" hidden="1" customWidth="1"/>
    <col min="8234" max="8399" width="9.140625" style="596" customWidth="1"/>
    <col min="8400" max="8400" width="55.28515625" style="596" customWidth="1"/>
    <col min="8401" max="8450" width="0" style="596" hidden="1"/>
    <col min="8451" max="8451" width="55.28515625" style="596" customWidth="1"/>
    <col min="8452" max="8489" width="0" style="596" hidden="1" customWidth="1"/>
    <col min="8490" max="8655" width="9.140625" style="596" customWidth="1"/>
    <col min="8656" max="8656" width="55.28515625" style="596" customWidth="1"/>
    <col min="8657" max="8706" width="0" style="596" hidden="1"/>
    <col min="8707" max="8707" width="55.28515625" style="596" customWidth="1"/>
    <col min="8708" max="8745" width="0" style="596" hidden="1" customWidth="1"/>
    <col min="8746" max="8911" width="9.140625" style="596" customWidth="1"/>
    <col min="8912" max="8912" width="55.28515625" style="596" customWidth="1"/>
    <col min="8913" max="8962" width="0" style="596" hidden="1"/>
    <col min="8963" max="8963" width="55.28515625" style="596" customWidth="1"/>
    <col min="8964" max="9001" width="0" style="596" hidden="1" customWidth="1"/>
    <col min="9002" max="9167" width="9.140625" style="596" customWidth="1"/>
    <col min="9168" max="9168" width="55.28515625" style="596" customWidth="1"/>
    <col min="9169" max="9218" width="0" style="596" hidden="1"/>
    <col min="9219" max="9219" width="55.28515625" style="596" customWidth="1"/>
    <col min="9220" max="9257" width="0" style="596" hidden="1" customWidth="1"/>
    <col min="9258" max="9423" width="9.140625" style="596" customWidth="1"/>
    <col min="9424" max="9424" width="55.28515625" style="596" customWidth="1"/>
    <col min="9425" max="9474" width="0" style="596" hidden="1"/>
    <col min="9475" max="9475" width="55.28515625" style="596" customWidth="1"/>
    <col min="9476" max="9513" width="0" style="596" hidden="1" customWidth="1"/>
    <col min="9514" max="9679" width="9.140625" style="596" customWidth="1"/>
    <col min="9680" max="9680" width="55.28515625" style="596" customWidth="1"/>
    <col min="9681" max="9730" width="0" style="596" hidden="1"/>
    <col min="9731" max="9731" width="55.28515625" style="596" customWidth="1"/>
    <col min="9732" max="9769" width="0" style="596" hidden="1" customWidth="1"/>
    <col min="9770" max="9935" width="9.140625" style="596" customWidth="1"/>
    <col min="9936" max="9936" width="55.28515625" style="596" customWidth="1"/>
    <col min="9937" max="9986" width="0" style="596" hidden="1"/>
    <col min="9987" max="9987" width="55.28515625" style="596" customWidth="1"/>
    <col min="9988" max="10025" width="0" style="596" hidden="1" customWidth="1"/>
    <col min="10026" max="10191" width="9.140625" style="596" customWidth="1"/>
    <col min="10192" max="10192" width="55.28515625" style="596" customWidth="1"/>
    <col min="10193" max="10242" width="0" style="596" hidden="1"/>
    <col min="10243" max="10243" width="55.28515625" style="596" customWidth="1"/>
    <col min="10244" max="10281" width="0" style="596" hidden="1" customWidth="1"/>
    <col min="10282" max="10447" width="9.140625" style="596" customWidth="1"/>
    <col min="10448" max="10448" width="55.28515625" style="596" customWidth="1"/>
    <col min="10449" max="10498" width="0" style="596" hidden="1"/>
    <col min="10499" max="10499" width="55.28515625" style="596" customWidth="1"/>
    <col min="10500" max="10537" width="0" style="596" hidden="1" customWidth="1"/>
    <col min="10538" max="10703" width="9.140625" style="596" customWidth="1"/>
    <col min="10704" max="10704" width="55.28515625" style="596" customWidth="1"/>
    <col min="10705" max="10754" width="0" style="596" hidden="1"/>
    <col min="10755" max="10755" width="55.28515625" style="596" customWidth="1"/>
    <col min="10756" max="10793" width="0" style="596" hidden="1" customWidth="1"/>
    <col min="10794" max="10959" width="9.140625" style="596" customWidth="1"/>
    <col min="10960" max="10960" width="55.28515625" style="596" customWidth="1"/>
    <col min="10961" max="11010" width="0" style="596" hidden="1"/>
    <col min="11011" max="11011" width="55.28515625" style="596" customWidth="1"/>
    <col min="11012" max="11049" width="0" style="596" hidden="1" customWidth="1"/>
    <col min="11050" max="11215" width="9.140625" style="596" customWidth="1"/>
    <col min="11216" max="11216" width="55.28515625" style="596" customWidth="1"/>
    <col min="11217" max="11266" width="0" style="596" hidden="1"/>
    <col min="11267" max="11267" width="55.28515625" style="596" customWidth="1"/>
    <col min="11268" max="11305" width="0" style="596" hidden="1" customWidth="1"/>
    <col min="11306" max="11471" width="9.140625" style="596" customWidth="1"/>
    <col min="11472" max="11472" width="55.28515625" style="596" customWidth="1"/>
    <col min="11473" max="11522" width="0" style="596" hidden="1"/>
    <col min="11523" max="11523" width="55.28515625" style="596" customWidth="1"/>
    <col min="11524" max="11561" width="0" style="596" hidden="1" customWidth="1"/>
    <col min="11562" max="11727" width="9.140625" style="596" customWidth="1"/>
    <col min="11728" max="11728" width="55.28515625" style="596" customWidth="1"/>
    <col min="11729" max="11778" width="0" style="596" hidden="1"/>
    <col min="11779" max="11779" width="55.28515625" style="596" customWidth="1"/>
    <col min="11780" max="11817" width="0" style="596" hidden="1" customWidth="1"/>
    <col min="11818" max="11983" width="9.140625" style="596" customWidth="1"/>
    <col min="11984" max="11984" width="55.28515625" style="596" customWidth="1"/>
    <col min="11985" max="12034" width="0" style="596" hidden="1"/>
    <col min="12035" max="12035" width="55.28515625" style="596" customWidth="1"/>
    <col min="12036" max="12073" width="0" style="596" hidden="1" customWidth="1"/>
    <col min="12074" max="12239" width="9.140625" style="596" customWidth="1"/>
    <col min="12240" max="12240" width="55.28515625" style="596" customWidth="1"/>
    <col min="12241" max="12290" width="0" style="596" hidden="1"/>
    <col min="12291" max="12291" width="55.28515625" style="596" customWidth="1"/>
    <col min="12292" max="12329" width="0" style="596" hidden="1" customWidth="1"/>
    <col min="12330" max="12495" width="9.140625" style="596" customWidth="1"/>
    <col min="12496" max="12496" width="55.28515625" style="596" customWidth="1"/>
    <col min="12497" max="12546" width="0" style="596" hidden="1"/>
    <col min="12547" max="12547" width="55.28515625" style="596" customWidth="1"/>
    <col min="12548" max="12585" width="0" style="596" hidden="1" customWidth="1"/>
    <col min="12586" max="12751" width="9.140625" style="596" customWidth="1"/>
    <col min="12752" max="12752" width="55.28515625" style="596" customWidth="1"/>
    <col min="12753" max="12802" width="0" style="596" hidden="1"/>
    <col min="12803" max="12803" width="55.28515625" style="596" customWidth="1"/>
    <col min="12804" max="12841" width="0" style="596" hidden="1" customWidth="1"/>
    <col min="12842" max="13007" width="9.140625" style="596" customWidth="1"/>
    <col min="13008" max="13008" width="55.28515625" style="596" customWidth="1"/>
    <col min="13009" max="13058" width="0" style="596" hidden="1"/>
    <col min="13059" max="13059" width="55.28515625" style="596" customWidth="1"/>
    <col min="13060" max="13097" width="0" style="596" hidden="1" customWidth="1"/>
    <col min="13098" max="13263" width="9.140625" style="596" customWidth="1"/>
    <col min="13264" max="13264" width="55.28515625" style="596" customWidth="1"/>
    <col min="13265" max="13314" width="0" style="596" hidden="1"/>
    <col min="13315" max="13315" width="55.28515625" style="596" customWidth="1"/>
    <col min="13316" max="13353" width="0" style="596" hidden="1" customWidth="1"/>
    <col min="13354" max="13519" width="9.140625" style="596" customWidth="1"/>
    <col min="13520" max="13520" width="55.28515625" style="596" customWidth="1"/>
    <col min="13521" max="13570" width="0" style="596" hidden="1"/>
    <col min="13571" max="13571" width="55.28515625" style="596" customWidth="1"/>
    <col min="13572" max="13609" width="0" style="596" hidden="1" customWidth="1"/>
    <col min="13610" max="13775" width="9.140625" style="596" customWidth="1"/>
    <col min="13776" max="13776" width="55.28515625" style="596" customWidth="1"/>
    <col min="13777" max="13826" width="0" style="596" hidden="1"/>
    <col min="13827" max="13827" width="55.28515625" style="596" customWidth="1"/>
    <col min="13828" max="13865" width="0" style="596" hidden="1" customWidth="1"/>
    <col min="13866" max="14031" width="9.140625" style="596" customWidth="1"/>
    <col min="14032" max="14032" width="55.28515625" style="596" customWidth="1"/>
    <col min="14033" max="14082" width="0" style="596" hidden="1"/>
    <col min="14083" max="14083" width="55.28515625" style="596" customWidth="1"/>
    <col min="14084" max="14121" width="0" style="596" hidden="1" customWidth="1"/>
    <col min="14122" max="14287" width="9.140625" style="596" customWidth="1"/>
    <col min="14288" max="14288" width="55.28515625" style="596" customWidth="1"/>
    <col min="14289" max="14338" width="0" style="596" hidden="1"/>
    <col min="14339" max="14339" width="55.28515625" style="596" customWidth="1"/>
    <col min="14340" max="14377" width="0" style="596" hidden="1" customWidth="1"/>
    <col min="14378" max="14543" width="9.140625" style="596" customWidth="1"/>
    <col min="14544" max="14544" width="55.28515625" style="596" customWidth="1"/>
    <col min="14545" max="14594" width="0" style="596" hidden="1"/>
    <col min="14595" max="14595" width="55.28515625" style="596" customWidth="1"/>
    <col min="14596" max="14633" width="0" style="596" hidden="1" customWidth="1"/>
    <col min="14634" max="14799" width="9.140625" style="596" customWidth="1"/>
    <col min="14800" max="14800" width="55.28515625" style="596" customWidth="1"/>
    <col min="14801" max="14850" width="0" style="596" hidden="1"/>
    <col min="14851" max="14851" width="55.28515625" style="596" customWidth="1"/>
    <col min="14852" max="14889" width="0" style="596" hidden="1" customWidth="1"/>
    <col min="14890" max="15055" width="9.140625" style="596" customWidth="1"/>
    <col min="15056" max="15056" width="55.28515625" style="596" customWidth="1"/>
    <col min="15057" max="15106" width="0" style="596" hidden="1"/>
    <col min="15107" max="15107" width="55.28515625" style="596" customWidth="1"/>
    <col min="15108" max="15145" width="0" style="596" hidden="1" customWidth="1"/>
    <col min="15146" max="15311" width="9.140625" style="596" customWidth="1"/>
    <col min="15312" max="15312" width="55.28515625" style="596" customWidth="1"/>
    <col min="15313" max="15362" width="0" style="596" hidden="1"/>
    <col min="15363" max="15363" width="55.28515625" style="596" customWidth="1"/>
    <col min="15364" max="15401" width="0" style="596" hidden="1" customWidth="1"/>
    <col min="15402" max="15567" width="9.140625" style="596" customWidth="1"/>
    <col min="15568" max="15568" width="55.28515625" style="596" customWidth="1"/>
    <col min="15569" max="15618" width="0" style="596" hidden="1"/>
    <col min="15619" max="15619" width="55.28515625" style="596" customWidth="1"/>
    <col min="15620" max="15657" width="0" style="596" hidden="1" customWidth="1"/>
    <col min="15658" max="15823" width="9.140625" style="596" customWidth="1"/>
    <col min="15824" max="15824" width="55.28515625" style="596" customWidth="1"/>
    <col min="15825" max="15874" width="0" style="596" hidden="1"/>
    <col min="15875" max="15875" width="55.28515625" style="596" customWidth="1"/>
    <col min="15876" max="15913" width="0" style="596" hidden="1" customWidth="1"/>
    <col min="15914" max="16079" width="9.140625" style="596" customWidth="1"/>
    <col min="16080" max="16080" width="55.28515625" style="596" customWidth="1"/>
    <col min="16081" max="16130" width="0" style="596" hidden="1"/>
    <col min="16131" max="16131" width="55.28515625" style="596" customWidth="1"/>
    <col min="16132" max="16169" width="0" style="596" hidden="1" customWidth="1"/>
    <col min="16170" max="16335" width="9.140625" style="596" customWidth="1"/>
    <col min="16336" max="16336" width="55.28515625" style="596" customWidth="1"/>
    <col min="16337" max="16384" width="0" style="596" hidden="1"/>
  </cols>
  <sheetData>
    <row r="1" spans="1:77" ht="25.5" customHeight="1" x14ac:dyDescent="0.3">
      <c r="A1" s="595" t="s">
        <v>476</v>
      </c>
    </row>
    <row r="2" spans="1:77" x14ac:dyDescent="0.2">
      <c r="A2" s="597"/>
    </row>
    <row r="3" spans="1:77" ht="15.75" thickBot="1" x14ac:dyDescent="0.3">
      <c r="A3" s="598"/>
      <c r="B3" s="599"/>
      <c r="C3" s="599"/>
      <c r="D3" s="599"/>
      <c r="E3" s="599"/>
      <c r="G3" s="599"/>
      <c r="H3" s="599"/>
      <c r="I3" s="599"/>
      <c r="K3" s="599"/>
      <c r="N3" s="599"/>
      <c r="O3" s="599"/>
      <c r="P3" s="599"/>
      <c r="Q3" s="599"/>
      <c r="R3" s="599"/>
      <c r="S3" s="599"/>
      <c r="T3" s="599"/>
      <c r="U3" s="599"/>
      <c r="V3" s="599"/>
      <c r="W3" s="599"/>
      <c r="X3" s="599"/>
      <c r="Y3" s="600"/>
      <c r="Z3" s="600"/>
      <c r="AA3" s="600"/>
      <c r="AB3" s="600"/>
      <c r="AC3" s="600"/>
      <c r="AD3" s="601"/>
      <c r="AE3" s="601"/>
      <c r="AF3" s="601"/>
      <c r="AG3" s="601"/>
      <c r="AH3" s="601"/>
      <c r="AI3" s="601"/>
      <c r="AJ3" s="601"/>
      <c r="AK3" s="602"/>
      <c r="AL3" s="602"/>
      <c r="AM3" s="602"/>
      <c r="AN3" s="602"/>
      <c r="AO3" s="602"/>
      <c r="AP3" s="602"/>
      <c r="AV3" s="602"/>
      <c r="AW3" s="602"/>
      <c r="AX3" s="602"/>
      <c r="BA3" s="603"/>
      <c r="BB3" s="603"/>
      <c r="BD3" s="603"/>
      <c r="BE3" s="603"/>
      <c r="BF3" s="603"/>
      <c r="BG3" s="603"/>
      <c r="BH3" s="603"/>
      <c r="BY3" s="603" t="s">
        <v>73</v>
      </c>
    </row>
    <row r="4" spans="1:77" ht="24" customHeight="1" thickTop="1" thickBot="1" x14ac:dyDescent="0.3">
      <c r="A4" s="604"/>
      <c r="B4" s="469">
        <v>40179</v>
      </c>
      <c r="C4" s="469">
        <v>40211</v>
      </c>
      <c r="D4" s="469">
        <v>40239</v>
      </c>
      <c r="E4" s="469">
        <v>40270</v>
      </c>
      <c r="F4" s="469">
        <v>40300</v>
      </c>
      <c r="G4" s="469">
        <v>40331</v>
      </c>
      <c r="H4" s="469">
        <v>40361</v>
      </c>
      <c r="I4" s="469">
        <v>40392</v>
      </c>
      <c r="J4" s="469">
        <v>40423</v>
      </c>
      <c r="K4" s="469">
        <v>40453</v>
      </c>
      <c r="L4" s="469">
        <v>40484</v>
      </c>
      <c r="M4" s="469">
        <v>40514</v>
      </c>
      <c r="N4" s="469">
        <v>40545</v>
      </c>
      <c r="O4" s="469">
        <v>40576</v>
      </c>
      <c r="P4" s="469">
        <v>40604</v>
      </c>
      <c r="Q4" s="469">
        <v>40635</v>
      </c>
      <c r="R4" s="469">
        <v>40665</v>
      </c>
      <c r="S4" s="469">
        <v>40696</v>
      </c>
      <c r="T4" s="469">
        <v>40726</v>
      </c>
      <c r="U4" s="469">
        <v>40757</v>
      </c>
      <c r="V4" s="469">
        <v>40788</v>
      </c>
      <c r="W4" s="469">
        <v>40818</v>
      </c>
      <c r="X4" s="469">
        <v>40849</v>
      </c>
      <c r="Y4" s="469">
        <v>40879</v>
      </c>
      <c r="Z4" s="469">
        <v>40910</v>
      </c>
      <c r="AA4" s="469">
        <v>40941</v>
      </c>
      <c r="AB4" s="469">
        <v>40970</v>
      </c>
      <c r="AC4" s="469">
        <v>41001</v>
      </c>
      <c r="AD4" s="466">
        <v>41031</v>
      </c>
      <c r="AE4" s="467">
        <v>41062</v>
      </c>
      <c r="AF4" s="467">
        <v>41092</v>
      </c>
      <c r="AG4" s="467">
        <v>41123</v>
      </c>
      <c r="AH4" s="467">
        <v>41154</v>
      </c>
      <c r="AI4" s="467">
        <v>41184</v>
      </c>
      <c r="AJ4" s="467">
        <v>41215</v>
      </c>
      <c r="AK4" s="467">
        <v>41245</v>
      </c>
      <c r="AL4" s="467">
        <v>41276</v>
      </c>
      <c r="AM4" s="467">
        <v>41307</v>
      </c>
      <c r="AN4" s="467">
        <v>41335</v>
      </c>
      <c r="AO4" s="467">
        <v>41366</v>
      </c>
      <c r="AP4" s="467">
        <v>41396</v>
      </c>
      <c r="AQ4" s="465">
        <v>41427</v>
      </c>
      <c r="AR4" s="469">
        <v>41457</v>
      </c>
      <c r="AS4" s="469">
        <v>41488</v>
      </c>
      <c r="AT4" s="469">
        <v>41519</v>
      </c>
      <c r="AU4" s="469">
        <v>41549</v>
      </c>
      <c r="AV4" s="469">
        <v>41580</v>
      </c>
      <c r="AW4" s="469">
        <v>41610</v>
      </c>
      <c r="AX4" s="469">
        <v>41641</v>
      </c>
      <c r="AY4" s="469">
        <v>41672</v>
      </c>
      <c r="AZ4" s="469">
        <v>41700</v>
      </c>
      <c r="BA4" s="469">
        <v>41731</v>
      </c>
      <c r="BB4" s="469">
        <v>41761</v>
      </c>
      <c r="BC4" s="469">
        <v>41791</v>
      </c>
      <c r="BD4" s="469">
        <v>41821</v>
      </c>
      <c r="BE4" s="469">
        <v>41852</v>
      </c>
      <c r="BF4" s="469">
        <v>41883</v>
      </c>
      <c r="BG4" s="469">
        <v>41914</v>
      </c>
      <c r="BH4" s="469">
        <v>41945</v>
      </c>
      <c r="BI4" s="469">
        <v>41975</v>
      </c>
      <c r="BJ4" s="469">
        <v>42006</v>
      </c>
      <c r="BK4" s="469">
        <v>42037</v>
      </c>
      <c r="BL4" s="469">
        <v>42065</v>
      </c>
      <c r="BM4" s="469">
        <v>42096</v>
      </c>
      <c r="BN4" s="469">
        <v>42126</v>
      </c>
      <c r="BO4" s="469">
        <v>42157</v>
      </c>
      <c r="BP4" s="469">
        <v>42187</v>
      </c>
      <c r="BQ4" s="469">
        <v>42218</v>
      </c>
      <c r="BR4" s="469">
        <v>42249</v>
      </c>
      <c r="BS4" s="469">
        <v>42279</v>
      </c>
      <c r="BT4" s="469">
        <v>42310</v>
      </c>
      <c r="BU4" s="469">
        <v>42340</v>
      </c>
      <c r="BV4" s="469">
        <v>42371</v>
      </c>
      <c r="BW4" s="469">
        <v>42402</v>
      </c>
      <c r="BX4" s="469">
        <v>42431</v>
      </c>
      <c r="BY4" s="469">
        <v>42462</v>
      </c>
    </row>
    <row r="5" spans="1:77" ht="15.75" thickTop="1" x14ac:dyDescent="0.25">
      <c r="A5" s="605"/>
      <c r="B5" s="606"/>
      <c r="C5" s="606"/>
      <c r="D5" s="606"/>
      <c r="E5" s="606"/>
      <c r="F5" s="606"/>
      <c r="G5" s="606"/>
      <c r="H5" s="606"/>
      <c r="I5" s="606"/>
      <c r="J5" s="606"/>
      <c r="K5" s="606"/>
      <c r="L5" s="606"/>
      <c r="M5" s="606"/>
      <c r="N5" s="606"/>
      <c r="O5" s="606"/>
      <c r="P5" s="606"/>
      <c r="Q5" s="606"/>
      <c r="R5" s="606"/>
      <c r="S5" s="606"/>
      <c r="T5" s="606"/>
      <c r="U5" s="606"/>
      <c r="V5" s="606"/>
      <c r="W5" s="606"/>
      <c r="X5" s="606"/>
      <c r="Y5" s="606"/>
      <c r="Z5" s="606"/>
      <c r="AA5" s="606"/>
      <c r="AB5" s="606"/>
      <c r="AC5" s="606"/>
      <c r="AD5" s="607"/>
      <c r="AE5" s="608"/>
      <c r="AF5" s="608"/>
      <c r="AG5" s="608"/>
      <c r="AH5" s="608"/>
      <c r="AI5" s="608"/>
      <c r="AJ5" s="608"/>
      <c r="AK5" s="608"/>
      <c r="AL5" s="608"/>
      <c r="AM5" s="608"/>
      <c r="AN5" s="586"/>
      <c r="AO5" s="586"/>
      <c r="AP5" s="586"/>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row>
    <row r="6" spans="1:77" ht="17.25" customHeight="1" x14ac:dyDescent="0.2">
      <c r="A6" s="610" t="s">
        <v>477</v>
      </c>
      <c r="B6" s="611">
        <v>66426.303235972882</v>
      </c>
      <c r="C6" s="611">
        <v>67813.347178623269</v>
      </c>
      <c r="D6" s="611">
        <v>67350.55298928589</v>
      </c>
      <c r="E6" s="611">
        <v>67898.424276395206</v>
      </c>
      <c r="F6" s="611">
        <v>70563.533940011592</v>
      </c>
      <c r="G6" s="611">
        <v>69029.206086238628</v>
      </c>
      <c r="H6" s="611">
        <v>69173.827566074178</v>
      </c>
      <c r="I6" s="611">
        <v>70109.753901685341</v>
      </c>
      <c r="J6" s="611">
        <v>73222.669057128718</v>
      </c>
      <c r="K6" s="611">
        <v>72628.910586909114</v>
      </c>
      <c r="L6" s="611">
        <v>74948.541309052278</v>
      </c>
      <c r="M6" s="611">
        <v>77907.26620021234</v>
      </c>
      <c r="N6" s="611">
        <v>74640.649942564065</v>
      </c>
      <c r="O6" s="611">
        <v>74618.615312754191</v>
      </c>
      <c r="P6" s="611">
        <v>76376.735414886105</v>
      </c>
      <c r="Q6" s="611">
        <v>75700.789623743025</v>
      </c>
      <c r="R6" s="611">
        <v>77269.692369705648</v>
      </c>
      <c r="S6" s="611">
        <v>79953.017943437662</v>
      </c>
      <c r="T6" s="611">
        <v>79074.75525046949</v>
      </c>
      <c r="U6" s="611">
        <v>79520.667822633579</v>
      </c>
      <c r="V6" s="611">
        <v>78671.260029511788</v>
      </c>
      <c r="W6" s="611">
        <v>81199.667306703283</v>
      </c>
      <c r="X6" s="611">
        <v>77556.049942866448</v>
      </c>
      <c r="Y6" s="611">
        <v>80100.875885288551</v>
      </c>
      <c r="Z6" s="611">
        <v>80040.746933815622</v>
      </c>
      <c r="AA6" s="611">
        <v>79939.581236785903</v>
      </c>
      <c r="AB6" s="611">
        <v>79411.668224062698</v>
      </c>
      <c r="AC6" s="611">
        <v>79032.748513622151</v>
      </c>
      <c r="AD6" s="612">
        <v>78098.527743300889</v>
      </c>
      <c r="AE6" s="613">
        <v>85159.248901662751</v>
      </c>
      <c r="AF6" s="613">
        <v>86394.874568552084</v>
      </c>
      <c r="AG6" s="613">
        <v>86880.112743733043</v>
      </c>
      <c r="AH6" s="613">
        <v>87928.224802783152</v>
      </c>
      <c r="AI6" s="613">
        <v>88106.871545446251</v>
      </c>
      <c r="AJ6" s="613">
        <v>90488.3945909303</v>
      </c>
      <c r="AK6" s="613">
        <v>91559.825805914632</v>
      </c>
      <c r="AL6" s="613">
        <v>94098.106945505308</v>
      </c>
      <c r="AM6" s="613">
        <v>93549.31388682939</v>
      </c>
      <c r="AN6" s="614">
        <v>96754.802980609718</v>
      </c>
      <c r="AO6" s="614">
        <v>95870.007278678371</v>
      </c>
      <c r="AP6" s="614">
        <v>104072.51915873688</v>
      </c>
      <c r="AQ6" s="615">
        <v>103579.9323233067</v>
      </c>
      <c r="AR6" s="615">
        <v>100694.20800170788</v>
      </c>
      <c r="AS6" s="615">
        <v>99291.769986535714</v>
      </c>
      <c r="AT6" s="615">
        <v>100933.44968334469</v>
      </c>
      <c r="AU6" s="615">
        <v>100229.18125081969</v>
      </c>
      <c r="AV6" s="615">
        <v>99261.274187500021</v>
      </c>
      <c r="AW6" s="615">
        <v>103497.94482550361</v>
      </c>
      <c r="AX6" s="615">
        <v>102921.43799632388</v>
      </c>
      <c r="AY6" s="615">
        <v>108544.33997084292</v>
      </c>
      <c r="AZ6" s="615">
        <v>110343.08859754098</v>
      </c>
      <c r="BA6" s="615">
        <v>114721.20755311572</v>
      </c>
      <c r="BB6" s="615">
        <v>117055.21513527753</v>
      </c>
      <c r="BC6" s="615">
        <v>119619.60702976644</v>
      </c>
      <c r="BD6" s="615">
        <v>121075.74227892855</v>
      </c>
      <c r="BE6" s="615">
        <v>123260.36938210644</v>
      </c>
      <c r="BF6" s="615">
        <v>120752.98616916555</v>
      </c>
      <c r="BG6" s="615">
        <v>119694.92564294937</v>
      </c>
      <c r="BH6" s="615">
        <v>117838.97237219621</v>
      </c>
      <c r="BI6" s="615">
        <v>122735.45625949455</v>
      </c>
      <c r="BJ6" s="615">
        <v>120049.19112513392</v>
      </c>
      <c r="BK6" s="615">
        <v>126047.57279302411</v>
      </c>
      <c r="BL6" s="615">
        <v>139062.48919025276</v>
      </c>
      <c r="BM6" s="615">
        <v>137586.09214340354</v>
      </c>
      <c r="BN6" s="615">
        <v>138175.21268258648</v>
      </c>
      <c r="BO6" s="615">
        <v>138628.47666558527</v>
      </c>
      <c r="BP6" s="615">
        <v>142104.72795610214</v>
      </c>
      <c r="BQ6" s="615">
        <v>142278.28919419972</v>
      </c>
      <c r="BR6" s="615">
        <v>144450.61180768846</v>
      </c>
      <c r="BS6" s="615">
        <v>148534.72719634642</v>
      </c>
      <c r="BT6" s="615">
        <v>150438.85095480151</v>
      </c>
      <c r="BU6" s="615">
        <v>151519.45790363476</v>
      </c>
      <c r="BV6" s="615">
        <v>153595.05761268668</v>
      </c>
      <c r="BW6" s="615">
        <v>156324.69065769573</v>
      </c>
      <c r="BX6" s="615">
        <v>157406.6914241621</v>
      </c>
      <c r="BY6" s="615">
        <v>156600.80811839449</v>
      </c>
    </row>
    <row r="7" spans="1:77" ht="17.25" customHeight="1" x14ac:dyDescent="0.25">
      <c r="A7" s="616" t="s">
        <v>478</v>
      </c>
      <c r="B7" s="617">
        <v>66492.585799862878</v>
      </c>
      <c r="C7" s="617">
        <v>67862.01856516127</v>
      </c>
      <c r="D7" s="617">
        <v>67430.017346329885</v>
      </c>
      <c r="E7" s="617">
        <v>67945.452102185212</v>
      </c>
      <c r="F7" s="617">
        <v>70614.469927441591</v>
      </c>
      <c r="G7" s="617">
        <v>69077.816955356626</v>
      </c>
      <c r="H7" s="617">
        <v>69265.429972490179</v>
      </c>
      <c r="I7" s="617">
        <v>70224.263039725134</v>
      </c>
      <c r="J7" s="617">
        <v>73306.736101442715</v>
      </c>
      <c r="K7" s="617">
        <v>72737.86993747011</v>
      </c>
      <c r="L7" s="617">
        <v>75058.895358864276</v>
      </c>
      <c r="M7" s="617">
        <v>78026.980681843343</v>
      </c>
      <c r="N7" s="617">
        <v>74759.402480359786</v>
      </c>
      <c r="O7" s="617">
        <v>74756.632415967833</v>
      </c>
      <c r="P7" s="617">
        <v>76503.314619923578</v>
      </c>
      <c r="Q7" s="617">
        <v>75822.721528235488</v>
      </c>
      <c r="R7" s="617">
        <v>77399.73435942053</v>
      </c>
      <c r="S7" s="617">
        <v>80428.540590047662</v>
      </c>
      <c r="T7" s="617">
        <v>79203.946197350044</v>
      </c>
      <c r="U7" s="617">
        <v>79650.466859240361</v>
      </c>
      <c r="V7" s="617">
        <v>78845.458772601793</v>
      </c>
      <c r="W7" s="617">
        <v>81365.965833621827</v>
      </c>
      <c r="X7" s="617">
        <v>77788.750568031581</v>
      </c>
      <c r="Y7" s="617">
        <v>80237.109940980547</v>
      </c>
      <c r="Z7" s="617">
        <v>80176.177110206452</v>
      </c>
      <c r="AA7" s="617">
        <v>80076.559609812335</v>
      </c>
      <c r="AB7" s="617">
        <v>79548.29515837974</v>
      </c>
      <c r="AC7" s="617">
        <v>79170.996508812314</v>
      </c>
      <c r="AD7" s="618">
        <v>78259.701957858124</v>
      </c>
      <c r="AE7" s="619">
        <v>85301.194492148148</v>
      </c>
      <c r="AF7" s="619">
        <v>86536.615580950136</v>
      </c>
      <c r="AG7" s="619">
        <v>86975.8829999195</v>
      </c>
      <c r="AH7" s="619">
        <v>88031.529455901109</v>
      </c>
      <c r="AI7" s="619">
        <v>88210.393405284456</v>
      </c>
      <c r="AJ7" s="619">
        <v>90592.266418886065</v>
      </c>
      <c r="AK7" s="619">
        <v>91662.001872008113</v>
      </c>
      <c r="AL7" s="619">
        <v>94206.306852081107</v>
      </c>
      <c r="AM7" s="619">
        <v>93652.94961204275</v>
      </c>
      <c r="AN7" s="620">
        <v>96856.18605491468</v>
      </c>
      <c r="AO7" s="620">
        <v>95972.828640172738</v>
      </c>
      <c r="AP7" s="620">
        <v>104173.9</v>
      </c>
      <c r="AQ7" s="621">
        <v>103679.96920214912</v>
      </c>
      <c r="AR7" s="621">
        <v>100788.00224111319</v>
      </c>
      <c r="AS7" s="621">
        <v>99389.311397990154</v>
      </c>
      <c r="AT7" s="621">
        <v>101028.76444301031</v>
      </c>
      <c r="AU7" s="621">
        <v>100323.77135378917</v>
      </c>
      <c r="AV7" s="621">
        <v>99353.672925023173</v>
      </c>
      <c r="AW7" s="621">
        <v>103588.59652304999</v>
      </c>
      <c r="AX7" s="621">
        <v>103056.83719043</v>
      </c>
      <c r="AY7" s="621">
        <v>108803.3230663904</v>
      </c>
      <c r="AZ7" s="621">
        <v>110599.60209876251</v>
      </c>
      <c r="BA7" s="621">
        <v>114974.06548828747</v>
      </c>
      <c r="BB7" s="621">
        <v>117312.07808435091</v>
      </c>
      <c r="BC7" s="621">
        <v>119944.65630671878</v>
      </c>
      <c r="BD7" s="621">
        <v>121350.88133572963</v>
      </c>
      <c r="BE7" s="621">
        <v>123535.35157167081</v>
      </c>
      <c r="BF7" s="621">
        <v>121023.82463929077</v>
      </c>
      <c r="BG7" s="621">
        <v>119863.62063081395</v>
      </c>
      <c r="BH7" s="621">
        <v>118004.01682056001</v>
      </c>
      <c r="BI7" s="621">
        <v>122902.86876265999</v>
      </c>
      <c r="BJ7" s="621">
        <v>120224.55203825</v>
      </c>
      <c r="BK7" s="621">
        <v>126134.09181294555</v>
      </c>
      <c r="BL7" s="621">
        <v>139159.55671709255</v>
      </c>
      <c r="BM7" s="621">
        <v>137675.95125165879</v>
      </c>
      <c r="BN7" s="621">
        <v>138270.08388301558</v>
      </c>
      <c r="BO7" s="621">
        <v>138736.36289079723</v>
      </c>
      <c r="BP7" s="621">
        <v>142244.00566068699</v>
      </c>
      <c r="BQ7" s="621">
        <v>142429.89123584275</v>
      </c>
      <c r="BR7" s="621">
        <v>144610.22775594323</v>
      </c>
      <c r="BS7" s="621">
        <v>148654.91652434878</v>
      </c>
      <c r="BT7" s="621">
        <v>150583.3164485539</v>
      </c>
      <c r="BU7" s="621">
        <v>151856.27698822602</v>
      </c>
      <c r="BV7" s="621">
        <v>153914.60229189318</v>
      </c>
      <c r="BW7" s="621">
        <v>156583.09698075289</v>
      </c>
      <c r="BX7" s="621">
        <v>157680.25910065058</v>
      </c>
      <c r="BY7" s="621">
        <v>156873.46849497192</v>
      </c>
    </row>
    <row r="8" spans="1:77" ht="17.25" customHeight="1" x14ac:dyDescent="0.25">
      <c r="A8" s="616" t="s">
        <v>479</v>
      </c>
      <c r="B8" s="617">
        <v>66.282563890000006</v>
      </c>
      <c r="C8" s="617">
        <v>48.671386537999993</v>
      </c>
      <c r="D8" s="617">
        <v>79.464357043999996</v>
      </c>
      <c r="E8" s="617">
        <v>47.027825789999994</v>
      </c>
      <c r="F8" s="617">
        <v>50.935987430000004</v>
      </c>
      <c r="G8" s="617">
        <v>48.610869118000004</v>
      </c>
      <c r="H8" s="617">
        <v>91.602406415999994</v>
      </c>
      <c r="I8" s="617">
        <v>114.50913803979999</v>
      </c>
      <c r="J8" s="617">
        <v>84.067044314</v>
      </c>
      <c r="K8" s="617">
        <v>108.95935056100001</v>
      </c>
      <c r="L8" s="617">
        <v>110.354049812</v>
      </c>
      <c r="M8" s="617">
        <v>119.71448163099998</v>
      </c>
      <c r="N8" s="617">
        <v>118.75253779572</v>
      </c>
      <c r="O8" s="617">
        <v>138.01710321363998</v>
      </c>
      <c r="P8" s="617">
        <v>126.57920503747999</v>
      </c>
      <c r="Q8" s="617">
        <v>121.93190449245998</v>
      </c>
      <c r="R8" s="617">
        <v>130.04198971488</v>
      </c>
      <c r="S8" s="617">
        <v>475.52264660999992</v>
      </c>
      <c r="T8" s="617">
        <v>129.19094688056001</v>
      </c>
      <c r="U8" s="617">
        <v>129.79903660677999</v>
      </c>
      <c r="V8" s="617">
        <v>174.19874308999999</v>
      </c>
      <c r="W8" s="617">
        <v>166.29852691854001</v>
      </c>
      <c r="X8" s="617">
        <v>232.70062516512718</v>
      </c>
      <c r="Y8" s="617">
        <v>136.234055692</v>
      </c>
      <c r="Z8" s="617">
        <v>135.43017639083101</v>
      </c>
      <c r="AA8" s="617">
        <v>136.97837302643597</v>
      </c>
      <c r="AB8" s="617">
        <v>136.62693431704</v>
      </c>
      <c r="AC8" s="617">
        <v>138.24799519016801</v>
      </c>
      <c r="AD8" s="618">
        <v>161.1742145572403</v>
      </c>
      <c r="AE8" s="619">
        <v>141.945590485396</v>
      </c>
      <c r="AF8" s="619">
        <v>141.74101239805501</v>
      </c>
      <c r="AG8" s="619">
        <v>95.770256186449998</v>
      </c>
      <c r="AH8" s="619">
        <v>103.30465311795001</v>
      </c>
      <c r="AI8" s="619">
        <v>103.5218598382</v>
      </c>
      <c r="AJ8" s="619">
        <v>103.87182795577</v>
      </c>
      <c r="AK8" s="619">
        <v>102.17606609348002</v>
      </c>
      <c r="AL8" s="619">
        <v>108.19990657579299</v>
      </c>
      <c r="AM8" s="619">
        <v>103.635725213366</v>
      </c>
      <c r="AN8" s="620">
        <v>101.38307430495601</v>
      </c>
      <c r="AO8" s="620">
        <v>102.82136149436799</v>
      </c>
      <c r="AP8" s="620">
        <v>101.433573398102</v>
      </c>
      <c r="AQ8" s="621">
        <v>100.03687884241801</v>
      </c>
      <c r="AR8" s="621">
        <v>93.794239405303003</v>
      </c>
      <c r="AS8" s="621">
        <v>97.541411454433984</v>
      </c>
      <c r="AT8" s="621">
        <v>95.314759665617004</v>
      </c>
      <c r="AU8" s="621">
        <v>94.590102969479005</v>
      </c>
      <c r="AV8" s="621">
        <v>92.398737523146991</v>
      </c>
      <c r="AW8" s="621">
        <v>90.651697546370997</v>
      </c>
      <c r="AX8" s="621">
        <v>135.39919410613217</v>
      </c>
      <c r="AY8" s="621">
        <v>258.98309554747982</v>
      </c>
      <c r="AZ8" s="621">
        <v>256.51350122152587</v>
      </c>
      <c r="BA8" s="621">
        <v>252.85793517174864</v>
      </c>
      <c r="BB8" s="621">
        <v>256.86294907339197</v>
      </c>
      <c r="BC8" s="621">
        <v>325.04927695233687</v>
      </c>
      <c r="BD8" s="621">
        <v>275.13905680107899</v>
      </c>
      <c r="BE8" s="621">
        <v>274.98218956436813</v>
      </c>
      <c r="BF8" s="621">
        <v>270.83847012521659</v>
      </c>
      <c r="BG8" s="621">
        <v>168.69498786457569</v>
      </c>
      <c r="BH8" s="621">
        <v>165.04444836380523</v>
      </c>
      <c r="BI8" s="621">
        <v>167.41250316544603</v>
      </c>
      <c r="BJ8" s="621">
        <v>175.36091311607953</v>
      </c>
      <c r="BK8" s="621">
        <v>86.519019921446016</v>
      </c>
      <c r="BL8" s="621">
        <v>97.067526839780001</v>
      </c>
      <c r="BM8" s="621">
        <v>89.859108255252991</v>
      </c>
      <c r="BN8" s="621">
        <v>94.871200429091999</v>
      </c>
      <c r="BO8" s="621">
        <v>107.886225211962</v>
      </c>
      <c r="BP8" s="621">
        <v>139.27770458484602</v>
      </c>
      <c r="BQ8" s="621">
        <v>151.60204164301402</v>
      </c>
      <c r="BR8" s="621">
        <v>159.61594825475598</v>
      </c>
      <c r="BS8" s="621">
        <v>120.1893280023761</v>
      </c>
      <c r="BT8" s="621">
        <v>144.46549375238908</v>
      </c>
      <c r="BU8" s="621">
        <v>336.81908459124696</v>
      </c>
      <c r="BV8" s="621">
        <v>319.54467920649489</v>
      </c>
      <c r="BW8" s="621">
        <v>258.40632305715008</v>
      </c>
      <c r="BX8" s="621">
        <v>273.56767648848967</v>
      </c>
      <c r="BY8" s="621">
        <v>272.66037657743135</v>
      </c>
    </row>
    <row r="9" spans="1:77" ht="17.25" customHeight="1" x14ac:dyDescent="0.25">
      <c r="A9" s="622"/>
      <c r="B9" s="623"/>
      <c r="C9" s="623"/>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4"/>
      <c r="AE9" s="625"/>
      <c r="AF9" s="625"/>
      <c r="AG9" s="625"/>
      <c r="AH9" s="625"/>
      <c r="AI9" s="625"/>
      <c r="AJ9" s="625"/>
      <c r="AK9" s="625"/>
      <c r="AL9" s="625"/>
      <c r="AM9" s="625"/>
      <c r="AN9" s="626"/>
      <c r="AO9" s="626"/>
      <c r="AP9" s="626"/>
      <c r="AQ9" s="627"/>
      <c r="AR9" s="627"/>
      <c r="AS9" s="627"/>
      <c r="AT9" s="627"/>
      <c r="AU9" s="627"/>
      <c r="AV9" s="627"/>
      <c r="AW9" s="627"/>
      <c r="AX9" s="627"/>
      <c r="AY9" s="627"/>
      <c r="AZ9" s="627"/>
      <c r="BA9" s="627"/>
      <c r="BB9" s="627"/>
      <c r="BC9" s="627"/>
      <c r="BD9" s="627"/>
      <c r="BE9" s="627"/>
      <c r="BF9" s="627"/>
      <c r="BG9" s="627"/>
      <c r="BH9" s="627"/>
      <c r="BI9" s="627"/>
      <c r="BJ9" s="627"/>
      <c r="BK9" s="627"/>
      <c r="BL9" s="627"/>
      <c r="BM9" s="627"/>
      <c r="BN9" s="627"/>
      <c r="BO9" s="627"/>
      <c r="BP9" s="627"/>
      <c r="BQ9" s="627"/>
      <c r="BR9" s="627"/>
      <c r="BS9" s="627"/>
      <c r="BT9" s="627"/>
      <c r="BU9" s="627"/>
      <c r="BV9" s="627"/>
      <c r="BW9" s="627"/>
      <c r="BX9" s="627"/>
      <c r="BY9" s="627"/>
    </row>
    <row r="10" spans="1:77" ht="17.25" customHeight="1" x14ac:dyDescent="0.2">
      <c r="A10" s="610" t="s">
        <v>480</v>
      </c>
      <c r="B10" s="611">
        <v>416.39877228</v>
      </c>
      <c r="C10" s="611">
        <v>398.98351687999997</v>
      </c>
      <c r="D10" s="611">
        <v>464.59303090000003</v>
      </c>
      <c r="E10" s="611">
        <v>369.60301450999998</v>
      </c>
      <c r="F10" s="611">
        <v>408.48481404999995</v>
      </c>
      <c r="G10" s="611">
        <v>451.59551101999995</v>
      </c>
      <c r="H10" s="611">
        <v>445.53247376000002</v>
      </c>
      <c r="I10" s="611">
        <v>375.32156171000003</v>
      </c>
      <c r="J10" s="611">
        <v>729.0334312199999</v>
      </c>
      <c r="K10" s="611">
        <v>725.01450312999987</v>
      </c>
      <c r="L10" s="611">
        <v>1098.9094759899999</v>
      </c>
      <c r="M10" s="611">
        <v>992.11887309000008</v>
      </c>
      <c r="N10" s="611">
        <v>1201.4398751599999</v>
      </c>
      <c r="O10" s="611">
        <v>986.17518556999994</v>
      </c>
      <c r="P10" s="611">
        <v>242.02596110999997</v>
      </c>
      <c r="Q10" s="611">
        <v>265.07175250999995</v>
      </c>
      <c r="R10" s="611">
        <v>629.2786777099999</v>
      </c>
      <c r="S10" s="611">
        <v>246.32987396999999</v>
      </c>
      <c r="T10" s="611">
        <v>1772.48621953</v>
      </c>
      <c r="U10" s="611">
        <v>1112.8485640200001</v>
      </c>
      <c r="V10" s="611">
        <v>719.99327042000004</v>
      </c>
      <c r="W10" s="611">
        <v>955.00277437</v>
      </c>
      <c r="X10" s="611">
        <v>1127.9270470100003</v>
      </c>
      <c r="Y10" s="611">
        <v>1138.7372729100002</v>
      </c>
      <c r="Z10" s="611">
        <v>1211.1530704200002</v>
      </c>
      <c r="AA10" s="611">
        <v>1131.4411226499999</v>
      </c>
      <c r="AB10" s="611">
        <v>1179.4819348599999</v>
      </c>
      <c r="AC10" s="611">
        <v>1157.8965479799999</v>
      </c>
      <c r="AD10" s="612">
        <v>218.86825797</v>
      </c>
      <c r="AE10" s="613">
        <v>450.09873363999998</v>
      </c>
      <c r="AF10" s="613">
        <v>152.5676181</v>
      </c>
      <c r="AG10" s="613">
        <v>445.32254952000005</v>
      </c>
      <c r="AH10" s="613">
        <v>763.68187892000003</v>
      </c>
      <c r="AI10" s="613">
        <v>1163.6323081500002</v>
      </c>
      <c r="AJ10" s="613">
        <v>1325.8463739199999</v>
      </c>
      <c r="AK10" s="613">
        <v>1804.5649623700001</v>
      </c>
      <c r="AL10" s="613">
        <v>2146.9082228399998</v>
      </c>
      <c r="AM10" s="613">
        <v>2114.7532336799995</v>
      </c>
      <c r="AN10" s="614">
        <v>2108.0848065299997</v>
      </c>
      <c r="AO10" s="614">
        <v>2342.2126538799998</v>
      </c>
      <c r="AP10" s="614">
        <v>1233.3859579699999</v>
      </c>
      <c r="AQ10" s="615">
        <v>1546.1322582800001</v>
      </c>
      <c r="AR10" s="615">
        <v>1729.84466681</v>
      </c>
      <c r="AS10" s="615">
        <v>2100.3866184399999</v>
      </c>
      <c r="AT10" s="615">
        <v>2973.8737531799998</v>
      </c>
      <c r="AU10" s="615">
        <v>2466.6333634100001</v>
      </c>
      <c r="AV10" s="615">
        <v>2627.7498871299995</v>
      </c>
      <c r="AW10" s="615">
        <v>2715.6635386299995</v>
      </c>
      <c r="AX10" s="615">
        <v>3505.64319918</v>
      </c>
      <c r="AY10" s="615">
        <v>3459.2269215600004</v>
      </c>
      <c r="AZ10" s="615">
        <v>3529.4347085599993</v>
      </c>
      <c r="BA10" s="615">
        <v>3453.8968748400002</v>
      </c>
      <c r="BB10" s="615">
        <v>2412.4059201499999</v>
      </c>
      <c r="BC10" s="615">
        <v>2414.3403686699999</v>
      </c>
      <c r="BD10" s="615">
        <v>1784.51822917</v>
      </c>
      <c r="BE10" s="615">
        <v>2049.3917820399997</v>
      </c>
      <c r="BF10" s="615">
        <v>2089.3361430999998</v>
      </c>
      <c r="BG10" s="615">
        <v>2102.1365570700004</v>
      </c>
      <c r="BH10" s="615">
        <v>2294.0404291999994</v>
      </c>
      <c r="BI10" s="615">
        <v>2467.8894129999999</v>
      </c>
      <c r="BJ10" s="615">
        <v>2207.8287976499996</v>
      </c>
      <c r="BK10" s="615">
        <v>2382.2947444899996</v>
      </c>
      <c r="BL10" s="615">
        <v>2443.1738772899998</v>
      </c>
      <c r="BM10" s="615">
        <v>2611.5448260100006</v>
      </c>
      <c r="BN10" s="615">
        <v>2007.7485255200002</v>
      </c>
      <c r="BO10" s="615">
        <v>2027.59553033</v>
      </c>
      <c r="BP10" s="615">
        <v>1574.8875632300001</v>
      </c>
      <c r="BQ10" s="615">
        <v>1242.43514559</v>
      </c>
      <c r="BR10" s="615">
        <v>1307.1408722699998</v>
      </c>
      <c r="BS10" s="615">
        <v>1065.56092048</v>
      </c>
      <c r="BT10" s="615">
        <v>1057.6542133000003</v>
      </c>
      <c r="BU10" s="615">
        <v>1056.7309541700001</v>
      </c>
      <c r="BV10" s="615">
        <v>996.92193865999991</v>
      </c>
      <c r="BW10" s="615">
        <v>1008.8143971</v>
      </c>
      <c r="BX10" s="615">
        <v>1011.9442757100001</v>
      </c>
      <c r="BY10" s="615">
        <v>1066.7009175000001</v>
      </c>
    </row>
    <row r="11" spans="1:77" ht="17.25" customHeight="1" x14ac:dyDescent="0.25">
      <c r="A11" s="622"/>
      <c r="B11" s="623"/>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4"/>
      <c r="AE11" s="625"/>
      <c r="AF11" s="625"/>
      <c r="AG11" s="625"/>
      <c r="AH11" s="625"/>
      <c r="AI11" s="625"/>
      <c r="AJ11" s="625"/>
      <c r="AK11" s="625"/>
      <c r="AL11" s="625"/>
      <c r="AM11" s="625"/>
      <c r="AN11" s="626"/>
      <c r="AO11" s="626"/>
      <c r="AP11" s="626"/>
      <c r="AQ11" s="627"/>
      <c r="AR11" s="627"/>
      <c r="AS11" s="627"/>
      <c r="AT11" s="627"/>
      <c r="AU11" s="627"/>
      <c r="AV11" s="627"/>
      <c r="AW11" s="627"/>
      <c r="AX11" s="627"/>
      <c r="AY11" s="627"/>
      <c r="AZ11" s="627"/>
      <c r="BA11" s="627"/>
      <c r="BB11" s="627"/>
      <c r="BC11" s="627"/>
      <c r="BD11" s="627"/>
      <c r="BE11" s="627"/>
      <c r="BF11" s="627"/>
      <c r="BG11" s="627"/>
      <c r="BH11" s="627"/>
      <c r="BI11" s="627"/>
      <c r="BJ11" s="627"/>
      <c r="BK11" s="627"/>
      <c r="BL11" s="627"/>
      <c r="BM11" s="627"/>
      <c r="BN11" s="627"/>
      <c r="BO11" s="627"/>
      <c r="BP11" s="627"/>
      <c r="BQ11" s="627"/>
      <c r="BR11" s="627"/>
      <c r="BS11" s="627"/>
      <c r="BT11" s="627"/>
      <c r="BU11" s="627"/>
      <c r="BV11" s="627"/>
      <c r="BW11" s="627"/>
      <c r="BX11" s="627"/>
      <c r="BY11" s="627"/>
    </row>
    <row r="12" spans="1:77" ht="17.25" customHeight="1" x14ac:dyDescent="0.2">
      <c r="A12" s="610" t="s">
        <v>481</v>
      </c>
      <c r="B12" s="611">
        <v>-16094.591653099998</v>
      </c>
      <c r="C12" s="611">
        <v>-15133.990915980001</v>
      </c>
      <c r="D12" s="611">
        <v>-10574.257390679999</v>
      </c>
      <c r="E12" s="611">
        <v>-13160.13132181</v>
      </c>
      <c r="F12" s="611">
        <v>-13184.197336680001</v>
      </c>
      <c r="G12" s="611">
        <v>-12603.214470860001</v>
      </c>
      <c r="H12" s="611">
        <v>-12649.402737140001</v>
      </c>
      <c r="I12" s="611">
        <v>-13999.36386032</v>
      </c>
      <c r="J12" s="611">
        <v>-12309.791425859999</v>
      </c>
      <c r="K12" s="611">
        <v>-9506.4930552200003</v>
      </c>
      <c r="L12" s="611">
        <v>-11316.247423609999</v>
      </c>
      <c r="M12" s="611">
        <v>-9687.6799926800013</v>
      </c>
      <c r="N12" s="611">
        <v>-8384.2803368000004</v>
      </c>
      <c r="O12" s="611">
        <v>-7735.6408573600002</v>
      </c>
      <c r="P12" s="611">
        <v>-11176.693028849997</v>
      </c>
      <c r="Q12" s="611">
        <v>-9606.6951597400002</v>
      </c>
      <c r="R12" s="611">
        <v>-11320.184787369999</v>
      </c>
      <c r="S12" s="611">
        <v>-10168.74607549</v>
      </c>
      <c r="T12" s="611">
        <v>-11201.799995440004</v>
      </c>
      <c r="U12" s="611">
        <v>-8361.1217992800011</v>
      </c>
      <c r="V12" s="611">
        <v>-10561.849022570001</v>
      </c>
      <c r="W12" s="611">
        <v>-11253.339342660001</v>
      </c>
      <c r="X12" s="611">
        <v>-9436.6171233200002</v>
      </c>
      <c r="Y12" s="611">
        <v>-7837.3001372700001</v>
      </c>
      <c r="Z12" s="611">
        <v>-10079.960773000003</v>
      </c>
      <c r="AA12" s="611">
        <v>-8692.3302772299994</v>
      </c>
      <c r="AB12" s="611">
        <v>-9372.881900270002</v>
      </c>
      <c r="AC12" s="611">
        <v>-8880.1699302400029</v>
      </c>
      <c r="AD12" s="612">
        <v>-8780.1530179400033</v>
      </c>
      <c r="AE12" s="613">
        <v>-11179.910112040001</v>
      </c>
      <c r="AF12" s="613">
        <v>-11456.030725809998</v>
      </c>
      <c r="AG12" s="613">
        <v>-13179.341982179998</v>
      </c>
      <c r="AH12" s="613">
        <v>-11879.09227354</v>
      </c>
      <c r="AI12" s="613">
        <v>-13350.546611650003</v>
      </c>
      <c r="AJ12" s="613">
        <v>-16898.939951499997</v>
      </c>
      <c r="AK12" s="613">
        <v>-11466.967172649998</v>
      </c>
      <c r="AL12" s="613">
        <v>-13650.276193949998</v>
      </c>
      <c r="AM12" s="613">
        <v>-12018.874950829999</v>
      </c>
      <c r="AN12" s="614">
        <v>-12476.195903029999</v>
      </c>
      <c r="AO12" s="614">
        <v>-14313.36957282</v>
      </c>
      <c r="AP12" s="614">
        <v>-17374.062681929754</v>
      </c>
      <c r="AQ12" s="615">
        <v>-18112.053482993684</v>
      </c>
      <c r="AR12" s="615">
        <v>-14044.60487612374</v>
      </c>
      <c r="AS12" s="615">
        <v>-13816.06028582856</v>
      </c>
      <c r="AT12" s="615">
        <v>-17341.511666418828</v>
      </c>
      <c r="AU12" s="615">
        <v>-15217.901120033093</v>
      </c>
      <c r="AV12" s="615">
        <v>-13552.266238281474</v>
      </c>
      <c r="AW12" s="615">
        <v>-10932.694839660657</v>
      </c>
      <c r="AX12" s="615">
        <v>-13197.887711877294</v>
      </c>
      <c r="AY12" s="615">
        <v>-12463.583303451964</v>
      </c>
      <c r="AZ12" s="615">
        <v>-13387.690245879574</v>
      </c>
      <c r="BA12" s="615">
        <v>-17897.114501728862</v>
      </c>
      <c r="BB12" s="615">
        <v>-16472.475734490621</v>
      </c>
      <c r="BC12" s="615">
        <v>-18912.303265928196</v>
      </c>
      <c r="BD12" s="615">
        <v>-19181.228839505362</v>
      </c>
      <c r="BE12" s="615">
        <v>-20865.026249724659</v>
      </c>
      <c r="BF12" s="615">
        <v>-24581.233548614022</v>
      </c>
      <c r="BG12" s="615">
        <v>-22626.159615587952</v>
      </c>
      <c r="BH12" s="615">
        <v>-19870.683686191223</v>
      </c>
      <c r="BI12" s="615">
        <v>-20743.429970004472</v>
      </c>
      <c r="BJ12" s="615">
        <v>-19352.681883520723</v>
      </c>
      <c r="BK12" s="615">
        <v>-22349.474304150681</v>
      </c>
      <c r="BL12" s="615">
        <v>-23502.995871067244</v>
      </c>
      <c r="BM12" s="615">
        <v>-22661.474497705807</v>
      </c>
      <c r="BN12" s="615">
        <v>-22878.465939326445</v>
      </c>
      <c r="BO12" s="615">
        <v>-21714.827886328236</v>
      </c>
      <c r="BP12" s="615">
        <v>-26328.382232080454</v>
      </c>
      <c r="BQ12" s="615">
        <v>-25956.873075779848</v>
      </c>
      <c r="BR12" s="615">
        <v>-26828.959248950447</v>
      </c>
      <c r="BS12" s="615">
        <v>-25650.317494534476</v>
      </c>
      <c r="BT12" s="615">
        <v>-29430.173450514856</v>
      </c>
      <c r="BU12" s="615">
        <v>-28634.857079610647</v>
      </c>
      <c r="BV12" s="615">
        <v>-26971.136303966399</v>
      </c>
      <c r="BW12" s="615">
        <v>-29312.760556908066</v>
      </c>
      <c r="BX12" s="615">
        <v>-31958.729724419147</v>
      </c>
      <c r="BY12" s="615">
        <v>-34518.630189887648</v>
      </c>
    </row>
    <row r="13" spans="1:77" ht="17.25" customHeight="1" x14ac:dyDescent="0.25">
      <c r="A13" s="616" t="s">
        <v>482</v>
      </c>
      <c r="B13" s="617">
        <v>549.75010699000006</v>
      </c>
      <c r="C13" s="617">
        <v>550.85699225999997</v>
      </c>
      <c r="D13" s="617">
        <v>477.41486412</v>
      </c>
      <c r="E13" s="617">
        <v>858.95183839999993</v>
      </c>
      <c r="F13" s="617">
        <v>1303.6483870500001</v>
      </c>
      <c r="G13" s="617">
        <v>1844.10998189</v>
      </c>
      <c r="H13" s="617">
        <v>1965.83924781</v>
      </c>
      <c r="I13" s="617">
        <v>2258.9554319200001</v>
      </c>
      <c r="J13" s="617">
        <v>2585.9917589500001</v>
      </c>
      <c r="K13" s="617">
        <v>3852.9324706999996</v>
      </c>
      <c r="L13" s="617">
        <v>4715.6667137699997</v>
      </c>
      <c r="M13" s="617">
        <v>5382.3653765999998</v>
      </c>
      <c r="N13" s="617">
        <v>5373.29925731</v>
      </c>
      <c r="O13" s="617">
        <v>5497.6521717300002</v>
      </c>
      <c r="P13" s="617">
        <v>5506.0446070600001</v>
      </c>
      <c r="Q13" s="617">
        <v>5753.6136106899994</v>
      </c>
      <c r="R13" s="617">
        <v>5568.8466461199996</v>
      </c>
      <c r="S13" s="617">
        <v>5785.0552399299995</v>
      </c>
      <c r="T13" s="617">
        <v>5888.7961917399998</v>
      </c>
      <c r="U13" s="617">
        <v>6327.5861512699994</v>
      </c>
      <c r="V13" s="617">
        <v>6270.1117044499997</v>
      </c>
      <c r="W13" s="617">
        <v>6681.2161204800004</v>
      </c>
      <c r="X13" s="617">
        <v>8446.9020713999998</v>
      </c>
      <c r="Y13" s="617">
        <v>9153.0711483899995</v>
      </c>
      <c r="Z13" s="617">
        <v>9515.2999755599994</v>
      </c>
      <c r="AA13" s="617">
        <v>9793.35363435</v>
      </c>
      <c r="AB13" s="617">
        <v>9467.6423170699982</v>
      </c>
      <c r="AC13" s="617">
        <v>9830.5223254699977</v>
      </c>
      <c r="AD13" s="618">
        <v>9826.4607385599993</v>
      </c>
      <c r="AE13" s="619">
        <v>9264.1876788000009</v>
      </c>
      <c r="AF13" s="619">
        <v>9218.8616261900006</v>
      </c>
      <c r="AG13" s="619">
        <v>8422.1579610000008</v>
      </c>
      <c r="AH13" s="619">
        <v>7958.31289956</v>
      </c>
      <c r="AI13" s="619">
        <v>6858.3900487000001</v>
      </c>
      <c r="AJ13" s="619">
        <v>5187.7303872000002</v>
      </c>
      <c r="AK13" s="619">
        <v>5183.1208412000005</v>
      </c>
      <c r="AL13" s="619">
        <v>6185.9692967000001</v>
      </c>
      <c r="AM13" s="619">
        <v>6441.3858202000001</v>
      </c>
      <c r="AN13" s="620">
        <v>6886.9248842000006</v>
      </c>
      <c r="AO13" s="620">
        <v>6821.7543517000004</v>
      </c>
      <c r="AP13" s="620">
        <v>6745.0943592000003</v>
      </c>
      <c r="AQ13" s="621">
        <v>6632.2029702399996</v>
      </c>
      <c r="AR13" s="621">
        <v>6616.6135157399995</v>
      </c>
      <c r="AS13" s="621">
        <v>6524.0395767399996</v>
      </c>
      <c r="AT13" s="621">
        <v>6390.45828833</v>
      </c>
      <c r="AU13" s="621">
        <v>6741.4355393300002</v>
      </c>
      <c r="AV13" s="621">
        <v>6907.6845558300001</v>
      </c>
      <c r="AW13" s="621">
        <v>6797.7968853299999</v>
      </c>
      <c r="AX13" s="621">
        <v>6826.0566403299999</v>
      </c>
      <c r="AY13" s="621">
        <v>6653.6253613299996</v>
      </c>
      <c r="AZ13" s="621">
        <v>6637.9881083299997</v>
      </c>
      <c r="BA13" s="621">
        <v>6548.2404078299996</v>
      </c>
      <c r="BB13" s="621">
        <v>6228.14650463</v>
      </c>
      <c r="BC13" s="621">
        <v>6228.1632066299999</v>
      </c>
      <c r="BD13" s="621">
        <v>6072.2898871300004</v>
      </c>
      <c r="BE13" s="621">
        <v>5894.4752891300004</v>
      </c>
      <c r="BF13" s="621">
        <v>5656.9743366299999</v>
      </c>
      <c r="BG13" s="621">
        <v>5100.8797456299999</v>
      </c>
      <c r="BH13" s="621">
        <v>4666.6661986300005</v>
      </c>
      <c r="BI13" s="621">
        <v>4203.0171466299998</v>
      </c>
      <c r="BJ13" s="621">
        <v>4030.7490541300003</v>
      </c>
      <c r="BK13" s="621">
        <v>3933.0082186300001</v>
      </c>
      <c r="BL13" s="621">
        <v>3832.90427821</v>
      </c>
      <c r="BM13" s="621">
        <v>3664.3168907099998</v>
      </c>
      <c r="BN13" s="621">
        <v>3556.5026962100001</v>
      </c>
      <c r="BO13" s="621">
        <v>3469.8331357100001</v>
      </c>
      <c r="BP13" s="621">
        <v>3371.3919509900002</v>
      </c>
      <c r="BQ13" s="621">
        <v>3292.2506004900001</v>
      </c>
      <c r="BR13" s="621">
        <v>3287.7796684899999</v>
      </c>
      <c r="BS13" s="621">
        <v>3239.0791874900001</v>
      </c>
      <c r="BT13" s="621">
        <v>2953.8688154900001</v>
      </c>
      <c r="BU13" s="621">
        <v>2951.3984189900002</v>
      </c>
      <c r="BV13" s="621">
        <v>1256.1697714900001</v>
      </c>
      <c r="BW13" s="621">
        <v>1267.1481914800002</v>
      </c>
      <c r="BX13" s="621">
        <v>1266.68282348</v>
      </c>
      <c r="BY13" s="621">
        <v>1267.75872918</v>
      </c>
    </row>
    <row r="14" spans="1:77" ht="17.25" customHeight="1" x14ac:dyDescent="0.25">
      <c r="A14" s="616" t="s">
        <v>483</v>
      </c>
      <c r="B14" s="617">
        <v>16644.341760089999</v>
      </c>
      <c r="C14" s="617">
        <v>15684.847908240001</v>
      </c>
      <c r="D14" s="617">
        <v>11051.6722548</v>
      </c>
      <c r="E14" s="617">
        <v>14019.083160210001</v>
      </c>
      <c r="F14" s="617">
        <v>14487.845723730001</v>
      </c>
      <c r="G14" s="617">
        <v>14447.324452750001</v>
      </c>
      <c r="H14" s="617">
        <v>14615.24198495</v>
      </c>
      <c r="I14" s="617">
        <v>16258.319292239999</v>
      </c>
      <c r="J14" s="617">
        <v>14895.78318481</v>
      </c>
      <c r="K14" s="617">
        <v>13359.42552592</v>
      </c>
      <c r="L14" s="617">
        <v>16031.914137379999</v>
      </c>
      <c r="M14" s="617">
        <v>15070.04536928</v>
      </c>
      <c r="N14" s="617">
        <v>13757.57959411</v>
      </c>
      <c r="O14" s="617">
        <v>13233.29302909</v>
      </c>
      <c r="P14" s="617">
        <v>16682.737635909998</v>
      </c>
      <c r="Q14" s="617">
        <v>15360.30877043</v>
      </c>
      <c r="R14" s="617">
        <v>16889.031433489999</v>
      </c>
      <c r="S14" s="617">
        <v>15953.80131542</v>
      </c>
      <c r="T14" s="617">
        <v>17090.596187180003</v>
      </c>
      <c r="U14" s="617">
        <v>14688.707950550001</v>
      </c>
      <c r="V14" s="617">
        <v>16831.960727019999</v>
      </c>
      <c r="W14" s="617">
        <v>17934.555463140001</v>
      </c>
      <c r="X14" s="617">
        <v>17883.51919472</v>
      </c>
      <c r="Y14" s="617">
        <v>16990.37128566</v>
      </c>
      <c r="Z14" s="617">
        <v>19595.260748560002</v>
      </c>
      <c r="AA14" s="617">
        <v>18485.683911579999</v>
      </c>
      <c r="AB14" s="617">
        <v>18840.52421734</v>
      </c>
      <c r="AC14" s="617">
        <v>18710.692255710001</v>
      </c>
      <c r="AD14" s="618">
        <v>18606.613756500003</v>
      </c>
      <c r="AE14" s="619">
        <v>20444.097790840002</v>
      </c>
      <c r="AF14" s="619">
        <v>20674.892351999999</v>
      </c>
      <c r="AG14" s="619">
        <v>21601.499943179999</v>
      </c>
      <c r="AH14" s="619">
        <v>19837.4051731</v>
      </c>
      <c r="AI14" s="619">
        <v>20208.936660350002</v>
      </c>
      <c r="AJ14" s="619">
        <v>22086.670338699998</v>
      </c>
      <c r="AK14" s="619">
        <v>16650.08801385</v>
      </c>
      <c r="AL14" s="619">
        <v>19836.245490649999</v>
      </c>
      <c r="AM14" s="619">
        <v>18460.26077103</v>
      </c>
      <c r="AN14" s="620">
        <v>19363.12078723</v>
      </c>
      <c r="AO14" s="620">
        <v>21135.123924520001</v>
      </c>
      <c r="AP14" s="620">
        <v>24119.157041129754</v>
      </c>
      <c r="AQ14" s="621">
        <v>24744.256453233684</v>
      </c>
      <c r="AR14" s="621">
        <v>20661.218391863738</v>
      </c>
      <c r="AS14" s="621">
        <v>20340.099862568561</v>
      </c>
      <c r="AT14" s="621">
        <v>23731.969954748827</v>
      </c>
      <c r="AU14" s="621">
        <v>21959.336659363093</v>
      </c>
      <c r="AV14" s="621">
        <v>20459.950794111475</v>
      </c>
      <c r="AW14" s="621">
        <v>17730.491724990658</v>
      </c>
      <c r="AX14" s="621">
        <v>20023.944352207294</v>
      </c>
      <c r="AY14" s="621">
        <v>19117.208664781963</v>
      </c>
      <c r="AZ14" s="621">
        <v>20025.678354209573</v>
      </c>
      <c r="BA14" s="621">
        <v>24445.354909558861</v>
      </c>
      <c r="BB14" s="621">
        <v>22700.622239120621</v>
      </c>
      <c r="BC14" s="621">
        <v>25140.466472558197</v>
      </c>
      <c r="BD14" s="621">
        <v>25253.518726635361</v>
      </c>
      <c r="BE14" s="621">
        <v>26759.50153885466</v>
      </c>
      <c r="BF14" s="621">
        <v>30238.207885244021</v>
      </c>
      <c r="BG14" s="621">
        <v>27727.03936121795</v>
      </c>
      <c r="BH14" s="621">
        <v>24537.349884821222</v>
      </c>
      <c r="BI14" s="621">
        <v>24946.447116634474</v>
      </c>
      <c r="BJ14" s="621">
        <v>23383.430937650723</v>
      </c>
      <c r="BK14" s="621">
        <v>26282.48252278068</v>
      </c>
      <c r="BL14" s="621">
        <v>27335.900149277244</v>
      </c>
      <c r="BM14" s="621">
        <v>26325.791388415808</v>
      </c>
      <c r="BN14" s="621">
        <v>26434.968635536447</v>
      </c>
      <c r="BO14" s="621">
        <v>25184.661022038235</v>
      </c>
      <c r="BP14" s="621">
        <v>29699.774183070454</v>
      </c>
      <c r="BQ14" s="621">
        <v>29249.123676269846</v>
      </c>
      <c r="BR14" s="621">
        <v>30116.738917440445</v>
      </c>
      <c r="BS14" s="621">
        <v>28889.396682024475</v>
      </c>
      <c r="BT14" s="621">
        <v>32384.042266004857</v>
      </c>
      <c r="BU14" s="621">
        <v>31586.255498600647</v>
      </c>
      <c r="BV14" s="621">
        <v>28227.306075456399</v>
      </c>
      <c r="BW14" s="621">
        <v>30579.908748388065</v>
      </c>
      <c r="BX14" s="621">
        <v>33225.412547899148</v>
      </c>
      <c r="BY14" s="621">
        <v>35786.388919067649</v>
      </c>
    </row>
    <row r="15" spans="1:77" ht="17.25" customHeight="1" x14ac:dyDescent="0.25">
      <c r="A15" s="622"/>
      <c r="B15" s="623"/>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3"/>
      <c r="AC15" s="623"/>
      <c r="AD15" s="624"/>
      <c r="AE15" s="625"/>
      <c r="AF15" s="625"/>
      <c r="AG15" s="625"/>
      <c r="AH15" s="625"/>
      <c r="AI15" s="625"/>
      <c r="AJ15" s="625"/>
      <c r="AK15" s="625"/>
      <c r="AL15" s="625"/>
      <c r="AM15" s="625"/>
      <c r="AN15" s="626"/>
      <c r="AO15" s="626"/>
      <c r="AP15" s="626"/>
      <c r="AQ15" s="627"/>
      <c r="AR15" s="627"/>
      <c r="AS15" s="627"/>
      <c r="AT15" s="627"/>
      <c r="AU15" s="627"/>
      <c r="AV15" s="627"/>
      <c r="AW15" s="627"/>
      <c r="AX15" s="627"/>
      <c r="AY15" s="627"/>
      <c r="AZ15" s="627"/>
      <c r="BA15" s="627"/>
      <c r="BB15" s="627"/>
      <c r="BC15" s="627"/>
      <c r="BD15" s="627"/>
      <c r="BE15" s="627"/>
      <c r="BF15" s="627"/>
      <c r="BG15" s="627"/>
      <c r="BH15" s="627"/>
      <c r="BI15" s="627"/>
      <c r="BJ15" s="627"/>
      <c r="BK15" s="627"/>
      <c r="BL15" s="627"/>
      <c r="BM15" s="627"/>
      <c r="BN15" s="627"/>
      <c r="BO15" s="627"/>
      <c r="BP15" s="627"/>
      <c r="BQ15" s="627"/>
      <c r="BR15" s="627"/>
      <c r="BS15" s="627"/>
      <c r="BT15" s="627"/>
      <c r="BU15" s="627"/>
      <c r="BV15" s="627"/>
      <c r="BW15" s="627"/>
      <c r="BX15" s="627"/>
      <c r="BY15" s="627"/>
    </row>
    <row r="16" spans="1:77" ht="17.25" customHeight="1" x14ac:dyDescent="0.2">
      <c r="A16" s="610" t="s">
        <v>484</v>
      </c>
      <c r="B16" s="611">
        <v>153.19780331999999</v>
      </c>
      <c r="C16" s="611">
        <v>154.31596911</v>
      </c>
      <c r="D16" s="611">
        <v>138.70587049999997</v>
      </c>
      <c r="E16" s="611">
        <v>145.20146566999998</v>
      </c>
      <c r="F16" s="611">
        <v>139.64907062999998</v>
      </c>
      <c r="G16" s="611">
        <v>144.54348844999998</v>
      </c>
      <c r="H16" s="611">
        <v>136.46690247999999</v>
      </c>
      <c r="I16" s="611">
        <v>137.70103456999999</v>
      </c>
      <c r="J16" s="611">
        <v>166.28222216</v>
      </c>
      <c r="K16" s="611">
        <v>164.10271523999998</v>
      </c>
      <c r="L16" s="611">
        <v>188.36966712999998</v>
      </c>
      <c r="M16" s="611">
        <v>289.10614802999993</v>
      </c>
      <c r="N16" s="611">
        <v>325.25928297999997</v>
      </c>
      <c r="O16" s="611">
        <v>266.26099159999995</v>
      </c>
      <c r="P16" s="611">
        <v>282.16233682000001</v>
      </c>
      <c r="Q16" s="611">
        <v>326.19289162000001</v>
      </c>
      <c r="R16" s="611">
        <v>355.96613649</v>
      </c>
      <c r="S16" s="611">
        <v>144.95301177000002</v>
      </c>
      <c r="T16" s="611">
        <v>145.04960496999999</v>
      </c>
      <c r="U16" s="611">
        <v>146.18456738</v>
      </c>
      <c r="V16" s="611">
        <v>147.98835771</v>
      </c>
      <c r="W16" s="611">
        <v>189.87692557</v>
      </c>
      <c r="X16" s="611">
        <v>188.68572480999998</v>
      </c>
      <c r="Y16" s="611">
        <v>187.66180904000001</v>
      </c>
      <c r="Z16" s="611">
        <v>184.76241243000001</v>
      </c>
      <c r="AA16" s="611">
        <v>235.96431477000002</v>
      </c>
      <c r="AB16" s="611">
        <v>228.80128807000003</v>
      </c>
      <c r="AC16" s="611">
        <v>202.30284356000001</v>
      </c>
      <c r="AD16" s="612">
        <v>207.31680611000002</v>
      </c>
      <c r="AE16" s="613">
        <v>142.31707372000002</v>
      </c>
      <c r="AF16" s="613">
        <v>246.29880878</v>
      </c>
      <c r="AG16" s="613">
        <v>157.61338316000001</v>
      </c>
      <c r="AH16" s="613">
        <v>186.53756657</v>
      </c>
      <c r="AI16" s="613">
        <v>186.00266166</v>
      </c>
      <c r="AJ16" s="613">
        <v>148.20166657000001</v>
      </c>
      <c r="AK16" s="613">
        <v>184.47326498999999</v>
      </c>
      <c r="AL16" s="613">
        <v>158.50110899000001</v>
      </c>
      <c r="AM16" s="613">
        <v>151.81138362999999</v>
      </c>
      <c r="AN16" s="614">
        <v>144.74117856000001</v>
      </c>
      <c r="AO16" s="614">
        <v>154.39851223000002</v>
      </c>
      <c r="AP16" s="614">
        <v>135.40763834000001</v>
      </c>
      <c r="AQ16" s="615">
        <v>198.07188681</v>
      </c>
      <c r="AR16" s="615">
        <v>126.59522910000001</v>
      </c>
      <c r="AS16" s="615">
        <v>150.84449430999999</v>
      </c>
      <c r="AT16" s="615">
        <v>162.74188365000003</v>
      </c>
      <c r="AU16" s="615">
        <v>164.49673319999999</v>
      </c>
      <c r="AV16" s="615">
        <v>163.62766462999997</v>
      </c>
      <c r="AW16" s="615">
        <v>172.66457023999999</v>
      </c>
      <c r="AX16" s="615">
        <v>134.78201322999996</v>
      </c>
      <c r="AY16" s="615">
        <v>146.16603488000001</v>
      </c>
      <c r="AZ16" s="615">
        <v>154.80724961999994</v>
      </c>
      <c r="BA16" s="615">
        <v>158.50427366000002</v>
      </c>
      <c r="BB16" s="615">
        <v>161.91662781999997</v>
      </c>
      <c r="BC16" s="615">
        <v>159.59387422</v>
      </c>
      <c r="BD16" s="615">
        <v>117.25199542000001</v>
      </c>
      <c r="BE16" s="615">
        <v>129.45984655000001</v>
      </c>
      <c r="BF16" s="615">
        <v>134.73078520999996</v>
      </c>
      <c r="BG16" s="615">
        <v>140.02408560999999</v>
      </c>
      <c r="BH16" s="615">
        <v>139.35857369000001</v>
      </c>
      <c r="BI16" s="615">
        <v>152.22108252999999</v>
      </c>
      <c r="BJ16" s="615">
        <v>115.15130846999999</v>
      </c>
      <c r="BK16" s="615">
        <v>126.01319054</v>
      </c>
      <c r="BL16" s="615">
        <v>127.1554088</v>
      </c>
      <c r="BM16" s="615">
        <v>371.52363643000001</v>
      </c>
      <c r="BN16" s="615">
        <v>379.96656151999991</v>
      </c>
      <c r="BO16" s="615">
        <v>3704.0103747000003</v>
      </c>
      <c r="BP16" s="615">
        <v>3664.27348949</v>
      </c>
      <c r="BQ16" s="615">
        <v>3670.1731644900001</v>
      </c>
      <c r="BR16" s="615">
        <v>3675.21057273</v>
      </c>
      <c r="BS16" s="615">
        <v>3683.2173269999998</v>
      </c>
      <c r="BT16" s="615">
        <v>3657.3844738899998</v>
      </c>
      <c r="BU16" s="615">
        <v>3668.5319508899997</v>
      </c>
      <c r="BV16" s="615">
        <v>3617.0592188099999</v>
      </c>
      <c r="BW16" s="615">
        <v>3626.6453938499999</v>
      </c>
      <c r="BX16" s="615">
        <v>3623.0380289999998</v>
      </c>
      <c r="BY16" s="615">
        <v>3622.9704508099999</v>
      </c>
    </row>
    <row r="17" spans="1:77" ht="17.25" customHeight="1" x14ac:dyDescent="0.2">
      <c r="A17" s="610"/>
      <c r="B17" s="628"/>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9"/>
      <c r="AE17" s="630"/>
      <c r="AF17" s="630"/>
      <c r="AG17" s="630"/>
      <c r="AH17" s="630"/>
      <c r="AI17" s="630"/>
      <c r="AJ17" s="630"/>
      <c r="AK17" s="630"/>
      <c r="AL17" s="630"/>
      <c r="AM17" s="630"/>
      <c r="AN17" s="631"/>
      <c r="AO17" s="631"/>
      <c r="AP17" s="631"/>
      <c r="AQ17" s="632"/>
      <c r="AR17" s="632"/>
      <c r="AS17" s="632"/>
      <c r="AT17" s="632"/>
      <c r="AU17" s="632"/>
      <c r="AV17" s="632"/>
      <c r="AW17" s="632"/>
      <c r="AX17" s="632"/>
      <c r="AY17" s="632"/>
      <c r="AZ17" s="632"/>
      <c r="BA17" s="632"/>
      <c r="BB17" s="632"/>
      <c r="BC17" s="632"/>
      <c r="BD17" s="632"/>
      <c r="BE17" s="632"/>
      <c r="BF17" s="632"/>
      <c r="BG17" s="632"/>
      <c r="BH17" s="632"/>
      <c r="BI17" s="632"/>
      <c r="BJ17" s="632"/>
      <c r="BK17" s="632"/>
      <c r="BL17" s="632"/>
      <c r="BM17" s="632"/>
      <c r="BN17" s="632"/>
      <c r="BO17" s="632"/>
      <c r="BP17" s="632"/>
      <c r="BQ17" s="632"/>
      <c r="BR17" s="632"/>
      <c r="BS17" s="632"/>
      <c r="BT17" s="632"/>
      <c r="BU17" s="632"/>
      <c r="BV17" s="632"/>
      <c r="BW17" s="632"/>
      <c r="BX17" s="632"/>
      <c r="BY17" s="632"/>
    </row>
    <row r="18" spans="1:77" ht="17.25" customHeight="1" x14ac:dyDescent="0.2">
      <c r="A18" s="610" t="s">
        <v>485</v>
      </c>
      <c r="B18" s="611">
        <v>32306.578817460002</v>
      </c>
      <c r="C18" s="611">
        <v>34188.331145164084</v>
      </c>
      <c r="D18" s="611">
        <v>35018.925947288786</v>
      </c>
      <c r="E18" s="611">
        <v>33972.916108010002</v>
      </c>
      <c r="F18" s="611">
        <v>35004.952882689249</v>
      </c>
      <c r="G18" s="611">
        <v>35648.822886965798</v>
      </c>
      <c r="H18" s="611">
        <v>38111.517277910505</v>
      </c>
      <c r="I18" s="611">
        <v>36422.298472737748</v>
      </c>
      <c r="J18" s="611">
        <v>36444.26897664788</v>
      </c>
      <c r="K18" s="611">
        <v>38868.215593856054</v>
      </c>
      <c r="L18" s="611">
        <v>40023.459073151535</v>
      </c>
      <c r="M18" s="611">
        <v>44935.527259780167</v>
      </c>
      <c r="N18" s="611">
        <v>44220.858916383426</v>
      </c>
      <c r="O18" s="611">
        <v>43457.966264730763</v>
      </c>
      <c r="P18" s="611">
        <v>42616.030383652505</v>
      </c>
      <c r="Q18" s="611">
        <v>43519.537135460872</v>
      </c>
      <c r="R18" s="611">
        <v>41534.157818012638</v>
      </c>
      <c r="S18" s="611">
        <v>42236.711520816105</v>
      </c>
      <c r="T18" s="611">
        <v>42073.932665119974</v>
      </c>
      <c r="U18" s="611">
        <v>44194.178057538316</v>
      </c>
      <c r="V18" s="611">
        <v>42292.116241218129</v>
      </c>
      <c r="W18" s="611">
        <v>42459.190507549785</v>
      </c>
      <c r="X18" s="611">
        <v>41967.209032272607</v>
      </c>
      <c r="Y18" s="611">
        <v>48280.871327637411</v>
      </c>
      <c r="Z18" s="611">
        <v>43850.805226779208</v>
      </c>
      <c r="AA18" s="611">
        <v>44901.044055009108</v>
      </c>
      <c r="AB18" s="611">
        <v>44639.243475667608</v>
      </c>
      <c r="AC18" s="611">
        <v>44527.063578133653</v>
      </c>
      <c r="AD18" s="612">
        <v>44662.991762790327</v>
      </c>
      <c r="AE18" s="613">
        <v>45910.968640197767</v>
      </c>
      <c r="AF18" s="613">
        <v>46049.629763349993</v>
      </c>
      <c r="AG18" s="613">
        <v>46185.34960224</v>
      </c>
      <c r="AH18" s="613">
        <v>47267.960582840002</v>
      </c>
      <c r="AI18" s="613">
        <v>46439.120953459998</v>
      </c>
      <c r="AJ18" s="613">
        <v>45499.108851889992</v>
      </c>
      <c r="AK18" s="613">
        <v>52622.930014159996</v>
      </c>
      <c r="AL18" s="613">
        <v>50086.680641910003</v>
      </c>
      <c r="AM18" s="613">
        <v>52362.476793820002</v>
      </c>
      <c r="AN18" s="614">
        <v>51963.297140969997</v>
      </c>
      <c r="AO18" s="614">
        <v>48815.614415420001</v>
      </c>
      <c r="AP18" s="614">
        <v>52745.513655169998</v>
      </c>
      <c r="AQ18" s="615">
        <v>53094.012917469998</v>
      </c>
      <c r="AR18" s="615">
        <v>54156.365501669992</v>
      </c>
      <c r="AS18" s="615">
        <v>51451.915537709996</v>
      </c>
      <c r="AT18" s="615">
        <v>50185.234078640002</v>
      </c>
      <c r="AU18" s="615">
        <v>51977.864655339996</v>
      </c>
      <c r="AV18" s="615">
        <v>53757.247619950002</v>
      </c>
      <c r="AW18" s="615">
        <v>62350.012214779999</v>
      </c>
      <c r="AX18" s="615">
        <v>58668.6515592</v>
      </c>
      <c r="AY18" s="615">
        <v>64091.710065689993</v>
      </c>
      <c r="AZ18" s="615">
        <v>62483.452767250004</v>
      </c>
      <c r="BA18" s="615">
        <v>62070.370892899999</v>
      </c>
      <c r="BB18" s="615">
        <v>62582.034079030003</v>
      </c>
      <c r="BC18" s="615">
        <v>62137.03930633</v>
      </c>
      <c r="BD18" s="615">
        <v>64802.243488449996</v>
      </c>
      <c r="BE18" s="615">
        <v>66521.777726829998</v>
      </c>
      <c r="BF18" s="615">
        <v>63788.91463728001</v>
      </c>
      <c r="BG18" s="615">
        <v>65201.016736970007</v>
      </c>
      <c r="BH18" s="615">
        <v>63358.074917500002</v>
      </c>
      <c r="BI18" s="615">
        <v>67933.588631679988</v>
      </c>
      <c r="BJ18" s="615">
        <v>68888.095795009998</v>
      </c>
      <c r="BK18" s="615">
        <v>70440.636755090003</v>
      </c>
      <c r="BL18" s="615">
        <v>73577.833934157083</v>
      </c>
      <c r="BM18" s="615">
        <v>75159.682994820003</v>
      </c>
      <c r="BN18" s="615">
        <v>70803.746954400005</v>
      </c>
      <c r="BO18" s="615">
        <v>71594.147533340001</v>
      </c>
      <c r="BP18" s="615">
        <v>68773.183555700001</v>
      </c>
      <c r="BQ18" s="615">
        <v>66569.861976040003</v>
      </c>
      <c r="BR18" s="615">
        <v>66947.281883979987</v>
      </c>
      <c r="BS18" s="615">
        <v>71167.770713139995</v>
      </c>
      <c r="BT18" s="615">
        <v>70496.418338069998</v>
      </c>
      <c r="BU18" s="615">
        <v>73569.047286450019</v>
      </c>
      <c r="BV18" s="615">
        <v>74498.380112810002</v>
      </c>
      <c r="BW18" s="615">
        <v>72917.527185889994</v>
      </c>
      <c r="BX18" s="615">
        <v>69446.043452650003</v>
      </c>
      <c r="BY18" s="615">
        <v>67413.995906790005</v>
      </c>
    </row>
    <row r="19" spans="1:77" ht="17.25" customHeight="1" x14ac:dyDescent="0.25">
      <c r="A19" s="616" t="s">
        <v>486</v>
      </c>
      <c r="B19" s="617">
        <v>18952.441887060002</v>
      </c>
      <c r="C19" s="617">
        <v>18641.061393979999</v>
      </c>
      <c r="D19" s="617">
        <v>18743.303560849996</v>
      </c>
      <c r="E19" s="617">
        <v>18751.685785169997</v>
      </c>
      <c r="F19" s="617">
        <v>18911.351549290001</v>
      </c>
      <c r="G19" s="617">
        <v>18649.461355769999</v>
      </c>
      <c r="H19" s="617">
        <v>18959.472219740001</v>
      </c>
      <c r="I19" s="617">
        <v>19099.734956819997</v>
      </c>
      <c r="J19" s="617">
        <v>19096.175257759998</v>
      </c>
      <c r="K19" s="617">
        <v>19126.732547099997</v>
      </c>
      <c r="L19" s="617">
        <v>19515.158774399999</v>
      </c>
      <c r="M19" s="617">
        <v>22591.76147184</v>
      </c>
      <c r="N19" s="617">
        <v>21236.65837347</v>
      </c>
      <c r="O19" s="617">
        <v>20538.891013150002</v>
      </c>
      <c r="P19" s="617">
        <v>20556.85096652</v>
      </c>
      <c r="Q19" s="617">
        <v>20352.834272419997</v>
      </c>
      <c r="R19" s="617">
        <v>20595.249062759998</v>
      </c>
      <c r="S19" s="617">
        <v>20453.797603709998</v>
      </c>
      <c r="T19" s="617">
        <v>20905.664051119998</v>
      </c>
      <c r="U19" s="617">
        <v>21645.42161148</v>
      </c>
      <c r="V19" s="617">
        <v>21156.80149025</v>
      </c>
      <c r="W19" s="617">
        <v>21838.137164569998</v>
      </c>
      <c r="X19" s="617">
        <v>21414.945182689997</v>
      </c>
      <c r="Y19" s="617">
        <v>24469.755843179999</v>
      </c>
      <c r="Z19" s="617">
        <v>22588.058014799997</v>
      </c>
      <c r="AA19" s="617">
        <v>22171.260158819998</v>
      </c>
      <c r="AB19" s="617">
        <v>21862.04674324</v>
      </c>
      <c r="AC19" s="617">
        <v>21939.357956429998</v>
      </c>
      <c r="AD19" s="618">
        <v>22081.98990434</v>
      </c>
      <c r="AE19" s="619">
        <v>21745.491674569999</v>
      </c>
      <c r="AF19" s="619">
        <v>22149.626996290001</v>
      </c>
      <c r="AG19" s="619">
        <v>22572.425488049998</v>
      </c>
      <c r="AH19" s="619">
        <v>22452.776109720002</v>
      </c>
      <c r="AI19" s="619">
        <v>23032.897365330002</v>
      </c>
      <c r="AJ19" s="619">
        <v>23216.152670249998</v>
      </c>
      <c r="AK19" s="619">
        <v>26961.314001819999</v>
      </c>
      <c r="AL19" s="619">
        <v>25163.105337090001</v>
      </c>
      <c r="AM19" s="619">
        <v>24498.755108590001</v>
      </c>
      <c r="AN19" s="620">
        <v>24955.023412139999</v>
      </c>
      <c r="AO19" s="620">
        <v>24919.571457469996</v>
      </c>
      <c r="AP19" s="620">
        <v>24588.03063723</v>
      </c>
      <c r="AQ19" s="621">
        <v>24405.038596909999</v>
      </c>
      <c r="AR19" s="621">
        <v>25220.77754155</v>
      </c>
      <c r="AS19" s="621">
        <v>25317.262526309998</v>
      </c>
      <c r="AT19" s="621">
        <v>24906.271864289996</v>
      </c>
      <c r="AU19" s="621">
        <v>25514.94680301</v>
      </c>
      <c r="AV19" s="621">
        <v>25355.99961635</v>
      </c>
      <c r="AW19" s="621">
        <v>30127.65067585</v>
      </c>
      <c r="AX19" s="621">
        <v>27335.793403099997</v>
      </c>
      <c r="AY19" s="621">
        <v>26937.436175199997</v>
      </c>
      <c r="AZ19" s="621">
        <v>26769.000060089998</v>
      </c>
      <c r="BA19" s="621">
        <v>26721.178490309998</v>
      </c>
      <c r="BB19" s="621">
        <v>26022.338344529999</v>
      </c>
      <c r="BC19" s="621">
        <v>26344.899356469996</v>
      </c>
      <c r="BD19" s="621">
        <v>27338.762973989997</v>
      </c>
      <c r="BE19" s="621">
        <v>26980.232630539998</v>
      </c>
      <c r="BF19" s="621">
        <v>26570.910404800001</v>
      </c>
      <c r="BG19" s="621">
        <v>26596.024344789996</v>
      </c>
      <c r="BH19" s="621">
        <v>27231.957308459998</v>
      </c>
      <c r="BI19" s="621">
        <v>32530.922907949996</v>
      </c>
      <c r="BJ19" s="621">
        <v>28693.542673849999</v>
      </c>
      <c r="BK19" s="621">
        <v>28537.310704579999</v>
      </c>
      <c r="BL19" s="621">
        <v>28235.79267477</v>
      </c>
      <c r="BM19" s="621">
        <v>28891.639225089999</v>
      </c>
      <c r="BN19" s="621">
        <v>28381.598166739997</v>
      </c>
      <c r="BO19" s="621">
        <v>28401.159025539997</v>
      </c>
      <c r="BP19" s="621">
        <v>29084.588811319998</v>
      </c>
      <c r="BQ19" s="621">
        <v>28788.739345999998</v>
      </c>
      <c r="BR19" s="621">
        <v>28816.358797509998</v>
      </c>
      <c r="BS19" s="621">
        <v>29134.156574879999</v>
      </c>
      <c r="BT19" s="621">
        <v>29138.429183199998</v>
      </c>
      <c r="BU19" s="621">
        <v>33337.37905756</v>
      </c>
      <c r="BV19" s="621">
        <v>31171.009461819998</v>
      </c>
      <c r="BW19" s="621">
        <v>30647.284968779997</v>
      </c>
      <c r="BX19" s="621">
        <v>30743.296292809999</v>
      </c>
      <c r="BY19" s="621">
        <v>30447.59312302</v>
      </c>
    </row>
    <row r="20" spans="1:77" ht="17.25" customHeight="1" x14ac:dyDescent="0.25">
      <c r="A20" s="616" t="s">
        <v>487</v>
      </c>
      <c r="B20" s="617">
        <v>13180.361091909999</v>
      </c>
      <c r="C20" s="617">
        <v>15445.119449369999</v>
      </c>
      <c r="D20" s="617">
        <v>16168.046902009999</v>
      </c>
      <c r="E20" s="617">
        <v>15124.25977701</v>
      </c>
      <c r="F20" s="617">
        <v>16001.144004809998</v>
      </c>
      <c r="G20" s="617">
        <v>16558.544007380002</v>
      </c>
      <c r="H20" s="617">
        <v>19007.349950509997</v>
      </c>
      <c r="I20" s="617">
        <v>17182.945034510001</v>
      </c>
      <c r="J20" s="617">
        <v>17080.954378169998</v>
      </c>
      <c r="K20" s="617">
        <v>19601.086913409999</v>
      </c>
      <c r="L20" s="617">
        <v>20360.644917080001</v>
      </c>
      <c r="M20" s="617">
        <v>22187.582204819999</v>
      </c>
      <c r="N20" s="617">
        <v>22842.828379009999</v>
      </c>
      <c r="O20" s="617">
        <v>22753.930035100002</v>
      </c>
      <c r="P20" s="617">
        <v>21902.896262459999</v>
      </c>
      <c r="Q20" s="617">
        <v>22996.164349359999</v>
      </c>
      <c r="R20" s="617">
        <v>20819.986171249999</v>
      </c>
      <c r="S20" s="617">
        <v>21555.850004669999</v>
      </c>
      <c r="T20" s="617">
        <v>21020.661866890001</v>
      </c>
      <c r="U20" s="617">
        <v>22403.703741509999</v>
      </c>
      <c r="V20" s="617">
        <v>20956.707757559998</v>
      </c>
      <c r="W20" s="617">
        <v>20392.186258429996</v>
      </c>
      <c r="X20" s="617">
        <v>20406.316159820002</v>
      </c>
      <c r="Y20" s="617">
        <v>23666.373667289998</v>
      </c>
      <c r="Z20" s="617">
        <v>21128.55688815</v>
      </c>
      <c r="AA20" s="617">
        <v>22606.986195919999</v>
      </c>
      <c r="AB20" s="617">
        <v>22648.888231509998</v>
      </c>
      <c r="AC20" s="617">
        <v>22462.387835019999</v>
      </c>
      <c r="AD20" s="618">
        <v>22476.149191739998</v>
      </c>
      <c r="AE20" s="619">
        <v>23977.369481069996</v>
      </c>
      <c r="AF20" s="619">
        <v>23701.931139239998</v>
      </c>
      <c r="AG20" s="619">
        <v>23541.113787940001</v>
      </c>
      <c r="AH20" s="619">
        <v>24591.544820159997</v>
      </c>
      <c r="AI20" s="619">
        <v>23167.60481945</v>
      </c>
      <c r="AJ20" s="619">
        <v>22131.482146099999</v>
      </c>
      <c r="AK20" s="619">
        <v>25515.138641540001</v>
      </c>
      <c r="AL20" s="619">
        <v>24854.226564650002</v>
      </c>
      <c r="AM20" s="619">
        <v>27797.761466790002</v>
      </c>
      <c r="AN20" s="620">
        <v>26943.295328619999</v>
      </c>
      <c r="AO20" s="620">
        <v>23830.458748830002</v>
      </c>
      <c r="AP20" s="620">
        <v>28088.96964996</v>
      </c>
      <c r="AQ20" s="621">
        <v>28377.491470929999</v>
      </c>
      <c r="AR20" s="621">
        <v>28845.220740209999</v>
      </c>
      <c r="AS20" s="621">
        <v>26045.912519270001</v>
      </c>
      <c r="AT20" s="621">
        <v>25113.663529400004</v>
      </c>
      <c r="AU20" s="621">
        <v>26366.097784619997</v>
      </c>
      <c r="AV20" s="621">
        <v>28225.168882770002</v>
      </c>
      <c r="AW20" s="621">
        <v>31894.798558349998</v>
      </c>
      <c r="AX20" s="621">
        <v>31263.989790459997</v>
      </c>
      <c r="AY20" s="621">
        <v>37062.201626349997</v>
      </c>
      <c r="AZ20" s="621">
        <v>35626.74721275</v>
      </c>
      <c r="BA20" s="621">
        <v>35263.900715039999</v>
      </c>
      <c r="BB20" s="621">
        <v>36480.672927440006</v>
      </c>
      <c r="BC20" s="621">
        <v>35505.536266570001</v>
      </c>
      <c r="BD20" s="621">
        <v>37346.30601778</v>
      </c>
      <c r="BE20" s="621">
        <v>39447.964838309999</v>
      </c>
      <c r="BF20" s="621">
        <v>37043.045730330006</v>
      </c>
      <c r="BG20" s="621">
        <v>38406.794046370007</v>
      </c>
      <c r="BH20" s="621">
        <v>36009.536248050004</v>
      </c>
      <c r="BI20" s="621">
        <v>35269.696321449999</v>
      </c>
      <c r="BJ20" s="621">
        <v>40104.413002199995</v>
      </c>
      <c r="BK20" s="621">
        <v>41805.112039910004</v>
      </c>
      <c r="BL20" s="621">
        <v>45054.548004237091</v>
      </c>
      <c r="BM20" s="621">
        <v>46161.870899910005</v>
      </c>
      <c r="BN20" s="621">
        <v>42302.540231880004</v>
      </c>
      <c r="BO20" s="621">
        <v>42987.27696255</v>
      </c>
      <c r="BP20" s="621">
        <v>39385.219822699997</v>
      </c>
      <c r="BQ20" s="621">
        <v>36807.436373129996</v>
      </c>
      <c r="BR20" s="621">
        <v>37970.221436699998</v>
      </c>
      <c r="BS20" s="621">
        <v>41922.34927662</v>
      </c>
      <c r="BT20" s="621">
        <v>41263.81340811</v>
      </c>
      <c r="BU20" s="621">
        <v>39962.347326120005</v>
      </c>
      <c r="BV20" s="621">
        <v>43239.512165820001</v>
      </c>
      <c r="BW20" s="621">
        <v>42176.046251020001</v>
      </c>
      <c r="BX20" s="621">
        <v>38608.694038940004</v>
      </c>
      <c r="BY20" s="621">
        <v>36805.113869389999</v>
      </c>
    </row>
    <row r="21" spans="1:77" ht="17.25" customHeight="1" x14ac:dyDescent="0.25">
      <c r="A21" s="616" t="s">
        <v>488</v>
      </c>
      <c r="B21" s="617">
        <v>173.77583848999998</v>
      </c>
      <c r="C21" s="617">
        <v>102.15030181408299</v>
      </c>
      <c r="D21" s="617">
        <v>107.57548442879599</v>
      </c>
      <c r="E21" s="617">
        <v>96.970545829999992</v>
      </c>
      <c r="F21" s="617">
        <v>92.457328589252</v>
      </c>
      <c r="G21" s="617">
        <v>440.817523815794</v>
      </c>
      <c r="H21" s="617">
        <v>144.695107660503</v>
      </c>
      <c r="I21" s="617">
        <v>139.61848140775101</v>
      </c>
      <c r="J21" s="617">
        <v>267.13934071788196</v>
      </c>
      <c r="K21" s="617">
        <v>140.39613334605099</v>
      </c>
      <c r="L21" s="617">
        <v>147.65538167153198</v>
      </c>
      <c r="M21" s="617">
        <v>156.18358312016798</v>
      </c>
      <c r="N21" s="617">
        <v>141.37216390342701</v>
      </c>
      <c r="O21" s="617">
        <v>165.14521648076197</v>
      </c>
      <c r="P21" s="617">
        <v>156.283154672509</v>
      </c>
      <c r="Q21" s="617">
        <v>170.538513680878</v>
      </c>
      <c r="R21" s="617">
        <v>118.92258400263799</v>
      </c>
      <c r="S21" s="617">
        <v>227.06391243610898</v>
      </c>
      <c r="T21" s="617">
        <v>147.606747109975</v>
      </c>
      <c r="U21" s="617">
        <v>145.05270454831998</v>
      </c>
      <c r="V21" s="617">
        <v>178.60699340812801</v>
      </c>
      <c r="W21" s="617">
        <v>228.86708454979401</v>
      </c>
      <c r="X21" s="617">
        <v>145.94768976260698</v>
      </c>
      <c r="Y21" s="617">
        <v>144.74181716741302</v>
      </c>
      <c r="Z21" s="617">
        <v>134.190323829216</v>
      </c>
      <c r="AA21" s="617">
        <v>122.79770026911299</v>
      </c>
      <c r="AB21" s="617">
        <v>128.30850091761698</v>
      </c>
      <c r="AC21" s="617">
        <v>125.31778668365899</v>
      </c>
      <c r="AD21" s="618">
        <v>104.85266671033099</v>
      </c>
      <c r="AE21" s="619">
        <v>188.10748455776599</v>
      </c>
      <c r="AF21" s="619">
        <v>198.07162782</v>
      </c>
      <c r="AG21" s="619">
        <v>71.810326250000003</v>
      </c>
      <c r="AH21" s="619">
        <v>223.63965296000001</v>
      </c>
      <c r="AI21" s="619">
        <v>238.61876867999996</v>
      </c>
      <c r="AJ21" s="619">
        <v>151.47403553999999</v>
      </c>
      <c r="AK21" s="619">
        <v>146.47737080000002</v>
      </c>
      <c r="AL21" s="619">
        <v>69.348740169999985</v>
      </c>
      <c r="AM21" s="619">
        <v>65.960218440000006</v>
      </c>
      <c r="AN21" s="620">
        <v>64.97840020999999</v>
      </c>
      <c r="AO21" s="620">
        <v>65.584209119999997</v>
      </c>
      <c r="AP21" s="620">
        <v>68.513367979999998</v>
      </c>
      <c r="AQ21" s="621">
        <v>311.48284962999998</v>
      </c>
      <c r="AR21" s="621">
        <v>90.367219909999989</v>
      </c>
      <c r="AS21" s="621">
        <v>88.740492129999993</v>
      </c>
      <c r="AT21" s="621">
        <v>165.29868494999999</v>
      </c>
      <c r="AU21" s="621">
        <v>96.820067709999989</v>
      </c>
      <c r="AV21" s="621">
        <v>176.07912083000002</v>
      </c>
      <c r="AW21" s="621">
        <v>327.56298057999999</v>
      </c>
      <c r="AX21" s="621">
        <v>68.868365640000007</v>
      </c>
      <c r="AY21" s="621">
        <v>92.072264139999987</v>
      </c>
      <c r="AZ21" s="621">
        <v>87.70549441</v>
      </c>
      <c r="BA21" s="621">
        <v>85.291687549999992</v>
      </c>
      <c r="BB21" s="621">
        <v>79.022807060000005</v>
      </c>
      <c r="BC21" s="621">
        <v>286.60368328999999</v>
      </c>
      <c r="BD21" s="621">
        <v>117.17449668</v>
      </c>
      <c r="BE21" s="621">
        <v>93.580257980000013</v>
      </c>
      <c r="BF21" s="621">
        <v>174.95850214999999</v>
      </c>
      <c r="BG21" s="621">
        <v>198.19834580999998</v>
      </c>
      <c r="BH21" s="621">
        <v>116.58136098999999</v>
      </c>
      <c r="BI21" s="621">
        <v>132.96940228</v>
      </c>
      <c r="BJ21" s="621">
        <v>90.140118959999995</v>
      </c>
      <c r="BK21" s="621">
        <v>98.214010599999995</v>
      </c>
      <c r="BL21" s="621">
        <v>287.49325514999998</v>
      </c>
      <c r="BM21" s="621">
        <v>106.17286981999999</v>
      </c>
      <c r="BN21" s="621">
        <v>119.60855578000002</v>
      </c>
      <c r="BO21" s="621">
        <v>205.71154525</v>
      </c>
      <c r="BP21" s="621">
        <v>303.37492168</v>
      </c>
      <c r="BQ21" s="621">
        <v>973.68625691</v>
      </c>
      <c r="BR21" s="621">
        <v>160.70164977000002</v>
      </c>
      <c r="BS21" s="621">
        <v>111.26486164000001</v>
      </c>
      <c r="BT21" s="621">
        <v>94.175746759999996</v>
      </c>
      <c r="BU21" s="621">
        <v>269.32090277000003</v>
      </c>
      <c r="BV21" s="621">
        <v>87.858485169999994</v>
      </c>
      <c r="BW21" s="621">
        <v>94.195966089999999</v>
      </c>
      <c r="BX21" s="621">
        <v>94.053120899999996</v>
      </c>
      <c r="BY21" s="621">
        <v>161.28891437999999</v>
      </c>
    </row>
    <row r="22" spans="1:77" s="633" customFormat="1" ht="17.25" customHeight="1" x14ac:dyDescent="0.2">
      <c r="A22" s="610"/>
      <c r="B22" s="611"/>
      <c r="C22" s="611"/>
      <c r="D22" s="611"/>
      <c r="E22" s="611"/>
      <c r="F22" s="611"/>
      <c r="G22" s="611"/>
      <c r="H22" s="611"/>
      <c r="I22" s="611"/>
      <c r="J22" s="611"/>
      <c r="K22" s="611"/>
      <c r="L22" s="611"/>
      <c r="M22" s="611"/>
      <c r="N22" s="611"/>
      <c r="O22" s="611"/>
      <c r="P22" s="611"/>
      <c r="Q22" s="611"/>
      <c r="R22" s="611"/>
      <c r="S22" s="611"/>
      <c r="T22" s="611"/>
      <c r="U22" s="611"/>
      <c r="V22" s="611"/>
      <c r="W22" s="611"/>
      <c r="X22" s="611"/>
      <c r="Y22" s="611"/>
      <c r="Z22" s="611"/>
      <c r="AA22" s="611"/>
      <c r="AB22" s="611"/>
      <c r="AC22" s="611"/>
      <c r="AD22" s="612"/>
      <c r="AE22" s="613"/>
      <c r="AF22" s="613"/>
      <c r="AG22" s="613"/>
      <c r="AH22" s="613"/>
      <c r="AI22" s="613"/>
      <c r="AJ22" s="613"/>
      <c r="AK22" s="613"/>
      <c r="AL22" s="613"/>
      <c r="AM22" s="613"/>
      <c r="AN22" s="614"/>
      <c r="AO22" s="614"/>
      <c r="AP22" s="614"/>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row>
    <row r="23" spans="1:77" s="633" customFormat="1" ht="17.25" customHeight="1" x14ac:dyDescent="0.2">
      <c r="A23" s="610" t="s">
        <v>489</v>
      </c>
      <c r="B23" s="611">
        <v>3.2826279999999999</v>
      </c>
      <c r="C23" s="611">
        <v>3.314241</v>
      </c>
      <c r="D23" s="611">
        <v>3000.9265999999998</v>
      </c>
      <c r="E23" s="611">
        <v>1700.6814320000001</v>
      </c>
      <c r="F23" s="611">
        <v>699.75814700000001</v>
      </c>
      <c r="G23" s="611">
        <v>2000.7242080000001</v>
      </c>
      <c r="H23" s="611">
        <v>2.2690159999999997</v>
      </c>
      <c r="I23" s="611">
        <v>1341.8492100000001</v>
      </c>
      <c r="J23" s="611">
        <v>5128.4740229999998</v>
      </c>
      <c r="K23" s="611">
        <v>5128.1453949999996</v>
      </c>
      <c r="L23" s="611">
        <v>5128.4205029999994</v>
      </c>
      <c r="M23" s="611">
        <v>3601.2955139999999</v>
      </c>
      <c r="N23" s="611">
        <v>4300.9844399999993</v>
      </c>
      <c r="O23" s="611">
        <v>5521.2657589999999</v>
      </c>
      <c r="P23" s="611">
        <v>5115.5879569999997</v>
      </c>
      <c r="Q23" s="611">
        <v>5270.8159759999999</v>
      </c>
      <c r="R23" s="611">
        <v>6179.4558196098806</v>
      </c>
      <c r="S23" s="611">
        <v>7369.3783779999994</v>
      </c>
      <c r="T23" s="611">
        <v>7978.472409</v>
      </c>
      <c r="U23" s="611">
        <v>7701.2890559999996</v>
      </c>
      <c r="V23" s="611">
        <v>6808.9861029999993</v>
      </c>
      <c r="W23" s="611">
        <v>6824.6997160000001</v>
      </c>
      <c r="X23" s="611">
        <v>6832.397766</v>
      </c>
      <c r="Y23" s="611">
        <v>5539.7681860000002</v>
      </c>
      <c r="Z23" s="611">
        <v>5990.9276864899994</v>
      </c>
      <c r="AA23" s="611">
        <v>5995.4285614899991</v>
      </c>
      <c r="AB23" s="611">
        <v>5880.2209123899993</v>
      </c>
      <c r="AC23" s="611">
        <v>5617.2358228100002</v>
      </c>
      <c r="AD23" s="612">
        <v>4989.6683796699999</v>
      </c>
      <c r="AE23" s="613">
        <v>4898.3141219799991</v>
      </c>
      <c r="AF23" s="613">
        <v>4786.2925804499992</v>
      </c>
      <c r="AG23" s="613">
        <v>4084.3136649999997</v>
      </c>
      <c r="AH23" s="613">
        <v>4135.2781543399997</v>
      </c>
      <c r="AI23" s="613">
        <v>3748.6611679099997</v>
      </c>
      <c r="AJ23" s="613">
        <v>3939.5502778099994</v>
      </c>
      <c r="AK23" s="613">
        <v>3916.3288048000004</v>
      </c>
      <c r="AL23" s="613">
        <v>6237.8790290799998</v>
      </c>
      <c r="AM23" s="613">
        <v>5751.6014539199996</v>
      </c>
      <c r="AN23" s="614">
        <v>7353.9181042099999</v>
      </c>
      <c r="AO23" s="614">
        <v>8080.8819250000006</v>
      </c>
      <c r="AP23" s="614">
        <v>9281.3911049365797</v>
      </c>
      <c r="AQ23" s="615">
        <v>10206.952514282129</v>
      </c>
      <c r="AR23" s="615">
        <v>9940.5944312645825</v>
      </c>
      <c r="AS23" s="615">
        <v>11624.223345592512</v>
      </c>
      <c r="AT23" s="615">
        <v>11740.110552437664</v>
      </c>
      <c r="AU23" s="615">
        <v>11509.382800492676</v>
      </c>
      <c r="AV23" s="615">
        <v>11328.958581691428</v>
      </c>
      <c r="AW23" s="615">
        <v>10796.401029955146</v>
      </c>
      <c r="AX23" s="615">
        <v>13159.013579677081</v>
      </c>
      <c r="AY23" s="615">
        <v>13223.361749880189</v>
      </c>
      <c r="AZ23" s="615">
        <v>15184.032388133219</v>
      </c>
      <c r="BA23" s="615">
        <v>15739.714602155935</v>
      </c>
      <c r="BB23" s="615">
        <v>17279.760604020215</v>
      </c>
      <c r="BC23" s="615">
        <v>17166.046600573485</v>
      </c>
      <c r="BD23" s="615">
        <v>15862.505260847705</v>
      </c>
      <c r="BE23" s="615">
        <v>14261.453276729397</v>
      </c>
      <c r="BF23" s="615">
        <v>13025.65777052753</v>
      </c>
      <c r="BG23" s="615">
        <v>13481.572108107228</v>
      </c>
      <c r="BH23" s="615">
        <v>17057.069495664175</v>
      </c>
      <c r="BI23" s="615">
        <v>17351.425600456736</v>
      </c>
      <c r="BJ23" s="615">
        <v>14907.784388520955</v>
      </c>
      <c r="BK23" s="615">
        <v>14474.276758258571</v>
      </c>
      <c r="BL23" s="615">
        <v>14541.500017705517</v>
      </c>
      <c r="BM23" s="615">
        <v>14564.219112819235</v>
      </c>
      <c r="BN23" s="615">
        <v>20095.352897952424</v>
      </c>
      <c r="BO23" s="615">
        <v>24623.980044687807</v>
      </c>
      <c r="BP23" s="615">
        <v>26273.529903376031</v>
      </c>
      <c r="BQ23" s="615">
        <v>28800.780641014939</v>
      </c>
      <c r="BR23" s="615">
        <v>28591.220205598358</v>
      </c>
      <c r="BS23" s="615">
        <v>28187.013239747881</v>
      </c>
      <c r="BT23" s="615">
        <v>27327.05551032706</v>
      </c>
      <c r="BU23" s="615">
        <v>26747.791496216349</v>
      </c>
      <c r="BV23" s="615">
        <v>29223.358555339888</v>
      </c>
      <c r="BW23" s="615">
        <v>30337.122140116731</v>
      </c>
      <c r="BX23" s="615">
        <v>31830.399108388759</v>
      </c>
      <c r="BY23" s="615">
        <v>31539.297200289788</v>
      </c>
    </row>
    <row r="24" spans="1:77" s="633" customFormat="1" ht="17.25" customHeight="1" x14ac:dyDescent="0.2">
      <c r="A24" s="610"/>
      <c r="B24" s="611"/>
      <c r="C24" s="611"/>
      <c r="D24" s="611"/>
      <c r="E24" s="611"/>
      <c r="F24" s="611"/>
      <c r="G24" s="611"/>
      <c r="H24" s="611"/>
      <c r="I24" s="611"/>
      <c r="J24" s="611"/>
      <c r="K24" s="611"/>
      <c r="L24" s="611"/>
      <c r="M24" s="611"/>
      <c r="N24" s="611"/>
      <c r="O24" s="611"/>
      <c r="P24" s="611"/>
      <c r="Q24" s="611"/>
      <c r="R24" s="611"/>
      <c r="S24" s="611"/>
      <c r="T24" s="611"/>
      <c r="U24" s="611"/>
      <c r="V24" s="611"/>
      <c r="W24" s="611"/>
      <c r="X24" s="611"/>
      <c r="Y24" s="611"/>
      <c r="Z24" s="611"/>
      <c r="AA24" s="611"/>
      <c r="AB24" s="611"/>
      <c r="AC24" s="611"/>
      <c r="AD24" s="612"/>
      <c r="AE24" s="613"/>
      <c r="AF24" s="613"/>
      <c r="AG24" s="613"/>
      <c r="AH24" s="613"/>
      <c r="AI24" s="613"/>
      <c r="AJ24" s="613"/>
      <c r="AK24" s="613"/>
      <c r="AL24" s="613"/>
      <c r="AM24" s="613"/>
      <c r="AN24" s="614"/>
      <c r="AO24" s="614"/>
      <c r="AP24" s="614"/>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row>
    <row r="25" spans="1:77" s="633" customFormat="1" ht="28.5" x14ac:dyDescent="0.2">
      <c r="A25" s="634" t="s">
        <v>490</v>
      </c>
      <c r="B25" s="635">
        <v>62.003889999999998</v>
      </c>
      <c r="C25" s="635">
        <v>61.993389999999998</v>
      </c>
      <c r="D25" s="635">
        <v>61.99539</v>
      </c>
      <c r="E25" s="635">
        <v>61.996389999999998</v>
      </c>
      <c r="F25" s="635">
        <v>61.997389999999996</v>
      </c>
      <c r="G25" s="635">
        <v>61.998390000000001</v>
      </c>
      <c r="H25" s="635">
        <v>61.998390000000001</v>
      </c>
      <c r="I25" s="635">
        <v>365.74938999999989</v>
      </c>
      <c r="J25" s="635">
        <v>564.16185600000006</v>
      </c>
      <c r="K25" s="635">
        <v>564.16185600000006</v>
      </c>
      <c r="L25" s="635">
        <v>564.16385600000012</v>
      </c>
      <c r="M25" s="635">
        <v>539.38260600000012</v>
      </c>
      <c r="N25" s="635">
        <v>584.35972200000015</v>
      </c>
      <c r="O25" s="635">
        <v>625.02647699999989</v>
      </c>
      <c r="P25" s="635">
        <v>771.01945599999976</v>
      </c>
      <c r="Q25" s="635">
        <v>822.30668399999968</v>
      </c>
      <c r="R25" s="635">
        <v>1030.0437029999998</v>
      </c>
      <c r="S25" s="635">
        <v>1180.2707249999999</v>
      </c>
      <c r="T25" s="635">
        <v>1489.618299</v>
      </c>
      <c r="U25" s="635">
        <v>1414.4254760000001</v>
      </c>
      <c r="V25" s="635">
        <v>1165.8708319999998</v>
      </c>
      <c r="W25" s="635">
        <v>1215.9723699999997</v>
      </c>
      <c r="X25" s="635">
        <v>1142.846683</v>
      </c>
      <c r="Y25" s="635">
        <v>1042.3699159999999</v>
      </c>
      <c r="Z25" s="635">
        <v>1055.4824745000003</v>
      </c>
      <c r="AA25" s="635">
        <v>1056.08550081</v>
      </c>
      <c r="AB25" s="635">
        <v>1056.3749241800003</v>
      </c>
      <c r="AC25" s="635">
        <v>1032.7223669999998</v>
      </c>
      <c r="AD25" s="636">
        <v>883.49187033999988</v>
      </c>
      <c r="AE25" s="637">
        <v>897.48951968999984</v>
      </c>
      <c r="AF25" s="637">
        <v>948.03980369000033</v>
      </c>
      <c r="AG25" s="637">
        <v>852.04202469379311</v>
      </c>
      <c r="AH25" s="637">
        <v>796.88497510000002</v>
      </c>
      <c r="AI25" s="637">
        <v>695.16119835999996</v>
      </c>
      <c r="AJ25" s="637">
        <v>770.52139621000003</v>
      </c>
      <c r="AK25" s="637">
        <v>928.79317839999987</v>
      </c>
      <c r="AL25" s="637">
        <v>1204.50673351</v>
      </c>
      <c r="AM25" s="637">
        <v>1283.43921004</v>
      </c>
      <c r="AN25" s="638">
        <v>2368.5927790199994</v>
      </c>
      <c r="AO25" s="638">
        <v>2652.2967140000001</v>
      </c>
      <c r="AP25" s="638">
        <v>2897.2</v>
      </c>
      <c r="AQ25" s="639">
        <v>2852.3153352041854</v>
      </c>
      <c r="AR25" s="639">
        <v>2682.8354653116812</v>
      </c>
      <c r="AS25" s="639">
        <v>3063.3478014889333</v>
      </c>
      <c r="AT25" s="639">
        <v>2729.3527674435081</v>
      </c>
      <c r="AU25" s="639">
        <v>2678.7561026442336</v>
      </c>
      <c r="AV25" s="639">
        <v>2640.4448789370972</v>
      </c>
      <c r="AW25" s="639">
        <v>1887.1354017441981</v>
      </c>
      <c r="AX25" s="639">
        <v>1635.1679341341976</v>
      </c>
      <c r="AY25" s="639">
        <v>1584.4839756264835</v>
      </c>
      <c r="AZ25" s="639">
        <v>1692.5927042698993</v>
      </c>
      <c r="BA25" s="639">
        <v>1601.133600801779</v>
      </c>
      <c r="BB25" s="639">
        <v>2004.7795418424303</v>
      </c>
      <c r="BC25" s="639">
        <v>1965.2278182202012</v>
      </c>
      <c r="BD25" s="639">
        <v>1990.9708004348461</v>
      </c>
      <c r="BE25" s="639">
        <v>1904.623644527418</v>
      </c>
      <c r="BF25" s="639">
        <v>1872.8621347535982</v>
      </c>
      <c r="BG25" s="639">
        <v>1868.8457237385533</v>
      </c>
      <c r="BH25" s="639">
        <v>1992.8949979506597</v>
      </c>
      <c r="BI25" s="639">
        <v>2036.8401614148479</v>
      </c>
      <c r="BJ25" s="639">
        <v>3163.4087173554772</v>
      </c>
      <c r="BK25" s="639">
        <v>3189.5570864907531</v>
      </c>
      <c r="BL25" s="639">
        <v>3087.5193163272429</v>
      </c>
      <c r="BM25" s="639">
        <v>2252.1271572449555</v>
      </c>
      <c r="BN25" s="639">
        <v>2115.4813792711375</v>
      </c>
      <c r="BO25" s="639">
        <v>2053.7785681039545</v>
      </c>
      <c r="BP25" s="639">
        <v>2351.4267905635106</v>
      </c>
      <c r="BQ25" s="639">
        <v>2881.8421720452147</v>
      </c>
      <c r="BR25" s="639">
        <v>2827.7135135511971</v>
      </c>
      <c r="BS25" s="639">
        <v>2674.7453078037406</v>
      </c>
      <c r="BT25" s="639">
        <v>2879.2245253702672</v>
      </c>
      <c r="BU25" s="639">
        <v>3082.7616996985466</v>
      </c>
      <c r="BV25" s="639">
        <v>3002.8336862852648</v>
      </c>
      <c r="BW25" s="639">
        <v>3553.0095211976054</v>
      </c>
      <c r="BX25" s="639">
        <v>3796.6493733561715</v>
      </c>
      <c r="BY25" s="639">
        <v>3877.8923844726455</v>
      </c>
    </row>
    <row r="26" spans="1:77" s="633" customFormat="1" ht="17.25" customHeight="1" x14ac:dyDescent="0.25">
      <c r="A26" s="616" t="s">
        <v>491</v>
      </c>
      <c r="B26" s="617">
        <v>0</v>
      </c>
      <c r="C26" s="617">
        <v>0</v>
      </c>
      <c r="D26" s="617">
        <v>0</v>
      </c>
      <c r="E26" s="617">
        <v>0</v>
      </c>
      <c r="F26" s="617">
        <v>0</v>
      </c>
      <c r="G26" s="617">
        <v>0</v>
      </c>
      <c r="H26" s="617">
        <v>0</v>
      </c>
      <c r="I26" s="617">
        <v>0</v>
      </c>
      <c r="J26" s="617">
        <v>0</v>
      </c>
      <c r="K26" s="617">
        <v>0</v>
      </c>
      <c r="L26" s="617">
        <v>0</v>
      </c>
      <c r="M26" s="617">
        <v>0</v>
      </c>
      <c r="N26" s="617">
        <v>0</v>
      </c>
      <c r="O26" s="617">
        <v>0</v>
      </c>
      <c r="P26" s="617">
        <v>0</v>
      </c>
      <c r="Q26" s="617">
        <v>0</v>
      </c>
      <c r="R26" s="617">
        <v>0</v>
      </c>
      <c r="S26" s="617">
        <v>0</v>
      </c>
      <c r="T26" s="617">
        <v>0</v>
      </c>
      <c r="U26" s="617">
        <v>0</v>
      </c>
      <c r="V26" s="617">
        <v>0</v>
      </c>
      <c r="W26" s="617">
        <v>0</v>
      </c>
      <c r="X26" s="617">
        <v>0</v>
      </c>
      <c r="Y26" s="617">
        <v>0</v>
      </c>
      <c r="Z26" s="617">
        <v>0</v>
      </c>
      <c r="AA26" s="617">
        <v>0</v>
      </c>
      <c r="AB26" s="617">
        <v>0</v>
      </c>
      <c r="AC26" s="617">
        <v>0</v>
      </c>
      <c r="AD26" s="618">
        <v>0</v>
      </c>
      <c r="AE26" s="619">
        <v>0</v>
      </c>
      <c r="AF26" s="619">
        <v>0</v>
      </c>
      <c r="AG26" s="619">
        <v>0</v>
      </c>
      <c r="AH26" s="619">
        <v>0</v>
      </c>
      <c r="AI26" s="619">
        <v>0</v>
      </c>
      <c r="AJ26" s="619">
        <v>0</v>
      </c>
      <c r="AK26" s="619">
        <v>0</v>
      </c>
      <c r="AL26" s="619">
        <v>0</v>
      </c>
      <c r="AM26" s="619">
        <v>0</v>
      </c>
      <c r="AN26" s="620">
        <v>0</v>
      </c>
      <c r="AO26" s="620">
        <v>0</v>
      </c>
      <c r="AP26" s="620">
        <v>0</v>
      </c>
      <c r="AQ26" s="621">
        <v>0</v>
      </c>
      <c r="AR26" s="621">
        <v>0</v>
      </c>
      <c r="AS26" s="621">
        <v>0</v>
      </c>
      <c r="AT26" s="621">
        <v>0</v>
      </c>
      <c r="AU26" s="621">
        <v>0</v>
      </c>
      <c r="AV26" s="621">
        <v>0</v>
      </c>
      <c r="AW26" s="621">
        <v>0</v>
      </c>
      <c r="AX26" s="621">
        <v>0</v>
      </c>
      <c r="AY26" s="621">
        <v>0</v>
      </c>
      <c r="AZ26" s="621">
        <v>0</v>
      </c>
      <c r="BA26" s="621">
        <v>0</v>
      </c>
      <c r="BB26" s="621">
        <v>0</v>
      </c>
      <c r="BC26" s="621">
        <v>0</v>
      </c>
      <c r="BD26" s="621">
        <v>0</v>
      </c>
      <c r="BE26" s="621">
        <v>0</v>
      </c>
      <c r="BF26" s="621">
        <v>0</v>
      </c>
      <c r="BG26" s="621">
        <v>0</v>
      </c>
      <c r="BH26" s="621">
        <v>0</v>
      </c>
      <c r="BI26" s="621">
        <v>0</v>
      </c>
      <c r="BJ26" s="621">
        <v>0</v>
      </c>
      <c r="BK26" s="621">
        <v>0</v>
      </c>
      <c r="BL26" s="621">
        <v>0</v>
      </c>
      <c r="BM26" s="621">
        <v>0</v>
      </c>
      <c r="BN26" s="621">
        <v>0</v>
      </c>
      <c r="BO26" s="621">
        <v>0</v>
      </c>
      <c r="BP26" s="621">
        <v>0</v>
      </c>
      <c r="BQ26" s="621">
        <v>0</v>
      </c>
      <c r="BR26" s="621">
        <v>0</v>
      </c>
      <c r="BS26" s="621">
        <v>0</v>
      </c>
      <c r="BT26" s="621">
        <v>0</v>
      </c>
      <c r="BU26" s="621">
        <v>0</v>
      </c>
      <c r="BV26" s="621">
        <v>0</v>
      </c>
      <c r="BW26" s="621">
        <v>0</v>
      </c>
      <c r="BX26" s="621">
        <v>0</v>
      </c>
      <c r="BY26" s="621">
        <v>0</v>
      </c>
    </row>
    <row r="27" spans="1:77" s="633" customFormat="1" ht="17.25" customHeight="1" x14ac:dyDescent="0.25">
      <c r="A27" s="616" t="s">
        <v>492</v>
      </c>
      <c r="B27" s="617">
        <v>0</v>
      </c>
      <c r="C27" s="617">
        <v>0</v>
      </c>
      <c r="D27" s="617">
        <v>0</v>
      </c>
      <c r="E27" s="617">
        <v>0</v>
      </c>
      <c r="F27" s="617">
        <v>0</v>
      </c>
      <c r="G27" s="617">
        <v>0</v>
      </c>
      <c r="H27" s="617">
        <v>0</v>
      </c>
      <c r="I27" s="617">
        <v>303.74899999999991</v>
      </c>
      <c r="J27" s="617">
        <v>502.16046600000004</v>
      </c>
      <c r="K27" s="617">
        <v>502.16046600000004</v>
      </c>
      <c r="L27" s="617">
        <v>502.16046600000004</v>
      </c>
      <c r="M27" s="617">
        <v>477.37821600000007</v>
      </c>
      <c r="N27" s="617">
        <v>522.35433200000011</v>
      </c>
      <c r="O27" s="617">
        <v>563.02008699999988</v>
      </c>
      <c r="P27" s="617">
        <v>709.01456599999983</v>
      </c>
      <c r="Q27" s="617">
        <v>760.30179399999975</v>
      </c>
      <c r="R27" s="617">
        <v>957.91281299999991</v>
      </c>
      <c r="S27" s="617">
        <v>1111.7664229999998</v>
      </c>
      <c r="T27" s="617">
        <v>1421.1139969999999</v>
      </c>
      <c r="U27" s="617">
        <v>1345.9546740000001</v>
      </c>
      <c r="V27" s="617">
        <v>1097.4000299999998</v>
      </c>
      <c r="W27" s="617">
        <v>1147.5015679999997</v>
      </c>
      <c r="X27" s="617">
        <v>1074.3758809999999</v>
      </c>
      <c r="Y27" s="617">
        <v>973.89911399999983</v>
      </c>
      <c r="Z27" s="617">
        <v>987.01167250000026</v>
      </c>
      <c r="AA27" s="617">
        <v>987.61469880999994</v>
      </c>
      <c r="AB27" s="617">
        <v>987.90412218000029</v>
      </c>
      <c r="AC27" s="617">
        <v>964.24856999999986</v>
      </c>
      <c r="AD27" s="618">
        <v>815.01807333999989</v>
      </c>
      <c r="AE27" s="619">
        <v>829.00589168999988</v>
      </c>
      <c r="AF27" s="619">
        <v>879.56600669000034</v>
      </c>
      <c r="AG27" s="619">
        <v>783.56822769379312</v>
      </c>
      <c r="AH27" s="619">
        <v>728.4015081</v>
      </c>
      <c r="AI27" s="619">
        <v>626.68072635999999</v>
      </c>
      <c r="AJ27" s="619">
        <v>702.04092421000007</v>
      </c>
      <c r="AK27" s="619">
        <v>860.31270639999991</v>
      </c>
      <c r="AL27" s="619">
        <v>1136.02626151</v>
      </c>
      <c r="AM27" s="619">
        <v>1214.9587380400001</v>
      </c>
      <c r="AN27" s="620">
        <v>2300.1123070199992</v>
      </c>
      <c r="AO27" s="620">
        <v>2583.8162419999999</v>
      </c>
      <c r="AP27" s="620">
        <v>2828.7816888536599</v>
      </c>
      <c r="AQ27" s="621">
        <v>2783.8348632041857</v>
      </c>
      <c r="AR27" s="621">
        <v>2614.354993311681</v>
      </c>
      <c r="AS27" s="621">
        <v>2994.8673294889336</v>
      </c>
      <c r="AT27" s="621">
        <v>2660.8722954435084</v>
      </c>
      <c r="AU27" s="621">
        <v>2610.2756306442334</v>
      </c>
      <c r="AV27" s="621">
        <v>2571.964406937097</v>
      </c>
      <c r="AW27" s="621">
        <v>1818.6549297441982</v>
      </c>
      <c r="AX27" s="621">
        <v>1566.6874621341976</v>
      </c>
      <c r="AY27" s="621">
        <v>1518.7520036264834</v>
      </c>
      <c r="AZ27" s="621">
        <v>1626.8607322698992</v>
      </c>
      <c r="BA27" s="621">
        <v>1542.129128801779</v>
      </c>
      <c r="BB27" s="621">
        <v>1945.7750698424302</v>
      </c>
      <c r="BC27" s="621">
        <v>1906.2233462202012</v>
      </c>
      <c r="BD27" s="621">
        <v>1931.966328434846</v>
      </c>
      <c r="BE27" s="621">
        <v>1845.619172527418</v>
      </c>
      <c r="BF27" s="621">
        <v>1813.8576627535981</v>
      </c>
      <c r="BG27" s="621">
        <v>1809.8412517385532</v>
      </c>
      <c r="BH27" s="621">
        <v>1933.8905259506596</v>
      </c>
      <c r="BI27" s="621">
        <v>1977.8356894148478</v>
      </c>
      <c r="BJ27" s="621">
        <v>3104.4042453554771</v>
      </c>
      <c r="BK27" s="621">
        <v>3130.5526144907531</v>
      </c>
      <c r="BL27" s="621">
        <v>3028.5484233272427</v>
      </c>
      <c r="BM27" s="621">
        <v>2193.1226852449554</v>
      </c>
      <c r="BN27" s="621">
        <v>2056.4769072711374</v>
      </c>
      <c r="BO27" s="621">
        <v>1994.7740961039547</v>
      </c>
      <c r="BP27" s="621">
        <v>2292.4223185635105</v>
      </c>
      <c r="BQ27" s="621">
        <v>2822.8377000452147</v>
      </c>
      <c r="BR27" s="621">
        <v>2768.742620551197</v>
      </c>
      <c r="BS27" s="621">
        <v>2615.7408358037405</v>
      </c>
      <c r="BT27" s="621">
        <v>2820.2200533702671</v>
      </c>
      <c r="BU27" s="621">
        <v>3023.7572276985466</v>
      </c>
      <c r="BV27" s="621">
        <v>2943.8292142852647</v>
      </c>
      <c r="BW27" s="621">
        <v>3494.0050491976053</v>
      </c>
      <c r="BX27" s="621">
        <v>3737.6449013561714</v>
      </c>
      <c r="BY27" s="621">
        <v>3818.8879124726454</v>
      </c>
    </row>
    <row r="28" spans="1:77" s="633" customFormat="1" ht="17.25" customHeight="1" x14ac:dyDescent="0.25">
      <c r="A28" s="616" t="s">
        <v>493</v>
      </c>
      <c r="B28" s="617">
        <v>61.026910999999998</v>
      </c>
      <c r="C28" s="617">
        <v>61.016410999999998</v>
      </c>
      <c r="D28" s="617">
        <v>61.018411</v>
      </c>
      <c r="E28" s="617">
        <v>61.019410999999998</v>
      </c>
      <c r="F28" s="617">
        <v>61.020410999999996</v>
      </c>
      <c r="G28" s="617">
        <v>61.021411000000001</v>
      </c>
      <c r="H28" s="617">
        <v>61.021411000000001</v>
      </c>
      <c r="I28" s="617">
        <v>61.023410999999996</v>
      </c>
      <c r="J28" s="617">
        <v>61.024411000000001</v>
      </c>
      <c r="K28" s="617">
        <v>61.024411000000001</v>
      </c>
      <c r="L28" s="617">
        <v>61.026410999999996</v>
      </c>
      <c r="M28" s="617">
        <v>61.027411000000001</v>
      </c>
      <c r="N28" s="617">
        <v>61.028410999999998</v>
      </c>
      <c r="O28" s="617">
        <v>61.029410999999996</v>
      </c>
      <c r="P28" s="617">
        <v>61.030410999999994</v>
      </c>
      <c r="Q28" s="617">
        <v>61.030410999999994</v>
      </c>
      <c r="R28" s="617">
        <v>71.156410999999991</v>
      </c>
      <c r="S28" s="617">
        <v>67.529822999999993</v>
      </c>
      <c r="T28" s="617">
        <v>67.529822999999993</v>
      </c>
      <c r="U28" s="617">
        <v>67.529822999999993</v>
      </c>
      <c r="V28" s="617">
        <v>67.529822999999993</v>
      </c>
      <c r="W28" s="617">
        <v>67.529822999999993</v>
      </c>
      <c r="X28" s="617">
        <v>67.529822999999993</v>
      </c>
      <c r="Y28" s="617">
        <v>67.529822999999993</v>
      </c>
      <c r="Z28" s="617">
        <v>67.529822999999993</v>
      </c>
      <c r="AA28" s="617">
        <v>67.529822999999993</v>
      </c>
      <c r="AB28" s="617">
        <v>67.529822999999993</v>
      </c>
      <c r="AC28" s="617">
        <v>67.532817999999992</v>
      </c>
      <c r="AD28" s="618">
        <v>67.532817999999992</v>
      </c>
      <c r="AE28" s="619">
        <v>67.542648999999997</v>
      </c>
      <c r="AF28" s="619">
        <v>67.532817999999992</v>
      </c>
      <c r="AG28" s="619">
        <v>67.532817999999992</v>
      </c>
      <c r="AH28" s="619">
        <v>67.542487999999992</v>
      </c>
      <c r="AI28" s="619">
        <v>67.539492999999993</v>
      </c>
      <c r="AJ28" s="619">
        <v>67.539492999999993</v>
      </c>
      <c r="AK28" s="619">
        <v>67.539492999999993</v>
      </c>
      <c r="AL28" s="619">
        <v>67.539492999999993</v>
      </c>
      <c r="AM28" s="619">
        <v>67.539492999999993</v>
      </c>
      <c r="AN28" s="620">
        <v>67.539492999999993</v>
      </c>
      <c r="AO28" s="620">
        <v>67.539492999999993</v>
      </c>
      <c r="AP28" s="620">
        <v>67.539492999999993</v>
      </c>
      <c r="AQ28" s="621">
        <v>67.539492999999993</v>
      </c>
      <c r="AR28" s="621">
        <v>67.539492999999993</v>
      </c>
      <c r="AS28" s="621">
        <v>67.539492999999993</v>
      </c>
      <c r="AT28" s="621">
        <v>67.539492999999993</v>
      </c>
      <c r="AU28" s="621">
        <v>67.539492999999993</v>
      </c>
      <c r="AV28" s="621">
        <v>67.539492999999993</v>
      </c>
      <c r="AW28" s="621">
        <v>67.539492999999993</v>
      </c>
      <c r="AX28" s="621">
        <v>67.539492999999993</v>
      </c>
      <c r="AY28" s="621">
        <v>64.790993</v>
      </c>
      <c r="AZ28" s="621">
        <v>64.790993</v>
      </c>
      <c r="BA28" s="621">
        <v>58.063493000000001</v>
      </c>
      <c r="BB28" s="621">
        <v>58.063493000000001</v>
      </c>
      <c r="BC28" s="621">
        <v>58.063493000000001</v>
      </c>
      <c r="BD28" s="621">
        <v>58.063493000000001</v>
      </c>
      <c r="BE28" s="621">
        <v>58.063493000000001</v>
      </c>
      <c r="BF28" s="621">
        <v>58.063493000000001</v>
      </c>
      <c r="BG28" s="621">
        <v>58.063493000000001</v>
      </c>
      <c r="BH28" s="621">
        <v>58.063493000000001</v>
      </c>
      <c r="BI28" s="621">
        <v>58.063493000000001</v>
      </c>
      <c r="BJ28" s="621">
        <v>58.063493000000001</v>
      </c>
      <c r="BK28" s="621">
        <v>58.063493000000001</v>
      </c>
      <c r="BL28" s="621">
        <v>58.063493000000001</v>
      </c>
      <c r="BM28" s="621">
        <v>58.063493000000001</v>
      </c>
      <c r="BN28" s="621">
        <v>58.063493000000001</v>
      </c>
      <c r="BO28" s="621">
        <v>58.063493000000001</v>
      </c>
      <c r="BP28" s="621">
        <v>58.063493000000001</v>
      </c>
      <c r="BQ28" s="621">
        <v>58.063493000000001</v>
      </c>
      <c r="BR28" s="621">
        <v>58.063493000000001</v>
      </c>
      <c r="BS28" s="621">
        <v>58.063493000000001</v>
      </c>
      <c r="BT28" s="621">
        <v>58.063493000000001</v>
      </c>
      <c r="BU28" s="621">
        <v>58.063493000000001</v>
      </c>
      <c r="BV28" s="621">
        <v>58.063493000000001</v>
      </c>
      <c r="BW28" s="621">
        <v>58.063493000000001</v>
      </c>
      <c r="BX28" s="621">
        <v>58.063493000000001</v>
      </c>
      <c r="BY28" s="621">
        <v>58.063493000000001</v>
      </c>
    </row>
    <row r="29" spans="1:77" s="633" customFormat="1" ht="17.25" customHeight="1" x14ac:dyDescent="0.25">
      <c r="A29" s="616" t="s">
        <v>494</v>
      </c>
      <c r="B29" s="617">
        <v>0.97697899999999993</v>
      </c>
      <c r="C29" s="617">
        <v>0.97697899999999993</v>
      </c>
      <c r="D29" s="617">
        <v>0.97697899999999993</v>
      </c>
      <c r="E29" s="617">
        <v>0.97697899999999993</v>
      </c>
      <c r="F29" s="617">
        <v>0.97697899999999993</v>
      </c>
      <c r="G29" s="617">
        <v>0.97697899999999993</v>
      </c>
      <c r="H29" s="617">
        <v>0.97697899999999993</v>
      </c>
      <c r="I29" s="617">
        <v>0.97697899999999993</v>
      </c>
      <c r="J29" s="617">
        <v>0.97697899999999993</v>
      </c>
      <c r="K29" s="617">
        <v>0.97697899999999993</v>
      </c>
      <c r="L29" s="617">
        <v>0.97697899999999993</v>
      </c>
      <c r="M29" s="617">
        <v>0.97697899999999993</v>
      </c>
      <c r="N29" s="617">
        <v>0.97697899999999993</v>
      </c>
      <c r="O29" s="617">
        <v>0.97697899999999993</v>
      </c>
      <c r="P29" s="617">
        <v>0.97447899999999998</v>
      </c>
      <c r="Q29" s="617">
        <v>0.97447899999999998</v>
      </c>
      <c r="R29" s="617">
        <v>0.97447899999999998</v>
      </c>
      <c r="S29" s="617">
        <v>0.97447899999999998</v>
      </c>
      <c r="T29" s="617">
        <v>0.97447899999999998</v>
      </c>
      <c r="U29" s="617">
        <v>0.94097900000000001</v>
      </c>
      <c r="V29" s="617">
        <v>0.94097900000000001</v>
      </c>
      <c r="W29" s="617">
        <v>0.94097900000000001</v>
      </c>
      <c r="X29" s="617">
        <v>0.94097900000000001</v>
      </c>
      <c r="Y29" s="617">
        <v>0.94097900000000001</v>
      </c>
      <c r="Z29" s="617">
        <v>0.94097900000000001</v>
      </c>
      <c r="AA29" s="617">
        <v>0.94097900000000001</v>
      </c>
      <c r="AB29" s="617">
        <v>0.94097900000000001</v>
      </c>
      <c r="AC29" s="617">
        <v>0.94097900000000001</v>
      </c>
      <c r="AD29" s="618">
        <v>0.94097900000000001</v>
      </c>
      <c r="AE29" s="619">
        <v>0.94097900000000001</v>
      </c>
      <c r="AF29" s="619">
        <v>0.94097900000000001</v>
      </c>
      <c r="AG29" s="619">
        <v>0.94097900000000001</v>
      </c>
      <c r="AH29" s="619">
        <v>0.94097900000000001</v>
      </c>
      <c r="AI29" s="619">
        <v>0.94097900000000001</v>
      </c>
      <c r="AJ29" s="619">
        <v>0.94097900000000001</v>
      </c>
      <c r="AK29" s="619">
        <v>0.94097900000000001</v>
      </c>
      <c r="AL29" s="619">
        <v>0.94097900000000001</v>
      </c>
      <c r="AM29" s="619">
        <v>0.94097900000000001</v>
      </c>
      <c r="AN29" s="620">
        <v>0.94097900000000001</v>
      </c>
      <c r="AO29" s="620">
        <v>0.94097900000000001</v>
      </c>
      <c r="AP29" s="620">
        <v>0.94097900000000001</v>
      </c>
      <c r="AQ29" s="621">
        <v>0.94097900000000001</v>
      </c>
      <c r="AR29" s="621">
        <v>0.94097900000000001</v>
      </c>
      <c r="AS29" s="621">
        <v>0.94097900000000001</v>
      </c>
      <c r="AT29" s="621">
        <v>0.94097900000000001</v>
      </c>
      <c r="AU29" s="621">
        <v>0.94097900000000001</v>
      </c>
      <c r="AV29" s="621">
        <v>0.94097900000000001</v>
      </c>
      <c r="AW29" s="621">
        <v>0.94097900000000001</v>
      </c>
      <c r="AX29" s="621">
        <v>0.94097900000000001</v>
      </c>
      <c r="AY29" s="621">
        <v>0.94097900000000001</v>
      </c>
      <c r="AZ29" s="621">
        <v>0.94097900000000001</v>
      </c>
      <c r="BA29" s="621">
        <v>0.94097900000000001</v>
      </c>
      <c r="BB29" s="621">
        <v>0.94097900000000001</v>
      </c>
      <c r="BC29" s="621">
        <v>0.94097900000000001</v>
      </c>
      <c r="BD29" s="621">
        <v>0.94097900000000001</v>
      </c>
      <c r="BE29" s="621">
        <v>0.94097900000000001</v>
      </c>
      <c r="BF29" s="621">
        <v>0.94097900000000001</v>
      </c>
      <c r="BG29" s="621">
        <v>0.94097900000000001</v>
      </c>
      <c r="BH29" s="621">
        <v>0.94097900000000001</v>
      </c>
      <c r="BI29" s="621">
        <v>0.94097900000000001</v>
      </c>
      <c r="BJ29" s="621">
        <v>0.94097900000000001</v>
      </c>
      <c r="BK29" s="621">
        <v>0.94097900000000001</v>
      </c>
      <c r="BL29" s="621">
        <v>0.90739999999999998</v>
      </c>
      <c r="BM29" s="621">
        <v>0.94097900000000001</v>
      </c>
      <c r="BN29" s="621">
        <v>0.94097900000000001</v>
      </c>
      <c r="BO29" s="621">
        <v>0.94097900000000001</v>
      </c>
      <c r="BP29" s="621">
        <v>0.94097900000000001</v>
      </c>
      <c r="BQ29" s="621">
        <v>0.94097900000000001</v>
      </c>
      <c r="BR29" s="621">
        <v>0.90739999999999998</v>
      </c>
      <c r="BS29" s="621">
        <v>0.94097900000000001</v>
      </c>
      <c r="BT29" s="621">
        <v>0.94097900000000001</v>
      </c>
      <c r="BU29" s="621">
        <v>0.94097900000000001</v>
      </c>
      <c r="BV29" s="621">
        <v>0.94097900000000001</v>
      </c>
      <c r="BW29" s="621">
        <v>0.94097900000000001</v>
      </c>
      <c r="BX29" s="621">
        <v>0.94097900000000001</v>
      </c>
      <c r="BY29" s="621">
        <v>0.94097900000000001</v>
      </c>
    </row>
    <row r="30" spans="1:77" ht="17.25" customHeight="1" x14ac:dyDescent="0.25">
      <c r="A30" s="622"/>
      <c r="B30" s="623"/>
      <c r="C30" s="623"/>
      <c r="D30" s="623"/>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623"/>
      <c r="AC30" s="623"/>
      <c r="AD30" s="624"/>
      <c r="AE30" s="625"/>
      <c r="AF30" s="625"/>
      <c r="AG30" s="625"/>
      <c r="AH30" s="625"/>
      <c r="AI30" s="625"/>
      <c r="AJ30" s="625"/>
      <c r="AK30" s="625"/>
      <c r="AL30" s="625"/>
      <c r="AM30" s="625"/>
      <c r="AN30" s="626"/>
      <c r="AO30" s="626"/>
      <c r="AP30" s="626"/>
      <c r="AQ30" s="627"/>
      <c r="AR30" s="627"/>
      <c r="AS30" s="627"/>
      <c r="AT30" s="627"/>
      <c r="AU30" s="627"/>
      <c r="AV30" s="627"/>
      <c r="AW30" s="627"/>
      <c r="AX30" s="627"/>
      <c r="AY30" s="627"/>
      <c r="AZ30" s="627"/>
      <c r="BA30" s="627"/>
      <c r="BB30" s="627"/>
      <c r="BC30" s="627"/>
      <c r="BD30" s="627"/>
      <c r="BE30" s="627"/>
      <c r="BF30" s="627"/>
      <c r="BG30" s="627"/>
      <c r="BH30" s="627"/>
      <c r="BI30" s="627"/>
      <c r="BJ30" s="627"/>
      <c r="BK30" s="627"/>
      <c r="BL30" s="627"/>
      <c r="BM30" s="627"/>
      <c r="BN30" s="627"/>
      <c r="BO30" s="627"/>
      <c r="BP30" s="627"/>
      <c r="BQ30" s="627"/>
      <c r="BR30" s="627"/>
      <c r="BS30" s="627"/>
      <c r="BT30" s="627"/>
      <c r="BU30" s="627"/>
      <c r="BV30" s="627"/>
      <c r="BW30" s="627"/>
      <c r="BX30" s="627"/>
      <c r="BY30" s="627"/>
    </row>
    <row r="31" spans="1:77" ht="17.25" customHeight="1" x14ac:dyDescent="0.2">
      <c r="A31" s="610" t="s">
        <v>200</v>
      </c>
      <c r="B31" s="611">
        <v>0</v>
      </c>
      <c r="C31" s="611">
        <v>0</v>
      </c>
      <c r="D31" s="611">
        <v>0</v>
      </c>
      <c r="E31" s="611">
        <v>0</v>
      </c>
      <c r="F31" s="611">
        <v>0</v>
      </c>
      <c r="G31" s="611">
        <v>0</v>
      </c>
      <c r="H31" s="611">
        <v>0</v>
      </c>
      <c r="I31" s="611">
        <v>0</v>
      </c>
      <c r="J31" s="611">
        <v>0</v>
      </c>
      <c r="K31" s="611">
        <v>0</v>
      </c>
      <c r="L31" s="611">
        <v>0</v>
      </c>
      <c r="M31" s="611">
        <v>0</v>
      </c>
      <c r="N31" s="611">
        <v>0</v>
      </c>
      <c r="O31" s="611">
        <v>0</v>
      </c>
      <c r="P31" s="611">
        <v>0</v>
      </c>
      <c r="Q31" s="611">
        <v>0</v>
      </c>
      <c r="R31" s="611">
        <v>0</v>
      </c>
      <c r="S31" s="611">
        <v>0</v>
      </c>
      <c r="T31" s="611">
        <v>0</v>
      </c>
      <c r="U31" s="611">
        <v>0</v>
      </c>
      <c r="V31" s="611">
        <v>0</v>
      </c>
      <c r="W31" s="611">
        <v>0</v>
      </c>
      <c r="X31" s="611">
        <v>0</v>
      </c>
      <c r="Y31" s="611">
        <v>0</v>
      </c>
      <c r="Z31" s="611">
        <v>0</v>
      </c>
      <c r="AA31" s="611">
        <v>0</v>
      </c>
      <c r="AB31" s="611">
        <v>0</v>
      </c>
      <c r="AC31" s="611">
        <v>0</v>
      </c>
      <c r="AD31" s="612">
        <v>0</v>
      </c>
      <c r="AE31" s="613">
        <v>0</v>
      </c>
      <c r="AF31" s="613">
        <v>0</v>
      </c>
      <c r="AG31" s="613">
        <v>0</v>
      </c>
      <c r="AH31" s="613">
        <v>0</v>
      </c>
      <c r="AI31" s="613">
        <v>0</v>
      </c>
      <c r="AJ31" s="613">
        <v>0</v>
      </c>
      <c r="AK31" s="613">
        <v>0</v>
      </c>
      <c r="AL31" s="613">
        <v>0</v>
      </c>
      <c r="AM31" s="613">
        <v>0</v>
      </c>
      <c r="AN31" s="614">
        <v>0</v>
      </c>
      <c r="AO31" s="614">
        <v>0</v>
      </c>
      <c r="AP31" s="614">
        <v>0</v>
      </c>
      <c r="AQ31" s="615">
        <v>0</v>
      </c>
      <c r="AR31" s="615">
        <v>0</v>
      </c>
      <c r="AS31" s="615">
        <v>0</v>
      </c>
      <c r="AT31" s="615">
        <v>0</v>
      </c>
      <c r="AU31" s="615">
        <v>0</v>
      </c>
      <c r="AV31" s="615">
        <v>0</v>
      </c>
      <c r="AW31" s="615">
        <v>0</v>
      </c>
      <c r="AX31" s="615">
        <v>0</v>
      </c>
      <c r="AY31" s="615">
        <v>0</v>
      </c>
      <c r="AZ31" s="615">
        <v>0</v>
      </c>
      <c r="BA31" s="615">
        <v>0</v>
      </c>
      <c r="BB31" s="615">
        <v>0</v>
      </c>
      <c r="BC31" s="615">
        <v>0</v>
      </c>
      <c r="BD31" s="615">
        <v>0</v>
      </c>
      <c r="BE31" s="615">
        <v>0</v>
      </c>
      <c r="BF31" s="615">
        <v>0</v>
      </c>
      <c r="BG31" s="615">
        <v>0</v>
      </c>
      <c r="BH31" s="615">
        <v>0</v>
      </c>
      <c r="BI31" s="615">
        <v>0</v>
      </c>
      <c r="BJ31" s="615">
        <v>0</v>
      </c>
      <c r="BK31" s="615">
        <v>0</v>
      </c>
      <c r="BL31" s="615">
        <v>0</v>
      </c>
      <c r="BM31" s="615">
        <v>0</v>
      </c>
      <c r="BN31" s="615">
        <v>0</v>
      </c>
      <c r="BO31" s="615">
        <v>0</v>
      </c>
      <c r="BP31" s="615">
        <v>0</v>
      </c>
      <c r="BQ31" s="615">
        <v>0</v>
      </c>
      <c r="BR31" s="615">
        <v>0</v>
      </c>
      <c r="BS31" s="615">
        <v>0</v>
      </c>
      <c r="BT31" s="615">
        <v>0</v>
      </c>
      <c r="BU31" s="615">
        <v>0</v>
      </c>
      <c r="BV31" s="615">
        <v>0</v>
      </c>
      <c r="BW31" s="615">
        <v>0</v>
      </c>
      <c r="BX31" s="615">
        <v>0</v>
      </c>
      <c r="BY31" s="615">
        <v>0</v>
      </c>
    </row>
    <row r="32" spans="1:77" ht="17.25" customHeight="1" x14ac:dyDescent="0.25">
      <c r="A32" s="622"/>
      <c r="B32" s="623"/>
      <c r="C32" s="623"/>
      <c r="D32" s="623"/>
      <c r="E32" s="623"/>
      <c r="F32" s="623"/>
      <c r="G32" s="623"/>
      <c r="H32" s="623"/>
      <c r="I32" s="623"/>
      <c r="J32" s="623"/>
      <c r="K32" s="623"/>
      <c r="L32" s="623"/>
      <c r="M32" s="623"/>
      <c r="N32" s="623"/>
      <c r="O32" s="623"/>
      <c r="P32" s="623"/>
      <c r="Q32" s="623"/>
      <c r="R32" s="623"/>
      <c r="S32" s="623"/>
      <c r="T32" s="623"/>
      <c r="U32" s="623"/>
      <c r="V32" s="623"/>
      <c r="W32" s="623"/>
      <c r="X32" s="623"/>
      <c r="Y32" s="623"/>
      <c r="Z32" s="623"/>
      <c r="AA32" s="623"/>
      <c r="AB32" s="623"/>
      <c r="AC32" s="623"/>
      <c r="AD32" s="624"/>
      <c r="AE32" s="625"/>
      <c r="AF32" s="625"/>
      <c r="AG32" s="625"/>
      <c r="AH32" s="625"/>
      <c r="AI32" s="625"/>
      <c r="AJ32" s="625"/>
      <c r="AK32" s="625"/>
      <c r="AL32" s="625"/>
      <c r="AM32" s="625"/>
      <c r="AN32" s="626"/>
      <c r="AO32" s="626"/>
      <c r="AP32" s="626"/>
      <c r="AQ32" s="627"/>
      <c r="AR32" s="627"/>
      <c r="AS32" s="627"/>
      <c r="AT32" s="627"/>
      <c r="AU32" s="627"/>
      <c r="AV32" s="627"/>
      <c r="AW32" s="627"/>
      <c r="AX32" s="627"/>
      <c r="AY32" s="627"/>
      <c r="AZ32" s="627"/>
      <c r="BA32" s="627"/>
      <c r="BB32" s="627"/>
      <c r="BC32" s="627"/>
      <c r="BD32" s="627"/>
      <c r="BE32" s="627"/>
      <c r="BF32" s="627"/>
      <c r="BG32" s="627"/>
      <c r="BH32" s="627"/>
      <c r="BI32" s="627"/>
      <c r="BJ32" s="627"/>
      <c r="BK32" s="627"/>
      <c r="BL32" s="627"/>
      <c r="BM32" s="627"/>
      <c r="BN32" s="627"/>
      <c r="BO32" s="627"/>
      <c r="BP32" s="627"/>
      <c r="BQ32" s="627"/>
      <c r="BR32" s="627"/>
      <c r="BS32" s="627"/>
      <c r="BT32" s="627"/>
      <c r="BU32" s="627"/>
      <c r="BV32" s="627"/>
      <c r="BW32" s="627"/>
      <c r="BX32" s="627"/>
      <c r="BY32" s="627"/>
    </row>
    <row r="33" spans="1:77" ht="17.25" customHeight="1" x14ac:dyDescent="0.2">
      <c r="A33" s="610" t="s">
        <v>422</v>
      </c>
      <c r="B33" s="611">
        <v>0</v>
      </c>
      <c r="C33" s="611">
        <v>0</v>
      </c>
      <c r="D33" s="611">
        <v>0</v>
      </c>
      <c r="E33" s="611">
        <v>0</v>
      </c>
      <c r="F33" s="611">
        <v>0</v>
      </c>
      <c r="G33" s="611">
        <v>0</v>
      </c>
      <c r="H33" s="611">
        <v>0</v>
      </c>
      <c r="I33" s="611">
        <v>0</v>
      </c>
      <c r="J33" s="611">
        <v>0</v>
      </c>
      <c r="K33" s="611">
        <v>0</v>
      </c>
      <c r="L33" s="611">
        <v>0</v>
      </c>
      <c r="M33" s="611">
        <v>0</v>
      </c>
      <c r="N33" s="611">
        <v>0</v>
      </c>
      <c r="O33" s="611">
        <v>0</v>
      </c>
      <c r="P33" s="611">
        <v>0</v>
      </c>
      <c r="Q33" s="611">
        <v>0</v>
      </c>
      <c r="R33" s="611">
        <v>0</v>
      </c>
      <c r="S33" s="611">
        <v>0</v>
      </c>
      <c r="T33" s="611">
        <v>0</v>
      </c>
      <c r="U33" s="611">
        <v>0</v>
      </c>
      <c r="V33" s="611">
        <v>0</v>
      </c>
      <c r="W33" s="611">
        <v>0</v>
      </c>
      <c r="X33" s="611">
        <v>0</v>
      </c>
      <c r="Y33" s="611">
        <v>0</v>
      </c>
      <c r="Z33" s="611">
        <v>0</v>
      </c>
      <c r="AA33" s="611">
        <v>0</v>
      </c>
      <c r="AB33" s="611">
        <v>0</v>
      </c>
      <c r="AC33" s="611">
        <v>0</v>
      </c>
      <c r="AD33" s="612">
        <v>0</v>
      </c>
      <c r="AE33" s="613">
        <v>0</v>
      </c>
      <c r="AF33" s="613">
        <v>0</v>
      </c>
      <c r="AG33" s="613">
        <v>0</v>
      </c>
      <c r="AH33" s="613">
        <v>0</v>
      </c>
      <c r="AI33" s="613">
        <v>0</v>
      </c>
      <c r="AJ33" s="613">
        <v>0</v>
      </c>
      <c r="AK33" s="613">
        <v>0</v>
      </c>
      <c r="AL33" s="613">
        <v>0</v>
      </c>
      <c r="AM33" s="613">
        <v>0</v>
      </c>
      <c r="AN33" s="614">
        <v>0</v>
      </c>
      <c r="AO33" s="614">
        <v>0</v>
      </c>
      <c r="AP33" s="614">
        <v>0</v>
      </c>
      <c r="AQ33" s="615">
        <v>0</v>
      </c>
      <c r="AR33" s="615">
        <v>0</v>
      </c>
      <c r="AS33" s="615">
        <v>0</v>
      </c>
      <c r="AT33" s="615">
        <v>0</v>
      </c>
      <c r="AU33" s="615">
        <v>0</v>
      </c>
      <c r="AV33" s="615">
        <v>0</v>
      </c>
      <c r="AW33" s="615">
        <v>0</v>
      </c>
      <c r="AX33" s="615">
        <v>0</v>
      </c>
      <c r="AY33" s="615">
        <v>0</v>
      </c>
      <c r="AZ33" s="615">
        <v>0</v>
      </c>
      <c r="BA33" s="615">
        <v>0</v>
      </c>
      <c r="BB33" s="615">
        <v>0</v>
      </c>
      <c r="BC33" s="615">
        <v>0</v>
      </c>
      <c r="BD33" s="615">
        <v>0</v>
      </c>
      <c r="BE33" s="615">
        <v>0</v>
      </c>
      <c r="BF33" s="615">
        <v>0</v>
      </c>
      <c r="BG33" s="615">
        <v>0</v>
      </c>
      <c r="BH33" s="615">
        <v>0</v>
      </c>
      <c r="BI33" s="615">
        <v>0</v>
      </c>
      <c r="BJ33" s="615">
        <v>0</v>
      </c>
      <c r="BK33" s="615">
        <v>0</v>
      </c>
      <c r="BL33" s="615">
        <v>0</v>
      </c>
      <c r="BM33" s="615">
        <v>0</v>
      </c>
      <c r="BN33" s="615">
        <v>0</v>
      </c>
      <c r="BO33" s="615">
        <v>0</v>
      </c>
      <c r="BP33" s="615">
        <v>0</v>
      </c>
      <c r="BQ33" s="615">
        <v>0</v>
      </c>
      <c r="BR33" s="615">
        <v>0</v>
      </c>
      <c r="BS33" s="615">
        <v>0</v>
      </c>
      <c r="BT33" s="615">
        <v>0</v>
      </c>
      <c r="BU33" s="615">
        <v>0</v>
      </c>
      <c r="BV33" s="615">
        <v>0</v>
      </c>
      <c r="BW33" s="615">
        <v>0</v>
      </c>
      <c r="BX33" s="615">
        <v>0</v>
      </c>
      <c r="BY33" s="615">
        <v>0</v>
      </c>
    </row>
    <row r="34" spans="1:77" ht="17.25" customHeight="1" x14ac:dyDescent="0.25">
      <c r="A34" s="622"/>
      <c r="B34" s="623"/>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4"/>
      <c r="AE34" s="625"/>
      <c r="AF34" s="625"/>
      <c r="AG34" s="625"/>
      <c r="AH34" s="625"/>
      <c r="AI34" s="625"/>
      <c r="AJ34" s="625"/>
      <c r="AK34" s="625"/>
      <c r="AL34" s="625"/>
      <c r="AM34" s="625"/>
      <c r="AN34" s="626"/>
      <c r="AO34" s="626"/>
      <c r="AP34" s="626"/>
      <c r="AQ34" s="627"/>
      <c r="AR34" s="627"/>
      <c r="AS34" s="627"/>
      <c r="AT34" s="627"/>
      <c r="AU34" s="627"/>
      <c r="AV34" s="627"/>
      <c r="AW34" s="627"/>
      <c r="AX34" s="627"/>
      <c r="AY34" s="627"/>
      <c r="AZ34" s="627"/>
      <c r="BA34" s="627"/>
      <c r="BB34" s="627"/>
      <c r="BC34" s="627"/>
      <c r="BD34" s="627"/>
      <c r="BE34" s="627"/>
      <c r="BF34" s="627"/>
      <c r="BG34" s="627"/>
      <c r="BH34" s="627"/>
      <c r="BI34" s="627"/>
      <c r="BJ34" s="627"/>
      <c r="BK34" s="627"/>
      <c r="BL34" s="627"/>
      <c r="BM34" s="627"/>
      <c r="BN34" s="627"/>
      <c r="BO34" s="627"/>
      <c r="BP34" s="627"/>
      <c r="BQ34" s="627"/>
      <c r="BR34" s="627"/>
      <c r="BS34" s="627"/>
      <c r="BT34" s="627"/>
      <c r="BU34" s="627"/>
      <c r="BV34" s="627"/>
      <c r="BW34" s="627"/>
      <c r="BX34" s="627"/>
      <c r="BY34" s="627"/>
    </row>
    <row r="35" spans="1:77" ht="17.25" customHeight="1" x14ac:dyDescent="0.2">
      <c r="A35" s="610" t="s">
        <v>495</v>
      </c>
      <c r="B35" s="611"/>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2"/>
      <c r="AE35" s="613"/>
      <c r="AF35" s="613"/>
      <c r="AG35" s="613"/>
      <c r="AH35" s="613"/>
      <c r="AI35" s="613"/>
      <c r="AJ35" s="613"/>
      <c r="AK35" s="613"/>
      <c r="AL35" s="613"/>
      <c r="AM35" s="613"/>
      <c r="AN35" s="614"/>
      <c r="AO35" s="614"/>
      <c r="AP35" s="614"/>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row>
    <row r="36" spans="1:77" ht="17.25" customHeight="1" x14ac:dyDescent="0.25">
      <c r="A36" s="622"/>
      <c r="B36" s="623"/>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4"/>
      <c r="AE36" s="625"/>
      <c r="AF36" s="625"/>
      <c r="AG36" s="625"/>
      <c r="AH36" s="625"/>
      <c r="AI36" s="625"/>
      <c r="AJ36" s="625"/>
      <c r="AK36" s="625"/>
      <c r="AL36" s="625"/>
      <c r="AM36" s="625"/>
      <c r="AN36" s="626"/>
      <c r="AO36" s="626"/>
      <c r="AP36" s="626"/>
      <c r="AQ36" s="627"/>
      <c r="AR36" s="627"/>
      <c r="AS36" s="627"/>
      <c r="AT36" s="627"/>
      <c r="AU36" s="627"/>
      <c r="AV36" s="627"/>
      <c r="AW36" s="627"/>
      <c r="AX36" s="627"/>
      <c r="AY36" s="627"/>
      <c r="AZ36" s="627"/>
      <c r="BA36" s="627"/>
      <c r="BB36" s="627"/>
      <c r="BC36" s="627"/>
      <c r="BD36" s="627"/>
      <c r="BE36" s="627"/>
      <c r="BF36" s="627"/>
      <c r="BG36" s="627"/>
      <c r="BH36" s="627"/>
      <c r="BI36" s="627"/>
      <c r="BJ36" s="627"/>
      <c r="BK36" s="627"/>
      <c r="BL36" s="627"/>
      <c r="BM36" s="627"/>
      <c r="BN36" s="627"/>
      <c r="BO36" s="627"/>
      <c r="BP36" s="627"/>
      <c r="BQ36" s="627"/>
      <c r="BR36" s="627"/>
      <c r="BS36" s="627"/>
      <c r="BT36" s="627"/>
      <c r="BU36" s="627"/>
      <c r="BV36" s="627"/>
      <c r="BW36" s="627"/>
      <c r="BX36" s="627"/>
      <c r="BY36" s="627"/>
    </row>
    <row r="37" spans="1:77" ht="17.25" customHeight="1" x14ac:dyDescent="0.2">
      <c r="A37" s="610" t="s">
        <v>418</v>
      </c>
      <c r="B37" s="611">
        <v>19964.110167409999</v>
      </c>
      <c r="C37" s="611">
        <v>20456.15655851</v>
      </c>
      <c r="D37" s="611">
        <v>20656.54350453</v>
      </c>
      <c r="E37" s="611">
        <v>20976.469956159999</v>
      </c>
      <c r="F37" s="611">
        <v>23542.384742170001</v>
      </c>
      <c r="G37" s="611">
        <v>20273.87106505</v>
      </c>
      <c r="H37" s="611">
        <v>18508.569286829999</v>
      </c>
      <c r="I37" s="611">
        <v>19472.344551769998</v>
      </c>
      <c r="J37" s="611">
        <v>20495.222189169999</v>
      </c>
      <c r="K37" s="611">
        <v>20301.791217229998</v>
      </c>
      <c r="L37" s="611">
        <v>20191.020255149997</v>
      </c>
      <c r="M37" s="611">
        <v>21361.044988709997</v>
      </c>
      <c r="N37" s="611">
        <v>19413.827296809999</v>
      </c>
      <c r="O37" s="611">
        <v>19582.327154339997</v>
      </c>
      <c r="P37" s="611">
        <v>18243.485036359998</v>
      </c>
      <c r="Q37" s="611">
        <v>17904.736877859999</v>
      </c>
      <c r="R37" s="611">
        <v>18921.887750959999</v>
      </c>
      <c r="S37" s="611">
        <v>20149.1601701</v>
      </c>
      <c r="T37" s="611">
        <v>18753.241767789998</v>
      </c>
      <c r="U37" s="611">
        <v>19617.36774234</v>
      </c>
      <c r="V37" s="611">
        <v>19604.223607200001</v>
      </c>
      <c r="W37" s="611">
        <v>21354.738473539997</v>
      </c>
      <c r="X37" s="611">
        <v>20283.88373102</v>
      </c>
      <c r="Y37" s="611">
        <v>19542.970377910002</v>
      </c>
      <c r="Z37" s="611">
        <v>21291.50351029</v>
      </c>
      <c r="AA37" s="611">
        <v>21595.119234290003</v>
      </c>
      <c r="AB37" s="611">
        <v>20783.147565799998</v>
      </c>
      <c r="AC37" s="611">
        <v>21203.46923585</v>
      </c>
      <c r="AD37" s="612">
        <v>19954.35588607</v>
      </c>
      <c r="AE37" s="613">
        <v>23783.569044780001</v>
      </c>
      <c r="AF37" s="613">
        <v>23780.145553330003</v>
      </c>
      <c r="AG37" s="613">
        <v>23569.844059790001</v>
      </c>
      <c r="AH37" s="613">
        <v>25164.681625080102</v>
      </c>
      <c r="AI37" s="613">
        <v>26025.415872760001</v>
      </c>
      <c r="AJ37" s="613">
        <v>25692.210255179998</v>
      </c>
      <c r="AK37" s="613">
        <v>25383.877467489983</v>
      </c>
      <c r="AL37" s="613">
        <v>25930.891317520014</v>
      </c>
      <c r="AM37" s="613">
        <v>25189.279282339958</v>
      </c>
      <c r="AN37" s="614">
        <v>25613.860504809993</v>
      </c>
      <c r="AO37" s="614">
        <v>25224.743159949947</v>
      </c>
      <c r="AP37" s="614">
        <v>23948.197494770015</v>
      </c>
      <c r="AQ37" s="615">
        <v>21850.039449129996</v>
      </c>
      <c r="AR37" s="615">
        <v>22254.871252340021</v>
      </c>
      <c r="AS37" s="615">
        <v>21879.72865525998</v>
      </c>
      <c r="AT37" s="615">
        <v>22545.301191179984</v>
      </c>
      <c r="AU37" s="615">
        <v>22101.591468449988</v>
      </c>
      <c r="AV37" s="615">
        <v>21365.243426009969</v>
      </c>
      <c r="AW37" s="615">
        <v>20881.14524601998</v>
      </c>
      <c r="AX37" s="615">
        <v>20472.976203240014</v>
      </c>
      <c r="AY37" s="615">
        <v>21487.784692900022</v>
      </c>
      <c r="AZ37" s="615">
        <v>21928.267963229922</v>
      </c>
      <c r="BA37" s="615">
        <v>21797.014970980046</v>
      </c>
      <c r="BB37" s="615">
        <v>22086.19730513003</v>
      </c>
      <c r="BC37" s="615">
        <v>22650.277264699977</v>
      </c>
      <c r="BD37" s="615">
        <v>21679.910396959978</v>
      </c>
      <c r="BE37" s="615">
        <v>22462.728441649982</v>
      </c>
      <c r="BF37" s="615">
        <v>20288.861448660031</v>
      </c>
      <c r="BG37" s="615">
        <v>18978.052171999949</v>
      </c>
      <c r="BH37" s="615">
        <v>18191.658810679994</v>
      </c>
      <c r="BI37" s="615">
        <v>17271.864959959996</v>
      </c>
      <c r="BJ37" s="615">
        <v>16252.714630709965</v>
      </c>
      <c r="BK37" s="615">
        <v>18325.476515089984</v>
      </c>
      <c r="BL37" s="615">
        <v>27006.25268139</v>
      </c>
      <c r="BM37" s="615">
        <v>26101.492148820111</v>
      </c>
      <c r="BN37" s="615">
        <v>24870.176161724856</v>
      </c>
      <c r="BO37" s="615">
        <v>24471.645377400018</v>
      </c>
      <c r="BP37" s="615">
        <v>23760.590670869977</v>
      </c>
      <c r="BQ37" s="615">
        <v>23082.71069057002</v>
      </c>
      <c r="BR37" s="615">
        <v>24280.758976100049</v>
      </c>
      <c r="BS37" s="615">
        <v>25590.232428529933</v>
      </c>
      <c r="BT37" s="615">
        <v>25098.625338600003</v>
      </c>
      <c r="BU37" s="615">
        <v>24330.692173520045</v>
      </c>
      <c r="BV37" s="615">
        <v>24688.323351009974</v>
      </c>
      <c r="BW37" s="615">
        <v>25037.211866000027</v>
      </c>
      <c r="BX37" s="615">
        <v>25089.035267669948</v>
      </c>
      <c r="BY37" s="615">
        <v>24090.776523889981</v>
      </c>
    </row>
    <row r="38" spans="1:77" ht="17.25" customHeight="1" x14ac:dyDescent="0.25">
      <c r="A38" s="622"/>
      <c r="B38" s="623"/>
      <c r="C38" s="623"/>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4"/>
      <c r="AE38" s="625"/>
      <c r="AF38" s="625"/>
      <c r="AG38" s="625"/>
      <c r="AH38" s="625"/>
      <c r="AI38" s="625"/>
      <c r="AJ38" s="625"/>
      <c r="AK38" s="625"/>
      <c r="AL38" s="625"/>
      <c r="AM38" s="625"/>
      <c r="AN38" s="626"/>
      <c r="AO38" s="626"/>
      <c r="AP38" s="626"/>
      <c r="AQ38" s="627"/>
      <c r="AR38" s="627"/>
      <c r="AS38" s="627"/>
      <c r="AT38" s="627"/>
      <c r="AU38" s="627"/>
      <c r="AV38" s="627"/>
      <c r="AW38" s="627"/>
      <c r="AX38" s="627"/>
      <c r="AY38" s="627"/>
      <c r="AZ38" s="627"/>
      <c r="BA38" s="627"/>
      <c r="BB38" s="627"/>
      <c r="BC38" s="627"/>
      <c r="BD38" s="627"/>
      <c r="BE38" s="627"/>
      <c r="BF38" s="627"/>
      <c r="BG38" s="627"/>
      <c r="BH38" s="627"/>
      <c r="BI38" s="627"/>
      <c r="BJ38" s="627"/>
      <c r="BK38" s="627"/>
      <c r="BL38" s="627"/>
      <c r="BM38" s="627"/>
      <c r="BN38" s="627"/>
      <c r="BO38" s="627"/>
      <c r="BP38" s="627"/>
      <c r="BQ38" s="627"/>
      <c r="BR38" s="627"/>
      <c r="BS38" s="627"/>
      <c r="BT38" s="627"/>
      <c r="BU38" s="627"/>
      <c r="BV38" s="627"/>
      <c r="BW38" s="627"/>
      <c r="BX38" s="627"/>
      <c r="BY38" s="627"/>
    </row>
    <row r="39" spans="1:77" ht="17.25" customHeight="1" x14ac:dyDescent="0.2">
      <c r="A39" s="610" t="s">
        <v>496</v>
      </c>
      <c r="B39" s="611">
        <v>-1434.667344337124</v>
      </c>
      <c r="C39" s="611">
        <v>-1477.1395861087244</v>
      </c>
      <c r="D39" s="611">
        <v>-1358.796941880126</v>
      </c>
      <c r="E39" s="611">
        <v>-1458.96645092479</v>
      </c>
      <c r="F39" s="611">
        <v>-1381.6226738184043</v>
      </c>
      <c r="G39" s="611">
        <v>-963.28624081337387</v>
      </c>
      <c r="H39" s="611">
        <v>422.07065105018188</v>
      </c>
      <c r="I39" s="611">
        <v>-978.82857102485036</v>
      </c>
      <c r="J39" s="611">
        <v>-823.93375902726427</v>
      </c>
      <c r="K39" s="611">
        <v>-850.77931149989365</v>
      </c>
      <c r="L39" s="611">
        <v>-987.49065916572863</v>
      </c>
      <c r="M39" s="611">
        <v>-936.4391397666551</v>
      </c>
      <c r="N39" s="611">
        <v>-736.96161155021503</v>
      </c>
      <c r="O39" s="611">
        <v>-1051.1752037621868</v>
      </c>
      <c r="P39" s="611">
        <v>-1021.8921495364106</v>
      </c>
      <c r="Q39" s="611">
        <v>-832.03756500450504</v>
      </c>
      <c r="R39" s="611">
        <v>-730.79269520945854</v>
      </c>
      <c r="S39" s="611">
        <v>-759.96603815235449</v>
      </c>
      <c r="T39" s="611">
        <v>-504.77425950995183</v>
      </c>
      <c r="U39" s="611">
        <v>-508.68117633964766</v>
      </c>
      <c r="V39" s="611">
        <v>-893.80414623820752</v>
      </c>
      <c r="W39" s="611">
        <v>-763.39340329816673</v>
      </c>
      <c r="X39" s="611">
        <v>-790.29161976840771</v>
      </c>
      <c r="Y39" s="611">
        <v>-816.00497894945283</v>
      </c>
      <c r="Z39" s="611">
        <v>-832.01725442353654</v>
      </c>
      <c r="AA39" s="611">
        <v>-933.02095446765031</v>
      </c>
      <c r="AB39" s="611">
        <v>-911.91733136025948</v>
      </c>
      <c r="AC39" s="611">
        <v>-867.71302911767884</v>
      </c>
      <c r="AD39" s="612">
        <v>-745.94810927188189</v>
      </c>
      <c r="AE39" s="613">
        <v>-918.58672977184278</v>
      </c>
      <c r="AF39" s="613">
        <v>-226.3974311698656</v>
      </c>
      <c r="AG39" s="613">
        <v>-387.84265693047922</v>
      </c>
      <c r="AH39" s="613">
        <v>-365.45336159888342</v>
      </c>
      <c r="AI39" s="613">
        <v>-802.39928888553823</v>
      </c>
      <c r="AJ39" s="613">
        <v>-837.88849807393342</v>
      </c>
      <c r="AK39" s="613">
        <v>-770.03294562189137</v>
      </c>
      <c r="AL39" s="613">
        <v>-706.71763879889261</v>
      </c>
      <c r="AM39" s="613">
        <v>-789.79346798723486</v>
      </c>
      <c r="AN39" s="614">
        <v>-768.23533532531997</v>
      </c>
      <c r="AO39" s="614">
        <v>-720.28712618726922</v>
      </c>
      <c r="AP39" s="614">
        <v>-805.11434280500669</v>
      </c>
      <c r="AQ39" s="615">
        <v>-791.2372303008666</v>
      </c>
      <c r="AR39" s="615">
        <v>-528.62362887682525</v>
      </c>
      <c r="AS39" s="615">
        <v>-292.27452656486992</v>
      </c>
      <c r="AT39" s="615">
        <v>-471.44493521788257</v>
      </c>
      <c r="AU39" s="615">
        <v>-625.18479977963523</v>
      </c>
      <c r="AV39" s="615">
        <v>-591.5090061080225</v>
      </c>
      <c r="AW39" s="615">
        <v>-461.1157980625905</v>
      </c>
      <c r="AX39" s="615">
        <v>-571.83377932754422</v>
      </c>
      <c r="AY39" s="615">
        <v>-701.1908600242333</v>
      </c>
      <c r="AZ39" s="615">
        <v>-648.70551274924367</v>
      </c>
      <c r="BA39" s="615">
        <v>-771.73986722279722</v>
      </c>
      <c r="BB39" s="615">
        <v>-795.70958153309766</v>
      </c>
      <c r="BC39" s="615">
        <v>-637.35298319984395</v>
      </c>
      <c r="BD39" s="615">
        <v>-539.34628236549941</v>
      </c>
      <c r="BE39" s="615">
        <v>-576.38832892289986</v>
      </c>
      <c r="BF39" s="615">
        <v>-580.47644205281802</v>
      </c>
      <c r="BG39" s="615">
        <v>-218.5600711052563</v>
      </c>
      <c r="BH39" s="615">
        <v>-198.01053248810692</v>
      </c>
      <c r="BI39" s="615">
        <v>18.417431191710673</v>
      </c>
      <c r="BJ39" s="615">
        <v>-192.51418336793432</v>
      </c>
      <c r="BK39" s="615">
        <v>-223.54069141485081</v>
      </c>
      <c r="BL39" s="615">
        <v>-83.283343983249893</v>
      </c>
      <c r="BM39" s="615">
        <v>-169.83530557149891</v>
      </c>
      <c r="BN39" s="615">
        <v>-200.29556304832823</v>
      </c>
      <c r="BO39" s="615">
        <v>-98.296839244733789</v>
      </c>
      <c r="BP39" s="615">
        <v>-143.22414376783343</v>
      </c>
      <c r="BQ39" s="615">
        <v>-101.17105117024779</v>
      </c>
      <c r="BR39" s="615">
        <v>-42.97057549160867</v>
      </c>
      <c r="BS39" s="615">
        <v>13.426260070348064</v>
      </c>
      <c r="BT39" s="615">
        <v>-77.607520890654939</v>
      </c>
      <c r="BU39" s="615">
        <v>-120.42892680083372</v>
      </c>
      <c r="BV39" s="615">
        <v>-174.99323925486189</v>
      </c>
      <c r="BW39" s="615">
        <v>-197.48082146669412</v>
      </c>
      <c r="BX39" s="615">
        <v>-79.183197611921059</v>
      </c>
      <c r="BY39" s="615">
        <v>-150.11271862557624</v>
      </c>
    </row>
    <row r="40" spans="1:77" ht="17.25" customHeight="1" thickBot="1" x14ac:dyDescent="0.25">
      <c r="A40" s="640"/>
      <c r="B40" s="641"/>
      <c r="C40" s="641"/>
      <c r="D40" s="641"/>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2"/>
      <c r="AE40" s="643"/>
      <c r="AF40" s="643"/>
      <c r="AG40" s="643"/>
      <c r="AH40" s="643"/>
      <c r="AI40" s="643"/>
      <c r="AJ40" s="643"/>
      <c r="AK40" s="643"/>
      <c r="AL40" s="643"/>
      <c r="AM40" s="643"/>
      <c r="AN40" s="643"/>
      <c r="AO40" s="643"/>
      <c r="AP40" s="643"/>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row>
    <row r="41" spans="1:77" ht="13.5" hidden="1" thickTop="1" x14ac:dyDescent="0.2">
      <c r="P41" s="645"/>
      <c r="Q41" s="645"/>
      <c r="R41" s="645"/>
    </row>
    <row r="42" spans="1:77" ht="13.5" hidden="1" thickTop="1" x14ac:dyDescent="0.2">
      <c r="P42" s="645"/>
      <c r="Q42" s="645"/>
      <c r="R42" s="645"/>
    </row>
    <row r="43" spans="1:77" ht="15" thickTop="1" x14ac:dyDescent="0.2">
      <c r="A43" s="646" t="s">
        <v>497</v>
      </c>
    </row>
    <row r="44" spans="1:77" ht="12.75" customHeight="1" x14ac:dyDescent="0.2">
      <c r="A44" s="647" t="s">
        <v>498</v>
      </c>
    </row>
    <row r="45" spans="1:77" ht="15" customHeight="1" x14ac:dyDescent="0.2">
      <c r="A45" s="648" t="s">
        <v>499</v>
      </c>
      <c r="B45" s="645"/>
    </row>
    <row r="46" spans="1:77" x14ac:dyDescent="0.2">
      <c r="A46" s="395" t="s">
        <v>500</v>
      </c>
      <c r="B46" s="645"/>
    </row>
    <row r="47" spans="1:77" x14ac:dyDescent="0.2">
      <c r="A47" s="649" t="s">
        <v>239</v>
      </c>
      <c r="B47" s="645"/>
    </row>
    <row r="48" spans="1:77" x14ac:dyDescent="0.2">
      <c r="A48" s="647" t="s">
        <v>179</v>
      </c>
      <c r="B48" s="645"/>
    </row>
    <row r="49" spans="1:1" x14ac:dyDescent="0.2">
      <c r="A49" s="650"/>
    </row>
  </sheetData>
  <printOptions horizontalCentered="1"/>
  <pageMargins left="7.874015748031496E-2" right="7.874015748031496E-2" top="0" bottom="0" header="0" footer="0"/>
  <pageSetup paperSize="9" scale="7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Y52"/>
  <sheetViews>
    <sheetView zoomScaleNormal="100" workbookViewId="0">
      <pane xSplit="48" ySplit="3" topLeftCell="BS4" activePane="bottomRight" state="frozen"/>
      <selection pane="topRight" activeCell="AW1" sqref="AW1"/>
      <selection pane="bottomLeft" activeCell="A4" sqref="A4"/>
      <selection pane="bottomRight"/>
    </sheetView>
  </sheetViews>
  <sheetFormatPr defaultRowHeight="15" customHeight="1" x14ac:dyDescent="0.2"/>
  <cols>
    <col min="1" max="1" width="61.5703125" style="655" customWidth="1"/>
    <col min="2" max="2" width="0.140625" style="655" customWidth="1"/>
    <col min="3" max="3" width="14.7109375" style="655" hidden="1" customWidth="1"/>
    <col min="4" max="5" width="13.28515625" style="655" hidden="1" customWidth="1"/>
    <col min="6" max="6" width="13.42578125" style="655" hidden="1" customWidth="1"/>
    <col min="7" max="7" width="13.28515625" style="655" hidden="1" customWidth="1"/>
    <col min="8" max="8" width="13.42578125" style="655" hidden="1" customWidth="1"/>
    <col min="9" max="10" width="13.28515625" style="655" hidden="1" customWidth="1"/>
    <col min="11" max="11" width="13.42578125" style="655" hidden="1" customWidth="1"/>
    <col min="12" max="14" width="13.28515625" style="655" hidden="1" customWidth="1"/>
    <col min="15" max="15" width="13" style="655" hidden="1" customWidth="1"/>
    <col min="16" max="17" width="13.28515625" style="655" hidden="1" customWidth="1"/>
    <col min="18" max="40" width="10.7109375" style="655" hidden="1" customWidth="1"/>
    <col min="41" max="64" width="16.28515625" style="655" hidden="1" customWidth="1"/>
    <col min="65" max="77" width="16.28515625" style="655" customWidth="1"/>
    <col min="78" max="275" width="9.140625" style="655"/>
    <col min="276" max="276" width="53.85546875" style="655" customWidth="1"/>
    <col min="277" max="314" width="0" style="655" hidden="1" customWidth="1"/>
    <col min="315" max="327" width="10.7109375" style="655" customWidth="1"/>
    <col min="328" max="328" width="9.140625" style="655"/>
    <col min="329" max="329" width="15.5703125" style="655" customWidth="1"/>
    <col min="330" max="531" width="9.140625" style="655"/>
    <col min="532" max="532" width="53.85546875" style="655" customWidth="1"/>
    <col min="533" max="570" width="0" style="655" hidden="1" customWidth="1"/>
    <col min="571" max="583" width="10.7109375" style="655" customWidth="1"/>
    <col min="584" max="584" width="9.140625" style="655"/>
    <col min="585" max="585" width="15.5703125" style="655" customWidth="1"/>
    <col min="586" max="787" width="9.140625" style="655"/>
    <col min="788" max="788" width="53.85546875" style="655" customWidth="1"/>
    <col min="789" max="826" width="0" style="655" hidden="1" customWidth="1"/>
    <col min="827" max="839" width="10.7109375" style="655" customWidth="1"/>
    <col min="840" max="840" width="9.140625" style="655"/>
    <col min="841" max="841" width="15.5703125" style="655" customWidth="1"/>
    <col min="842" max="1043" width="9.140625" style="655"/>
    <col min="1044" max="1044" width="53.85546875" style="655" customWidth="1"/>
    <col min="1045" max="1082" width="0" style="655" hidden="1" customWidth="1"/>
    <col min="1083" max="1095" width="10.7109375" style="655" customWidth="1"/>
    <col min="1096" max="1096" width="9.140625" style="655"/>
    <col min="1097" max="1097" width="15.5703125" style="655" customWidth="1"/>
    <col min="1098" max="1299" width="9.140625" style="655"/>
    <col min="1300" max="1300" width="53.85546875" style="655" customWidth="1"/>
    <col min="1301" max="1338" width="0" style="655" hidden="1" customWidth="1"/>
    <col min="1339" max="1351" width="10.7109375" style="655" customWidth="1"/>
    <col min="1352" max="1352" width="9.140625" style="655"/>
    <col min="1353" max="1353" width="15.5703125" style="655" customWidth="1"/>
    <col min="1354" max="1555" width="9.140625" style="655"/>
    <col min="1556" max="1556" width="53.85546875" style="655" customWidth="1"/>
    <col min="1557" max="1594" width="0" style="655" hidden="1" customWidth="1"/>
    <col min="1595" max="1607" width="10.7109375" style="655" customWidth="1"/>
    <col min="1608" max="1608" width="9.140625" style="655"/>
    <col min="1609" max="1609" width="15.5703125" style="655" customWidth="1"/>
    <col min="1610" max="1811" width="9.140625" style="655"/>
    <col min="1812" max="1812" width="53.85546875" style="655" customWidth="1"/>
    <col min="1813" max="1850" width="0" style="655" hidden="1" customWidth="1"/>
    <col min="1851" max="1863" width="10.7109375" style="655" customWidth="1"/>
    <col min="1864" max="1864" width="9.140625" style="655"/>
    <col min="1865" max="1865" width="15.5703125" style="655" customWidth="1"/>
    <col min="1866" max="2067" width="9.140625" style="655"/>
    <col min="2068" max="2068" width="53.85546875" style="655" customWidth="1"/>
    <col min="2069" max="2106" width="0" style="655" hidden="1" customWidth="1"/>
    <col min="2107" max="2119" width="10.7109375" style="655" customWidth="1"/>
    <col min="2120" max="2120" width="9.140625" style="655"/>
    <col min="2121" max="2121" width="15.5703125" style="655" customWidth="1"/>
    <col min="2122" max="2323" width="9.140625" style="655"/>
    <col min="2324" max="2324" width="53.85546875" style="655" customWidth="1"/>
    <col min="2325" max="2362" width="0" style="655" hidden="1" customWidth="1"/>
    <col min="2363" max="2375" width="10.7109375" style="655" customWidth="1"/>
    <col min="2376" max="2376" width="9.140625" style="655"/>
    <col min="2377" max="2377" width="15.5703125" style="655" customWidth="1"/>
    <col min="2378" max="2579" width="9.140625" style="655"/>
    <col min="2580" max="2580" width="53.85546875" style="655" customWidth="1"/>
    <col min="2581" max="2618" width="0" style="655" hidden="1" customWidth="1"/>
    <col min="2619" max="2631" width="10.7109375" style="655" customWidth="1"/>
    <col min="2632" max="2632" width="9.140625" style="655"/>
    <col min="2633" max="2633" width="15.5703125" style="655" customWidth="1"/>
    <col min="2634" max="2835" width="9.140625" style="655"/>
    <col min="2836" max="2836" width="53.85546875" style="655" customWidth="1"/>
    <col min="2837" max="2874" width="0" style="655" hidden="1" customWidth="1"/>
    <col min="2875" max="2887" width="10.7109375" style="655" customWidth="1"/>
    <col min="2888" max="2888" width="9.140625" style="655"/>
    <col min="2889" max="2889" width="15.5703125" style="655" customWidth="1"/>
    <col min="2890" max="3091" width="9.140625" style="655"/>
    <col min="3092" max="3092" width="53.85546875" style="655" customWidth="1"/>
    <col min="3093" max="3130" width="0" style="655" hidden="1" customWidth="1"/>
    <col min="3131" max="3143" width="10.7109375" style="655" customWidth="1"/>
    <col min="3144" max="3144" width="9.140625" style="655"/>
    <col min="3145" max="3145" width="15.5703125" style="655" customWidth="1"/>
    <col min="3146" max="3347" width="9.140625" style="655"/>
    <col min="3348" max="3348" width="53.85546875" style="655" customWidth="1"/>
    <col min="3349" max="3386" width="0" style="655" hidden="1" customWidth="1"/>
    <col min="3387" max="3399" width="10.7109375" style="655" customWidth="1"/>
    <col min="3400" max="3400" width="9.140625" style="655"/>
    <col min="3401" max="3401" width="15.5703125" style="655" customWidth="1"/>
    <col min="3402" max="3603" width="9.140625" style="655"/>
    <col min="3604" max="3604" width="53.85546875" style="655" customWidth="1"/>
    <col min="3605" max="3642" width="0" style="655" hidden="1" customWidth="1"/>
    <col min="3643" max="3655" width="10.7109375" style="655" customWidth="1"/>
    <col min="3656" max="3656" width="9.140625" style="655"/>
    <col min="3657" max="3657" width="15.5703125" style="655" customWidth="1"/>
    <col min="3658" max="3859" width="9.140625" style="655"/>
    <col min="3860" max="3860" width="53.85546875" style="655" customWidth="1"/>
    <col min="3861" max="3898" width="0" style="655" hidden="1" customWidth="1"/>
    <col min="3899" max="3911" width="10.7109375" style="655" customWidth="1"/>
    <col min="3912" max="3912" width="9.140625" style="655"/>
    <col min="3913" max="3913" width="15.5703125" style="655" customWidth="1"/>
    <col min="3914" max="4115" width="9.140625" style="655"/>
    <col min="4116" max="4116" width="53.85546875" style="655" customWidth="1"/>
    <col min="4117" max="4154" width="0" style="655" hidden="1" customWidth="1"/>
    <col min="4155" max="4167" width="10.7109375" style="655" customWidth="1"/>
    <col min="4168" max="4168" width="9.140625" style="655"/>
    <col min="4169" max="4169" width="15.5703125" style="655" customWidth="1"/>
    <col min="4170" max="4371" width="9.140625" style="655"/>
    <col min="4372" max="4372" width="53.85546875" style="655" customWidth="1"/>
    <col min="4373" max="4410" width="0" style="655" hidden="1" customWidth="1"/>
    <col min="4411" max="4423" width="10.7109375" style="655" customWidth="1"/>
    <col min="4424" max="4424" width="9.140625" style="655"/>
    <col min="4425" max="4425" width="15.5703125" style="655" customWidth="1"/>
    <col min="4426" max="4627" width="9.140625" style="655"/>
    <col min="4628" max="4628" width="53.85546875" style="655" customWidth="1"/>
    <col min="4629" max="4666" width="0" style="655" hidden="1" customWidth="1"/>
    <col min="4667" max="4679" width="10.7109375" style="655" customWidth="1"/>
    <col min="4680" max="4680" width="9.140625" style="655"/>
    <col min="4681" max="4681" width="15.5703125" style="655" customWidth="1"/>
    <col min="4682" max="4883" width="9.140625" style="655"/>
    <col min="4884" max="4884" width="53.85546875" style="655" customWidth="1"/>
    <col min="4885" max="4922" width="0" style="655" hidden="1" customWidth="1"/>
    <col min="4923" max="4935" width="10.7109375" style="655" customWidth="1"/>
    <col min="4936" max="4936" width="9.140625" style="655"/>
    <col min="4937" max="4937" width="15.5703125" style="655" customWidth="1"/>
    <col min="4938" max="5139" width="9.140625" style="655"/>
    <col min="5140" max="5140" width="53.85546875" style="655" customWidth="1"/>
    <col min="5141" max="5178" width="0" style="655" hidden="1" customWidth="1"/>
    <col min="5179" max="5191" width="10.7109375" style="655" customWidth="1"/>
    <col min="5192" max="5192" width="9.140625" style="655"/>
    <col min="5193" max="5193" width="15.5703125" style="655" customWidth="1"/>
    <col min="5194" max="5395" width="9.140625" style="655"/>
    <col min="5396" max="5396" width="53.85546875" style="655" customWidth="1"/>
    <col min="5397" max="5434" width="0" style="655" hidden="1" customWidth="1"/>
    <col min="5435" max="5447" width="10.7109375" style="655" customWidth="1"/>
    <col min="5448" max="5448" width="9.140625" style="655"/>
    <col min="5449" max="5449" width="15.5703125" style="655" customWidth="1"/>
    <col min="5450" max="5651" width="9.140625" style="655"/>
    <col min="5652" max="5652" width="53.85546875" style="655" customWidth="1"/>
    <col min="5653" max="5690" width="0" style="655" hidden="1" customWidth="1"/>
    <col min="5691" max="5703" width="10.7109375" style="655" customWidth="1"/>
    <col min="5704" max="5704" width="9.140625" style="655"/>
    <col min="5705" max="5705" width="15.5703125" style="655" customWidth="1"/>
    <col min="5706" max="5907" width="9.140625" style="655"/>
    <col min="5908" max="5908" width="53.85546875" style="655" customWidth="1"/>
    <col min="5909" max="5946" width="0" style="655" hidden="1" customWidth="1"/>
    <col min="5947" max="5959" width="10.7109375" style="655" customWidth="1"/>
    <col min="5960" max="5960" width="9.140625" style="655"/>
    <col min="5961" max="5961" width="15.5703125" style="655" customWidth="1"/>
    <col min="5962" max="6163" width="9.140625" style="655"/>
    <col min="6164" max="6164" width="53.85546875" style="655" customWidth="1"/>
    <col min="6165" max="6202" width="0" style="655" hidden="1" customWidth="1"/>
    <col min="6203" max="6215" width="10.7109375" style="655" customWidth="1"/>
    <col min="6216" max="6216" width="9.140625" style="655"/>
    <col min="6217" max="6217" width="15.5703125" style="655" customWidth="1"/>
    <col min="6218" max="6419" width="9.140625" style="655"/>
    <col min="6420" max="6420" width="53.85546875" style="655" customWidth="1"/>
    <col min="6421" max="6458" width="0" style="655" hidden="1" customWidth="1"/>
    <col min="6459" max="6471" width="10.7109375" style="655" customWidth="1"/>
    <col min="6472" max="6472" width="9.140625" style="655"/>
    <col min="6473" max="6473" width="15.5703125" style="655" customWidth="1"/>
    <col min="6474" max="6675" width="9.140625" style="655"/>
    <col min="6676" max="6676" width="53.85546875" style="655" customWidth="1"/>
    <col min="6677" max="6714" width="0" style="655" hidden="1" customWidth="1"/>
    <col min="6715" max="6727" width="10.7109375" style="655" customWidth="1"/>
    <col min="6728" max="6728" width="9.140625" style="655"/>
    <col min="6729" max="6729" width="15.5703125" style="655" customWidth="1"/>
    <col min="6730" max="6931" width="9.140625" style="655"/>
    <col min="6932" max="6932" width="53.85546875" style="655" customWidth="1"/>
    <col min="6933" max="6970" width="0" style="655" hidden="1" customWidth="1"/>
    <col min="6971" max="6983" width="10.7109375" style="655" customWidth="1"/>
    <col min="6984" max="6984" width="9.140625" style="655"/>
    <col min="6985" max="6985" width="15.5703125" style="655" customWidth="1"/>
    <col min="6986" max="7187" width="9.140625" style="655"/>
    <col min="7188" max="7188" width="53.85546875" style="655" customWidth="1"/>
    <col min="7189" max="7226" width="0" style="655" hidden="1" customWidth="1"/>
    <col min="7227" max="7239" width="10.7109375" style="655" customWidth="1"/>
    <col min="7240" max="7240" width="9.140625" style="655"/>
    <col min="7241" max="7241" width="15.5703125" style="655" customWidth="1"/>
    <col min="7242" max="7443" width="9.140625" style="655"/>
    <col min="7444" max="7444" width="53.85546875" style="655" customWidth="1"/>
    <col min="7445" max="7482" width="0" style="655" hidden="1" customWidth="1"/>
    <col min="7483" max="7495" width="10.7109375" style="655" customWidth="1"/>
    <col min="7496" max="7496" width="9.140625" style="655"/>
    <col min="7497" max="7497" width="15.5703125" style="655" customWidth="1"/>
    <col min="7498" max="7699" width="9.140625" style="655"/>
    <col min="7700" max="7700" width="53.85546875" style="655" customWidth="1"/>
    <col min="7701" max="7738" width="0" style="655" hidden="1" customWidth="1"/>
    <col min="7739" max="7751" width="10.7109375" style="655" customWidth="1"/>
    <col min="7752" max="7752" width="9.140625" style="655"/>
    <col min="7753" max="7753" width="15.5703125" style="655" customWidth="1"/>
    <col min="7754" max="7955" width="9.140625" style="655"/>
    <col min="7956" max="7956" width="53.85546875" style="655" customWidth="1"/>
    <col min="7957" max="7994" width="0" style="655" hidden="1" customWidth="1"/>
    <col min="7995" max="8007" width="10.7109375" style="655" customWidth="1"/>
    <col min="8008" max="8008" width="9.140625" style="655"/>
    <col min="8009" max="8009" width="15.5703125" style="655" customWidth="1"/>
    <col min="8010" max="8211" width="9.140625" style="655"/>
    <col min="8212" max="8212" width="53.85546875" style="655" customWidth="1"/>
    <col min="8213" max="8250" width="0" style="655" hidden="1" customWidth="1"/>
    <col min="8251" max="8263" width="10.7109375" style="655" customWidth="1"/>
    <col min="8264" max="8264" width="9.140625" style="655"/>
    <col min="8265" max="8265" width="15.5703125" style="655" customWidth="1"/>
    <col min="8266" max="8467" width="9.140625" style="655"/>
    <col min="8468" max="8468" width="53.85546875" style="655" customWidth="1"/>
    <col min="8469" max="8506" width="0" style="655" hidden="1" customWidth="1"/>
    <col min="8507" max="8519" width="10.7109375" style="655" customWidth="1"/>
    <col min="8520" max="8520" width="9.140625" style="655"/>
    <col min="8521" max="8521" width="15.5703125" style="655" customWidth="1"/>
    <col min="8522" max="8723" width="9.140625" style="655"/>
    <col min="8724" max="8724" width="53.85546875" style="655" customWidth="1"/>
    <col min="8725" max="8762" width="0" style="655" hidden="1" customWidth="1"/>
    <col min="8763" max="8775" width="10.7109375" style="655" customWidth="1"/>
    <col min="8776" max="8776" width="9.140625" style="655"/>
    <col min="8777" max="8777" width="15.5703125" style="655" customWidth="1"/>
    <col min="8778" max="8979" width="9.140625" style="655"/>
    <col min="8980" max="8980" width="53.85546875" style="655" customWidth="1"/>
    <col min="8981" max="9018" width="0" style="655" hidden="1" customWidth="1"/>
    <col min="9019" max="9031" width="10.7109375" style="655" customWidth="1"/>
    <col min="9032" max="9032" width="9.140625" style="655"/>
    <col min="9033" max="9033" width="15.5703125" style="655" customWidth="1"/>
    <col min="9034" max="9235" width="9.140625" style="655"/>
    <col min="9236" max="9236" width="53.85546875" style="655" customWidth="1"/>
    <col min="9237" max="9274" width="0" style="655" hidden="1" customWidth="1"/>
    <col min="9275" max="9287" width="10.7109375" style="655" customWidth="1"/>
    <col min="9288" max="9288" width="9.140625" style="655"/>
    <col min="9289" max="9289" width="15.5703125" style="655" customWidth="1"/>
    <col min="9290" max="9491" width="9.140625" style="655"/>
    <col min="9492" max="9492" width="53.85546875" style="655" customWidth="1"/>
    <col min="9493" max="9530" width="0" style="655" hidden="1" customWidth="1"/>
    <col min="9531" max="9543" width="10.7109375" style="655" customWidth="1"/>
    <col min="9544" max="9544" width="9.140625" style="655"/>
    <col min="9545" max="9545" width="15.5703125" style="655" customWidth="1"/>
    <col min="9546" max="9747" width="9.140625" style="655"/>
    <col min="9748" max="9748" width="53.85546875" style="655" customWidth="1"/>
    <col min="9749" max="9786" width="0" style="655" hidden="1" customWidth="1"/>
    <col min="9787" max="9799" width="10.7109375" style="655" customWidth="1"/>
    <col min="9800" max="9800" width="9.140625" style="655"/>
    <col min="9801" max="9801" width="15.5703125" style="655" customWidth="1"/>
    <col min="9802" max="10003" width="9.140625" style="655"/>
    <col min="10004" max="10004" width="53.85546875" style="655" customWidth="1"/>
    <col min="10005" max="10042" width="0" style="655" hidden="1" customWidth="1"/>
    <col min="10043" max="10055" width="10.7109375" style="655" customWidth="1"/>
    <col min="10056" max="10056" width="9.140625" style="655"/>
    <col min="10057" max="10057" width="15.5703125" style="655" customWidth="1"/>
    <col min="10058" max="10259" width="9.140625" style="655"/>
    <col min="10260" max="10260" width="53.85546875" style="655" customWidth="1"/>
    <col min="10261" max="10298" width="0" style="655" hidden="1" customWidth="1"/>
    <col min="10299" max="10311" width="10.7109375" style="655" customWidth="1"/>
    <col min="10312" max="10312" width="9.140625" style="655"/>
    <col min="10313" max="10313" width="15.5703125" style="655" customWidth="1"/>
    <col min="10314" max="10515" width="9.140625" style="655"/>
    <col min="10516" max="10516" width="53.85546875" style="655" customWidth="1"/>
    <col min="10517" max="10554" width="0" style="655" hidden="1" customWidth="1"/>
    <col min="10555" max="10567" width="10.7109375" style="655" customWidth="1"/>
    <col min="10568" max="10568" width="9.140625" style="655"/>
    <col min="10569" max="10569" width="15.5703125" style="655" customWidth="1"/>
    <col min="10570" max="10771" width="9.140625" style="655"/>
    <col min="10772" max="10772" width="53.85546875" style="655" customWidth="1"/>
    <col min="10773" max="10810" width="0" style="655" hidden="1" customWidth="1"/>
    <col min="10811" max="10823" width="10.7109375" style="655" customWidth="1"/>
    <col min="10824" max="10824" width="9.140625" style="655"/>
    <col min="10825" max="10825" width="15.5703125" style="655" customWidth="1"/>
    <col min="10826" max="11027" width="9.140625" style="655"/>
    <col min="11028" max="11028" width="53.85546875" style="655" customWidth="1"/>
    <col min="11029" max="11066" width="0" style="655" hidden="1" customWidth="1"/>
    <col min="11067" max="11079" width="10.7109375" style="655" customWidth="1"/>
    <col min="11080" max="11080" width="9.140625" style="655"/>
    <col min="11081" max="11081" width="15.5703125" style="655" customWidth="1"/>
    <col min="11082" max="11283" width="9.140625" style="655"/>
    <col min="11284" max="11284" width="53.85546875" style="655" customWidth="1"/>
    <col min="11285" max="11322" width="0" style="655" hidden="1" customWidth="1"/>
    <col min="11323" max="11335" width="10.7109375" style="655" customWidth="1"/>
    <col min="11336" max="11336" width="9.140625" style="655"/>
    <col min="11337" max="11337" width="15.5703125" style="655" customWidth="1"/>
    <col min="11338" max="11539" width="9.140625" style="655"/>
    <col min="11540" max="11540" width="53.85546875" style="655" customWidth="1"/>
    <col min="11541" max="11578" width="0" style="655" hidden="1" customWidth="1"/>
    <col min="11579" max="11591" width="10.7109375" style="655" customWidth="1"/>
    <col min="11592" max="11592" width="9.140625" style="655"/>
    <col min="11593" max="11593" width="15.5703125" style="655" customWidth="1"/>
    <col min="11594" max="11795" width="9.140625" style="655"/>
    <col min="11796" max="11796" width="53.85546875" style="655" customWidth="1"/>
    <col min="11797" max="11834" width="0" style="655" hidden="1" customWidth="1"/>
    <col min="11835" max="11847" width="10.7109375" style="655" customWidth="1"/>
    <col min="11848" max="11848" width="9.140625" style="655"/>
    <col min="11849" max="11849" width="15.5703125" style="655" customWidth="1"/>
    <col min="11850" max="12051" width="9.140625" style="655"/>
    <col min="12052" max="12052" width="53.85546875" style="655" customWidth="1"/>
    <col min="12053" max="12090" width="0" style="655" hidden="1" customWidth="1"/>
    <col min="12091" max="12103" width="10.7109375" style="655" customWidth="1"/>
    <col min="12104" max="12104" width="9.140625" style="655"/>
    <col min="12105" max="12105" width="15.5703125" style="655" customWidth="1"/>
    <col min="12106" max="12307" width="9.140625" style="655"/>
    <col min="12308" max="12308" width="53.85546875" style="655" customWidth="1"/>
    <col min="12309" max="12346" width="0" style="655" hidden="1" customWidth="1"/>
    <col min="12347" max="12359" width="10.7109375" style="655" customWidth="1"/>
    <col min="12360" max="12360" width="9.140625" style="655"/>
    <col min="12361" max="12361" width="15.5703125" style="655" customWidth="1"/>
    <col min="12362" max="12563" width="9.140625" style="655"/>
    <col min="12564" max="12564" width="53.85546875" style="655" customWidth="1"/>
    <col min="12565" max="12602" width="0" style="655" hidden="1" customWidth="1"/>
    <col min="12603" max="12615" width="10.7109375" style="655" customWidth="1"/>
    <col min="12616" max="12616" width="9.140625" style="655"/>
    <col min="12617" max="12617" width="15.5703125" style="655" customWidth="1"/>
    <col min="12618" max="12819" width="9.140625" style="655"/>
    <col min="12820" max="12820" width="53.85546875" style="655" customWidth="1"/>
    <col min="12821" max="12858" width="0" style="655" hidden="1" customWidth="1"/>
    <col min="12859" max="12871" width="10.7109375" style="655" customWidth="1"/>
    <col min="12872" max="12872" width="9.140625" style="655"/>
    <col min="12873" max="12873" width="15.5703125" style="655" customWidth="1"/>
    <col min="12874" max="13075" width="9.140625" style="655"/>
    <col min="13076" max="13076" width="53.85546875" style="655" customWidth="1"/>
    <col min="13077" max="13114" width="0" style="655" hidden="1" customWidth="1"/>
    <col min="13115" max="13127" width="10.7109375" style="655" customWidth="1"/>
    <col min="13128" max="13128" width="9.140625" style="655"/>
    <col min="13129" max="13129" width="15.5703125" style="655" customWidth="1"/>
    <col min="13130" max="13331" width="9.140625" style="655"/>
    <col min="13332" max="13332" width="53.85546875" style="655" customWidth="1"/>
    <col min="13333" max="13370" width="0" style="655" hidden="1" customWidth="1"/>
    <col min="13371" max="13383" width="10.7109375" style="655" customWidth="1"/>
    <col min="13384" max="13384" width="9.140625" style="655"/>
    <col min="13385" max="13385" width="15.5703125" style="655" customWidth="1"/>
    <col min="13386" max="13587" width="9.140625" style="655"/>
    <col min="13588" max="13588" width="53.85546875" style="655" customWidth="1"/>
    <col min="13589" max="13626" width="0" style="655" hidden="1" customWidth="1"/>
    <col min="13627" max="13639" width="10.7109375" style="655" customWidth="1"/>
    <col min="13640" max="13640" width="9.140625" style="655"/>
    <col min="13641" max="13641" width="15.5703125" style="655" customWidth="1"/>
    <col min="13642" max="13843" width="9.140625" style="655"/>
    <col min="13844" max="13844" width="53.85546875" style="655" customWidth="1"/>
    <col min="13845" max="13882" width="0" style="655" hidden="1" customWidth="1"/>
    <col min="13883" max="13895" width="10.7109375" style="655" customWidth="1"/>
    <col min="13896" max="13896" width="9.140625" style="655"/>
    <col min="13897" max="13897" width="15.5703125" style="655" customWidth="1"/>
    <col min="13898" max="14099" width="9.140625" style="655"/>
    <col min="14100" max="14100" width="53.85546875" style="655" customWidth="1"/>
    <col min="14101" max="14138" width="0" style="655" hidden="1" customWidth="1"/>
    <col min="14139" max="14151" width="10.7109375" style="655" customWidth="1"/>
    <col min="14152" max="14152" width="9.140625" style="655"/>
    <col min="14153" max="14153" width="15.5703125" style="655" customWidth="1"/>
    <col min="14154" max="14355" width="9.140625" style="655"/>
    <col min="14356" max="14356" width="53.85546875" style="655" customWidth="1"/>
    <col min="14357" max="14394" width="0" style="655" hidden="1" customWidth="1"/>
    <col min="14395" max="14407" width="10.7109375" style="655" customWidth="1"/>
    <col min="14408" max="14408" width="9.140625" style="655"/>
    <col min="14409" max="14409" width="15.5703125" style="655" customWidth="1"/>
    <col min="14410" max="14611" width="9.140625" style="655"/>
    <col min="14612" max="14612" width="53.85546875" style="655" customWidth="1"/>
    <col min="14613" max="14650" width="0" style="655" hidden="1" customWidth="1"/>
    <col min="14651" max="14663" width="10.7109375" style="655" customWidth="1"/>
    <col min="14664" max="14664" width="9.140625" style="655"/>
    <col min="14665" max="14665" width="15.5703125" style="655" customWidth="1"/>
    <col min="14666" max="14867" width="9.140625" style="655"/>
    <col min="14868" max="14868" width="53.85546875" style="655" customWidth="1"/>
    <col min="14869" max="14906" width="0" style="655" hidden="1" customWidth="1"/>
    <col min="14907" max="14919" width="10.7109375" style="655" customWidth="1"/>
    <col min="14920" max="14920" width="9.140625" style="655"/>
    <col min="14921" max="14921" width="15.5703125" style="655" customWidth="1"/>
    <col min="14922" max="15123" width="9.140625" style="655"/>
    <col min="15124" max="15124" width="53.85546875" style="655" customWidth="1"/>
    <col min="15125" max="15162" width="0" style="655" hidden="1" customWidth="1"/>
    <col min="15163" max="15175" width="10.7109375" style="655" customWidth="1"/>
    <col min="15176" max="15176" width="9.140625" style="655"/>
    <col min="15177" max="15177" width="15.5703125" style="655" customWidth="1"/>
    <col min="15178" max="15379" width="9.140625" style="655"/>
    <col min="15380" max="15380" width="53.85546875" style="655" customWidth="1"/>
    <col min="15381" max="15418" width="0" style="655" hidden="1" customWidth="1"/>
    <col min="15419" max="15431" width="10.7109375" style="655" customWidth="1"/>
    <col min="15432" max="15432" width="9.140625" style="655"/>
    <col min="15433" max="15433" width="15.5703125" style="655" customWidth="1"/>
    <col min="15434" max="15635" width="9.140625" style="655"/>
    <col min="15636" max="15636" width="53.85546875" style="655" customWidth="1"/>
    <col min="15637" max="15674" width="0" style="655" hidden="1" customWidth="1"/>
    <col min="15675" max="15687" width="10.7109375" style="655" customWidth="1"/>
    <col min="15688" max="15688" width="9.140625" style="655"/>
    <col min="15689" max="15689" width="15.5703125" style="655" customWidth="1"/>
    <col min="15690" max="15891" width="9.140625" style="655"/>
    <col min="15892" max="15892" width="53.85546875" style="655" customWidth="1"/>
    <col min="15893" max="15930" width="0" style="655" hidden="1" customWidth="1"/>
    <col min="15931" max="15943" width="10.7109375" style="655" customWidth="1"/>
    <col min="15944" max="15944" width="9.140625" style="655"/>
    <col min="15945" max="15945" width="15.5703125" style="655" customWidth="1"/>
    <col min="15946" max="16147" width="9.140625" style="655"/>
    <col min="16148" max="16148" width="53.85546875" style="655" customWidth="1"/>
    <col min="16149" max="16186" width="0" style="655" hidden="1" customWidth="1"/>
    <col min="16187" max="16199" width="10.7109375" style="655" customWidth="1"/>
    <col min="16200" max="16200" width="9.140625" style="655"/>
    <col min="16201" max="16201" width="15.5703125" style="655" customWidth="1"/>
    <col min="16202" max="16384" width="9.140625" style="655"/>
  </cols>
  <sheetData>
    <row r="1" spans="1:77" ht="24" x14ac:dyDescent="0.2">
      <c r="A1" s="651" t="s">
        <v>501</v>
      </c>
      <c r="B1" s="652"/>
      <c r="C1" s="652"/>
      <c r="D1" s="652"/>
      <c r="E1" s="652"/>
      <c r="F1" s="652"/>
      <c r="G1" s="652"/>
      <c r="H1" s="652"/>
      <c r="I1" s="652"/>
      <c r="J1" s="652"/>
      <c r="K1" s="652"/>
      <c r="L1" s="652"/>
      <c r="M1" s="652"/>
      <c r="N1" s="652"/>
      <c r="O1" s="652"/>
      <c r="P1" s="652"/>
      <c r="Q1" s="652"/>
      <c r="R1" s="652"/>
      <c r="S1" s="652"/>
      <c r="T1" s="652"/>
      <c r="U1" s="652"/>
      <c r="V1" s="652"/>
      <c r="W1" s="652"/>
      <c r="X1" s="652"/>
      <c r="Y1" s="652"/>
      <c r="Z1" s="652"/>
      <c r="AA1" s="653"/>
      <c r="AB1" s="653"/>
      <c r="AC1" s="653"/>
      <c r="AD1" s="653"/>
      <c r="AE1" s="653"/>
      <c r="AF1" s="653"/>
      <c r="AG1" s="652"/>
      <c r="AH1" s="652"/>
      <c r="AI1" s="652"/>
      <c r="AJ1" s="652"/>
      <c r="AK1" s="652"/>
      <c r="AL1" s="652"/>
      <c r="AM1" s="652"/>
      <c r="AN1" s="652"/>
      <c r="AO1" s="654"/>
      <c r="AP1" s="654"/>
      <c r="AQ1" s="654"/>
    </row>
    <row r="2" spans="1:77" ht="15" customHeight="1" thickBot="1" x14ac:dyDescent="0.25">
      <c r="A2" s="656"/>
      <c r="M2" s="3225"/>
      <c r="N2" s="3225"/>
      <c r="R2" s="657"/>
      <c r="T2" s="657"/>
      <c r="U2" s="657"/>
      <c r="V2" s="657"/>
      <c r="W2" s="657"/>
      <c r="X2" s="657"/>
      <c r="Y2" s="657"/>
      <c r="Z2" s="657"/>
      <c r="AA2" s="657"/>
      <c r="AB2" s="657"/>
      <c r="AC2" s="657"/>
      <c r="AD2" s="657"/>
      <c r="AE2" s="657"/>
      <c r="AH2" s="657"/>
      <c r="AI2" s="657"/>
      <c r="AL2" s="657"/>
      <c r="AM2" s="657"/>
      <c r="AN2" s="657"/>
      <c r="AO2" s="657"/>
      <c r="AP2" s="657"/>
      <c r="AU2" s="657"/>
      <c r="AV2" s="657"/>
      <c r="AW2" s="657"/>
      <c r="AX2" s="657"/>
      <c r="BA2" s="658"/>
      <c r="BB2" s="658"/>
      <c r="BC2" s="658"/>
      <c r="BD2" s="658"/>
      <c r="BE2" s="658"/>
      <c r="BF2" s="658"/>
      <c r="BG2" s="658"/>
      <c r="BH2" s="658"/>
      <c r="BI2" s="658"/>
      <c r="BJ2" s="658"/>
      <c r="BK2" s="658"/>
      <c r="BL2" s="658"/>
      <c r="BM2" s="658"/>
      <c r="BN2" s="658"/>
      <c r="BO2" s="658"/>
      <c r="BP2" s="658"/>
      <c r="BQ2" s="658"/>
      <c r="BR2" s="658"/>
      <c r="BS2" s="658"/>
      <c r="BT2" s="658"/>
      <c r="BU2" s="658"/>
      <c r="BV2" s="658"/>
      <c r="BW2" s="658"/>
      <c r="BX2" s="658"/>
      <c r="BY2" s="658" t="s">
        <v>73</v>
      </c>
    </row>
    <row r="3" spans="1:77" ht="26.25" customHeight="1" thickTop="1" thickBot="1" x14ac:dyDescent="0.25">
      <c r="A3" s="659"/>
      <c r="B3" s="660">
        <v>40179</v>
      </c>
      <c r="C3" s="660">
        <v>40210</v>
      </c>
      <c r="D3" s="660">
        <v>40238</v>
      </c>
      <c r="E3" s="660">
        <v>40269</v>
      </c>
      <c r="F3" s="660">
        <v>40299</v>
      </c>
      <c r="G3" s="660">
        <v>40330</v>
      </c>
      <c r="H3" s="660">
        <v>40360</v>
      </c>
      <c r="I3" s="660">
        <v>40391</v>
      </c>
      <c r="J3" s="660">
        <v>40422</v>
      </c>
      <c r="K3" s="660">
        <v>40452</v>
      </c>
      <c r="L3" s="660">
        <v>40483</v>
      </c>
      <c r="M3" s="660">
        <v>40513</v>
      </c>
      <c r="N3" s="660">
        <v>40544</v>
      </c>
      <c r="O3" s="660">
        <v>40575</v>
      </c>
      <c r="P3" s="660">
        <v>40603</v>
      </c>
      <c r="Q3" s="660">
        <v>40634</v>
      </c>
      <c r="R3" s="660">
        <v>40668</v>
      </c>
      <c r="S3" s="660">
        <v>40699</v>
      </c>
      <c r="T3" s="660">
        <v>40729</v>
      </c>
      <c r="U3" s="660">
        <v>40760</v>
      </c>
      <c r="V3" s="660">
        <v>40791</v>
      </c>
      <c r="W3" s="660">
        <v>40821</v>
      </c>
      <c r="X3" s="660">
        <v>40852</v>
      </c>
      <c r="Y3" s="660">
        <v>40882</v>
      </c>
      <c r="Z3" s="660">
        <v>40913</v>
      </c>
      <c r="AA3" s="660">
        <v>40944</v>
      </c>
      <c r="AB3" s="660">
        <v>40973</v>
      </c>
      <c r="AC3" s="660">
        <v>41004</v>
      </c>
      <c r="AD3" s="660">
        <v>41034</v>
      </c>
      <c r="AE3" s="660">
        <v>41065</v>
      </c>
      <c r="AF3" s="660">
        <v>41095</v>
      </c>
      <c r="AG3" s="660">
        <v>41126</v>
      </c>
      <c r="AH3" s="661">
        <v>41157</v>
      </c>
      <c r="AI3" s="660">
        <v>41187</v>
      </c>
      <c r="AJ3" s="660">
        <v>41218</v>
      </c>
      <c r="AK3" s="660">
        <v>41248</v>
      </c>
      <c r="AL3" s="660">
        <v>41279</v>
      </c>
      <c r="AM3" s="660">
        <v>41310</v>
      </c>
      <c r="AN3" s="660">
        <v>41338</v>
      </c>
      <c r="AO3" s="660">
        <v>41369</v>
      </c>
      <c r="AP3" s="660">
        <v>41399</v>
      </c>
      <c r="AQ3" s="662">
        <v>41430</v>
      </c>
      <c r="AR3" s="660">
        <v>41460</v>
      </c>
      <c r="AS3" s="660">
        <v>41491</v>
      </c>
      <c r="AT3" s="660">
        <v>41522</v>
      </c>
      <c r="AU3" s="660">
        <v>41552</v>
      </c>
      <c r="AV3" s="660">
        <v>41583</v>
      </c>
      <c r="AW3" s="660">
        <v>41613</v>
      </c>
      <c r="AX3" s="660">
        <v>41644</v>
      </c>
      <c r="AY3" s="660">
        <v>41675</v>
      </c>
      <c r="AZ3" s="663">
        <v>41703</v>
      </c>
      <c r="BA3" s="663">
        <v>41734</v>
      </c>
      <c r="BB3" s="663">
        <v>41764</v>
      </c>
      <c r="BC3" s="663">
        <v>41795</v>
      </c>
      <c r="BD3" s="663">
        <v>41825</v>
      </c>
      <c r="BE3" s="663">
        <v>41856</v>
      </c>
      <c r="BF3" s="663">
        <v>41887</v>
      </c>
      <c r="BG3" s="664">
        <v>41917</v>
      </c>
      <c r="BH3" s="665">
        <v>41948</v>
      </c>
      <c r="BI3" s="665">
        <v>41978</v>
      </c>
      <c r="BJ3" s="665">
        <v>42009</v>
      </c>
      <c r="BK3" s="665">
        <v>42040</v>
      </c>
      <c r="BL3" s="665">
        <v>42068</v>
      </c>
      <c r="BM3" s="666" t="s">
        <v>502</v>
      </c>
      <c r="BN3" s="665">
        <v>42129</v>
      </c>
      <c r="BO3" s="665">
        <v>42160</v>
      </c>
      <c r="BP3" s="665">
        <v>42190</v>
      </c>
      <c r="BQ3" s="665">
        <v>42221</v>
      </c>
      <c r="BR3" s="665">
        <v>42252</v>
      </c>
      <c r="BS3" s="667">
        <v>42282</v>
      </c>
      <c r="BT3" s="667">
        <v>42313</v>
      </c>
      <c r="BU3" s="667">
        <v>42343</v>
      </c>
      <c r="BV3" s="667">
        <v>42374</v>
      </c>
      <c r="BW3" s="667">
        <v>42405</v>
      </c>
      <c r="BX3" s="667">
        <v>42434</v>
      </c>
      <c r="BY3" s="667">
        <v>42465</v>
      </c>
    </row>
    <row r="4" spans="1:77" ht="18" customHeight="1" thickTop="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70"/>
      <c r="AI4" s="671"/>
      <c r="AJ4" s="669"/>
      <c r="AK4" s="669"/>
      <c r="AL4" s="669"/>
      <c r="AM4" s="669"/>
      <c r="AN4" s="669"/>
      <c r="AO4" s="669"/>
      <c r="AP4" s="672"/>
      <c r="AQ4" s="673"/>
      <c r="AR4" s="672"/>
      <c r="AS4" s="672"/>
      <c r="AT4" s="672"/>
      <c r="AU4" s="672"/>
      <c r="AV4" s="672"/>
      <c r="AW4" s="672"/>
      <c r="AX4" s="672"/>
      <c r="AY4" s="672"/>
      <c r="AZ4" s="674"/>
      <c r="BA4" s="674"/>
      <c r="BB4" s="674"/>
      <c r="BC4" s="674"/>
      <c r="BD4" s="674"/>
      <c r="BE4" s="674"/>
      <c r="BF4" s="674"/>
      <c r="BG4" s="674"/>
      <c r="BH4" s="675"/>
      <c r="BI4" s="675"/>
      <c r="BJ4" s="675"/>
      <c r="BK4" s="675"/>
      <c r="BL4" s="675"/>
      <c r="BM4" s="675"/>
      <c r="BN4" s="675"/>
      <c r="BO4" s="675"/>
      <c r="BP4" s="675"/>
      <c r="BQ4" s="675"/>
      <c r="BR4" s="675"/>
      <c r="BS4" s="675"/>
      <c r="BT4" s="675"/>
      <c r="BU4" s="675"/>
      <c r="BV4" s="675"/>
      <c r="BW4" s="675"/>
      <c r="BX4" s="675"/>
      <c r="BY4" s="675"/>
    </row>
    <row r="5" spans="1:77" ht="22.5" customHeight="1" x14ac:dyDescent="0.2">
      <c r="A5" s="676" t="s">
        <v>503</v>
      </c>
      <c r="B5" s="677">
        <v>289410.72792542854</v>
      </c>
      <c r="C5" s="677">
        <v>292791.70235634677</v>
      </c>
      <c r="D5" s="677">
        <v>297432.04491911986</v>
      </c>
      <c r="E5" s="677">
        <v>279938.10502433998</v>
      </c>
      <c r="F5" s="677">
        <v>327910.8320255389</v>
      </c>
      <c r="G5" s="677">
        <v>320171.30679858039</v>
      </c>
      <c r="H5" s="677">
        <v>280822.53492081689</v>
      </c>
      <c r="I5" s="677">
        <v>304449.98967204109</v>
      </c>
      <c r="J5" s="677">
        <v>301088.89713564055</v>
      </c>
      <c r="K5" s="677">
        <v>302930.04240626586</v>
      </c>
      <c r="L5" s="677">
        <v>312451.91898554342</v>
      </c>
      <c r="M5" s="677">
        <v>318118.48321293283</v>
      </c>
      <c r="N5" s="677">
        <v>323227.47303719167</v>
      </c>
      <c r="O5" s="677">
        <v>317121.40861257981</v>
      </c>
      <c r="P5" s="677">
        <v>286354.90462211403</v>
      </c>
      <c r="Q5" s="677">
        <v>301260.61578368506</v>
      </c>
      <c r="R5" s="677">
        <v>291716.10072829016</v>
      </c>
      <c r="S5" s="677">
        <v>318687.03130866907</v>
      </c>
      <c r="T5" s="677">
        <v>305188.07283541822</v>
      </c>
      <c r="U5" s="677">
        <v>287606.55099744862</v>
      </c>
      <c r="V5" s="677">
        <v>293475.2466610134</v>
      </c>
      <c r="W5" s="677">
        <v>292604.82713334222</v>
      </c>
      <c r="X5" s="677">
        <v>347383.24200691615</v>
      </c>
      <c r="Y5" s="677">
        <v>290654.23951224022</v>
      </c>
      <c r="Z5" s="677">
        <v>267988.61551349226</v>
      </c>
      <c r="AA5" s="677">
        <v>274768.44322053925</v>
      </c>
      <c r="AB5" s="677">
        <v>321049.06011849875</v>
      </c>
      <c r="AC5" s="677">
        <v>321847.61654908379</v>
      </c>
      <c r="AD5" s="677">
        <v>340836.36152997706</v>
      </c>
      <c r="AE5" s="677">
        <v>273456.51895855844</v>
      </c>
      <c r="AF5" s="677">
        <v>304922.60916409292</v>
      </c>
      <c r="AG5" s="677">
        <v>262526.97220607544</v>
      </c>
      <c r="AH5" s="677">
        <v>286567.44082683767</v>
      </c>
      <c r="AI5" s="678">
        <v>306184.25194562681</v>
      </c>
      <c r="AJ5" s="677">
        <v>306172.36115914932</v>
      </c>
      <c r="AK5" s="677">
        <v>309761.08105135418</v>
      </c>
      <c r="AL5" s="677">
        <v>331111.15474308265</v>
      </c>
      <c r="AM5" s="677">
        <v>278409.44842492574</v>
      </c>
      <c r="AN5" s="677">
        <v>299533.06954427459</v>
      </c>
      <c r="AO5" s="677">
        <v>310668.14065564412</v>
      </c>
      <c r="AP5" s="677">
        <v>335198.83073661407</v>
      </c>
      <c r="AQ5" s="679">
        <v>290541.90389346273</v>
      </c>
      <c r="AR5" s="677">
        <v>307493.41187806381</v>
      </c>
      <c r="AS5" s="677">
        <v>289118.00046138023</v>
      </c>
      <c r="AT5" s="677">
        <v>281064.49624281575</v>
      </c>
      <c r="AU5" s="677">
        <v>272297.13350531843</v>
      </c>
      <c r="AV5" s="677">
        <v>276661.49469331006</v>
      </c>
      <c r="AW5" s="677">
        <v>292801.9517582464</v>
      </c>
      <c r="AX5" s="677">
        <v>268497.86107759853</v>
      </c>
      <c r="AY5" s="677">
        <v>265920.13405156572</v>
      </c>
      <c r="AZ5" s="680">
        <v>261333.85246753774</v>
      </c>
      <c r="BA5" s="680">
        <v>281399.23989507044</v>
      </c>
      <c r="BB5" s="680">
        <v>266165.4506704887</v>
      </c>
      <c r="BC5" s="680">
        <v>262621.90154981613</v>
      </c>
      <c r="BD5" s="680">
        <v>271259.19882236311</v>
      </c>
      <c r="BE5" s="680">
        <v>285995.84924047318</v>
      </c>
      <c r="BF5" s="680">
        <v>319933.42308586923</v>
      </c>
      <c r="BG5" s="680">
        <v>358996.96364427783</v>
      </c>
      <c r="BH5" s="681">
        <v>322355.93779513089</v>
      </c>
      <c r="BI5" s="681">
        <v>335087.73974829266</v>
      </c>
      <c r="BJ5" s="681">
        <v>355989.09586107393</v>
      </c>
      <c r="BK5" s="681">
        <v>359122.29739360325</v>
      </c>
      <c r="BL5" s="681">
        <v>418918.09434418491</v>
      </c>
      <c r="BM5" s="681">
        <v>429695.2027612754</v>
      </c>
      <c r="BN5" s="681">
        <v>395171.42290077568</v>
      </c>
      <c r="BO5" s="681">
        <v>381222.78593859496</v>
      </c>
      <c r="BP5" s="681">
        <v>387769.16350020299</v>
      </c>
      <c r="BQ5" s="681">
        <v>367967.32633086276</v>
      </c>
      <c r="BR5" s="681">
        <v>361379.31338741345</v>
      </c>
      <c r="BS5" s="681">
        <v>382743.65721500339</v>
      </c>
      <c r="BT5" s="681">
        <v>362196.82071930351</v>
      </c>
      <c r="BU5" s="681">
        <v>377506.09205138503</v>
      </c>
      <c r="BV5" s="681">
        <v>383906.73856191809</v>
      </c>
      <c r="BW5" s="681">
        <v>379634.32814171806</v>
      </c>
      <c r="BX5" s="681">
        <v>350088.93636299996</v>
      </c>
      <c r="BY5" s="681">
        <v>368694.14927772473</v>
      </c>
    </row>
    <row r="6" spans="1:77" ht="22.5" customHeight="1" x14ac:dyDescent="0.2">
      <c r="A6" s="682" t="s">
        <v>504</v>
      </c>
      <c r="B6" s="683">
        <v>554129.25189955614</v>
      </c>
      <c r="C6" s="683">
        <v>574198.55662555143</v>
      </c>
      <c r="D6" s="683">
        <v>595999.30990686174</v>
      </c>
      <c r="E6" s="683">
        <v>592325.27184835775</v>
      </c>
      <c r="F6" s="683">
        <v>690782.21328024485</v>
      </c>
      <c r="G6" s="683">
        <v>671738.656082973</v>
      </c>
      <c r="H6" s="683">
        <v>615185.20037483866</v>
      </c>
      <c r="I6" s="683">
        <v>649487.02620965545</v>
      </c>
      <c r="J6" s="683">
        <v>665659.57883432286</v>
      </c>
      <c r="K6" s="683">
        <v>683035.47805789532</v>
      </c>
      <c r="L6" s="683">
        <v>655369.07597230945</v>
      </c>
      <c r="M6" s="683">
        <v>701809.95337544847</v>
      </c>
      <c r="N6" s="683">
        <v>718145.26458332082</v>
      </c>
      <c r="O6" s="683">
        <v>724484.74699546129</v>
      </c>
      <c r="P6" s="683">
        <v>695498.74745078781</v>
      </c>
      <c r="Q6" s="683">
        <v>757252.14003806759</v>
      </c>
      <c r="R6" s="683">
        <v>683532.74611194688</v>
      </c>
      <c r="S6" s="683">
        <v>739275.68099999998</v>
      </c>
      <c r="T6" s="683">
        <v>713079.36609643954</v>
      </c>
      <c r="U6" s="683">
        <v>689923.28349499148</v>
      </c>
      <c r="V6" s="683">
        <v>770300.32276175159</v>
      </c>
      <c r="W6" s="683">
        <v>743847.0539604628</v>
      </c>
      <c r="X6" s="683">
        <v>776997.92170646996</v>
      </c>
      <c r="Y6" s="683">
        <v>783159.19996672636</v>
      </c>
      <c r="Z6" s="683">
        <v>803323.10318789806</v>
      </c>
      <c r="AA6" s="683">
        <v>844333.87104523438</v>
      </c>
      <c r="AB6" s="683">
        <v>855506.44080762076</v>
      </c>
      <c r="AC6" s="683">
        <v>829173.73109211109</v>
      </c>
      <c r="AD6" s="683">
        <v>863015.68687695405</v>
      </c>
      <c r="AE6" s="683">
        <v>839674.20833327714</v>
      </c>
      <c r="AF6" s="683">
        <v>873225.06715132389</v>
      </c>
      <c r="AG6" s="683">
        <v>824222.32142519916</v>
      </c>
      <c r="AH6" s="683">
        <v>842221.48180383351</v>
      </c>
      <c r="AI6" s="684">
        <v>839944.4604024936</v>
      </c>
      <c r="AJ6" s="683">
        <v>807682.83964783652</v>
      </c>
      <c r="AK6" s="683">
        <v>802935.72269750375</v>
      </c>
      <c r="AL6" s="683">
        <v>830727.99263529305</v>
      </c>
      <c r="AM6" s="683">
        <v>788894.7544634412</v>
      </c>
      <c r="AN6" s="683">
        <v>831590.79147575842</v>
      </c>
      <c r="AO6" s="683">
        <v>816818.14189296542</v>
      </c>
      <c r="AP6" s="683">
        <v>855003.56485537684</v>
      </c>
      <c r="AQ6" s="685">
        <v>835164.11841797386</v>
      </c>
      <c r="AR6" s="683">
        <v>876000.90766366245</v>
      </c>
      <c r="AS6" s="683">
        <v>886516.84231797955</v>
      </c>
      <c r="AT6" s="683">
        <v>867993.27974259004</v>
      </c>
      <c r="AU6" s="683">
        <v>810184.50971048442</v>
      </c>
      <c r="AV6" s="683">
        <v>793260.31807916111</v>
      </c>
      <c r="AW6" s="683">
        <v>772471.29067283787</v>
      </c>
      <c r="AX6" s="683">
        <v>741950.61904163694</v>
      </c>
      <c r="AY6" s="683">
        <v>750807.72838511539</v>
      </c>
      <c r="AZ6" s="686">
        <v>750315.003823495</v>
      </c>
      <c r="BA6" s="686">
        <v>734324.2736315073</v>
      </c>
      <c r="BB6" s="686">
        <v>717738.6893311129</v>
      </c>
      <c r="BC6" s="686">
        <v>708659.48015011754</v>
      </c>
      <c r="BD6" s="686">
        <v>687462.77767260105</v>
      </c>
      <c r="BE6" s="686">
        <v>677085.65310546861</v>
      </c>
      <c r="BF6" s="686">
        <v>766360.47981011763</v>
      </c>
      <c r="BG6" s="686">
        <v>792280.73812625674</v>
      </c>
      <c r="BH6" s="687">
        <v>760513.21455190761</v>
      </c>
      <c r="BI6" s="687">
        <v>782494.49146167573</v>
      </c>
      <c r="BJ6" s="687">
        <v>796735.95019848226</v>
      </c>
      <c r="BK6" s="687">
        <v>794676.28122325859</v>
      </c>
      <c r="BL6" s="687">
        <v>898881.93526850198</v>
      </c>
      <c r="BM6" s="687">
        <v>899116.41149282467</v>
      </c>
      <c r="BN6" s="687">
        <v>837223.64078272064</v>
      </c>
      <c r="BO6" s="687">
        <v>789125.94891854352</v>
      </c>
      <c r="BP6" s="687">
        <v>784194.54425454396</v>
      </c>
      <c r="BQ6" s="687">
        <v>757667.77496739104</v>
      </c>
      <c r="BR6" s="687">
        <v>771742.67756220605</v>
      </c>
      <c r="BS6" s="687">
        <v>763957.32558778406</v>
      </c>
      <c r="BT6" s="687">
        <v>761072.46394620661</v>
      </c>
      <c r="BU6" s="687">
        <v>777975.2244239006</v>
      </c>
      <c r="BV6" s="687">
        <v>812943.85377381253</v>
      </c>
      <c r="BW6" s="687">
        <v>854643.56883606198</v>
      </c>
      <c r="BX6" s="687">
        <v>744936.65254485712</v>
      </c>
      <c r="BY6" s="687">
        <v>707085.87418205652</v>
      </c>
    </row>
    <row r="7" spans="1:77" ht="22.5" customHeight="1" x14ac:dyDescent="0.2">
      <c r="A7" s="682" t="s">
        <v>505</v>
      </c>
      <c r="B7" s="683">
        <v>-264718.5239741276</v>
      </c>
      <c r="C7" s="683">
        <v>-281406.85426920466</v>
      </c>
      <c r="D7" s="683">
        <v>-298567.26498774189</v>
      </c>
      <c r="E7" s="683">
        <v>-312387.16682401777</v>
      </c>
      <c r="F7" s="683">
        <v>-362871.38125470595</v>
      </c>
      <c r="G7" s="683">
        <v>-351567.34928439261</v>
      </c>
      <c r="H7" s="683">
        <v>-334362.66545402177</v>
      </c>
      <c r="I7" s="683">
        <v>-345037.03653761436</v>
      </c>
      <c r="J7" s="683">
        <v>-364570.68169868231</v>
      </c>
      <c r="K7" s="683">
        <v>-380105.43565162946</v>
      </c>
      <c r="L7" s="683">
        <v>-342917.15698676603</v>
      </c>
      <c r="M7" s="683">
        <v>-383691.47016251564</v>
      </c>
      <c r="N7" s="683">
        <v>-394917.79154612916</v>
      </c>
      <c r="O7" s="683">
        <v>-407363.33838288148</v>
      </c>
      <c r="P7" s="683">
        <v>-409143.84282867378</v>
      </c>
      <c r="Q7" s="683">
        <v>-455991.52425438253</v>
      </c>
      <c r="R7" s="683">
        <v>-391816.64538365672</v>
      </c>
      <c r="S7" s="683">
        <v>-420588.64969133091</v>
      </c>
      <c r="T7" s="683">
        <v>-407891.29326102132</v>
      </c>
      <c r="U7" s="683">
        <v>-402316.73249754286</v>
      </c>
      <c r="V7" s="683">
        <v>-476825.0761007382</v>
      </c>
      <c r="W7" s="683">
        <v>-451242.22682712058</v>
      </c>
      <c r="X7" s="683">
        <v>-429614.67969955382</v>
      </c>
      <c r="Y7" s="683">
        <v>-492504.96045448614</v>
      </c>
      <c r="Z7" s="683">
        <v>-535334.4876744058</v>
      </c>
      <c r="AA7" s="683">
        <v>-569565.42782469513</v>
      </c>
      <c r="AB7" s="683">
        <v>-534457.38068912202</v>
      </c>
      <c r="AC7" s="683">
        <v>-507326.1145430273</v>
      </c>
      <c r="AD7" s="683">
        <v>-522179.32534697698</v>
      </c>
      <c r="AE7" s="683">
        <v>-566217.6893747187</v>
      </c>
      <c r="AF7" s="683">
        <v>-568302.45798723097</v>
      </c>
      <c r="AG7" s="683">
        <v>-561695.34921912372</v>
      </c>
      <c r="AH7" s="683">
        <v>-555654.04097699584</v>
      </c>
      <c r="AI7" s="684">
        <v>-533760.20845686679</v>
      </c>
      <c r="AJ7" s="683">
        <v>-501510.47848868719</v>
      </c>
      <c r="AK7" s="683">
        <v>-493174.64164614957</v>
      </c>
      <c r="AL7" s="683">
        <v>-499616.8378922104</v>
      </c>
      <c r="AM7" s="683">
        <v>-510485.30603851547</v>
      </c>
      <c r="AN7" s="683">
        <v>-532057.72193148383</v>
      </c>
      <c r="AO7" s="683">
        <v>-506150.0012373213</v>
      </c>
      <c r="AP7" s="683">
        <v>-519804.73411876278</v>
      </c>
      <c r="AQ7" s="685">
        <v>-544622.21452451113</v>
      </c>
      <c r="AR7" s="683">
        <v>-568507.49578559864</v>
      </c>
      <c r="AS7" s="683">
        <v>-597398.84185659932</v>
      </c>
      <c r="AT7" s="683">
        <v>-586928.78349977429</v>
      </c>
      <c r="AU7" s="683">
        <v>-537887.37620516599</v>
      </c>
      <c r="AV7" s="683">
        <v>-516598.82338585105</v>
      </c>
      <c r="AW7" s="683">
        <v>-479669.33891459147</v>
      </c>
      <c r="AX7" s="683">
        <v>-473452.75796403841</v>
      </c>
      <c r="AY7" s="683">
        <v>-484887.59433354967</v>
      </c>
      <c r="AZ7" s="686">
        <v>-488981.15135595726</v>
      </c>
      <c r="BA7" s="686">
        <v>-452925.03373643686</v>
      </c>
      <c r="BB7" s="686">
        <v>-451573.23866062419</v>
      </c>
      <c r="BC7" s="686">
        <v>-446037.57860030141</v>
      </c>
      <c r="BD7" s="686">
        <v>-416203.57885023794</v>
      </c>
      <c r="BE7" s="686">
        <v>-391089.80386499543</v>
      </c>
      <c r="BF7" s="686">
        <v>-446427.0567242484</v>
      </c>
      <c r="BG7" s="686">
        <v>-433283.77448197891</v>
      </c>
      <c r="BH7" s="687">
        <v>-438157.27675677673</v>
      </c>
      <c r="BI7" s="687">
        <v>-447406.75171338307</v>
      </c>
      <c r="BJ7" s="687">
        <v>-440746.85433740832</v>
      </c>
      <c r="BK7" s="687">
        <v>-435553.98382965534</v>
      </c>
      <c r="BL7" s="687">
        <v>-479963.84092431708</v>
      </c>
      <c r="BM7" s="687">
        <v>-469421.20873154927</v>
      </c>
      <c r="BN7" s="687">
        <v>-442052.21788194496</v>
      </c>
      <c r="BO7" s="687">
        <v>-407903.16297994857</v>
      </c>
      <c r="BP7" s="687">
        <v>-396425.38075434096</v>
      </c>
      <c r="BQ7" s="687">
        <v>-389700.44863652828</v>
      </c>
      <c r="BR7" s="687">
        <v>-410363.3641747926</v>
      </c>
      <c r="BS7" s="687">
        <v>-381213.66837278067</v>
      </c>
      <c r="BT7" s="687">
        <v>-398875.64322690311</v>
      </c>
      <c r="BU7" s="687">
        <v>-400469.13237251557</v>
      </c>
      <c r="BV7" s="687">
        <v>-429037.11521189444</v>
      </c>
      <c r="BW7" s="687">
        <v>-475009.24069434393</v>
      </c>
      <c r="BX7" s="687">
        <v>-394847.71618185716</v>
      </c>
      <c r="BY7" s="687">
        <v>-338391.72490433179</v>
      </c>
    </row>
    <row r="8" spans="1:77" ht="22.5" customHeight="1" x14ac:dyDescent="0.2">
      <c r="A8" s="682"/>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4"/>
      <c r="AJ8" s="683"/>
      <c r="AK8" s="683"/>
      <c r="AL8" s="683"/>
      <c r="AM8" s="683"/>
      <c r="AN8" s="683"/>
      <c r="AO8" s="683"/>
      <c r="AP8" s="683"/>
      <c r="AQ8" s="685"/>
      <c r="AR8" s="683"/>
      <c r="AS8" s="683"/>
      <c r="AT8" s="683"/>
      <c r="AU8" s="683"/>
      <c r="AV8" s="683"/>
      <c r="AW8" s="683"/>
      <c r="AX8" s="683"/>
      <c r="AY8" s="683"/>
      <c r="AZ8" s="686"/>
      <c r="BA8" s="686"/>
      <c r="BB8" s="686"/>
      <c r="BC8" s="686"/>
      <c r="BD8" s="686"/>
      <c r="BE8" s="686"/>
      <c r="BF8" s="686"/>
      <c r="BG8" s="686"/>
      <c r="BH8" s="687"/>
      <c r="BI8" s="687"/>
      <c r="BJ8" s="687"/>
      <c r="BK8" s="687"/>
      <c r="BL8" s="687"/>
      <c r="BM8" s="687"/>
      <c r="BN8" s="687"/>
      <c r="BO8" s="687"/>
      <c r="BP8" s="687"/>
      <c r="BQ8" s="687"/>
      <c r="BR8" s="687"/>
      <c r="BS8" s="687"/>
      <c r="BT8" s="687"/>
      <c r="BU8" s="687"/>
      <c r="BV8" s="687"/>
      <c r="BW8" s="687"/>
      <c r="BX8" s="687"/>
      <c r="BY8" s="687"/>
    </row>
    <row r="9" spans="1:77" ht="22.5" customHeight="1" x14ac:dyDescent="0.2">
      <c r="A9" s="676" t="s">
        <v>506</v>
      </c>
      <c r="B9" s="677">
        <v>15883.54626933713</v>
      </c>
      <c r="C9" s="677">
        <v>19204.398491121799</v>
      </c>
      <c r="D9" s="677">
        <v>22795.501324295175</v>
      </c>
      <c r="E9" s="677">
        <v>20531.286862214078</v>
      </c>
      <c r="F9" s="677">
        <v>20818.509804281664</v>
      </c>
      <c r="G9" s="677">
        <v>22185.535998862859</v>
      </c>
      <c r="H9" s="677">
        <v>23556.414353128181</v>
      </c>
      <c r="I9" s="677">
        <v>21518.199613537079</v>
      </c>
      <c r="J9" s="677">
        <v>25248.348319826946</v>
      </c>
      <c r="K9" s="677">
        <v>27381.67336833676</v>
      </c>
      <c r="L9" s="677">
        <v>28293.545060959175</v>
      </c>
      <c r="M9" s="677">
        <v>29434.82293110558</v>
      </c>
      <c r="N9" s="677">
        <v>30390.546227934283</v>
      </c>
      <c r="O9" s="677">
        <v>31076.999940529997</v>
      </c>
      <c r="P9" s="677">
        <v>30091.098269384391</v>
      </c>
      <c r="Q9" s="677">
        <v>30980.17593003501</v>
      </c>
      <c r="R9" s="677">
        <v>30034.995411972028</v>
      </c>
      <c r="S9" s="677">
        <v>31617.683999999997</v>
      </c>
      <c r="T9" s="677">
        <v>31908.506064140747</v>
      </c>
      <c r="U9" s="677">
        <v>33473.694393502381</v>
      </c>
      <c r="V9" s="677">
        <v>30969.328194597925</v>
      </c>
      <c r="W9" s="677">
        <v>30773.4028834204</v>
      </c>
      <c r="X9" s="677">
        <v>30649.208384962472</v>
      </c>
      <c r="Y9" s="677">
        <v>33371.31098330504</v>
      </c>
      <c r="Z9" s="677">
        <v>30528.812363751418</v>
      </c>
      <c r="AA9" s="677">
        <v>31819.07879519276</v>
      </c>
      <c r="AB9" s="677">
        <v>31406.353760574326</v>
      </c>
      <c r="AC9" s="677">
        <v>31033.287909103608</v>
      </c>
      <c r="AD9" s="677">
        <v>30952.833307015837</v>
      </c>
      <c r="AE9" s="677">
        <v>31581.437679148868</v>
      </c>
      <c r="AF9" s="677">
        <v>31415.124832631391</v>
      </c>
      <c r="AG9" s="677">
        <v>30875.81402145933</v>
      </c>
      <c r="AH9" s="677">
        <v>31887.315677383078</v>
      </c>
      <c r="AI9" s="678">
        <v>30820.132658355989</v>
      </c>
      <c r="AJ9" s="677">
        <v>29633.958087153787</v>
      </c>
      <c r="AK9" s="677">
        <v>34037.183666135119</v>
      </c>
      <c r="AL9" s="677">
        <v>35233.724996757279</v>
      </c>
      <c r="AM9" s="677">
        <v>37081.318759745285</v>
      </c>
      <c r="AN9" s="677">
        <v>38246.699542748305</v>
      </c>
      <c r="AO9" s="677">
        <v>36037.6615946647</v>
      </c>
      <c r="AP9" s="677">
        <v>41395.631779504234</v>
      </c>
      <c r="AQ9" s="679">
        <v>42287.360183243058</v>
      </c>
      <c r="AR9" s="677">
        <v>43225.636986448866</v>
      </c>
      <c r="AS9" s="677">
        <v>42023.616847947887</v>
      </c>
      <c r="AT9" s="677">
        <v>40823.307736586619</v>
      </c>
      <c r="AU9" s="677">
        <v>42622.338426117305</v>
      </c>
      <c r="AV9" s="677">
        <v>43925.061943251792</v>
      </c>
      <c r="AW9" s="677">
        <v>49632.33640586229</v>
      </c>
      <c r="AX9" s="677">
        <v>49473.037480839434</v>
      </c>
      <c r="AY9" s="677">
        <v>54950.875877070568</v>
      </c>
      <c r="AZ9" s="680">
        <v>55148.686053227022</v>
      </c>
      <c r="BA9" s="680">
        <v>55642.872052752253</v>
      </c>
      <c r="BB9" s="680">
        <v>57687.2608324178</v>
      </c>
      <c r="BC9" s="680">
        <v>57341.817645797317</v>
      </c>
      <c r="BD9" s="680">
        <v>58414.201097182864</v>
      </c>
      <c r="BE9" s="680">
        <v>58439.635107671224</v>
      </c>
      <c r="BF9" s="680">
        <v>54701.308099686437</v>
      </c>
      <c r="BG9" s="680">
        <v>54740.539371784849</v>
      </c>
      <c r="BH9" s="681">
        <v>56118.323095988118</v>
      </c>
      <c r="BI9" s="681">
        <v>58250.509178515204</v>
      </c>
      <c r="BJ9" s="681">
        <v>59026.17492475461</v>
      </c>
      <c r="BK9" s="681">
        <v>60198.640688576401</v>
      </c>
      <c r="BL9" s="681">
        <v>64958.585089628599</v>
      </c>
      <c r="BM9" s="681">
        <v>65757.18537476749</v>
      </c>
      <c r="BN9" s="681">
        <v>66462.342217031648</v>
      </c>
      <c r="BO9" s="681">
        <v>72221.319072544851</v>
      </c>
      <c r="BP9" s="681">
        <v>70110.6625385886</v>
      </c>
      <c r="BQ9" s="681">
        <v>70478.286213527637</v>
      </c>
      <c r="BR9" s="681">
        <v>70977.967225705448</v>
      </c>
      <c r="BS9" s="681">
        <v>74646.581851374634</v>
      </c>
      <c r="BT9" s="681">
        <v>72734.86644310932</v>
      </c>
      <c r="BU9" s="681">
        <v>72682.370768808905</v>
      </c>
      <c r="BV9" s="681">
        <v>76463.875816282205</v>
      </c>
      <c r="BW9" s="681">
        <v>76653.784321170155</v>
      </c>
      <c r="BX9" s="681">
        <v>74941.926721448806</v>
      </c>
      <c r="BY9" s="681">
        <v>72428.30925528126</v>
      </c>
    </row>
    <row r="10" spans="1:77" ht="22.5" customHeight="1" x14ac:dyDescent="0.2">
      <c r="A10" s="682" t="s">
        <v>507</v>
      </c>
      <c r="B10" s="683">
        <v>2780.4818602185601</v>
      </c>
      <c r="C10" s="683">
        <v>2661.1428895894396</v>
      </c>
      <c r="D10" s="683">
        <v>2898.1288821314602</v>
      </c>
      <c r="E10" s="683">
        <v>2715.3582111474198</v>
      </c>
      <c r="F10" s="683">
        <v>2684.0971327969996</v>
      </c>
      <c r="G10" s="683">
        <v>2744.9043118847799</v>
      </c>
      <c r="H10" s="683">
        <v>2589.7509924748701</v>
      </c>
      <c r="I10" s="683">
        <v>2818.4901145357098</v>
      </c>
      <c r="J10" s="683">
        <v>2854.1944993078296</v>
      </c>
      <c r="K10" s="683">
        <v>2652.7364417868398</v>
      </c>
      <c r="L10" s="683">
        <v>2792.7197988087801</v>
      </c>
      <c r="M10" s="683">
        <v>3616.75520117109</v>
      </c>
      <c r="N10" s="683">
        <v>3226.06529056934</v>
      </c>
      <c r="O10" s="683">
        <v>2789.5613597740103</v>
      </c>
      <c r="P10" s="683">
        <v>3064.4438332881496</v>
      </c>
      <c r="Q10" s="683">
        <v>2706.3366797338899</v>
      </c>
      <c r="R10" s="683">
        <v>3000.4766235805801</v>
      </c>
      <c r="S10" s="683">
        <v>2937.2269999999999</v>
      </c>
      <c r="T10" s="683">
        <v>2860.3833820514101</v>
      </c>
      <c r="U10" s="683">
        <v>3375.9320411612498</v>
      </c>
      <c r="V10" s="683">
        <v>3198.9278438555498</v>
      </c>
      <c r="W10" s="683">
        <v>3543.8328578868195</v>
      </c>
      <c r="X10" s="683">
        <v>3523.5380632228698</v>
      </c>
      <c r="Y10" s="683">
        <v>4161.9693968672</v>
      </c>
      <c r="Z10" s="683">
        <v>3378.4848058553798</v>
      </c>
      <c r="AA10" s="683">
        <v>3248.23803906067</v>
      </c>
      <c r="AB10" s="683">
        <v>2883.3512458578198</v>
      </c>
      <c r="AC10" s="683">
        <v>2977.8079643617698</v>
      </c>
      <c r="AD10" s="683">
        <v>3403.95765762887</v>
      </c>
      <c r="AE10" s="683">
        <v>2731.8580123987799</v>
      </c>
      <c r="AF10" s="683">
        <v>2921.5261027483198</v>
      </c>
      <c r="AG10" s="683">
        <v>3285.2655863486998</v>
      </c>
      <c r="AH10" s="683">
        <v>3218.97800381967</v>
      </c>
      <c r="AI10" s="684">
        <v>3775.3428060113501</v>
      </c>
      <c r="AJ10" s="683">
        <v>3586.6000795631298</v>
      </c>
      <c r="AK10" s="683">
        <v>4791.5966149175529</v>
      </c>
      <c r="AL10" s="683">
        <v>4198.8004375281098</v>
      </c>
      <c r="AM10" s="683">
        <v>3718.4681231650479</v>
      </c>
      <c r="AN10" s="683">
        <v>3968.0071440123438</v>
      </c>
      <c r="AO10" s="683">
        <v>4263.4817446186689</v>
      </c>
      <c r="AP10" s="683">
        <v>4030.7237780018918</v>
      </c>
      <c r="AQ10" s="685">
        <v>3881.5519780801178</v>
      </c>
      <c r="AR10" s="683">
        <v>4400.6176584587956</v>
      </c>
      <c r="AS10" s="683">
        <v>4329.7500811983455</v>
      </c>
      <c r="AT10" s="683">
        <v>4242.0866869116808</v>
      </c>
      <c r="AU10" s="683">
        <v>4812.0552422003866</v>
      </c>
      <c r="AV10" s="683">
        <v>4467.8940639118146</v>
      </c>
      <c r="AW10" s="683">
        <v>6810.9656838341225</v>
      </c>
      <c r="AX10" s="683">
        <v>5069.9095430427915</v>
      </c>
      <c r="AY10" s="683">
        <v>4859.8693030329596</v>
      </c>
      <c r="AZ10" s="686">
        <v>4678.5999159676958</v>
      </c>
      <c r="BA10" s="686">
        <v>5002.6420686924439</v>
      </c>
      <c r="BB10" s="686">
        <v>4285.1118852461977</v>
      </c>
      <c r="BC10" s="686">
        <v>4659.9065244093199</v>
      </c>
      <c r="BD10" s="686">
        <v>5162.9735006449473</v>
      </c>
      <c r="BE10" s="686">
        <v>4784.119899514094</v>
      </c>
      <c r="BF10" s="686">
        <v>4722.670419430573</v>
      </c>
      <c r="BG10" s="686">
        <v>4493.5170977541047</v>
      </c>
      <c r="BH10" s="687">
        <v>4728.3325385640619</v>
      </c>
      <c r="BI10" s="687">
        <v>7139.7543311749869</v>
      </c>
      <c r="BJ10" s="687">
        <v>4663.7387838217473</v>
      </c>
      <c r="BK10" s="687">
        <v>4523.7478623699599</v>
      </c>
      <c r="BL10" s="687">
        <v>4450.9223558028089</v>
      </c>
      <c r="BM10" s="687">
        <v>4979.4203134760128</v>
      </c>
      <c r="BN10" s="687">
        <v>4161.0018502116955</v>
      </c>
      <c r="BO10" s="687">
        <v>4383.6580079079868</v>
      </c>
      <c r="BP10" s="687">
        <v>4496.3473000134763</v>
      </c>
      <c r="BQ10" s="687">
        <v>3994.4044263306255</v>
      </c>
      <c r="BR10" s="687">
        <v>4461.7785986819208</v>
      </c>
      <c r="BS10" s="687">
        <v>4318.628638748115</v>
      </c>
      <c r="BT10" s="687">
        <v>4136.1890971867178</v>
      </c>
      <c r="BU10" s="687">
        <v>5699.8280473514978</v>
      </c>
      <c r="BV10" s="687">
        <v>4639.9123097070715</v>
      </c>
      <c r="BW10" s="687">
        <v>4120.3852649670216</v>
      </c>
      <c r="BX10" s="687">
        <v>4559.5574301768565</v>
      </c>
      <c r="BY10" s="687">
        <v>4193.0783909652037</v>
      </c>
    </row>
    <row r="11" spans="1:77" ht="22.5" customHeight="1" x14ac:dyDescent="0.2">
      <c r="A11" s="682" t="s">
        <v>508</v>
      </c>
      <c r="B11" s="683">
        <v>13103.06440911857</v>
      </c>
      <c r="C11" s="683">
        <v>15440.03880347136</v>
      </c>
      <c r="D11" s="683">
        <v>19039.147348759965</v>
      </c>
      <c r="E11" s="683">
        <v>16779.205501493328</v>
      </c>
      <c r="F11" s="683">
        <v>15997.32476802577</v>
      </c>
      <c r="G11" s="683">
        <v>18820.724511978078</v>
      </c>
      <c r="H11" s="683">
        <v>19036.469558432131</v>
      </c>
      <c r="I11" s="683">
        <v>17179.597992931718</v>
      </c>
      <c r="J11" s="683">
        <v>17080.557081261119</v>
      </c>
      <c r="K11" s="683">
        <v>19591.851296260469</v>
      </c>
      <c r="L11" s="683">
        <v>20372.515139623167</v>
      </c>
      <c r="M11" s="683">
        <v>22158.698883537549</v>
      </c>
      <c r="N11" s="683">
        <v>22866.410367366283</v>
      </c>
      <c r="O11" s="683">
        <v>22793.917400515667</v>
      </c>
      <c r="P11" s="683">
        <v>21927.07894676127</v>
      </c>
      <c r="Q11" s="683">
        <v>22959.958484987659</v>
      </c>
      <c r="R11" s="683">
        <v>20852.85236387136</v>
      </c>
      <c r="S11" s="683">
        <v>21290.077999999998</v>
      </c>
      <c r="T11" s="683">
        <v>21041.356357863908</v>
      </c>
      <c r="U11" s="683">
        <v>22394.577515877951</v>
      </c>
      <c r="V11" s="683">
        <v>20955.744019507987</v>
      </c>
      <c r="W11" s="683">
        <v>20389.512999437429</v>
      </c>
      <c r="X11" s="683">
        <v>20287.807507148442</v>
      </c>
      <c r="Y11" s="683">
        <v>23667.518772783042</v>
      </c>
      <c r="Z11" s="683">
        <v>21143.898082034419</v>
      </c>
      <c r="AA11" s="683">
        <v>22595.355402345889</v>
      </c>
      <c r="AB11" s="683">
        <v>22642.908420646967</v>
      </c>
      <c r="AC11" s="683">
        <v>22438.039174189456</v>
      </c>
      <c r="AD11" s="683">
        <v>22470.955748627337</v>
      </c>
      <c r="AE11" s="683">
        <v>23952.999551973287</v>
      </c>
      <c r="AF11" s="683">
        <v>23711.907692205081</v>
      </c>
      <c r="AG11" s="683">
        <v>23526.400576950011</v>
      </c>
      <c r="AH11" s="683">
        <v>24570.12411190939</v>
      </c>
      <c r="AI11" s="684">
        <v>23309.13281240355</v>
      </c>
      <c r="AJ11" s="683">
        <v>22121.435074765439</v>
      </c>
      <c r="AK11" s="683">
        <v>25339.887051448743</v>
      </c>
      <c r="AL11" s="683">
        <v>24811.603418029583</v>
      </c>
      <c r="AM11" s="683">
        <v>27616.35811862698</v>
      </c>
      <c r="AN11" s="683">
        <v>26916.749406765295</v>
      </c>
      <c r="AO11" s="683">
        <v>23732.996889685543</v>
      </c>
      <c r="AP11" s="683">
        <v>28098.346732737707</v>
      </c>
      <c r="AQ11" s="685">
        <v>28142.382556545286</v>
      </c>
      <c r="AR11" s="683">
        <v>28846.291705289455</v>
      </c>
      <c r="AS11" s="683">
        <v>26079.808146629897</v>
      </c>
      <c r="AT11" s="683">
        <v>24891.543612324742</v>
      </c>
      <c r="AU11" s="683">
        <v>26386.191195087289</v>
      </c>
      <c r="AV11" s="683">
        <v>28215.631845464515</v>
      </c>
      <c r="AW11" s="683">
        <v>32104.807109869311</v>
      </c>
      <c r="AX11" s="683">
        <v>31278.728444616794</v>
      </c>
      <c r="AY11" s="683">
        <v>37065.082675889476</v>
      </c>
      <c r="AZ11" s="686">
        <v>35348.424453984</v>
      </c>
      <c r="BA11" s="686">
        <v>34975.964181445357</v>
      </c>
      <c r="BB11" s="686">
        <v>36294.811287839671</v>
      </c>
      <c r="BC11" s="686">
        <v>35562.721802992994</v>
      </c>
      <c r="BD11" s="686">
        <v>37436.540629326395</v>
      </c>
      <c r="BE11" s="686">
        <v>39491.972824339624</v>
      </c>
      <c r="BF11" s="686">
        <v>37018.289982058544</v>
      </c>
      <c r="BG11" s="686">
        <v>38516.834474019604</v>
      </c>
      <c r="BH11" s="687">
        <v>36098.028646470615</v>
      </c>
      <c r="BI11" s="687">
        <v>35352.203031436744</v>
      </c>
      <c r="BJ11" s="687">
        <v>40596.638702052791</v>
      </c>
      <c r="BK11" s="687">
        <v>43101.961531756053</v>
      </c>
      <c r="BL11" s="687">
        <v>47797.471520471467</v>
      </c>
      <c r="BM11" s="687">
        <v>48837.429833669907</v>
      </c>
      <c r="BN11" s="687">
        <v>46976.981750401275</v>
      </c>
      <c r="BO11" s="687">
        <v>48706.533126328075</v>
      </c>
      <c r="BP11" s="687">
        <v>45383.373951858637</v>
      </c>
      <c r="BQ11" s="687">
        <v>43810.06359502289</v>
      </c>
      <c r="BR11" s="687">
        <v>44719.738972059109</v>
      </c>
      <c r="BS11" s="687">
        <v>49392.800101377507</v>
      </c>
      <c r="BT11" s="687">
        <v>48761.640481103183</v>
      </c>
      <c r="BU11" s="687">
        <v>47600.845091624971</v>
      </c>
      <c r="BV11" s="687">
        <v>51171.626241215519</v>
      </c>
      <c r="BW11" s="687">
        <v>50725.428399279481</v>
      </c>
      <c r="BX11" s="687">
        <v>46964.962889247305</v>
      </c>
      <c r="BY11" s="687">
        <v>45174.117241818145</v>
      </c>
    </row>
    <row r="12" spans="1:77" ht="22.5" customHeight="1" x14ac:dyDescent="0.2">
      <c r="A12" s="682" t="s">
        <v>509</v>
      </c>
      <c r="B12" s="683">
        <v>0</v>
      </c>
      <c r="C12" s="683">
        <v>1103.216798061</v>
      </c>
      <c r="D12" s="683">
        <v>858.22509340374995</v>
      </c>
      <c r="E12" s="683">
        <v>1036.7231495733299</v>
      </c>
      <c r="F12" s="683">
        <v>2137.0879034588929</v>
      </c>
      <c r="G12" s="683">
        <v>619.90717499999994</v>
      </c>
      <c r="H12" s="683">
        <v>1930.1938022211798</v>
      </c>
      <c r="I12" s="683">
        <v>1520.11150606965</v>
      </c>
      <c r="J12" s="683">
        <v>5313.5967392580005</v>
      </c>
      <c r="K12" s="683">
        <v>5137.0856302894499</v>
      </c>
      <c r="L12" s="683">
        <v>5128.3101225272303</v>
      </c>
      <c r="M12" s="683">
        <v>3659.3688463969402</v>
      </c>
      <c r="N12" s="683">
        <v>4298.0705699986602</v>
      </c>
      <c r="O12" s="683">
        <v>5493.5211802403201</v>
      </c>
      <c r="P12" s="683">
        <v>5099.5754893349704</v>
      </c>
      <c r="Q12" s="683">
        <v>5313.88076531346</v>
      </c>
      <c r="R12" s="683">
        <v>6181.66642452009</v>
      </c>
      <c r="S12" s="683">
        <v>7390.3789999999999</v>
      </c>
      <c r="T12" s="683">
        <v>8006.7663242254293</v>
      </c>
      <c r="U12" s="683">
        <v>7703.1848364631796</v>
      </c>
      <c r="V12" s="683">
        <v>6814.6563312343897</v>
      </c>
      <c r="W12" s="683">
        <v>6840.0570260961504</v>
      </c>
      <c r="X12" s="683">
        <v>6837.8628145911598</v>
      </c>
      <c r="Y12" s="683">
        <v>5541.8228136548005</v>
      </c>
      <c r="Z12" s="683">
        <v>6006.4294758616197</v>
      </c>
      <c r="AA12" s="683">
        <v>5975.4853537861991</v>
      </c>
      <c r="AB12" s="683">
        <v>5880.09409406954</v>
      </c>
      <c r="AC12" s="683">
        <v>5617.440770552379</v>
      </c>
      <c r="AD12" s="683">
        <v>5077.9199007596299</v>
      </c>
      <c r="AE12" s="683">
        <v>4896.5801147767997</v>
      </c>
      <c r="AF12" s="683">
        <v>4781.6910376779897</v>
      </c>
      <c r="AG12" s="683">
        <v>4064.1478581606202</v>
      </c>
      <c r="AH12" s="683">
        <v>4098.2135616540199</v>
      </c>
      <c r="AI12" s="684">
        <v>3735.6570399410898</v>
      </c>
      <c r="AJ12" s="683">
        <v>3925.92293282522</v>
      </c>
      <c r="AK12" s="683">
        <v>3905.6999997688235</v>
      </c>
      <c r="AL12" s="683">
        <v>6223.3211411995881</v>
      </c>
      <c r="AM12" s="683">
        <v>5746.4925179532611</v>
      </c>
      <c r="AN12" s="683">
        <v>7361.9429919706654</v>
      </c>
      <c r="AO12" s="683">
        <v>8041.182960360492</v>
      </c>
      <c r="AP12" s="683">
        <v>9266.5612687646371</v>
      </c>
      <c r="AQ12" s="685">
        <v>10263.425648617649</v>
      </c>
      <c r="AR12" s="683">
        <v>9978.7276227006132</v>
      </c>
      <c r="AS12" s="683">
        <v>11614.058620119647</v>
      </c>
      <c r="AT12" s="683">
        <v>11689.677437350201</v>
      </c>
      <c r="AU12" s="683">
        <v>11424.091988829627</v>
      </c>
      <c r="AV12" s="683">
        <v>11241.53603387546</v>
      </c>
      <c r="AW12" s="683">
        <v>10716.563612158852</v>
      </c>
      <c r="AX12" s="683">
        <v>13124.399493179844</v>
      </c>
      <c r="AY12" s="683">
        <v>13025.923898148132</v>
      </c>
      <c r="AZ12" s="686">
        <v>15121.66168327533</v>
      </c>
      <c r="BA12" s="686">
        <v>15664.265802614449</v>
      </c>
      <c r="BB12" s="686">
        <v>17107.337659331937</v>
      </c>
      <c r="BC12" s="686">
        <v>17119.189318394998</v>
      </c>
      <c r="BD12" s="686">
        <v>15814.686967211521</v>
      </c>
      <c r="BE12" s="686">
        <v>14163.542383817503</v>
      </c>
      <c r="BF12" s="686">
        <v>12960.347698197322</v>
      </c>
      <c r="BG12" s="686">
        <v>11730.187800011139</v>
      </c>
      <c r="BH12" s="687">
        <v>15291.961910953436</v>
      </c>
      <c r="BI12" s="687">
        <v>15758.551815903467</v>
      </c>
      <c r="BJ12" s="687">
        <v>13765.797438880069</v>
      </c>
      <c r="BK12" s="687">
        <v>12572.931294450393</v>
      </c>
      <c r="BL12" s="687">
        <v>12710.191213354321</v>
      </c>
      <c r="BM12" s="687">
        <v>11940.33522762157</v>
      </c>
      <c r="BN12" s="687">
        <v>15324.358616418673</v>
      </c>
      <c r="BO12" s="687">
        <v>19131.127938308789</v>
      </c>
      <c r="BP12" s="687">
        <v>20230.941286716483</v>
      </c>
      <c r="BQ12" s="687">
        <v>22673.81819217412</v>
      </c>
      <c r="BR12" s="687">
        <v>21796.449654964425</v>
      </c>
      <c r="BS12" s="687">
        <v>20935.153111249016</v>
      </c>
      <c r="BT12" s="687">
        <v>19837.036864819413</v>
      </c>
      <c r="BU12" s="687">
        <v>19381.697629832444</v>
      </c>
      <c r="BV12" s="687">
        <v>20652.33726535962</v>
      </c>
      <c r="BW12" s="687">
        <v>21807.970656923655</v>
      </c>
      <c r="BX12" s="687">
        <v>23417.406402024648</v>
      </c>
      <c r="BY12" s="687">
        <v>23061.113622497913</v>
      </c>
    </row>
    <row r="13" spans="1:77" ht="22.5" customHeight="1" x14ac:dyDescent="0.2">
      <c r="A13" s="682"/>
      <c r="B13" s="683"/>
      <c r="C13" s="683"/>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s="684"/>
      <c r="AJ13" s="683"/>
      <c r="AK13" s="683"/>
      <c r="AL13" s="683"/>
      <c r="AM13" s="683"/>
      <c r="AN13" s="683"/>
      <c r="AO13" s="683"/>
      <c r="AP13" s="683"/>
      <c r="AQ13" s="685"/>
      <c r="AR13" s="683"/>
      <c r="AS13" s="683"/>
      <c r="AT13" s="683"/>
      <c r="AU13" s="683"/>
      <c r="AV13" s="683"/>
      <c r="AW13" s="683"/>
      <c r="AX13" s="683"/>
      <c r="AY13" s="683"/>
      <c r="AZ13" s="686"/>
      <c r="BA13" s="686"/>
      <c r="BB13" s="686"/>
      <c r="BC13" s="686"/>
      <c r="BD13" s="686"/>
      <c r="BE13" s="686"/>
      <c r="BF13" s="686"/>
      <c r="BG13" s="686"/>
      <c r="BH13" s="687"/>
      <c r="BI13" s="687"/>
      <c r="BJ13" s="687"/>
      <c r="BK13" s="687"/>
      <c r="BL13" s="687"/>
      <c r="BM13" s="687"/>
      <c r="BN13" s="687"/>
      <c r="BO13" s="687"/>
      <c r="BP13" s="687"/>
      <c r="BQ13" s="687"/>
      <c r="BR13" s="687"/>
      <c r="BS13" s="687"/>
      <c r="BT13" s="687"/>
      <c r="BU13" s="687"/>
      <c r="BV13" s="687"/>
      <c r="BW13" s="687"/>
      <c r="BX13" s="687"/>
      <c r="BY13" s="687"/>
    </row>
    <row r="14" spans="1:77" ht="22.5" customHeight="1" x14ac:dyDescent="0.2">
      <c r="A14" s="676" t="s">
        <v>510</v>
      </c>
      <c r="B14" s="677">
        <v>46202.381153037422</v>
      </c>
      <c r="C14" s="677">
        <v>46228.406055545434</v>
      </c>
      <c r="D14" s="677">
        <v>41536.992128390921</v>
      </c>
      <c r="E14" s="677">
        <v>44882.80088516805</v>
      </c>
      <c r="F14" s="677">
        <v>45475.44274596269</v>
      </c>
      <c r="G14" s="677">
        <v>44794.197115178016</v>
      </c>
      <c r="H14" s="677">
        <v>42743.634040358695</v>
      </c>
      <c r="I14" s="677">
        <v>42684.666598872558</v>
      </c>
      <c r="J14" s="677">
        <v>39512.084307652403</v>
      </c>
      <c r="K14" s="677">
        <v>37873.234926130637</v>
      </c>
      <c r="L14" s="677">
        <v>38047.671032386119</v>
      </c>
      <c r="M14" s="677">
        <v>39530.568073384442</v>
      </c>
      <c r="N14" s="677">
        <v>37970.913603621055</v>
      </c>
      <c r="O14" s="677">
        <v>37627.442935225292</v>
      </c>
      <c r="P14" s="677">
        <v>37124.316265183399</v>
      </c>
      <c r="Q14" s="677">
        <v>37498.010716390738</v>
      </c>
      <c r="R14" s="677">
        <v>39156.500657266479</v>
      </c>
      <c r="S14" s="677">
        <v>39719.398716347743</v>
      </c>
      <c r="T14" s="677">
        <v>40015.946904981633</v>
      </c>
      <c r="U14" s="677">
        <v>38104.583793049038</v>
      </c>
      <c r="V14" s="677">
        <v>38569.778049363464</v>
      </c>
      <c r="W14" s="677">
        <v>39102.256814221233</v>
      </c>
      <c r="X14" s="677">
        <v>40235.09569635136</v>
      </c>
      <c r="Y14" s="677">
        <v>38010.725821035056</v>
      </c>
      <c r="Z14" s="677">
        <v>37715.524786278307</v>
      </c>
      <c r="AA14" s="677">
        <v>37198.005824070475</v>
      </c>
      <c r="AB14" s="677">
        <v>39388.131370601855</v>
      </c>
      <c r="AC14" s="677">
        <v>37729.771750879547</v>
      </c>
      <c r="AD14" s="677">
        <v>38466.088325971257</v>
      </c>
      <c r="AE14" s="677">
        <v>38614.536427936197</v>
      </c>
      <c r="AF14" s="677">
        <v>36020.403238634601</v>
      </c>
      <c r="AG14" s="677">
        <v>38023.271401596801</v>
      </c>
      <c r="AH14" s="677">
        <v>38782.171932746089</v>
      </c>
      <c r="AI14" s="678">
        <v>40042.67679724047</v>
      </c>
      <c r="AJ14" s="677">
        <v>40388.807298398693</v>
      </c>
      <c r="AK14" s="677">
        <v>38215.234501639141</v>
      </c>
      <c r="AL14" s="677">
        <v>38620.833582376174</v>
      </c>
      <c r="AM14" s="677">
        <v>39378.909148163963</v>
      </c>
      <c r="AN14" s="677">
        <v>40525.143152874312</v>
      </c>
      <c r="AO14" s="677">
        <v>41416.619773306156</v>
      </c>
      <c r="AP14" s="677">
        <v>41078.313658385188</v>
      </c>
      <c r="AQ14" s="679">
        <v>42602.287880723379</v>
      </c>
      <c r="AR14" s="677">
        <v>43238.649830528462</v>
      </c>
      <c r="AS14" s="677">
        <v>45405.208901882943</v>
      </c>
      <c r="AT14" s="677">
        <v>46220.139047351651</v>
      </c>
      <c r="AU14" s="677">
        <v>44656.885576869994</v>
      </c>
      <c r="AV14" s="677">
        <v>45774.594745586095</v>
      </c>
      <c r="AW14" s="677">
        <v>45691.741470481815</v>
      </c>
      <c r="AX14" s="677">
        <v>47258.21111998758</v>
      </c>
      <c r="AY14" s="677">
        <v>47281.17757882041</v>
      </c>
      <c r="AZ14" s="680">
        <v>49241.285426161441</v>
      </c>
      <c r="BA14" s="680">
        <v>50718.48109885717</v>
      </c>
      <c r="BB14" s="680">
        <v>52289.78105109265</v>
      </c>
      <c r="BC14" s="680">
        <v>53416.285285469537</v>
      </c>
      <c r="BD14" s="680">
        <v>53547.879789756094</v>
      </c>
      <c r="BE14" s="680">
        <v>54514.044100659296</v>
      </c>
      <c r="BF14" s="680">
        <v>58687.724699497056</v>
      </c>
      <c r="BG14" s="680">
        <v>61425.598183187853</v>
      </c>
      <c r="BH14" s="681">
        <v>62018.620758286714</v>
      </c>
      <c r="BI14" s="681">
        <v>65514.913034232362</v>
      </c>
      <c r="BJ14" s="681">
        <v>64388.884232883029</v>
      </c>
      <c r="BK14" s="681">
        <v>68680.541678861002</v>
      </c>
      <c r="BL14" s="681">
        <v>64686.317615352782</v>
      </c>
      <c r="BM14" s="681">
        <v>65762.691277930338</v>
      </c>
      <c r="BN14" s="681">
        <v>68499.217784755587</v>
      </c>
      <c r="BO14" s="681">
        <v>68182.650759181372</v>
      </c>
      <c r="BP14" s="681">
        <v>68128.712224035102</v>
      </c>
      <c r="BQ14" s="681">
        <v>69643.648440979785</v>
      </c>
      <c r="BR14" s="681">
        <v>70510.932658274454</v>
      </c>
      <c r="BS14" s="681">
        <v>70549.403383430981</v>
      </c>
      <c r="BT14" s="681">
        <v>72641.010874311149</v>
      </c>
      <c r="BU14" s="681">
        <v>70615.341422668876</v>
      </c>
      <c r="BV14" s="681">
        <v>72369.760921741923</v>
      </c>
      <c r="BW14" s="681">
        <v>75162.945258156906</v>
      </c>
      <c r="BX14" s="681">
        <v>79430.500641123828</v>
      </c>
      <c r="BY14" s="681">
        <v>83359.793312833179</v>
      </c>
    </row>
    <row r="15" spans="1:77" ht="22.5" customHeight="1" x14ac:dyDescent="0.2">
      <c r="A15" s="682" t="s">
        <v>511</v>
      </c>
      <c r="B15" s="683">
        <v>61697.699491806692</v>
      </c>
      <c r="C15" s="683">
        <v>61527.770521082202</v>
      </c>
      <c r="D15" s="683">
        <v>58144.213647966099</v>
      </c>
      <c r="E15" s="683">
        <v>60200.988352624197</v>
      </c>
      <c r="F15" s="683">
        <v>60772.32521689569</v>
      </c>
      <c r="G15" s="683">
        <v>61607.820306387795</v>
      </c>
      <c r="H15" s="683">
        <v>58363.919896878702</v>
      </c>
      <c r="I15" s="683">
        <v>57105.798453794298</v>
      </c>
      <c r="J15" s="683">
        <v>55485.379014505001</v>
      </c>
      <c r="K15" s="683">
        <v>54502.82545001019</v>
      </c>
      <c r="L15" s="683">
        <v>55811.491806131999</v>
      </c>
      <c r="M15" s="683">
        <v>57799.429730604592</v>
      </c>
      <c r="N15" s="683">
        <v>55154.155917721793</v>
      </c>
      <c r="O15" s="683">
        <v>53730.606421803001</v>
      </c>
      <c r="P15" s="683">
        <v>53584.161687032698</v>
      </c>
      <c r="Q15" s="683">
        <v>54224.1075535458</v>
      </c>
      <c r="R15" s="683">
        <v>54041.613664753</v>
      </c>
      <c r="S15" s="683">
        <v>53369.036999999997</v>
      </c>
      <c r="T15" s="683">
        <v>54168.068775473293</v>
      </c>
      <c r="U15" s="683">
        <v>52462.482641120398</v>
      </c>
      <c r="V15" s="683">
        <v>51968.032708957195</v>
      </c>
      <c r="W15" s="683">
        <v>53745.253183736495</v>
      </c>
      <c r="X15" s="683">
        <v>52340.988993587001</v>
      </c>
      <c r="Y15" s="683">
        <v>51334.594771566495</v>
      </c>
      <c r="Z15" s="683">
        <v>52042.447587275899</v>
      </c>
      <c r="AA15" s="683">
        <v>50971.725694157401</v>
      </c>
      <c r="AB15" s="683">
        <v>52771.889928957207</v>
      </c>
      <c r="AC15" s="683">
        <v>51559.155262933498</v>
      </c>
      <c r="AD15" s="683">
        <v>52664.915751283894</v>
      </c>
      <c r="AE15" s="683">
        <v>53230.1549786256</v>
      </c>
      <c r="AF15" s="683">
        <v>51457.523353041099</v>
      </c>
      <c r="AG15" s="683">
        <v>52862.332407013098</v>
      </c>
      <c r="AH15" s="683">
        <v>52766.2205435664</v>
      </c>
      <c r="AI15" s="684">
        <v>54521.632375816698</v>
      </c>
      <c r="AJ15" s="683">
        <v>56235.882947774793</v>
      </c>
      <c r="AK15" s="683">
        <v>56068.183178167761</v>
      </c>
      <c r="AL15" s="683">
        <v>55077.431588997802</v>
      </c>
      <c r="AM15" s="683">
        <v>55087.760136904428</v>
      </c>
      <c r="AN15" s="683">
        <v>56242.198198822225</v>
      </c>
      <c r="AO15" s="683">
        <v>56644.260832215325</v>
      </c>
      <c r="AP15" s="683">
        <v>56959.411963216669</v>
      </c>
      <c r="AQ15" s="685">
        <v>56570.905357101823</v>
      </c>
      <c r="AR15" s="683">
        <v>58205.509405643192</v>
      </c>
      <c r="AS15" s="683">
        <v>59402.71315994102</v>
      </c>
      <c r="AT15" s="683">
        <v>59682.560063146098</v>
      </c>
      <c r="AU15" s="683">
        <v>59017.462286455491</v>
      </c>
      <c r="AV15" s="683">
        <v>58507.486551949019</v>
      </c>
      <c r="AW15" s="683">
        <v>58807.708911047412</v>
      </c>
      <c r="AX15" s="683">
        <v>59725.402208406747</v>
      </c>
      <c r="AY15" s="683">
        <v>60950.761154975131</v>
      </c>
      <c r="AZ15" s="686">
        <v>61983.411209069614</v>
      </c>
      <c r="BA15" s="686">
        <v>64291.900730207402</v>
      </c>
      <c r="BB15" s="686">
        <v>65769.893757727157</v>
      </c>
      <c r="BC15" s="686">
        <v>68126.358653511197</v>
      </c>
      <c r="BD15" s="686">
        <v>67162.29059532519</v>
      </c>
      <c r="BE15" s="686">
        <v>67432.676164503297</v>
      </c>
      <c r="BF15" s="686">
        <v>71111.826657722253</v>
      </c>
      <c r="BG15" s="686">
        <v>72773.982965934192</v>
      </c>
      <c r="BH15" s="687">
        <v>74085.674746929973</v>
      </c>
      <c r="BI15" s="687">
        <v>73828.344555172196</v>
      </c>
      <c r="BJ15" s="687">
        <v>73497.840716369916</v>
      </c>
      <c r="BK15" s="687">
        <v>75448.817410137184</v>
      </c>
      <c r="BL15" s="687">
        <v>72286.540236038301</v>
      </c>
      <c r="BM15" s="687">
        <v>74272.042612170117</v>
      </c>
      <c r="BN15" s="687">
        <v>77025.873876352707</v>
      </c>
      <c r="BO15" s="687">
        <v>76190.370601122806</v>
      </c>
      <c r="BP15" s="687">
        <v>76872.017091015048</v>
      </c>
      <c r="BQ15" s="687">
        <v>78098.426723212237</v>
      </c>
      <c r="BR15" s="687">
        <v>78688.380336765505</v>
      </c>
      <c r="BS15" s="687">
        <v>79281.352083640581</v>
      </c>
      <c r="BT15" s="687">
        <v>81750.233490579965</v>
      </c>
      <c r="BU15" s="687">
        <v>80508.352365969258</v>
      </c>
      <c r="BV15" s="687">
        <v>81493.245008216312</v>
      </c>
      <c r="BW15" s="687">
        <v>84764.798805538492</v>
      </c>
      <c r="BX15" s="687">
        <v>88275.996749975093</v>
      </c>
      <c r="BY15" s="687">
        <v>91493.641114795668</v>
      </c>
    </row>
    <row r="16" spans="1:77" ht="22.5" customHeight="1" x14ac:dyDescent="0.2">
      <c r="A16" s="682" t="s">
        <v>512</v>
      </c>
      <c r="B16" s="683">
        <v>-15495.318338769268</v>
      </c>
      <c r="C16" s="683">
        <v>-15299.364465536764</v>
      </c>
      <c r="D16" s="683">
        <v>-16607.221519575178</v>
      </c>
      <c r="E16" s="683">
        <v>-15318.187467456148</v>
      </c>
      <c r="F16" s="683">
        <v>-15296.882470933002</v>
      </c>
      <c r="G16" s="683">
        <v>-16813.623191209776</v>
      </c>
      <c r="H16" s="683">
        <v>-15620.285856520004</v>
      </c>
      <c r="I16" s="683">
        <v>-14421.131854921736</v>
      </c>
      <c r="J16" s="683">
        <v>-15973.294706852601</v>
      </c>
      <c r="K16" s="683">
        <v>-16629.590523879549</v>
      </c>
      <c r="L16" s="683">
        <v>-17763.820773745876</v>
      </c>
      <c r="M16" s="683">
        <v>-18268.86165722015</v>
      </c>
      <c r="N16" s="683">
        <v>-17183.242314100742</v>
      </c>
      <c r="O16" s="683">
        <v>-16103.163486577711</v>
      </c>
      <c r="P16" s="683">
        <v>-16459.845421849299</v>
      </c>
      <c r="Q16" s="683">
        <v>-16726.096837155063</v>
      </c>
      <c r="R16" s="683">
        <v>-14885.11300748652</v>
      </c>
      <c r="S16" s="683">
        <v>-13649.638283652252</v>
      </c>
      <c r="T16" s="683">
        <v>-14152.121870491659</v>
      </c>
      <c r="U16" s="683">
        <v>-14357.898848071361</v>
      </c>
      <c r="V16" s="683">
        <v>-13398.254659593729</v>
      </c>
      <c r="W16" s="683">
        <v>-14642.99636951526</v>
      </c>
      <c r="X16" s="683">
        <v>-12105.893297235638</v>
      </c>
      <c r="Y16" s="683">
        <v>-13323.868950531438</v>
      </c>
      <c r="Z16" s="683">
        <v>-14326.922800997592</v>
      </c>
      <c r="AA16" s="683">
        <v>-13773.719870086928</v>
      </c>
      <c r="AB16" s="683">
        <v>-13383.758558355355</v>
      </c>
      <c r="AC16" s="683">
        <v>-13829.38351205395</v>
      </c>
      <c r="AD16" s="683">
        <v>-14198.827425312636</v>
      </c>
      <c r="AE16" s="683">
        <v>-14615.618550689402</v>
      </c>
      <c r="AF16" s="683">
        <v>-15437.120114406496</v>
      </c>
      <c r="AG16" s="683">
        <v>-14839.061005416299</v>
      </c>
      <c r="AH16" s="683">
        <v>-13984.048610820311</v>
      </c>
      <c r="AI16" s="684">
        <v>-14478.955578576226</v>
      </c>
      <c r="AJ16" s="683">
        <v>-15847.075649376096</v>
      </c>
      <c r="AK16" s="683">
        <v>-17852.94867652862</v>
      </c>
      <c r="AL16" s="683">
        <v>-16456.598006621625</v>
      </c>
      <c r="AM16" s="683">
        <v>-15708.850988740465</v>
      </c>
      <c r="AN16" s="683">
        <v>-15717.055045947913</v>
      </c>
      <c r="AO16" s="683">
        <v>-15227.641058909167</v>
      </c>
      <c r="AP16" s="683">
        <v>-15881.098304831483</v>
      </c>
      <c r="AQ16" s="685">
        <v>-13968.617476378444</v>
      </c>
      <c r="AR16" s="683">
        <v>-14966.859575114733</v>
      </c>
      <c r="AS16" s="683">
        <v>-13997.504258058081</v>
      </c>
      <c r="AT16" s="683">
        <v>-13462.421015794444</v>
      </c>
      <c r="AU16" s="683">
        <v>-14360.576709585495</v>
      </c>
      <c r="AV16" s="683">
        <v>-12732.891806362924</v>
      </c>
      <c r="AW16" s="683">
        <v>-13115.967440565595</v>
      </c>
      <c r="AX16" s="683">
        <v>-12467.191088419166</v>
      </c>
      <c r="AY16" s="683">
        <v>-13669.583576154722</v>
      </c>
      <c r="AZ16" s="686">
        <v>-12742.125782908175</v>
      </c>
      <c r="BA16" s="686">
        <v>-13573.419631350231</v>
      </c>
      <c r="BB16" s="686">
        <v>-13480.112706634505</v>
      </c>
      <c r="BC16" s="686">
        <v>-14710.07336804166</v>
      </c>
      <c r="BD16" s="686">
        <v>-13614.410805569098</v>
      </c>
      <c r="BE16" s="686">
        <v>-12918.632063844001</v>
      </c>
      <c r="BF16" s="686">
        <v>-12424.101958225196</v>
      </c>
      <c r="BG16" s="686">
        <v>-11348.38478274634</v>
      </c>
      <c r="BH16" s="687">
        <v>-12067.053988643258</v>
      </c>
      <c r="BI16" s="687">
        <v>-8313.4315209398355</v>
      </c>
      <c r="BJ16" s="687">
        <v>-9108.956483486887</v>
      </c>
      <c r="BK16" s="687">
        <v>-6768.2757312761842</v>
      </c>
      <c r="BL16" s="687">
        <v>-7600.2226206855175</v>
      </c>
      <c r="BM16" s="687">
        <v>-8509.35133423978</v>
      </c>
      <c r="BN16" s="687">
        <v>-8526.6560915971204</v>
      </c>
      <c r="BO16" s="687">
        <v>-8007.7198419414353</v>
      </c>
      <c r="BP16" s="687">
        <v>-8743.3048669799482</v>
      </c>
      <c r="BQ16" s="687">
        <v>-8454.7782822324552</v>
      </c>
      <c r="BR16" s="687">
        <v>-8177.4476784910439</v>
      </c>
      <c r="BS16" s="687">
        <v>-8731.9487002096012</v>
      </c>
      <c r="BT16" s="687">
        <v>-9109.2226162688221</v>
      </c>
      <c r="BU16" s="687">
        <v>-9893.0109433003781</v>
      </c>
      <c r="BV16" s="687">
        <v>-9123.4840864743946</v>
      </c>
      <c r="BW16" s="687">
        <v>-9601.8535473815882</v>
      </c>
      <c r="BX16" s="687">
        <v>-8845.4961088512628</v>
      </c>
      <c r="BY16" s="687">
        <v>-8133.8478019624836</v>
      </c>
    </row>
    <row r="17" spans="1:77" ht="22.5" customHeight="1" x14ac:dyDescent="0.2">
      <c r="A17" s="676"/>
      <c r="B17" s="677"/>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8"/>
      <c r="AJ17" s="677"/>
      <c r="AK17" s="677"/>
      <c r="AL17" s="677"/>
      <c r="AM17" s="677"/>
      <c r="AN17" s="677"/>
      <c r="AO17" s="677"/>
      <c r="AP17" s="677"/>
      <c r="AQ17" s="679"/>
      <c r="AR17" s="677"/>
      <c r="AS17" s="677"/>
      <c r="AT17" s="677"/>
      <c r="AU17" s="677"/>
      <c r="AV17" s="677"/>
      <c r="AW17" s="677"/>
      <c r="AX17" s="677"/>
      <c r="AY17" s="677"/>
      <c r="AZ17" s="680"/>
      <c r="BA17" s="680"/>
      <c r="BB17" s="680"/>
      <c r="BC17" s="680"/>
      <c r="BD17" s="680"/>
      <c r="BE17" s="680"/>
      <c r="BF17" s="680"/>
      <c r="BG17" s="680"/>
      <c r="BH17" s="681"/>
      <c r="BI17" s="681"/>
      <c r="BJ17" s="681"/>
      <c r="BK17" s="681"/>
      <c r="BL17" s="681"/>
      <c r="BM17" s="681"/>
      <c r="BN17" s="681"/>
      <c r="BO17" s="681"/>
      <c r="BP17" s="681"/>
      <c r="BQ17" s="681"/>
      <c r="BR17" s="681"/>
      <c r="BS17" s="681"/>
      <c r="BT17" s="681"/>
      <c r="BU17" s="681"/>
      <c r="BV17" s="681"/>
      <c r="BW17" s="681"/>
      <c r="BX17" s="681"/>
      <c r="BY17" s="681"/>
    </row>
    <row r="18" spans="1:77" ht="22.5" customHeight="1" x14ac:dyDescent="0.2">
      <c r="A18" s="676" t="s">
        <v>484</v>
      </c>
      <c r="B18" s="677">
        <v>248896.44796015669</v>
      </c>
      <c r="C18" s="677">
        <v>248653.45619608354</v>
      </c>
      <c r="D18" s="677">
        <v>251077.63427885834</v>
      </c>
      <c r="E18" s="677">
        <v>252425.94624199052</v>
      </c>
      <c r="F18" s="677">
        <v>263632.61535834562</v>
      </c>
      <c r="G18" s="677">
        <v>267429.23357882927</v>
      </c>
      <c r="H18" s="677">
        <v>266409.72737461125</v>
      </c>
      <c r="I18" s="677">
        <v>271789.49549483845</v>
      </c>
      <c r="J18" s="677">
        <v>272438.92333583586</v>
      </c>
      <c r="K18" s="677">
        <v>274786.27410636976</v>
      </c>
      <c r="L18" s="677">
        <v>276758.11127369711</v>
      </c>
      <c r="M18" s="677">
        <v>278722.79442939977</v>
      </c>
      <c r="N18" s="677">
        <v>278600.24378589995</v>
      </c>
      <c r="O18" s="677">
        <v>281528.0408852456</v>
      </c>
      <c r="P18" s="677">
        <v>282270.29557447811</v>
      </c>
      <c r="Q18" s="677">
        <v>286205.00782829389</v>
      </c>
      <c r="R18" s="677">
        <v>288062.89631386375</v>
      </c>
      <c r="S18" s="677">
        <v>291979.36699999997</v>
      </c>
      <c r="T18" s="677">
        <v>295765.24081791023</v>
      </c>
      <c r="U18" s="677">
        <v>298723.10082013893</v>
      </c>
      <c r="V18" s="677">
        <v>304169.75661760999</v>
      </c>
      <c r="W18" s="677">
        <v>312829.84980890236</v>
      </c>
      <c r="X18" s="677">
        <v>311259.87505072553</v>
      </c>
      <c r="Y18" s="677">
        <v>310940.94408568816</v>
      </c>
      <c r="Z18" s="677">
        <v>311430.19972326333</v>
      </c>
      <c r="AA18" s="677">
        <v>311817.78021051805</v>
      </c>
      <c r="AB18" s="677">
        <v>316023.83094058069</v>
      </c>
      <c r="AC18" s="677">
        <v>322035.05858234013</v>
      </c>
      <c r="AD18" s="677">
        <v>328217.72178075509</v>
      </c>
      <c r="AE18" s="677">
        <v>339849.9028008671</v>
      </c>
      <c r="AF18" s="677">
        <v>344055.84470338566</v>
      </c>
      <c r="AG18" s="677">
        <v>346600.31551877788</v>
      </c>
      <c r="AH18" s="677">
        <v>349150.76667742536</v>
      </c>
      <c r="AI18" s="678">
        <v>353662.92069438443</v>
      </c>
      <c r="AJ18" s="677">
        <v>357257.64889147726</v>
      </c>
      <c r="AK18" s="677">
        <v>364089.16545909585</v>
      </c>
      <c r="AL18" s="677">
        <v>365541.50957684341</v>
      </c>
      <c r="AM18" s="677">
        <v>371871.74131732079</v>
      </c>
      <c r="AN18" s="677">
        <v>369618.51315964782</v>
      </c>
      <c r="AO18" s="677">
        <v>373394.63948564482</v>
      </c>
      <c r="AP18" s="677">
        <v>371730.50697090762</v>
      </c>
      <c r="AQ18" s="679">
        <v>371254.15903107461</v>
      </c>
      <c r="AR18" s="677">
        <v>381390.04929219646</v>
      </c>
      <c r="AS18" s="677">
        <v>403063.78199327271</v>
      </c>
      <c r="AT18" s="677">
        <v>409690.2555806723</v>
      </c>
      <c r="AU18" s="677">
        <v>403167.60833401035</v>
      </c>
      <c r="AV18" s="677">
        <v>406264.59212819877</v>
      </c>
      <c r="AW18" s="677">
        <v>413242.84634938056</v>
      </c>
      <c r="AX18" s="677">
        <v>398464.06317138515</v>
      </c>
      <c r="AY18" s="677">
        <v>400908.30294153123</v>
      </c>
      <c r="AZ18" s="680">
        <v>402785.96424363606</v>
      </c>
      <c r="BA18" s="680">
        <v>403811.99425607623</v>
      </c>
      <c r="BB18" s="680">
        <v>397925.2993697779</v>
      </c>
      <c r="BC18" s="680">
        <v>391817.662834491</v>
      </c>
      <c r="BD18" s="680">
        <v>390269.53374281881</v>
      </c>
      <c r="BE18" s="680">
        <v>389003.61252033565</v>
      </c>
      <c r="BF18" s="680">
        <v>390191.53592435858</v>
      </c>
      <c r="BG18" s="680">
        <v>394573.66480154311</v>
      </c>
      <c r="BH18" s="681">
        <v>403487.2665493745</v>
      </c>
      <c r="BI18" s="681">
        <v>401882.35468503676</v>
      </c>
      <c r="BJ18" s="681">
        <v>402934.63282387966</v>
      </c>
      <c r="BK18" s="681">
        <v>406582.5739196642</v>
      </c>
      <c r="BL18" s="681">
        <v>420706.37299226795</v>
      </c>
      <c r="BM18" s="681">
        <v>409627.57400568476</v>
      </c>
      <c r="BN18" s="681">
        <v>409669.18132355774</v>
      </c>
      <c r="BO18" s="681">
        <v>410792.76027623925</v>
      </c>
      <c r="BP18" s="681">
        <v>412195.84023260057</v>
      </c>
      <c r="BQ18" s="681">
        <v>420849.35839928698</v>
      </c>
      <c r="BR18" s="681">
        <v>422942.43818747927</v>
      </c>
      <c r="BS18" s="681">
        <v>423954.50157529995</v>
      </c>
      <c r="BT18" s="681">
        <v>427152.97702708578</v>
      </c>
      <c r="BU18" s="681">
        <v>431003.55511745578</v>
      </c>
      <c r="BV18" s="681">
        <v>435586.47008202545</v>
      </c>
      <c r="BW18" s="681">
        <v>435733.33744633215</v>
      </c>
      <c r="BX18" s="681">
        <v>431378.25883393374</v>
      </c>
      <c r="BY18" s="681">
        <v>427475.70888727915</v>
      </c>
    </row>
    <row r="19" spans="1:77" ht="22.5" customHeight="1" x14ac:dyDescent="0.2">
      <c r="A19" s="688"/>
      <c r="B19" s="683"/>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683"/>
      <c r="AH19" s="683"/>
      <c r="AI19" s="684"/>
      <c r="AJ19" s="683"/>
      <c r="AK19" s="683"/>
      <c r="AL19" s="683"/>
      <c r="AM19" s="683"/>
      <c r="AN19" s="683"/>
      <c r="AO19" s="683"/>
      <c r="AP19" s="683"/>
      <c r="AQ19" s="685"/>
      <c r="AR19" s="683"/>
      <c r="AS19" s="683"/>
      <c r="AT19" s="683"/>
      <c r="AU19" s="683"/>
      <c r="AV19" s="683"/>
      <c r="AW19" s="683"/>
      <c r="AX19" s="683"/>
      <c r="AY19" s="683"/>
      <c r="AZ19" s="686"/>
      <c r="BA19" s="686"/>
      <c r="BB19" s="686"/>
      <c r="BC19" s="686"/>
      <c r="BD19" s="686"/>
      <c r="BE19" s="686"/>
      <c r="BF19" s="686"/>
      <c r="BG19" s="686"/>
      <c r="BH19" s="687"/>
      <c r="BI19" s="687"/>
      <c r="BJ19" s="687"/>
      <c r="BK19" s="687"/>
      <c r="BL19" s="687"/>
      <c r="BM19" s="687"/>
      <c r="BN19" s="687"/>
      <c r="BO19" s="687"/>
      <c r="BP19" s="687"/>
      <c r="BQ19" s="687"/>
      <c r="BR19" s="687"/>
      <c r="BS19" s="687"/>
      <c r="BT19" s="687"/>
      <c r="BU19" s="687"/>
      <c r="BV19" s="687"/>
      <c r="BW19" s="687"/>
      <c r="BX19" s="687"/>
      <c r="BY19" s="687"/>
    </row>
    <row r="20" spans="1:77" ht="22.5" customHeight="1" x14ac:dyDescent="0.2">
      <c r="A20" s="676" t="s">
        <v>513</v>
      </c>
      <c r="B20" s="677">
        <v>354.97145637</v>
      </c>
      <c r="C20" s="677">
        <v>1458.0634336810001</v>
      </c>
      <c r="D20" s="677">
        <v>1234.8880738037499</v>
      </c>
      <c r="E20" s="677">
        <v>1426.9580185933298</v>
      </c>
      <c r="F20" s="677">
        <v>1799.6625738501998</v>
      </c>
      <c r="G20" s="677">
        <v>1018.8706620099999</v>
      </c>
      <c r="H20" s="677">
        <v>934.56167797000001</v>
      </c>
      <c r="I20" s="677">
        <v>570.37408744000004</v>
      </c>
      <c r="J20" s="677">
        <v>753.09918457000003</v>
      </c>
      <c r="K20" s="677">
        <v>624.16111209999997</v>
      </c>
      <c r="L20" s="677">
        <v>1020.68219698</v>
      </c>
      <c r="M20" s="677">
        <v>1003.2277356599999</v>
      </c>
      <c r="N20" s="677">
        <v>994.98082905999991</v>
      </c>
      <c r="O20" s="677">
        <v>994.86971218999997</v>
      </c>
      <c r="P20" s="677">
        <v>233.12811006999999</v>
      </c>
      <c r="Q20" s="677">
        <v>222.31467438999996</v>
      </c>
      <c r="R20" s="677">
        <v>623.47827548999999</v>
      </c>
      <c r="S20" s="677">
        <v>208.369</v>
      </c>
      <c r="T20" s="677">
        <v>1780.2658135799998</v>
      </c>
      <c r="U20" s="677">
        <v>1060.8937028600001</v>
      </c>
      <c r="V20" s="677">
        <v>753.35824074999994</v>
      </c>
      <c r="W20" s="677">
        <v>939.68474980999986</v>
      </c>
      <c r="X20" s="677">
        <v>1096.7768037200001</v>
      </c>
      <c r="Y20" s="677">
        <v>1145.3559687899999</v>
      </c>
      <c r="Z20" s="677">
        <v>1123.0559826400001</v>
      </c>
      <c r="AA20" s="677">
        <v>1132.92843081</v>
      </c>
      <c r="AB20" s="677">
        <v>1132.9984324300001</v>
      </c>
      <c r="AC20" s="677">
        <v>1114.9996515999999</v>
      </c>
      <c r="AD20" s="677">
        <v>82.772141879999992</v>
      </c>
      <c r="AE20" s="677">
        <v>447.20645667000002</v>
      </c>
      <c r="AF20" s="677">
        <v>181.53818857999997</v>
      </c>
      <c r="AG20" s="677">
        <v>429.82487684</v>
      </c>
      <c r="AH20" s="677">
        <v>771.05274240999995</v>
      </c>
      <c r="AI20" s="678">
        <v>1174.1884462799999</v>
      </c>
      <c r="AJ20" s="677">
        <v>1345.1627521099999</v>
      </c>
      <c r="AK20" s="677">
        <v>1721.84122639</v>
      </c>
      <c r="AL20" s="677">
        <v>2044.3475266400001</v>
      </c>
      <c r="AM20" s="677">
        <v>2134.24912275</v>
      </c>
      <c r="AN20" s="677">
        <v>2124.9154918429999</v>
      </c>
      <c r="AO20" s="677">
        <v>2296.7695687609998</v>
      </c>
      <c r="AP20" s="677">
        <v>1259.733286289</v>
      </c>
      <c r="AQ20" s="679">
        <v>1518.3219098943753</v>
      </c>
      <c r="AR20" s="677">
        <v>1694.6787664978499</v>
      </c>
      <c r="AS20" s="677">
        <v>1973.2142783755003</v>
      </c>
      <c r="AT20" s="677">
        <v>2988.8611264908004</v>
      </c>
      <c r="AU20" s="677">
        <v>2494.2524502342753</v>
      </c>
      <c r="AV20" s="677">
        <v>2635.7734011398752</v>
      </c>
      <c r="AW20" s="677">
        <v>2626.8451721566498</v>
      </c>
      <c r="AX20" s="677">
        <v>3645.3085861486002</v>
      </c>
      <c r="AY20" s="677">
        <v>3500.2813603073996</v>
      </c>
      <c r="AZ20" s="680">
        <v>3493.4737958735996</v>
      </c>
      <c r="BA20" s="680">
        <v>3496.5289533664004</v>
      </c>
      <c r="BB20" s="680">
        <v>2534.7028019690201</v>
      </c>
      <c r="BC20" s="680">
        <v>2335.3993855694903</v>
      </c>
      <c r="BD20" s="680">
        <v>1779.8687648113403</v>
      </c>
      <c r="BE20" s="680">
        <v>2061.6950526299597</v>
      </c>
      <c r="BF20" s="680">
        <v>2108.72433228514</v>
      </c>
      <c r="BG20" s="680">
        <v>2101.9929374896651</v>
      </c>
      <c r="BH20" s="681">
        <v>2268.8605227212502</v>
      </c>
      <c r="BI20" s="681">
        <v>2237.0970716378151</v>
      </c>
      <c r="BJ20" s="681">
        <v>2223.2476261923393</v>
      </c>
      <c r="BK20" s="681">
        <v>2387.1009375569997</v>
      </c>
      <c r="BL20" s="681">
        <v>2398.3699645123197</v>
      </c>
      <c r="BM20" s="681">
        <v>2592.1940626814403</v>
      </c>
      <c r="BN20" s="681">
        <v>2009.0889083875081</v>
      </c>
      <c r="BO20" s="681">
        <v>1896.4873963501877</v>
      </c>
      <c r="BP20" s="681">
        <v>1597.3344818168393</v>
      </c>
      <c r="BQ20" s="681">
        <v>1218.5783749468928</v>
      </c>
      <c r="BR20" s="681">
        <v>1112.6992353525206</v>
      </c>
      <c r="BS20" s="681">
        <v>1103.1212674843323</v>
      </c>
      <c r="BT20" s="681">
        <v>1072.8281149782899</v>
      </c>
      <c r="BU20" s="681">
        <v>1015.1228623002351</v>
      </c>
      <c r="BV20" s="681">
        <v>1013.612795305811</v>
      </c>
      <c r="BW20" s="681">
        <v>1011.8365169231471</v>
      </c>
      <c r="BX20" s="681">
        <v>1032.5859431421832</v>
      </c>
      <c r="BY20" s="681">
        <v>1035.1981123027301</v>
      </c>
    </row>
    <row r="21" spans="1:77" ht="22.5" customHeight="1" x14ac:dyDescent="0.2">
      <c r="A21" s="676"/>
      <c r="B21" s="6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4"/>
      <c r="AJ21" s="683"/>
      <c r="AK21" s="683"/>
      <c r="AL21" s="683"/>
      <c r="AM21" s="683"/>
      <c r="AN21" s="683"/>
      <c r="AO21" s="683"/>
      <c r="AP21" s="683"/>
      <c r="AQ21" s="685"/>
      <c r="AR21" s="683"/>
      <c r="AS21" s="683"/>
      <c r="AT21" s="683"/>
      <c r="AU21" s="683"/>
      <c r="AV21" s="683"/>
      <c r="AW21" s="683"/>
      <c r="AX21" s="683"/>
      <c r="AY21" s="683"/>
      <c r="AZ21" s="686"/>
      <c r="BA21" s="686"/>
      <c r="BB21" s="686"/>
      <c r="BC21" s="686"/>
      <c r="BD21" s="686"/>
      <c r="BE21" s="686"/>
      <c r="BF21" s="686"/>
      <c r="BG21" s="686"/>
      <c r="BH21" s="687"/>
      <c r="BI21" s="687"/>
      <c r="BJ21" s="687"/>
      <c r="BK21" s="687"/>
      <c r="BL21" s="687"/>
      <c r="BM21" s="687"/>
      <c r="BN21" s="687"/>
      <c r="BO21" s="687"/>
      <c r="BP21" s="687"/>
      <c r="BQ21" s="687"/>
      <c r="BR21" s="687"/>
      <c r="BS21" s="687"/>
      <c r="BT21" s="687"/>
      <c r="BU21" s="687"/>
      <c r="BV21" s="687"/>
      <c r="BW21" s="687"/>
      <c r="BX21" s="687"/>
      <c r="BY21" s="687"/>
    </row>
    <row r="22" spans="1:77" ht="22.5" customHeight="1" x14ac:dyDescent="0.2">
      <c r="A22" s="676" t="s">
        <v>514</v>
      </c>
      <c r="B22" s="677">
        <v>68417.576114417345</v>
      </c>
      <c r="C22" s="677">
        <v>69653.631969699985</v>
      </c>
      <c r="D22" s="677">
        <v>70215.348591119095</v>
      </c>
      <c r="E22" s="677">
        <v>68338.963920090217</v>
      </c>
      <c r="F22" s="677">
        <v>70215.250846567549</v>
      </c>
      <c r="G22" s="677">
        <v>71274.171742057268</v>
      </c>
      <c r="H22" s="677">
        <v>64471.853299839051</v>
      </c>
      <c r="I22" s="677">
        <v>60661.93993289076</v>
      </c>
      <c r="J22" s="677">
        <v>62154.188763703103</v>
      </c>
      <c r="K22" s="677">
        <v>64297.935015412811</v>
      </c>
      <c r="L22" s="677">
        <v>62964.396630661162</v>
      </c>
      <c r="M22" s="677">
        <v>66798.141782746941</v>
      </c>
      <c r="N22" s="677">
        <v>66843.4212763182</v>
      </c>
      <c r="O22" s="677">
        <v>64714.829885364074</v>
      </c>
      <c r="P22" s="677">
        <v>64923.221281450686</v>
      </c>
      <c r="Q22" s="677">
        <v>64083.54788373335</v>
      </c>
      <c r="R22" s="677">
        <v>64808.801830606011</v>
      </c>
      <c r="S22" s="677">
        <v>67724.779263747987</v>
      </c>
      <c r="T22" s="677">
        <v>65041.300731756433</v>
      </c>
      <c r="U22" s="677">
        <v>67309.642340643681</v>
      </c>
      <c r="V22" s="677">
        <v>67613.559138661833</v>
      </c>
      <c r="W22" s="677">
        <v>66007.450705723328</v>
      </c>
      <c r="X22" s="677">
        <v>69174.68774187642</v>
      </c>
      <c r="Y22" s="677">
        <v>69409.104881614985</v>
      </c>
      <c r="Z22" s="677">
        <v>70398.977756641951</v>
      </c>
      <c r="AA22" s="677">
        <v>68945.312493441015</v>
      </c>
      <c r="AB22" s="677">
        <v>68951.221762668312</v>
      </c>
      <c r="AC22" s="677">
        <v>69926.762835496062</v>
      </c>
      <c r="AD22" s="677">
        <v>71122.489226837395</v>
      </c>
      <c r="AE22" s="677">
        <v>72242.56115368141</v>
      </c>
      <c r="AF22" s="677">
        <v>71290.812961026197</v>
      </c>
      <c r="AG22" s="677">
        <v>70857.429743249348</v>
      </c>
      <c r="AH22" s="677">
        <v>71447.475539043153</v>
      </c>
      <c r="AI22" s="678">
        <v>72952.083069411558</v>
      </c>
      <c r="AJ22" s="677">
        <v>74578.349415192075</v>
      </c>
      <c r="AK22" s="677">
        <v>74618.532625004475</v>
      </c>
      <c r="AL22" s="677">
        <v>71871.101379207234</v>
      </c>
      <c r="AM22" s="677">
        <v>72479.192117654864</v>
      </c>
      <c r="AN22" s="677">
        <v>73943.808174877224</v>
      </c>
      <c r="AO22" s="677">
        <v>73234.279247781014</v>
      </c>
      <c r="AP22" s="677">
        <v>72947.399607409403</v>
      </c>
      <c r="AQ22" s="679">
        <v>74107.709862834367</v>
      </c>
      <c r="AR22" s="677">
        <v>76824.334770920614</v>
      </c>
      <c r="AS22" s="677">
        <v>76247.366230465879</v>
      </c>
      <c r="AT22" s="677">
        <v>76056.609471451098</v>
      </c>
      <c r="AU22" s="677">
        <v>74268.542712026101</v>
      </c>
      <c r="AV22" s="677">
        <v>75843.457167872461</v>
      </c>
      <c r="AW22" s="677">
        <v>80380.278819563566</v>
      </c>
      <c r="AX22" s="677">
        <v>80986.327513685974</v>
      </c>
      <c r="AY22" s="677">
        <v>83205.206720997492</v>
      </c>
      <c r="AZ22" s="680">
        <v>80740.817193901355</v>
      </c>
      <c r="BA22" s="680">
        <v>83532.929309591753</v>
      </c>
      <c r="BB22" s="680">
        <v>84377.573074406901</v>
      </c>
      <c r="BC22" s="680">
        <v>84977.208322015504</v>
      </c>
      <c r="BD22" s="680">
        <v>81912.093754483169</v>
      </c>
      <c r="BE22" s="680">
        <v>82517.765685236445</v>
      </c>
      <c r="BF22" s="680">
        <v>83780.472174381124</v>
      </c>
      <c r="BG22" s="680">
        <v>87235.429559917859</v>
      </c>
      <c r="BH22" s="681">
        <v>89195.525666624046</v>
      </c>
      <c r="BI22" s="681">
        <v>92691.37357843596</v>
      </c>
      <c r="BJ22" s="681">
        <v>93171.902824633711</v>
      </c>
      <c r="BK22" s="681">
        <v>96534.393163275367</v>
      </c>
      <c r="BL22" s="681">
        <v>100564.33017739406</v>
      </c>
      <c r="BM22" s="681">
        <v>101529.86765301334</v>
      </c>
      <c r="BN22" s="681">
        <v>100767.71541834825</v>
      </c>
      <c r="BO22" s="681">
        <v>102248.21337766193</v>
      </c>
      <c r="BP22" s="681">
        <v>102464.95093822277</v>
      </c>
      <c r="BQ22" s="681">
        <v>106992.94802882223</v>
      </c>
      <c r="BR22" s="681">
        <v>104951.3866106551</v>
      </c>
      <c r="BS22" s="681">
        <v>104938.45904114223</v>
      </c>
      <c r="BT22" s="681">
        <v>109137.90184692024</v>
      </c>
      <c r="BU22" s="681">
        <v>107961.45521592448</v>
      </c>
      <c r="BV22" s="681">
        <v>110587.58191838322</v>
      </c>
      <c r="BW22" s="681">
        <v>110185.34194485706</v>
      </c>
      <c r="BX22" s="681">
        <v>110730.654659108</v>
      </c>
      <c r="BY22" s="681">
        <v>111916.2053122849</v>
      </c>
    </row>
    <row r="23" spans="1:77" ht="22.5" customHeight="1" x14ac:dyDescent="0.2">
      <c r="A23" s="676"/>
      <c r="B23" s="67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8"/>
      <c r="AJ23" s="677"/>
      <c r="AK23" s="677"/>
      <c r="AL23" s="677"/>
      <c r="AM23" s="677"/>
      <c r="AN23" s="677"/>
      <c r="AO23" s="677"/>
      <c r="AP23" s="677"/>
      <c r="AQ23" s="679"/>
      <c r="AR23" s="677"/>
      <c r="AS23" s="677"/>
      <c r="AT23" s="677"/>
      <c r="AU23" s="677"/>
      <c r="AV23" s="677"/>
      <c r="AW23" s="677"/>
      <c r="AX23" s="677"/>
      <c r="AY23" s="677"/>
      <c r="AZ23" s="680"/>
      <c r="BA23" s="680"/>
      <c r="BB23" s="680"/>
      <c r="BC23" s="680"/>
      <c r="BD23" s="680"/>
      <c r="BE23" s="680"/>
      <c r="BF23" s="680"/>
      <c r="BG23" s="680"/>
      <c r="BH23" s="681"/>
      <c r="BI23" s="681"/>
      <c r="BJ23" s="681"/>
      <c r="BK23" s="681"/>
      <c r="BL23" s="681"/>
      <c r="BM23" s="681"/>
      <c r="BN23" s="681"/>
      <c r="BO23" s="681"/>
      <c r="BP23" s="681"/>
      <c r="BQ23" s="681"/>
      <c r="BR23" s="681"/>
      <c r="BS23" s="681"/>
      <c r="BT23" s="681"/>
      <c r="BU23" s="681"/>
      <c r="BV23" s="681"/>
      <c r="BW23" s="681"/>
      <c r="BX23" s="681"/>
      <c r="BY23" s="681"/>
    </row>
    <row r="24" spans="1:77" ht="22.5" customHeight="1" x14ac:dyDescent="0.2">
      <c r="A24" s="676" t="s">
        <v>515</v>
      </c>
      <c r="B24" s="677">
        <v>86002.005008486682</v>
      </c>
      <c r="C24" s="677">
        <v>86430.334994463396</v>
      </c>
      <c r="D24" s="677">
        <v>87980.657385565777</v>
      </c>
      <c r="E24" s="677">
        <v>88701.149805639681</v>
      </c>
      <c r="F24" s="677">
        <v>89270.248456882007</v>
      </c>
      <c r="G24" s="677">
        <v>89154.323627973514</v>
      </c>
      <c r="H24" s="677">
        <v>90701.193436550544</v>
      </c>
      <c r="I24" s="677">
        <v>94966.115896958989</v>
      </c>
      <c r="J24" s="677">
        <v>96640.404973560464</v>
      </c>
      <c r="K24" s="677">
        <v>98032.756931829164</v>
      </c>
      <c r="L24" s="677">
        <v>97861.717844145649</v>
      </c>
      <c r="M24" s="677">
        <v>103724.85564967337</v>
      </c>
      <c r="N24" s="677">
        <v>104389.22207054911</v>
      </c>
      <c r="O24" s="677">
        <v>106664.57534290411</v>
      </c>
      <c r="P24" s="677">
        <v>107206.88138370164</v>
      </c>
      <c r="Q24" s="677">
        <v>108620.08748099591</v>
      </c>
      <c r="R24" s="677">
        <v>107655.14280378608</v>
      </c>
      <c r="S24" s="677">
        <v>108184.74986758425</v>
      </c>
      <c r="T24" s="677">
        <v>108733.92540058088</v>
      </c>
      <c r="U24" s="677">
        <v>109085.11095657838</v>
      </c>
      <c r="V24" s="677">
        <v>108846.39305074242</v>
      </c>
      <c r="W24" s="677">
        <v>109719.8377185056</v>
      </c>
      <c r="X24" s="677">
        <v>109948.1827041051</v>
      </c>
      <c r="Y24" s="677">
        <v>114277.70110134366</v>
      </c>
      <c r="Z24" s="677">
        <v>113985.53990418378</v>
      </c>
      <c r="AA24" s="677">
        <v>116610.20363369156</v>
      </c>
      <c r="AB24" s="677">
        <v>117693.25363014425</v>
      </c>
      <c r="AC24" s="677">
        <v>116060.31403665496</v>
      </c>
      <c r="AD24" s="677">
        <v>116163.6332307518</v>
      </c>
      <c r="AE24" s="677">
        <v>118175.51892211345</v>
      </c>
      <c r="AF24" s="677">
        <v>117894.59109897181</v>
      </c>
      <c r="AG24" s="677">
        <v>117293.51383782346</v>
      </c>
      <c r="AH24" s="677">
        <v>118335.53065373108</v>
      </c>
      <c r="AI24" s="678">
        <v>118419.04652726192</v>
      </c>
      <c r="AJ24" s="677">
        <v>120267.96107586552</v>
      </c>
      <c r="AK24" s="677">
        <v>123940.24706978291</v>
      </c>
      <c r="AL24" s="677">
        <v>125927.59113183178</v>
      </c>
      <c r="AM24" s="677">
        <v>127700.67489801101</v>
      </c>
      <c r="AN24" s="677">
        <v>130221.61249399875</v>
      </c>
      <c r="AO24" s="677">
        <v>129555.58381315233</v>
      </c>
      <c r="AP24" s="677">
        <v>130874.52793089766</v>
      </c>
      <c r="AQ24" s="679">
        <v>132412.54231621322</v>
      </c>
      <c r="AR24" s="677">
        <v>134150.43078186901</v>
      </c>
      <c r="AS24" s="677">
        <v>132965.69728082433</v>
      </c>
      <c r="AT24" s="677">
        <v>132891.3405092886</v>
      </c>
      <c r="AU24" s="677">
        <v>131916.76361065177</v>
      </c>
      <c r="AV24" s="677">
        <v>132916.41188870533</v>
      </c>
      <c r="AW24" s="677">
        <v>137028.58257943401</v>
      </c>
      <c r="AX24" s="677">
        <v>139536.17451725059</v>
      </c>
      <c r="AY24" s="677">
        <v>141374.11037787879</v>
      </c>
      <c r="AZ24" s="680">
        <v>143389.44134980321</v>
      </c>
      <c r="BA24" s="680">
        <v>143137.20575972123</v>
      </c>
      <c r="BB24" s="680">
        <v>143112.36780075575</v>
      </c>
      <c r="BC24" s="680">
        <v>145274.23009115169</v>
      </c>
      <c r="BD24" s="680">
        <v>146738.11960623346</v>
      </c>
      <c r="BE24" s="680">
        <v>146609.26600948314</v>
      </c>
      <c r="BF24" s="680">
        <v>147441.75915400017</v>
      </c>
      <c r="BG24" s="680">
        <v>150897.85414947488</v>
      </c>
      <c r="BH24" s="681">
        <v>150022.70341062004</v>
      </c>
      <c r="BI24" s="681">
        <v>151721.29844907482</v>
      </c>
      <c r="BJ24" s="681">
        <v>155891.4138969772</v>
      </c>
      <c r="BK24" s="681">
        <v>157687.33850349611</v>
      </c>
      <c r="BL24" s="681">
        <v>157723.53110445768</v>
      </c>
      <c r="BM24" s="681">
        <v>158508.70418172545</v>
      </c>
      <c r="BN24" s="681">
        <v>159802.28138109492</v>
      </c>
      <c r="BO24" s="681">
        <v>162367.58641059365</v>
      </c>
      <c r="BP24" s="681">
        <v>163212.85536403063</v>
      </c>
      <c r="BQ24" s="681">
        <v>163339.49024732222</v>
      </c>
      <c r="BR24" s="681">
        <v>163856.69744432965</v>
      </c>
      <c r="BS24" s="681">
        <v>166313.55156211261</v>
      </c>
      <c r="BT24" s="681">
        <v>166456.1968425122</v>
      </c>
      <c r="BU24" s="681">
        <v>171829.46753571433</v>
      </c>
      <c r="BV24" s="681">
        <v>174620.19748435059</v>
      </c>
      <c r="BW24" s="681">
        <v>176804.69491635181</v>
      </c>
      <c r="BX24" s="681">
        <v>177427.02083549256</v>
      </c>
      <c r="BY24" s="681">
        <v>178812.21562706216</v>
      </c>
    </row>
    <row r="25" spans="1:77" ht="22.5" customHeight="1" x14ac:dyDescent="0.2">
      <c r="A25" s="676"/>
      <c r="B25" s="677"/>
      <c r="C25" s="677"/>
      <c r="D25" s="677"/>
      <c r="E25" s="677"/>
      <c r="F25" s="677"/>
      <c r="G25" s="677"/>
      <c r="H25" s="677"/>
      <c r="I25" s="677"/>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8"/>
      <c r="AJ25" s="677"/>
      <c r="AK25" s="677"/>
      <c r="AL25" s="677"/>
      <c r="AM25" s="677"/>
      <c r="AN25" s="677"/>
      <c r="AO25" s="677"/>
      <c r="AP25" s="677"/>
      <c r="AQ25" s="679"/>
      <c r="AR25" s="677"/>
      <c r="AS25" s="677"/>
      <c r="AT25" s="677"/>
      <c r="AU25" s="677"/>
      <c r="AV25" s="677"/>
      <c r="AW25" s="677"/>
      <c r="AX25" s="677"/>
      <c r="AY25" s="677"/>
      <c r="AZ25" s="680"/>
      <c r="BA25" s="680"/>
      <c r="BB25" s="680"/>
      <c r="BC25" s="680"/>
      <c r="BD25" s="680"/>
      <c r="BE25" s="680"/>
      <c r="BF25" s="680"/>
      <c r="BG25" s="680"/>
      <c r="BH25" s="681"/>
      <c r="BI25" s="681"/>
      <c r="BJ25" s="681"/>
      <c r="BK25" s="681"/>
      <c r="BL25" s="681"/>
      <c r="BM25" s="681"/>
      <c r="BN25" s="681"/>
      <c r="BO25" s="681"/>
      <c r="BP25" s="681"/>
      <c r="BQ25" s="681"/>
      <c r="BR25" s="681"/>
      <c r="BS25" s="681"/>
      <c r="BT25" s="681"/>
      <c r="BU25" s="681"/>
      <c r="BV25" s="681"/>
      <c r="BW25" s="681"/>
      <c r="BX25" s="681"/>
      <c r="BY25" s="681"/>
    </row>
    <row r="26" spans="1:77" ht="22.5" customHeight="1" x14ac:dyDescent="0.2">
      <c r="A26" s="676" t="s">
        <v>516</v>
      </c>
      <c r="B26" s="677">
        <v>108186.14460182063</v>
      </c>
      <c r="C26" s="677">
        <v>107871.64613230935</v>
      </c>
      <c r="D26" s="677">
        <v>106472.46624005419</v>
      </c>
      <c r="E26" s="677">
        <v>108063.35612843526</v>
      </c>
      <c r="F26" s="677">
        <v>109526.84877539893</v>
      </c>
      <c r="G26" s="677">
        <v>109237.11205135696</v>
      </c>
      <c r="H26" s="677">
        <v>109451.94414594011</v>
      </c>
      <c r="I26" s="677">
        <v>108901.9461516438</v>
      </c>
      <c r="J26" s="677">
        <v>106914.66391770453</v>
      </c>
      <c r="K26" s="677">
        <v>107100.24215791043</v>
      </c>
      <c r="L26" s="677">
        <v>109055.36053895146</v>
      </c>
      <c r="M26" s="677">
        <v>109207.81382407888</v>
      </c>
      <c r="N26" s="677">
        <v>107745.74287748217</v>
      </c>
      <c r="O26" s="677">
        <v>107599.41045783951</v>
      </c>
      <c r="P26" s="677">
        <v>106746.66606577481</v>
      </c>
      <c r="Q26" s="677">
        <v>106849.11315212832</v>
      </c>
      <c r="R26" s="677">
        <v>107417.14382677035</v>
      </c>
      <c r="S26" s="677">
        <v>110511.24299510724</v>
      </c>
      <c r="T26" s="677">
        <v>111052.85472120719</v>
      </c>
      <c r="U26" s="677">
        <v>111654.30310460235</v>
      </c>
      <c r="V26" s="677">
        <v>112467.72002936109</v>
      </c>
      <c r="W26" s="677">
        <v>113219.37896141577</v>
      </c>
      <c r="X26" s="677">
        <v>113547.22391566647</v>
      </c>
      <c r="Y26" s="677">
        <v>113435.48782537348</v>
      </c>
      <c r="Z26" s="677">
        <v>112461.82849679363</v>
      </c>
      <c r="AA26" s="677">
        <v>111714.22892767936</v>
      </c>
      <c r="AB26" s="677">
        <v>113270.70949100395</v>
      </c>
      <c r="AC26" s="677">
        <v>114177.36675103454</v>
      </c>
      <c r="AD26" s="677">
        <v>116075.87533956936</v>
      </c>
      <c r="AE26" s="677">
        <v>116355.8678889685</v>
      </c>
      <c r="AF26" s="677">
        <v>118325.33974725219</v>
      </c>
      <c r="AG26" s="677">
        <v>119849.00138286772</v>
      </c>
      <c r="AH26" s="677">
        <v>120208.58510439517</v>
      </c>
      <c r="AI26" s="678">
        <v>121769.56355380318</v>
      </c>
      <c r="AJ26" s="677">
        <v>120139.4397799687</v>
      </c>
      <c r="AK26" s="677">
        <v>122767.9044164784</v>
      </c>
      <c r="AL26" s="677">
        <v>119814.13086053214</v>
      </c>
      <c r="AM26" s="677">
        <v>121449.11197988532</v>
      </c>
      <c r="AN26" s="677">
        <v>119579.54509858412</v>
      </c>
      <c r="AO26" s="677">
        <v>119309.98499980234</v>
      </c>
      <c r="AP26" s="677">
        <v>118265.05726933386</v>
      </c>
      <c r="AQ26" s="679">
        <v>120054.85814749781</v>
      </c>
      <c r="AR26" s="677">
        <v>117254.17791251148</v>
      </c>
      <c r="AS26" s="677">
        <v>116932.01019127456</v>
      </c>
      <c r="AT26" s="677">
        <v>116847.83673386324</v>
      </c>
      <c r="AU26" s="677">
        <v>118991.40012527069</v>
      </c>
      <c r="AV26" s="677">
        <v>121061.1048357854</v>
      </c>
      <c r="AW26" s="677">
        <v>121486.63215333641</v>
      </c>
      <c r="AX26" s="677">
        <v>119293.63868033765</v>
      </c>
      <c r="AY26" s="677">
        <v>119523.34795476634</v>
      </c>
      <c r="AZ26" s="680">
        <v>122556.57036738006</v>
      </c>
      <c r="BA26" s="680">
        <v>121362.37180555731</v>
      </c>
      <c r="BB26" s="680">
        <v>121886.73219142022</v>
      </c>
      <c r="BC26" s="680">
        <v>123005.80985975852</v>
      </c>
      <c r="BD26" s="680">
        <v>123520.76447442369</v>
      </c>
      <c r="BE26" s="680">
        <v>124601.74002718055</v>
      </c>
      <c r="BF26" s="680">
        <v>123128.37278158699</v>
      </c>
      <c r="BG26" s="680">
        <v>122407.12749760035</v>
      </c>
      <c r="BH26" s="681">
        <v>124153.78349949441</v>
      </c>
      <c r="BI26" s="681">
        <v>124261.75823891172</v>
      </c>
      <c r="BJ26" s="681">
        <v>122185.88926902582</v>
      </c>
      <c r="BK26" s="681">
        <v>121583.84295172573</v>
      </c>
      <c r="BL26" s="681">
        <v>124112.74568214279</v>
      </c>
      <c r="BM26" s="681">
        <v>122397.19621745318</v>
      </c>
      <c r="BN26" s="681">
        <v>123524.84123770551</v>
      </c>
      <c r="BO26" s="681">
        <v>126129.18119480774</v>
      </c>
      <c r="BP26" s="681">
        <v>125956.23845817303</v>
      </c>
      <c r="BQ26" s="681">
        <v>125357.98660940932</v>
      </c>
      <c r="BR26" s="681">
        <v>126238.36592811924</v>
      </c>
      <c r="BS26" s="681">
        <v>128092.82244753919</v>
      </c>
      <c r="BT26" s="681">
        <v>126626.31112381855</v>
      </c>
      <c r="BU26" s="681">
        <v>125772.9644197194</v>
      </c>
      <c r="BV26" s="681">
        <v>125599.10216289473</v>
      </c>
      <c r="BW26" s="681">
        <v>123978.20092508002</v>
      </c>
      <c r="BX26" s="681">
        <v>122751.80670227821</v>
      </c>
      <c r="BY26" s="681">
        <v>124414.18059068613</v>
      </c>
    </row>
    <row r="27" spans="1:77" ht="22.5" customHeight="1" x14ac:dyDescent="0.2">
      <c r="A27" s="689"/>
      <c r="B27" s="683"/>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4"/>
      <c r="AJ27" s="683"/>
      <c r="AK27" s="683"/>
      <c r="AL27" s="683"/>
      <c r="AM27" s="683"/>
      <c r="AN27" s="683"/>
      <c r="AO27" s="683"/>
      <c r="AP27" s="683"/>
      <c r="AQ27" s="685"/>
      <c r="AR27" s="683"/>
      <c r="AS27" s="683"/>
      <c r="AT27" s="683"/>
      <c r="AU27" s="683"/>
      <c r="AV27" s="683"/>
      <c r="AW27" s="683"/>
      <c r="AX27" s="683"/>
      <c r="AY27" s="683"/>
      <c r="AZ27" s="686"/>
      <c r="BA27" s="686"/>
      <c r="BB27" s="686"/>
      <c r="BC27" s="686"/>
      <c r="BD27" s="686"/>
      <c r="BE27" s="686"/>
      <c r="BF27" s="686"/>
      <c r="BG27" s="686"/>
      <c r="BH27" s="687"/>
      <c r="BI27" s="687"/>
      <c r="BJ27" s="687"/>
      <c r="BK27" s="687"/>
      <c r="BL27" s="687"/>
      <c r="BM27" s="687"/>
      <c r="BN27" s="687"/>
      <c r="BO27" s="687"/>
      <c r="BP27" s="687"/>
      <c r="BQ27" s="687"/>
      <c r="BR27" s="687"/>
      <c r="BS27" s="687"/>
      <c r="BT27" s="687"/>
      <c r="BU27" s="687"/>
      <c r="BV27" s="687"/>
      <c r="BW27" s="687"/>
      <c r="BX27" s="687"/>
      <c r="BY27" s="687"/>
    </row>
    <row r="28" spans="1:77" ht="22.5" customHeight="1" x14ac:dyDescent="0.2">
      <c r="A28" s="676" t="s">
        <v>517</v>
      </c>
      <c r="B28" s="677">
        <v>783.64372534999995</v>
      </c>
      <c r="C28" s="677">
        <v>795.03426162999995</v>
      </c>
      <c r="D28" s="677">
        <v>806.36142286999996</v>
      </c>
      <c r="E28" s="677">
        <v>817.11920386999998</v>
      </c>
      <c r="F28" s="677">
        <v>829.69099342999993</v>
      </c>
      <c r="G28" s="677">
        <v>841.75958768999999</v>
      </c>
      <c r="H28" s="677">
        <v>841.34192214999996</v>
      </c>
      <c r="I28" s="677">
        <v>850.71337003999997</v>
      </c>
      <c r="J28" s="677">
        <v>860.90493549999997</v>
      </c>
      <c r="K28" s="677">
        <v>871.46817457999998</v>
      </c>
      <c r="L28" s="677">
        <v>882.04527718999998</v>
      </c>
      <c r="M28" s="677">
        <v>892.00809129999993</v>
      </c>
      <c r="N28" s="677">
        <v>903.91998392999994</v>
      </c>
      <c r="O28" s="677">
        <v>913.01940185000001</v>
      </c>
      <c r="P28" s="677">
        <v>921.02394779999986</v>
      </c>
      <c r="Q28" s="677">
        <v>929.69761501999994</v>
      </c>
      <c r="R28" s="677">
        <v>941.94318426999996</v>
      </c>
      <c r="S28" s="677">
        <v>951.54399999999998</v>
      </c>
      <c r="T28" s="677">
        <v>951.26087802999996</v>
      </c>
      <c r="U28" s="677">
        <v>960.51654224999993</v>
      </c>
      <c r="V28" s="677">
        <v>959.27091483000004</v>
      </c>
      <c r="W28" s="677">
        <v>968.69937096000001</v>
      </c>
      <c r="X28" s="677">
        <v>976.84763184999997</v>
      </c>
      <c r="Y28" s="677">
        <v>987.94876219000002</v>
      </c>
      <c r="Z28" s="677">
        <v>997.67433128999994</v>
      </c>
      <c r="AA28" s="677">
        <v>1008.33392694</v>
      </c>
      <c r="AB28" s="677">
        <v>1018.04001825</v>
      </c>
      <c r="AC28" s="677">
        <v>1027.9046779099999</v>
      </c>
      <c r="AD28" s="677">
        <v>1034.54105153</v>
      </c>
      <c r="AE28" s="677">
        <v>1046.3292143399999</v>
      </c>
      <c r="AF28" s="677">
        <v>1056.93696527</v>
      </c>
      <c r="AG28" s="677">
        <v>1068.1048831099999</v>
      </c>
      <c r="AH28" s="677">
        <v>1086.2447271099998</v>
      </c>
      <c r="AI28" s="678">
        <v>1094.8958103199998</v>
      </c>
      <c r="AJ28" s="677">
        <v>1103.7077119</v>
      </c>
      <c r="AK28" s="677">
        <v>1114.0039380399999</v>
      </c>
      <c r="AL28" s="677">
        <v>1126.4172563299999</v>
      </c>
      <c r="AM28" s="677">
        <v>1136.3494650599998</v>
      </c>
      <c r="AN28" s="677">
        <v>1148.6181616200001</v>
      </c>
      <c r="AO28" s="677">
        <v>1159.7702537600001</v>
      </c>
      <c r="AP28" s="677">
        <v>1170.5591787599999</v>
      </c>
      <c r="AQ28" s="679">
        <v>1181.90419982</v>
      </c>
      <c r="AR28" s="677">
        <v>1190.8741275899999</v>
      </c>
      <c r="AS28" s="677">
        <v>1201.6446606699999</v>
      </c>
      <c r="AT28" s="677">
        <v>1213.0932805299999</v>
      </c>
      <c r="AU28" s="677">
        <v>1224.16639169</v>
      </c>
      <c r="AV28" s="677">
        <v>1235.9602562800001</v>
      </c>
      <c r="AW28" s="677">
        <v>1250.3412743499998</v>
      </c>
      <c r="AX28" s="677">
        <v>1263.11193826</v>
      </c>
      <c r="AY28" s="677">
        <v>1275.6406891000001</v>
      </c>
      <c r="AZ28" s="680">
        <v>1286.59783924</v>
      </c>
      <c r="BA28" s="680">
        <v>1297.00956477</v>
      </c>
      <c r="BB28" s="680">
        <v>1309.7397866099998</v>
      </c>
      <c r="BC28" s="680">
        <v>1321.1902400800002</v>
      </c>
      <c r="BD28" s="680">
        <v>1329.31778654</v>
      </c>
      <c r="BE28" s="680">
        <v>1337.5223003600001</v>
      </c>
      <c r="BF28" s="680">
        <v>1348.4084109800001</v>
      </c>
      <c r="BG28" s="680">
        <v>1358.71483412</v>
      </c>
      <c r="BH28" s="681">
        <v>1367.46305525</v>
      </c>
      <c r="BI28" s="681">
        <v>1380.1434952499999</v>
      </c>
      <c r="BJ28" s="681">
        <v>1392.2231166600002</v>
      </c>
      <c r="BK28" s="681">
        <v>1404.5468900500002</v>
      </c>
      <c r="BL28" s="681">
        <v>1413.72892305</v>
      </c>
      <c r="BM28" s="681">
        <v>1419.5644658799999</v>
      </c>
      <c r="BN28" s="681">
        <v>1426.2431410899999</v>
      </c>
      <c r="BO28" s="681">
        <v>1439.1363995300001</v>
      </c>
      <c r="BP28" s="681">
        <v>1448.1125531499999</v>
      </c>
      <c r="BQ28" s="681">
        <v>1459.4493050000001</v>
      </c>
      <c r="BR28" s="681">
        <v>1471.3457274500001</v>
      </c>
      <c r="BS28" s="681">
        <v>1481.4124169300001</v>
      </c>
      <c r="BT28" s="681">
        <v>1491.0998258900001</v>
      </c>
      <c r="BU28" s="681">
        <v>1504.0677675400002</v>
      </c>
      <c r="BV28" s="681">
        <v>1517.5112380400003</v>
      </c>
      <c r="BW28" s="681">
        <v>1523.5827490800002</v>
      </c>
      <c r="BX28" s="681">
        <v>1524.93549147</v>
      </c>
      <c r="BY28" s="681">
        <v>1534.5647254300002</v>
      </c>
    </row>
    <row r="29" spans="1:77" ht="22.5" customHeight="1" x14ac:dyDescent="0.2">
      <c r="A29" s="682"/>
      <c r="B29" s="683"/>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4"/>
      <c r="AJ29" s="683"/>
      <c r="AK29" s="683"/>
      <c r="AL29" s="683"/>
      <c r="AM29" s="683"/>
      <c r="AN29" s="683"/>
      <c r="AO29" s="683"/>
      <c r="AP29" s="683"/>
      <c r="AQ29" s="685"/>
      <c r="AR29" s="683"/>
      <c r="AS29" s="683"/>
      <c r="AT29" s="683"/>
      <c r="AU29" s="683"/>
      <c r="AV29" s="683"/>
      <c r="AW29" s="683"/>
      <c r="AX29" s="683"/>
      <c r="AY29" s="683"/>
      <c r="AZ29" s="686"/>
      <c r="BA29" s="686"/>
      <c r="BB29" s="686"/>
      <c r="BC29" s="686"/>
      <c r="BD29" s="686"/>
      <c r="BE29" s="686"/>
      <c r="BF29" s="686"/>
      <c r="BG29" s="686"/>
      <c r="BH29" s="687"/>
      <c r="BI29" s="687"/>
      <c r="BJ29" s="687"/>
      <c r="BK29" s="687"/>
      <c r="BL29" s="687"/>
      <c r="BM29" s="687"/>
      <c r="BN29" s="687"/>
      <c r="BO29" s="687"/>
      <c r="BP29" s="687"/>
      <c r="BQ29" s="687"/>
      <c r="BR29" s="687"/>
      <c r="BS29" s="687"/>
      <c r="BT29" s="687"/>
      <c r="BU29" s="687"/>
      <c r="BV29" s="687"/>
      <c r="BW29" s="687"/>
      <c r="BX29" s="687"/>
      <c r="BY29" s="687"/>
    </row>
    <row r="30" spans="1:77" ht="22.5" customHeight="1" x14ac:dyDescent="0.2">
      <c r="A30" s="676" t="s">
        <v>518</v>
      </c>
      <c r="B30" s="677"/>
      <c r="C30" s="677"/>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8"/>
      <c r="AJ30" s="677"/>
      <c r="AK30" s="677"/>
      <c r="AL30" s="677"/>
      <c r="AM30" s="677"/>
      <c r="AN30" s="677"/>
      <c r="AO30" s="677"/>
      <c r="AP30" s="677"/>
      <c r="AQ30" s="679"/>
      <c r="AR30" s="677"/>
      <c r="AS30" s="677"/>
      <c r="AT30" s="677"/>
      <c r="AU30" s="677"/>
      <c r="AV30" s="677"/>
      <c r="AW30" s="677"/>
      <c r="AX30" s="677"/>
      <c r="AY30" s="677"/>
      <c r="AZ30" s="680"/>
      <c r="BA30" s="680"/>
      <c r="BB30" s="680"/>
      <c r="BC30" s="680"/>
      <c r="BD30" s="680"/>
      <c r="BE30" s="680"/>
      <c r="BF30" s="680"/>
      <c r="BG30" s="680"/>
      <c r="BH30" s="681"/>
      <c r="BI30" s="681"/>
      <c r="BJ30" s="681"/>
      <c r="BK30" s="681"/>
      <c r="BL30" s="681"/>
      <c r="BM30" s="681"/>
      <c r="BN30" s="681"/>
      <c r="BO30" s="681"/>
      <c r="BP30" s="681"/>
      <c r="BQ30" s="681"/>
      <c r="BR30" s="681"/>
      <c r="BS30" s="681"/>
      <c r="BT30" s="681"/>
      <c r="BU30" s="681"/>
      <c r="BV30" s="681"/>
      <c r="BW30" s="681"/>
      <c r="BX30" s="681"/>
      <c r="BY30" s="681"/>
    </row>
    <row r="31" spans="1:77" ht="22.5" customHeight="1" x14ac:dyDescent="0.2">
      <c r="A31" s="690" t="s">
        <v>519</v>
      </c>
      <c r="B31" s="677">
        <v>249360.69651986239</v>
      </c>
      <c r="C31" s="677">
        <v>251622.7170243435</v>
      </c>
      <c r="D31" s="677">
        <v>257215.39942037046</v>
      </c>
      <c r="E31" s="677">
        <v>240972.03568809986</v>
      </c>
      <c r="F31" s="677">
        <v>288254.52867823391</v>
      </c>
      <c r="G31" s="677">
        <v>283442.52268889075</v>
      </c>
      <c r="H31" s="677">
        <v>249839.02988721139</v>
      </c>
      <c r="I31" s="677">
        <v>274342.31773691805</v>
      </c>
      <c r="J31" s="677">
        <v>273779.93564134021</v>
      </c>
      <c r="K31" s="677">
        <v>272801.95000061835</v>
      </c>
      <c r="L31" s="677">
        <v>280387.78172803833</v>
      </c>
      <c r="M31" s="677">
        <v>285066.20083127124</v>
      </c>
      <c r="N31" s="677">
        <v>285888.7361757406</v>
      </c>
      <c r="O31" s="677">
        <v>282314.17421844183</v>
      </c>
      <c r="P31" s="677">
        <v>252067.54477551434</v>
      </c>
      <c r="Q31" s="677">
        <v>269744.23065324407</v>
      </c>
      <c r="R31" s="677">
        <v>262472.03593615501</v>
      </c>
      <c r="S31" s="677">
        <v>288101.32264357829</v>
      </c>
      <c r="T31" s="677">
        <v>276970.62324911181</v>
      </c>
      <c r="U31" s="677">
        <v>259096.97982526961</v>
      </c>
      <c r="V31" s="677">
        <v>263239.52009323618</v>
      </c>
      <c r="W31" s="677">
        <v>265845.06246742804</v>
      </c>
      <c r="X31" s="677">
        <v>316404.36635368416</v>
      </c>
      <c r="Y31" s="677">
        <v>258918.40932451026</v>
      </c>
      <c r="Z31" s="677">
        <v>232975.13791190481</v>
      </c>
      <c r="AA31" s="677">
        <v>237937.95141806465</v>
      </c>
      <c r="AB31" s="677">
        <v>285684.36288633069</v>
      </c>
      <c r="AC31" s="677">
        <v>285988.67051305622</v>
      </c>
      <c r="AD31" s="677">
        <v>302666.35092124564</v>
      </c>
      <c r="AE31" s="677">
        <v>237796.98005223632</v>
      </c>
      <c r="AF31" s="677">
        <v>265847.36200055724</v>
      </c>
      <c r="AG31" s="677">
        <v>226859.55689751479</v>
      </c>
      <c r="AH31" s="677">
        <v>250067.2693901007</v>
      </c>
      <c r="AI31" s="678">
        <v>267852.03612333984</v>
      </c>
      <c r="AJ31" s="677">
        <v>268085.52613238478</v>
      </c>
      <c r="AK31" s="677">
        <v>269984.1691173499</v>
      </c>
      <c r="AL31" s="677">
        <v>293403.84355044481</v>
      </c>
      <c r="AM31" s="677">
        <v>238330.56300423178</v>
      </c>
      <c r="AN31" s="677">
        <v>260311.57647663605</v>
      </c>
      <c r="AO31" s="677">
        <v>270455.5412878762</v>
      </c>
      <c r="AP31" s="677">
        <v>301423.00157699449</v>
      </c>
      <c r="AQ31" s="679">
        <v>257204.06170884101</v>
      </c>
      <c r="AR31" s="677">
        <v>276078.62263399689</v>
      </c>
      <c r="AS31" s="677">
        <v>260816.24722917966</v>
      </c>
      <c r="AT31" s="677">
        <v>252659.8037139785</v>
      </c>
      <c r="AU31" s="677">
        <v>249140.86970997555</v>
      </c>
      <c r="AV31" s="677">
        <v>253128.59896445659</v>
      </c>
      <c r="AW31" s="677">
        <v>273154.71810106433</v>
      </c>
      <c r="AX31" s="677">
        <v>241847.93123396079</v>
      </c>
      <c r="AY31" s="677">
        <v>243072.41931690247</v>
      </c>
      <c r="AZ31" s="680">
        <v>235637.38906148812</v>
      </c>
      <c r="BA31" s="680">
        <v>254346.87418876984</v>
      </c>
      <c r="BB31" s="680">
        <v>240795.00739479513</v>
      </c>
      <c r="BC31" s="680">
        <v>232605.36464353438</v>
      </c>
      <c r="BD31" s="680">
        <v>245375.69599383362</v>
      </c>
      <c r="BE31" s="680">
        <v>259527.91169330734</v>
      </c>
      <c r="BF31" s="680">
        <v>291963.39838821907</v>
      </c>
      <c r="BG31" s="680">
        <v>332129.08706283494</v>
      </c>
      <c r="BH31" s="681">
        <v>299001.18680901983</v>
      </c>
      <c r="BI31" s="681">
        <v>313532.88191786828</v>
      </c>
      <c r="BJ31" s="681">
        <v>329756.0860107615</v>
      </c>
      <c r="BK31" s="681">
        <v>332147.62063827831</v>
      </c>
      <c r="BL31" s="681">
        <v>387323.26893354539</v>
      </c>
      <c r="BM31" s="681">
        <v>398867.40882889036</v>
      </c>
      <c r="BN31" s="681">
        <v>362645.92628307006</v>
      </c>
      <c r="BO31" s="681">
        <v>350334.7932427529</v>
      </c>
      <c r="BP31" s="681">
        <v>355432.18597132911</v>
      </c>
      <c r="BQ31" s="681">
        <v>340290.50263041887</v>
      </c>
      <c r="BR31" s="681">
        <v>334272.62258796836</v>
      </c>
      <c r="BS31" s="681">
        <v>351771.75520130934</v>
      </c>
      <c r="BT31" s="681">
        <v>330876.47553494445</v>
      </c>
      <c r="BU31" s="681">
        <v>346961.78450452234</v>
      </c>
      <c r="BV31" s="681">
        <v>342302.61318759463</v>
      </c>
      <c r="BW31" s="681">
        <v>349618.52752997197</v>
      </c>
      <c r="BX31" s="681">
        <v>320020.35800982598</v>
      </c>
      <c r="BY31" s="681">
        <v>335192.48193553992</v>
      </c>
    </row>
    <row r="32" spans="1:77" ht="22.5" customHeight="1" x14ac:dyDescent="0.2">
      <c r="A32" s="676"/>
      <c r="B32" s="677"/>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8"/>
      <c r="AJ32" s="677"/>
      <c r="AK32" s="677"/>
      <c r="AL32" s="677"/>
      <c r="AM32" s="677"/>
      <c r="AN32" s="677"/>
      <c r="AO32" s="677"/>
      <c r="AP32" s="677"/>
      <c r="AQ32" s="679"/>
      <c r="AR32" s="677"/>
      <c r="AS32" s="677"/>
      <c r="AT32" s="677"/>
      <c r="AU32" s="677"/>
      <c r="AV32" s="677"/>
      <c r="AW32" s="677"/>
      <c r="AX32" s="677"/>
      <c r="AY32" s="677"/>
      <c r="AZ32" s="680"/>
      <c r="BA32" s="680"/>
      <c r="BB32" s="680"/>
      <c r="BC32" s="680"/>
      <c r="BD32" s="680"/>
      <c r="BE32" s="680"/>
      <c r="BF32" s="680"/>
      <c r="BG32" s="680"/>
      <c r="BH32" s="681"/>
      <c r="BI32" s="681"/>
      <c r="BJ32" s="681"/>
      <c r="BK32" s="681"/>
      <c r="BL32" s="681"/>
      <c r="BM32" s="681"/>
      <c r="BN32" s="681"/>
      <c r="BO32" s="681"/>
      <c r="BP32" s="681"/>
      <c r="BQ32" s="681"/>
      <c r="BR32" s="681"/>
      <c r="BS32" s="681"/>
      <c r="BT32" s="681"/>
      <c r="BU32" s="681"/>
      <c r="BV32" s="681"/>
      <c r="BW32" s="681"/>
      <c r="BX32" s="681"/>
      <c r="BY32" s="681"/>
    </row>
    <row r="33" spans="1:77" ht="22.5" customHeight="1" x14ac:dyDescent="0.2">
      <c r="A33" s="691"/>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683"/>
      <c r="AH33" s="683"/>
      <c r="AI33" s="684"/>
      <c r="AJ33" s="683"/>
      <c r="AK33" s="683"/>
      <c r="AL33" s="683"/>
      <c r="AM33" s="683"/>
      <c r="AN33" s="683"/>
      <c r="AO33" s="683"/>
      <c r="AP33" s="683"/>
      <c r="AQ33" s="685"/>
      <c r="AR33" s="683"/>
      <c r="AS33" s="683"/>
      <c r="AT33" s="683"/>
      <c r="AU33" s="683"/>
      <c r="AV33" s="683"/>
      <c r="AW33" s="683"/>
      <c r="AX33" s="683"/>
      <c r="AY33" s="683"/>
      <c r="AZ33" s="686"/>
      <c r="BA33" s="686"/>
      <c r="BB33" s="686"/>
      <c r="BC33" s="686"/>
      <c r="BD33" s="686"/>
      <c r="BE33" s="686"/>
      <c r="BF33" s="686"/>
      <c r="BG33" s="686"/>
      <c r="BH33" s="687"/>
      <c r="BI33" s="687"/>
      <c r="BJ33" s="687"/>
      <c r="BK33" s="687"/>
      <c r="BL33" s="687"/>
      <c r="BM33" s="687"/>
      <c r="BN33" s="687"/>
      <c r="BO33" s="687"/>
      <c r="BP33" s="687"/>
      <c r="BQ33" s="687"/>
      <c r="BR33" s="687"/>
      <c r="BS33" s="687"/>
      <c r="BT33" s="687"/>
      <c r="BU33" s="687"/>
      <c r="BV33" s="687"/>
      <c r="BW33" s="687"/>
      <c r="BX33" s="687"/>
      <c r="BY33" s="687"/>
    </row>
    <row r="34" spans="1:77" ht="22.5" customHeight="1" x14ac:dyDescent="0.2">
      <c r="A34" s="676" t="s">
        <v>520</v>
      </c>
      <c r="B34" s="677">
        <v>779.8563754780231</v>
      </c>
      <c r="C34" s="677">
        <v>1306.3706472020708</v>
      </c>
      <c r="D34" s="677">
        <v>869.81856441823697</v>
      </c>
      <c r="E34" s="677">
        <v>905.77134001740285</v>
      </c>
      <c r="F34" s="677">
        <v>953.61912509870194</v>
      </c>
      <c r="G34" s="677">
        <v>905.59047324829282</v>
      </c>
      <c r="H34" s="677">
        <v>893.14782032191704</v>
      </c>
      <c r="I34" s="677">
        <v>886.28017686064481</v>
      </c>
      <c r="J34" s="677">
        <v>918.87860321704704</v>
      </c>
      <c r="K34" s="677">
        <v>960.71175483604384</v>
      </c>
      <c r="L34" s="677">
        <v>1029.7745460104779</v>
      </c>
      <c r="M34" s="677">
        <v>975.48743325026498</v>
      </c>
      <c r="N34" s="677">
        <v>1031.204026959666</v>
      </c>
      <c r="O34" s="677">
        <v>978.166643874898</v>
      </c>
      <c r="P34" s="677">
        <v>965.73138316948803</v>
      </c>
      <c r="Q34" s="677">
        <v>1075.015738483263</v>
      </c>
      <c r="R34" s="677">
        <v>922.63988792454199</v>
      </c>
      <c r="S34" s="677">
        <v>850.86400000000003</v>
      </c>
      <c r="T34" s="677">
        <v>788.9558609616289</v>
      </c>
      <c r="U34" s="677">
        <v>790.719423331896</v>
      </c>
      <c r="V34" s="677">
        <v>793.71809299350195</v>
      </c>
      <c r="W34" s="677">
        <v>954.91120817975002</v>
      </c>
      <c r="X34" s="677">
        <v>1214.5715763658072</v>
      </c>
      <c r="Y34" s="677">
        <v>1019.2733192047189</v>
      </c>
      <c r="Z34" s="677">
        <v>1086.111822120298</v>
      </c>
      <c r="AA34" s="677">
        <v>1082.1906095791599</v>
      </c>
      <c r="AB34" s="677">
        <v>1127.0450183855298</v>
      </c>
      <c r="AC34" s="677">
        <v>1032.7614692868167</v>
      </c>
      <c r="AD34" s="677">
        <v>989.92551787866694</v>
      </c>
      <c r="AE34" s="677">
        <v>1120.38707868651</v>
      </c>
      <c r="AF34" s="677">
        <v>979.2667800134459</v>
      </c>
      <c r="AG34" s="677">
        <v>1063.945033827616</v>
      </c>
      <c r="AH34" s="677">
        <v>1203.5788762601721</v>
      </c>
      <c r="AI34" s="678">
        <v>1240.2975364657088</v>
      </c>
      <c r="AJ34" s="677">
        <v>1027.1574170188649</v>
      </c>
      <c r="AK34" s="677">
        <v>878.796846807836</v>
      </c>
      <c r="AL34" s="677">
        <v>1192.2947044366099</v>
      </c>
      <c r="AM34" s="677">
        <v>1328.794689429548</v>
      </c>
      <c r="AN34" s="677">
        <v>987.77430103862844</v>
      </c>
      <c r="AO34" s="677">
        <v>963.23997870440735</v>
      </c>
      <c r="AP34" s="677">
        <v>1095.9881694846295</v>
      </c>
      <c r="AQ34" s="679">
        <v>1083.4216265967143</v>
      </c>
      <c r="AR34" s="677">
        <v>1134.9238888761838</v>
      </c>
      <c r="AS34" s="677">
        <v>4887.6047848808576</v>
      </c>
      <c r="AT34" s="677">
        <v>4867.060514409859</v>
      </c>
      <c r="AU34" s="677">
        <v>4805.9840402648806</v>
      </c>
      <c r="AV34" s="677">
        <v>4815.6010543365264</v>
      </c>
      <c r="AW34" s="677">
        <v>4573.4654754329376</v>
      </c>
      <c r="AX34" s="677">
        <v>4726.2561336399431</v>
      </c>
      <c r="AY34" s="677">
        <v>4635.9334007893376</v>
      </c>
      <c r="AZ34" s="680">
        <v>6152.3381018723958</v>
      </c>
      <c r="BA34" s="680">
        <v>6316.0841679209325</v>
      </c>
      <c r="BB34" s="680">
        <v>6774.3354044690504</v>
      </c>
      <c r="BC34" s="680">
        <v>7220.3972456638403</v>
      </c>
      <c r="BD34" s="680">
        <v>7416.8118291044275</v>
      </c>
      <c r="BE34" s="680">
        <v>7345.4232554220962</v>
      </c>
      <c r="BF34" s="680">
        <v>7298.1644446360369</v>
      </c>
      <c r="BG34" s="680">
        <v>5229.285345397212</v>
      </c>
      <c r="BH34" s="681">
        <v>4870.1768714820701</v>
      </c>
      <c r="BI34" s="681">
        <v>5416.6512399672183</v>
      </c>
      <c r="BJ34" s="681">
        <v>5269.6261494441269</v>
      </c>
      <c r="BK34" s="681">
        <v>5171.4021802074258</v>
      </c>
      <c r="BL34" s="681">
        <v>5378.7808937291002</v>
      </c>
      <c r="BM34" s="681">
        <v>6433.8233095129963</v>
      </c>
      <c r="BN34" s="681">
        <v>6465.1103841093573</v>
      </c>
      <c r="BO34" s="681">
        <v>2137.7109790786021</v>
      </c>
      <c r="BP34" s="681">
        <v>2329.8881476588772</v>
      </c>
      <c r="BQ34" s="681">
        <v>2390.2540443269077</v>
      </c>
      <c r="BR34" s="681">
        <v>2156.2316795829843</v>
      </c>
      <c r="BS34" s="681">
        <v>2196.4211595718248</v>
      </c>
      <c r="BT34" s="681">
        <v>2821.271728492799</v>
      </c>
      <c r="BU34" s="681">
        <v>2667.8790567954879</v>
      </c>
      <c r="BV34" s="681">
        <v>2763.7617280509448</v>
      </c>
      <c r="BW34" s="681">
        <v>2370.1411772805136</v>
      </c>
      <c r="BX34" s="681">
        <v>2277.0098224527997</v>
      </c>
      <c r="BY34" s="681">
        <v>2234.3848052464323</v>
      </c>
    </row>
    <row r="35" spans="1:77" ht="22.5" customHeight="1" x14ac:dyDescent="0.2">
      <c r="A35" s="691"/>
      <c r="B35" s="683"/>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4"/>
      <c r="AJ35" s="683"/>
      <c r="AK35" s="683"/>
      <c r="AL35" s="683"/>
      <c r="AM35" s="683"/>
      <c r="AN35" s="683"/>
      <c r="AO35" s="683"/>
      <c r="AP35" s="683"/>
      <c r="AQ35" s="685"/>
      <c r="AR35" s="683"/>
      <c r="AS35" s="683"/>
      <c r="AT35" s="683"/>
      <c r="AU35" s="683"/>
      <c r="AV35" s="683"/>
      <c r="AW35" s="683"/>
      <c r="AX35" s="683"/>
      <c r="AY35" s="683"/>
      <c r="AZ35" s="686"/>
      <c r="BA35" s="686"/>
      <c r="BB35" s="686"/>
      <c r="BC35" s="686"/>
      <c r="BD35" s="686"/>
      <c r="BE35" s="686"/>
      <c r="BF35" s="686"/>
      <c r="BG35" s="686"/>
      <c r="BH35" s="687"/>
      <c r="BI35" s="687"/>
      <c r="BJ35" s="687"/>
      <c r="BK35" s="687"/>
      <c r="BL35" s="687"/>
      <c r="BM35" s="687"/>
      <c r="BN35" s="687"/>
      <c r="BO35" s="687"/>
      <c r="BP35" s="687"/>
      <c r="BQ35" s="687"/>
      <c r="BR35" s="687"/>
      <c r="BS35" s="687"/>
      <c r="BT35" s="687"/>
      <c r="BU35" s="687"/>
      <c r="BV35" s="687"/>
      <c r="BW35" s="687"/>
      <c r="BX35" s="687"/>
      <c r="BY35" s="687"/>
    </row>
    <row r="36" spans="1:77" ht="22.5" customHeight="1" x14ac:dyDescent="0.2">
      <c r="A36" s="676" t="s">
        <v>200</v>
      </c>
      <c r="B36" s="677">
        <v>954.40139647000001</v>
      </c>
      <c r="C36" s="677">
        <v>773.83237627999995</v>
      </c>
      <c r="D36" s="677">
        <v>832.74037261000001</v>
      </c>
      <c r="E36" s="677">
        <v>877.0711045999999</v>
      </c>
      <c r="F36" s="677">
        <v>912.78641126999992</v>
      </c>
      <c r="G36" s="677">
        <v>990.83616271999995</v>
      </c>
      <c r="H36" s="677">
        <v>1178.8645466399998</v>
      </c>
      <c r="I36" s="677">
        <v>1144.15429767</v>
      </c>
      <c r="J36" s="677">
        <v>935.40036557999997</v>
      </c>
      <c r="K36" s="677">
        <v>736.85754703999999</v>
      </c>
      <c r="L36" s="677">
        <v>890.49728249999998</v>
      </c>
      <c r="M36" s="677">
        <v>1197.75504847</v>
      </c>
      <c r="N36" s="677">
        <v>1098.23310578</v>
      </c>
      <c r="O36" s="677">
        <v>1073.3048325499999</v>
      </c>
      <c r="P36" s="677">
        <v>1154.3039894599997</v>
      </c>
      <c r="Q36" s="677">
        <v>1163.7714331699999</v>
      </c>
      <c r="R36" s="677">
        <v>1462.8666796499999</v>
      </c>
      <c r="S36" s="677">
        <v>1434.5940000000001</v>
      </c>
      <c r="T36" s="677">
        <v>1579.19917358</v>
      </c>
      <c r="U36" s="677">
        <v>1497.92577121</v>
      </c>
      <c r="V36" s="677">
        <v>1707.9922760499999</v>
      </c>
      <c r="W36" s="677">
        <v>1700.3897597799998</v>
      </c>
      <c r="X36" s="677">
        <v>1729.7772085899996</v>
      </c>
      <c r="Y36" s="677">
        <v>1762.5908422200002</v>
      </c>
      <c r="Z36" s="677">
        <v>1682.78710776</v>
      </c>
      <c r="AA36" s="677">
        <v>1713.32924157</v>
      </c>
      <c r="AB36" s="677">
        <v>1656.5536764200001</v>
      </c>
      <c r="AC36" s="677">
        <v>1632.2673410399998</v>
      </c>
      <c r="AD36" s="677">
        <v>1685.5414563100001</v>
      </c>
      <c r="AE36" s="677">
        <v>1851.5900833599997</v>
      </c>
      <c r="AF36" s="677">
        <v>1868.84614268</v>
      </c>
      <c r="AG36" s="677">
        <v>1748.8815379</v>
      </c>
      <c r="AH36" s="677">
        <v>1722.18598217</v>
      </c>
      <c r="AI36" s="678">
        <v>1714.25887257</v>
      </c>
      <c r="AJ36" s="677">
        <v>2049.9443790199998</v>
      </c>
      <c r="AK36" s="677">
        <v>2023.3571086500001</v>
      </c>
      <c r="AL36" s="677">
        <v>2043.31956182</v>
      </c>
      <c r="AM36" s="677">
        <v>2002.55015974</v>
      </c>
      <c r="AN36" s="677">
        <v>2078.8768424</v>
      </c>
      <c r="AO36" s="677">
        <v>2122.2261027499999</v>
      </c>
      <c r="AP36" s="677">
        <v>2003.80352659</v>
      </c>
      <c r="AQ36" s="679">
        <v>2339.1142400200001</v>
      </c>
      <c r="AR36" s="677">
        <v>2357.4444714199999</v>
      </c>
      <c r="AS36" s="677">
        <v>2598.09075153</v>
      </c>
      <c r="AT36" s="677">
        <v>3525.4559250552802</v>
      </c>
      <c r="AU36" s="677">
        <v>3753.9238259589997</v>
      </c>
      <c r="AV36" s="677">
        <v>3807.8426272781999</v>
      </c>
      <c r="AW36" s="677">
        <v>4047.3651736438596</v>
      </c>
      <c r="AX36" s="677">
        <v>4084.9571735700001</v>
      </c>
      <c r="AY36" s="677">
        <v>4097.551853063861</v>
      </c>
      <c r="AZ36" s="680">
        <v>4224.5270528158399</v>
      </c>
      <c r="BA36" s="680">
        <v>4476.8457098246809</v>
      </c>
      <c r="BB36" s="680">
        <v>4638.9772561358905</v>
      </c>
      <c r="BC36" s="680">
        <v>4251.5199626081203</v>
      </c>
      <c r="BD36" s="680">
        <v>4433.6908449118746</v>
      </c>
      <c r="BE36" s="680">
        <v>4562.4686395815997</v>
      </c>
      <c r="BF36" s="680">
        <v>4752.2897572731999</v>
      </c>
      <c r="BG36" s="680">
        <v>4709.609627492101</v>
      </c>
      <c r="BH36" s="681">
        <v>4851.0005767818602</v>
      </c>
      <c r="BI36" s="681">
        <v>4642.3921049384098</v>
      </c>
      <c r="BJ36" s="681">
        <v>4677.6723879410001</v>
      </c>
      <c r="BK36" s="681">
        <v>4763.0074741839999</v>
      </c>
      <c r="BL36" s="681">
        <v>4796.4405217106996</v>
      </c>
      <c r="BM36" s="681">
        <v>4452.9241270059247</v>
      </c>
      <c r="BN36" s="681">
        <v>4408.7073510668697</v>
      </c>
      <c r="BO36" s="681">
        <v>4214.0726971081122</v>
      </c>
      <c r="BP36" s="681">
        <v>4184.5179470731873</v>
      </c>
      <c r="BQ36" s="681">
        <v>4174.9655733601312</v>
      </c>
      <c r="BR36" s="681">
        <v>4332.7072278469495</v>
      </c>
      <c r="BS36" s="681">
        <v>4283.3280599190002</v>
      </c>
      <c r="BT36" s="681">
        <v>4249.2798328944946</v>
      </c>
      <c r="BU36" s="681">
        <v>4243.4027028338896</v>
      </c>
      <c r="BV36" s="681">
        <v>4754.6775937437078</v>
      </c>
      <c r="BW36" s="681">
        <v>4610.4957955462396</v>
      </c>
      <c r="BX36" s="681">
        <v>4507.2798876795496</v>
      </c>
      <c r="BY36" s="681">
        <v>4682.6000451228101</v>
      </c>
    </row>
    <row r="37" spans="1:77" ht="22.5" customHeight="1" x14ac:dyDescent="0.2">
      <c r="A37" s="691"/>
      <c r="B37" s="683"/>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4"/>
      <c r="AJ37" s="683"/>
      <c r="AK37" s="683"/>
      <c r="AL37" s="683"/>
      <c r="AM37" s="683"/>
      <c r="AN37" s="683"/>
      <c r="AO37" s="683"/>
      <c r="AP37" s="683"/>
      <c r="AQ37" s="685"/>
      <c r="AR37" s="683"/>
      <c r="AS37" s="683"/>
      <c r="AT37" s="683"/>
      <c r="AU37" s="683"/>
      <c r="AV37" s="683"/>
      <c r="AW37" s="683"/>
      <c r="AX37" s="683"/>
      <c r="AY37" s="683"/>
      <c r="AZ37" s="686"/>
      <c r="BA37" s="686"/>
      <c r="BB37" s="686"/>
      <c r="BC37" s="686"/>
      <c r="BD37" s="686"/>
      <c r="BE37" s="686"/>
      <c r="BF37" s="686"/>
      <c r="BG37" s="686"/>
      <c r="BH37" s="687"/>
      <c r="BI37" s="687"/>
      <c r="BJ37" s="687"/>
      <c r="BK37" s="687"/>
      <c r="BL37" s="687"/>
      <c r="BM37" s="687"/>
      <c r="BN37" s="687"/>
      <c r="BO37" s="687"/>
      <c r="BP37" s="687"/>
      <c r="BQ37" s="687"/>
      <c r="BR37" s="687"/>
      <c r="BS37" s="687"/>
      <c r="BT37" s="687"/>
      <c r="BU37" s="687"/>
      <c r="BV37" s="687"/>
      <c r="BW37" s="687"/>
      <c r="BX37" s="687"/>
      <c r="BY37" s="687"/>
    </row>
    <row r="38" spans="1:77" ht="22.5" customHeight="1" x14ac:dyDescent="0.2">
      <c r="A38" s="676" t="s">
        <v>422</v>
      </c>
      <c r="B38" s="677">
        <v>8004.9418573799994</v>
      </c>
      <c r="C38" s="677">
        <v>6345.2660890399993</v>
      </c>
      <c r="D38" s="677">
        <v>7274.3973694999995</v>
      </c>
      <c r="E38" s="677">
        <v>7471.1022488100007</v>
      </c>
      <c r="F38" s="677">
        <v>12450.12102138</v>
      </c>
      <c r="G38" s="677">
        <v>13043.306204839999</v>
      </c>
      <c r="H38" s="677">
        <v>13172.8547151776</v>
      </c>
      <c r="I38" s="677">
        <v>14515.80547266</v>
      </c>
      <c r="J38" s="677">
        <v>13240.189651499</v>
      </c>
      <c r="K38" s="677">
        <v>13236.251026315998</v>
      </c>
      <c r="L38" s="677">
        <v>13317.192274773599</v>
      </c>
      <c r="M38" s="677">
        <v>9501.1873320228879</v>
      </c>
      <c r="N38" s="677">
        <v>10357.0032780292</v>
      </c>
      <c r="O38" s="677">
        <v>11055.461459829201</v>
      </c>
      <c r="P38" s="677">
        <v>11127.2517693058</v>
      </c>
      <c r="Q38" s="677">
        <v>12865.488681405699</v>
      </c>
      <c r="R38" s="677">
        <v>12319.008321619429</v>
      </c>
      <c r="S38" s="677">
        <v>12482.525</v>
      </c>
      <c r="T38" s="677">
        <v>14247.6379276189</v>
      </c>
      <c r="U38" s="677">
        <v>14089.231251202</v>
      </c>
      <c r="V38" s="677">
        <v>16530.263901124497</v>
      </c>
      <c r="W38" s="677">
        <v>20328.644211066796</v>
      </c>
      <c r="X38" s="677">
        <v>17594.954029616001</v>
      </c>
      <c r="Y38" s="677">
        <v>17280.523779515599</v>
      </c>
      <c r="Z38" s="677">
        <v>17821.451958536396</v>
      </c>
      <c r="AA38" s="677">
        <v>18147.069136084898</v>
      </c>
      <c r="AB38" s="677">
        <v>17882.999953672599</v>
      </c>
      <c r="AC38" s="677">
        <v>20587.424013521402</v>
      </c>
      <c r="AD38" s="677">
        <v>24441.2549489757</v>
      </c>
      <c r="AE38" s="677">
        <v>27500.8282418255</v>
      </c>
      <c r="AF38" s="677">
        <v>31205.986672913001</v>
      </c>
      <c r="AG38" s="677">
        <v>29918.687292360497</v>
      </c>
      <c r="AH38" s="677">
        <v>30731.6072824232</v>
      </c>
      <c r="AI38" s="678">
        <v>31935.307121929403</v>
      </c>
      <c r="AJ38" s="677">
        <v>31548.632029781798</v>
      </c>
      <c r="AK38" s="677">
        <v>33922.982514620904</v>
      </c>
      <c r="AL38" s="677">
        <v>37130.725390234526</v>
      </c>
      <c r="AM38" s="677">
        <v>40196.987263964569</v>
      </c>
      <c r="AN38" s="677">
        <v>36119.447936337179</v>
      </c>
      <c r="AO38" s="677">
        <v>39442.185711229904</v>
      </c>
      <c r="AP38" s="677">
        <v>37721.251117337226</v>
      </c>
      <c r="AQ38" s="679">
        <v>31613.741695206623</v>
      </c>
      <c r="AR38" s="677">
        <v>37412.899783422552</v>
      </c>
      <c r="AS38" s="677">
        <v>54416.710918332916</v>
      </c>
      <c r="AT38" s="677">
        <v>56432.192213846894</v>
      </c>
      <c r="AU38" s="677">
        <v>50440.246592234478</v>
      </c>
      <c r="AV38" s="677">
        <v>48881.789015601302</v>
      </c>
      <c r="AW38" s="677">
        <v>48880.560964746386</v>
      </c>
      <c r="AX38" s="677">
        <v>39948.766296267277</v>
      </c>
      <c r="AY38" s="677">
        <v>38593.980605309778</v>
      </c>
      <c r="AZ38" s="680">
        <v>40498.299068308806</v>
      </c>
      <c r="BA38" s="680">
        <v>41178.206022089078</v>
      </c>
      <c r="BB38" s="680">
        <v>33805.521873733574</v>
      </c>
      <c r="BC38" s="680">
        <v>29398.686670884017</v>
      </c>
      <c r="BD38" s="680">
        <v>27257.72379902887</v>
      </c>
      <c r="BE38" s="680">
        <v>22869.704785399732</v>
      </c>
      <c r="BF38" s="680">
        <v>24039.086564300596</v>
      </c>
      <c r="BG38" s="680">
        <v>25613.554496006123</v>
      </c>
      <c r="BH38" s="681">
        <v>26795.004876852636</v>
      </c>
      <c r="BI38" s="681">
        <v>24875.937234929897</v>
      </c>
      <c r="BJ38" s="681">
        <v>25516.752884201425</v>
      </c>
      <c r="BK38" s="681">
        <v>27691.003048840001</v>
      </c>
      <c r="BL38" s="681">
        <v>30158.965265442595</v>
      </c>
      <c r="BM38" s="681">
        <v>25886.464964752795</v>
      </c>
      <c r="BN38" s="681">
        <v>27114.111732047993</v>
      </c>
      <c r="BO38" s="681">
        <v>24374.629169193489</v>
      </c>
      <c r="BP38" s="681">
        <v>23422.453439970584</v>
      </c>
      <c r="BQ38" s="681">
        <v>24893.600002795105</v>
      </c>
      <c r="BR38" s="681">
        <v>26988.597457577725</v>
      </c>
      <c r="BS38" s="681">
        <v>28356.91269681292</v>
      </c>
      <c r="BT38" s="681">
        <v>24871.343893774218</v>
      </c>
      <c r="BU38" s="681">
        <v>26324.552439009116</v>
      </c>
      <c r="BV38" s="681">
        <v>29314.19185264457</v>
      </c>
      <c r="BW38" s="681">
        <v>27592.004433406553</v>
      </c>
      <c r="BX38" s="681">
        <v>31338.55516834664</v>
      </c>
      <c r="BY38" s="681">
        <v>26854.178580857722</v>
      </c>
    </row>
    <row r="39" spans="1:77" ht="22.5" customHeight="1" x14ac:dyDescent="0.2">
      <c r="A39" s="676"/>
      <c r="B39" s="677"/>
      <c r="C39" s="677"/>
      <c r="D39" s="677"/>
      <c r="E39" s="677"/>
      <c r="F39" s="677"/>
      <c r="G39" s="677"/>
      <c r="H39" s="677"/>
      <c r="I39" s="677"/>
      <c r="J39" s="677"/>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8"/>
      <c r="AJ39" s="677"/>
      <c r="AK39" s="677"/>
      <c r="AL39" s="677"/>
      <c r="AM39" s="677"/>
      <c r="AN39" s="677"/>
      <c r="AO39" s="677"/>
      <c r="AP39" s="677"/>
      <c r="AQ39" s="679"/>
      <c r="AR39" s="677"/>
      <c r="AS39" s="677"/>
      <c r="AT39" s="677"/>
      <c r="AU39" s="677"/>
      <c r="AV39" s="677"/>
      <c r="AW39" s="677"/>
      <c r="AX39" s="677"/>
      <c r="AY39" s="677"/>
      <c r="AZ39" s="680"/>
      <c r="BA39" s="680"/>
      <c r="BB39" s="680"/>
      <c r="BC39" s="680"/>
      <c r="BD39" s="680"/>
      <c r="BE39" s="680"/>
      <c r="BF39" s="680"/>
      <c r="BG39" s="680"/>
      <c r="BH39" s="681"/>
      <c r="BI39" s="681"/>
      <c r="BJ39" s="681"/>
      <c r="BK39" s="681"/>
      <c r="BL39" s="681"/>
      <c r="BM39" s="681"/>
      <c r="BN39" s="681"/>
      <c r="BO39" s="681"/>
      <c r="BP39" s="681"/>
      <c r="BQ39" s="681"/>
      <c r="BR39" s="681"/>
      <c r="BS39" s="681"/>
      <c r="BT39" s="681"/>
      <c r="BU39" s="681"/>
      <c r="BV39" s="681"/>
      <c r="BW39" s="681"/>
      <c r="BX39" s="681"/>
      <c r="BY39" s="681"/>
    </row>
    <row r="40" spans="1:77" ht="22.5" customHeight="1" x14ac:dyDescent="0.2">
      <c r="A40" s="676" t="s">
        <v>420</v>
      </c>
      <c r="B40" s="677">
        <v>0</v>
      </c>
      <c r="C40" s="677">
        <v>0</v>
      </c>
      <c r="D40" s="677">
        <v>0</v>
      </c>
      <c r="E40" s="677">
        <v>0</v>
      </c>
      <c r="F40" s="677">
        <v>0</v>
      </c>
      <c r="G40" s="677">
        <v>0</v>
      </c>
      <c r="H40" s="677">
        <v>0</v>
      </c>
      <c r="I40" s="677">
        <v>0</v>
      </c>
      <c r="J40" s="677">
        <v>0</v>
      </c>
      <c r="K40" s="677">
        <v>0</v>
      </c>
      <c r="L40" s="677">
        <v>0</v>
      </c>
      <c r="M40" s="677">
        <v>0</v>
      </c>
      <c r="N40" s="677">
        <v>0</v>
      </c>
      <c r="O40" s="677">
        <v>0</v>
      </c>
      <c r="P40" s="677">
        <v>0</v>
      </c>
      <c r="Q40" s="677">
        <v>0</v>
      </c>
      <c r="R40" s="677">
        <v>0</v>
      </c>
      <c r="S40" s="677">
        <v>0</v>
      </c>
      <c r="T40" s="677">
        <v>0</v>
      </c>
      <c r="U40" s="677">
        <v>0</v>
      </c>
      <c r="V40" s="677">
        <v>0</v>
      </c>
      <c r="W40" s="677">
        <v>0</v>
      </c>
      <c r="X40" s="677">
        <v>0</v>
      </c>
      <c r="Y40" s="677">
        <v>0</v>
      </c>
      <c r="Z40" s="677">
        <v>0</v>
      </c>
      <c r="AA40" s="677">
        <v>0</v>
      </c>
      <c r="AB40" s="677">
        <v>0</v>
      </c>
      <c r="AC40" s="677">
        <v>0</v>
      </c>
      <c r="AD40" s="677">
        <v>0</v>
      </c>
      <c r="AE40" s="677">
        <v>0</v>
      </c>
      <c r="AF40" s="677">
        <v>0</v>
      </c>
      <c r="AG40" s="677">
        <v>0</v>
      </c>
      <c r="AH40" s="677">
        <v>0</v>
      </c>
      <c r="AI40" s="678">
        <v>0</v>
      </c>
      <c r="AJ40" s="677">
        <v>0</v>
      </c>
      <c r="AK40" s="677">
        <v>0</v>
      </c>
      <c r="AL40" s="677">
        <v>0</v>
      </c>
      <c r="AM40" s="677">
        <v>0</v>
      </c>
      <c r="AN40" s="677">
        <v>0</v>
      </c>
      <c r="AO40" s="677">
        <v>0</v>
      </c>
      <c r="AP40" s="677">
        <v>0</v>
      </c>
      <c r="AQ40" s="679">
        <v>0</v>
      </c>
      <c r="AR40" s="677">
        <v>0</v>
      </c>
      <c r="AS40" s="677">
        <v>0</v>
      </c>
      <c r="AT40" s="677">
        <v>0</v>
      </c>
      <c r="AU40" s="677">
        <v>0</v>
      </c>
      <c r="AV40" s="677">
        <v>0</v>
      </c>
      <c r="AW40" s="677">
        <v>0</v>
      </c>
      <c r="AX40" s="677">
        <v>0</v>
      </c>
      <c r="AY40" s="677">
        <v>0</v>
      </c>
      <c r="AZ40" s="680">
        <v>0</v>
      </c>
      <c r="BA40" s="680">
        <v>0</v>
      </c>
      <c r="BB40" s="680">
        <v>0</v>
      </c>
      <c r="BC40" s="680">
        <v>0</v>
      </c>
      <c r="BD40" s="680">
        <v>0</v>
      </c>
      <c r="BE40" s="680">
        <v>0</v>
      </c>
      <c r="BF40" s="680">
        <v>0</v>
      </c>
      <c r="BG40" s="680">
        <v>0</v>
      </c>
      <c r="BH40" s="681">
        <v>0</v>
      </c>
      <c r="BI40" s="681">
        <v>0</v>
      </c>
      <c r="BJ40" s="681">
        <v>0</v>
      </c>
      <c r="BK40" s="681">
        <v>0</v>
      </c>
      <c r="BL40" s="681">
        <v>0</v>
      </c>
      <c r="BM40" s="681">
        <v>0</v>
      </c>
      <c r="BN40" s="681">
        <v>0</v>
      </c>
      <c r="BO40" s="681">
        <v>0</v>
      </c>
      <c r="BP40" s="681">
        <v>0</v>
      </c>
      <c r="BQ40" s="681">
        <v>0</v>
      </c>
      <c r="BR40" s="681">
        <v>0</v>
      </c>
      <c r="BS40" s="681">
        <v>0</v>
      </c>
      <c r="BT40" s="681">
        <v>0</v>
      </c>
      <c r="BU40" s="681">
        <v>0</v>
      </c>
      <c r="BV40" s="681">
        <v>0</v>
      </c>
      <c r="BW40" s="681">
        <v>0</v>
      </c>
      <c r="BX40" s="681">
        <v>0</v>
      </c>
      <c r="BY40" s="681">
        <v>0</v>
      </c>
    </row>
    <row r="41" spans="1:77" ht="22.5" customHeight="1" x14ac:dyDescent="0.2">
      <c r="A41" s="691"/>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4"/>
      <c r="AJ41" s="683"/>
      <c r="AK41" s="683"/>
      <c r="AL41" s="683"/>
      <c r="AM41" s="683"/>
      <c r="AN41" s="683"/>
      <c r="AO41" s="683"/>
      <c r="AP41" s="683"/>
      <c r="AQ41" s="685"/>
      <c r="AR41" s="683"/>
      <c r="AS41" s="683"/>
      <c r="AT41" s="683"/>
      <c r="AU41" s="683"/>
      <c r="AV41" s="683"/>
      <c r="AW41" s="683"/>
      <c r="AX41" s="683"/>
      <c r="AY41" s="683"/>
      <c r="AZ41" s="686"/>
      <c r="BA41" s="686"/>
      <c r="BB41" s="686"/>
      <c r="BC41" s="686"/>
      <c r="BD41" s="686"/>
      <c r="BE41" s="686"/>
      <c r="BF41" s="686"/>
      <c r="BG41" s="686"/>
      <c r="BH41" s="687"/>
      <c r="BI41" s="687"/>
      <c r="BJ41" s="687"/>
      <c r="BK41" s="687"/>
      <c r="BL41" s="687"/>
      <c r="BM41" s="687"/>
      <c r="BN41" s="687"/>
      <c r="BO41" s="687"/>
      <c r="BP41" s="687"/>
      <c r="BQ41" s="687"/>
      <c r="BR41" s="687"/>
      <c r="BS41" s="687"/>
      <c r="BT41" s="687"/>
      <c r="BU41" s="687"/>
      <c r="BV41" s="687"/>
      <c r="BW41" s="687"/>
      <c r="BX41" s="687"/>
      <c r="BY41" s="687"/>
    </row>
    <row r="42" spans="1:77" ht="22.5" customHeight="1" x14ac:dyDescent="0.2">
      <c r="A42" s="676" t="s">
        <v>418</v>
      </c>
      <c r="B42" s="677">
        <v>71967.09499391506</v>
      </c>
      <c r="C42" s="677">
        <v>73271.353804589889</v>
      </c>
      <c r="D42" s="677">
        <v>73849.64023806437</v>
      </c>
      <c r="E42" s="677">
        <v>73862.058317793577</v>
      </c>
      <c r="F42" s="677">
        <v>77052.783139840336</v>
      </c>
      <c r="G42" s="677">
        <v>79057.57761715159</v>
      </c>
      <c r="H42" s="677">
        <v>77330.420374281079</v>
      </c>
      <c r="I42" s="677">
        <v>78550.015576745995</v>
      </c>
      <c r="J42" s="677">
        <v>78280.792370200536</v>
      </c>
      <c r="K42" s="677">
        <v>79300.37753948255</v>
      </c>
      <c r="L42" s="677">
        <v>84473.648619102561</v>
      </c>
      <c r="M42" s="677">
        <v>85038.856916136458</v>
      </c>
      <c r="N42" s="677">
        <v>85694.832314834028</v>
      </c>
      <c r="O42" s="677">
        <v>86701.463298792325</v>
      </c>
      <c r="P42" s="677">
        <v>87084.157034179283</v>
      </c>
      <c r="Q42" s="677">
        <v>87096.461957007064</v>
      </c>
      <c r="R42" s="677">
        <v>87336.869322237821</v>
      </c>
      <c r="S42" s="677">
        <v>89036.786999999982</v>
      </c>
      <c r="T42" s="677">
        <v>89235.765023424581</v>
      </c>
      <c r="U42" s="677">
        <v>89112.41465844195</v>
      </c>
      <c r="V42" s="677">
        <v>92001.030889734771</v>
      </c>
      <c r="W42" s="677">
        <v>92823.985168123545</v>
      </c>
      <c r="X42" s="677">
        <v>94911.198696198597</v>
      </c>
      <c r="Y42" s="677">
        <v>92655.583889346017</v>
      </c>
      <c r="Z42" s="677">
        <v>93387.414470685457</v>
      </c>
      <c r="AA42" s="677">
        <v>94311.266267564599</v>
      </c>
      <c r="AB42" s="677">
        <v>96065.613651277527</v>
      </c>
      <c r="AC42" s="677">
        <v>96868.179552567439</v>
      </c>
      <c r="AD42" s="677">
        <v>99970.689341133475</v>
      </c>
      <c r="AE42" s="677">
        <v>102143.89963464859</v>
      </c>
      <c r="AF42" s="677">
        <v>102986.73584132361</v>
      </c>
      <c r="AG42" s="677">
        <v>103873.18199425921</v>
      </c>
      <c r="AH42" s="677">
        <v>104115.39616690503</v>
      </c>
      <c r="AI42" s="678">
        <v>105223.37593117298</v>
      </c>
      <c r="AJ42" s="677">
        <v>106183.29106794487</v>
      </c>
      <c r="AK42" s="677">
        <v>109157.30970641968</v>
      </c>
      <c r="AL42" s="677">
        <v>110133.521328831</v>
      </c>
      <c r="AM42" s="677">
        <v>112697.26542386686</v>
      </c>
      <c r="AN42" s="677">
        <v>114456.85917704881</v>
      </c>
      <c r="AO42" s="677">
        <v>115438.38624675125</v>
      </c>
      <c r="AP42" s="677">
        <v>114636.22307468321</v>
      </c>
      <c r="AQ42" s="679">
        <v>115780.45646126536</v>
      </c>
      <c r="AR42" s="677">
        <v>116798.62575181547</v>
      </c>
      <c r="AS42" s="677">
        <v>116718.37460353736</v>
      </c>
      <c r="AT42" s="677">
        <v>115290.87593457245</v>
      </c>
      <c r="AU42" s="677">
        <v>115816.73350059977</v>
      </c>
      <c r="AV42" s="677">
        <v>116900.34417156519</v>
      </c>
      <c r="AW42" s="677">
        <v>116443.72988501664</v>
      </c>
      <c r="AX42" s="677">
        <v>117713.06556413938</v>
      </c>
      <c r="AY42" s="677">
        <v>119477.91572915741</v>
      </c>
      <c r="AZ42" s="680">
        <v>120389.23542704701</v>
      </c>
      <c r="BA42" s="680">
        <v>121335.877731753</v>
      </c>
      <c r="BB42" s="680">
        <v>122443.84253953373</v>
      </c>
      <c r="BC42" s="680">
        <v>122754.56765158189</v>
      </c>
      <c r="BD42" s="680">
        <v>122338.8886387339</v>
      </c>
      <c r="BE42" s="680">
        <v>123098.98124813494</v>
      </c>
      <c r="BF42" s="680">
        <v>122611.34617465544</v>
      </c>
      <c r="BG42" s="680">
        <v>122987.7419303114</v>
      </c>
      <c r="BH42" s="681">
        <v>124915.91391719095</v>
      </c>
      <c r="BI42" s="681">
        <v>125985.94252650176</v>
      </c>
      <c r="BJ42" s="681">
        <v>128848.74416195997</v>
      </c>
      <c r="BK42" s="681">
        <v>131489.52230850048</v>
      </c>
      <c r="BL42" s="681">
        <v>137285.56936983249</v>
      </c>
      <c r="BM42" s="681">
        <v>136257.13142404263</v>
      </c>
      <c r="BN42" s="681">
        <v>137734.56566677371</v>
      </c>
      <c r="BO42" s="681">
        <v>141397.33848139661</v>
      </c>
      <c r="BP42" s="681">
        <v>142752.56449091074</v>
      </c>
      <c r="BQ42" s="681">
        <v>143026.69486928673</v>
      </c>
      <c r="BR42" s="681">
        <v>142541.43666835761</v>
      </c>
      <c r="BS42" s="681">
        <v>145192.01511508328</v>
      </c>
      <c r="BT42" s="681">
        <v>147509.15735366853</v>
      </c>
      <c r="BU42" s="681">
        <v>146278.87474011764</v>
      </c>
      <c r="BV42" s="681">
        <v>149404.64880138478</v>
      </c>
      <c r="BW42" s="681">
        <v>150688.71615568027</v>
      </c>
      <c r="BX42" s="681">
        <v>143013.06863699132</v>
      </c>
      <c r="BY42" s="681">
        <v>143502.3756052753</v>
      </c>
    </row>
    <row r="43" spans="1:77" ht="22.5" customHeight="1" x14ac:dyDescent="0.2">
      <c r="A43" s="682"/>
      <c r="B43" s="683"/>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683"/>
      <c r="AI43" s="684"/>
      <c r="AJ43" s="683"/>
      <c r="AK43" s="683"/>
      <c r="AL43" s="683"/>
      <c r="AM43" s="683"/>
      <c r="AN43" s="683"/>
      <c r="AO43" s="683"/>
      <c r="AP43" s="683"/>
      <c r="AQ43" s="685"/>
      <c r="AR43" s="683"/>
      <c r="AS43" s="683"/>
      <c r="AT43" s="683"/>
      <c r="AU43" s="683"/>
      <c r="AV43" s="683"/>
      <c r="AW43" s="683"/>
      <c r="AX43" s="683"/>
      <c r="AY43" s="683"/>
      <c r="AZ43" s="686"/>
      <c r="BA43" s="686"/>
      <c r="BB43" s="686"/>
      <c r="BC43" s="686"/>
      <c r="BD43" s="686"/>
      <c r="BE43" s="686"/>
      <c r="BF43" s="686"/>
      <c r="BG43" s="686"/>
      <c r="BH43" s="687"/>
      <c r="BI43" s="687"/>
      <c r="BJ43" s="687"/>
      <c r="BK43" s="687"/>
      <c r="BL43" s="687"/>
      <c r="BM43" s="687"/>
      <c r="BN43" s="687"/>
      <c r="BO43" s="687"/>
      <c r="BP43" s="687"/>
      <c r="BQ43" s="687"/>
      <c r="BR43" s="687"/>
      <c r="BS43" s="687"/>
      <c r="BT43" s="687"/>
      <c r="BU43" s="687"/>
      <c r="BV43" s="687"/>
      <c r="BW43" s="687"/>
      <c r="BX43" s="687"/>
      <c r="BY43" s="687"/>
    </row>
    <row r="44" spans="1:77" ht="22.5" customHeight="1" x14ac:dyDescent="0.2">
      <c r="A44" s="676" t="s">
        <v>496</v>
      </c>
      <c r="B44" s="677">
        <v>5581.7712577664606</v>
      </c>
      <c r="C44" s="677">
        <v>7349.7123653095168</v>
      </c>
      <c r="D44" s="677">
        <v>6090.4550390823679</v>
      </c>
      <c r="E44" s="677">
        <v>6342.5532362396898</v>
      </c>
      <c r="F44" s="677">
        <v>6571.8599122411506</v>
      </c>
      <c r="G44" s="677">
        <v>5614.203526141453</v>
      </c>
      <c r="H44" s="677">
        <v>4717.0988415455067</v>
      </c>
      <c r="I44" s="677">
        <v>5052.6886590529721</v>
      </c>
      <c r="J44" s="677">
        <v>3809.7946721767003</v>
      </c>
      <c r="K44" s="677">
        <v>5008.5135263069751</v>
      </c>
      <c r="L44" s="677">
        <v>3668.1493908827251</v>
      </c>
      <c r="M44" s="677">
        <v>2401.1339812109291</v>
      </c>
      <c r="N44" s="677">
        <v>5241.8806941717303</v>
      </c>
      <c r="O44" s="677">
        <v>4344.6170981780451</v>
      </c>
      <c r="P44" s="677">
        <v>3410.7049704305682</v>
      </c>
      <c r="Q44" s="677">
        <v>3294.0737302186244</v>
      </c>
      <c r="R44" s="677">
        <v>3010.5630233639567</v>
      </c>
      <c r="S44" s="677">
        <v>2516.7033064554053</v>
      </c>
      <c r="T44" s="677">
        <v>2495.977819549611</v>
      </c>
      <c r="U44" s="677">
        <v>3250.1924065643507</v>
      </c>
      <c r="V44" s="677">
        <v>2271.2828734367395</v>
      </c>
      <c r="W44" s="677">
        <v>2802.2922956597322</v>
      </c>
      <c r="X44" s="677">
        <v>2928.8344544064785</v>
      </c>
      <c r="Y44" s="677">
        <v>2085.2406866995916</v>
      </c>
      <c r="Z44" s="677">
        <v>1743.1726232611036</v>
      </c>
      <c r="AA44" s="677">
        <v>3000.4939441840688</v>
      </c>
      <c r="AB44" s="677">
        <v>3384.5776468462318</v>
      </c>
      <c r="AC44" s="677">
        <v>4229.0839280067703</v>
      </c>
      <c r="AD44" s="677">
        <v>4239.932745127011</v>
      </c>
      <c r="AE44" s="677">
        <v>4821.2281403044799</v>
      </c>
      <c r="AF44" s="677">
        <v>4776.5675367843505</v>
      </c>
      <c r="AG44" s="677">
        <v>5064.2456663633056</v>
      </c>
      <c r="AH44" s="677">
        <v>6698.7686477010793</v>
      </c>
      <c r="AI44" s="678">
        <v>7334.9291003506769</v>
      </c>
      <c r="AJ44" s="677">
        <v>7123.602673258807</v>
      </c>
      <c r="AK44" s="677">
        <v>5973.5201074144206</v>
      </c>
      <c r="AL44" s="677">
        <v>5819.9302087925425</v>
      </c>
      <c r="AM44" s="677">
        <v>7285.6795270723705</v>
      </c>
      <c r="AN44" s="677">
        <v>6950.3912453140183</v>
      </c>
      <c r="AO44" s="677">
        <v>7539.0942966114817</v>
      </c>
      <c r="AP44" s="677">
        <v>8005.7384057500822</v>
      </c>
      <c r="AQ44" s="679">
        <v>9389.5788192721811</v>
      </c>
      <c r="AR44" s="677">
        <v>10450.735097531222</v>
      </c>
      <c r="AS44" s="677">
        <v>10853.647274648676</v>
      </c>
      <c r="AT44" s="677">
        <v>15025.069182617273</v>
      </c>
      <c r="AU44" s="677">
        <v>9891.0828833623236</v>
      </c>
      <c r="AV44" s="677">
        <v>11398.860126135882</v>
      </c>
      <c r="AW44" s="677">
        <v>11496.356383038172</v>
      </c>
      <c r="AX44" s="677">
        <v>10647.635209540691</v>
      </c>
      <c r="AY44" s="677">
        <v>10304.102440491606</v>
      </c>
      <c r="AZ44" s="680">
        <v>10141.098932393797</v>
      </c>
      <c r="BA44" s="680">
        <v>11092.654088857191</v>
      </c>
      <c r="BB44" s="680">
        <v>12388.991799637617</v>
      </c>
      <c r="BC44" s="680">
        <v>12053.293241865951</v>
      </c>
      <c r="BD44" s="680">
        <v>11387.83796091472</v>
      </c>
      <c r="BE44" s="680">
        <v>13420.662271783258</v>
      </c>
      <c r="BF44" s="680">
        <v>15041.969625893358</v>
      </c>
      <c r="BG44" s="680">
        <v>15066.368559763432</v>
      </c>
      <c r="BH44" s="681">
        <v>16538.528991176696</v>
      </c>
      <c r="BI44" s="681">
        <v>13990.040787758608</v>
      </c>
      <c r="BJ44" s="681">
        <v>13405.229513672228</v>
      </c>
      <c r="BK44" s="681">
        <v>13724.275583859027</v>
      </c>
      <c r="BL44" s="681">
        <v>18113.639204468367</v>
      </c>
      <c r="BM44" s="681">
        <v>12497.374181604508</v>
      </c>
      <c r="BN44" s="681">
        <v>13903.572720565739</v>
      </c>
      <c r="BO44" s="681">
        <v>15880.366694728375</v>
      </c>
      <c r="BP44" s="681">
        <v>15403.276700780036</v>
      </c>
      <c r="BQ44" s="681">
        <v>15794.149699518901</v>
      </c>
      <c r="BR44" s="681">
        <v>17888.560893206439</v>
      </c>
      <c r="BS44" s="681">
        <v>18164.345054589528</v>
      </c>
      <c r="BT44" s="681">
        <v>19613.808963950443</v>
      </c>
      <c r="BU44" s="681">
        <v>17247.788114685045</v>
      </c>
      <c r="BV44" s="681">
        <v>26448.946620911403</v>
      </c>
      <c r="BW44" s="681">
        <v>18800.853022255917</v>
      </c>
      <c r="BX44" s="681">
        <v>21216.347401553303</v>
      </c>
      <c r="BY44" s="681">
        <v>21779.57539212711</v>
      </c>
    </row>
    <row r="45" spans="1:77" ht="18.600000000000001" customHeight="1" thickBot="1" x14ac:dyDescent="0.25">
      <c r="A45" s="692"/>
      <c r="B45" s="693"/>
      <c r="C45" s="693"/>
      <c r="D45" s="693"/>
      <c r="E45" s="693"/>
      <c r="F45" s="693"/>
      <c r="G45" s="693"/>
      <c r="H45" s="693"/>
      <c r="I45" s="693"/>
      <c r="J45" s="693"/>
      <c r="K45" s="693"/>
      <c r="L45" s="693"/>
      <c r="M45" s="693"/>
      <c r="N45" s="693"/>
      <c r="O45" s="693"/>
      <c r="P45" s="693"/>
      <c r="Q45" s="693"/>
      <c r="R45" s="693"/>
      <c r="S45" s="693"/>
      <c r="T45" s="693"/>
      <c r="U45" s="693"/>
      <c r="V45" s="693"/>
      <c r="W45" s="693"/>
      <c r="X45" s="693"/>
      <c r="Y45" s="693"/>
      <c r="Z45" s="693"/>
      <c r="AA45" s="693"/>
      <c r="AB45" s="693"/>
      <c r="AC45" s="693"/>
      <c r="AD45" s="693"/>
      <c r="AE45" s="693"/>
      <c r="AF45" s="693"/>
      <c r="AG45" s="693"/>
      <c r="AH45" s="693"/>
      <c r="AI45" s="694"/>
      <c r="AJ45" s="693"/>
      <c r="AK45" s="693"/>
      <c r="AL45" s="693"/>
      <c r="AM45" s="693"/>
      <c r="AN45" s="693"/>
      <c r="AO45" s="693"/>
      <c r="AP45" s="693"/>
      <c r="AQ45" s="695"/>
      <c r="AR45" s="693"/>
      <c r="AS45" s="693"/>
      <c r="AT45" s="693"/>
      <c r="AU45" s="693"/>
      <c r="AV45" s="693"/>
      <c r="AW45" s="693"/>
      <c r="AX45" s="693"/>
      <c r="AY45" s="693"/>
      <c r="AZ45" s="696"/>
      <c r="BA45" s="696"/>
      <c r="BB45" s="696"/>
      <c r="BC45" s="696"/>
      <c r="BD45" s="696"/>
      <c r="BE45" s="696"/>
      <c r="BF45" s="696"/>
      <c r="BG45" s="696"/>
      <c r="BH45" s="697"/>
      <c r="BI45" s="697"/>
      <c r="BJ45" s="697"/>
      <c r="BK45" s="697"/>
      <c r="BL45" s="697"/>
      <c r="BM45" s="697"/>
      <c r="BN45" s="697"/>
      <c r="BO45" s="697"/>
      <c r="BP45" s="697"/>
      <c r="BQ45" s="697"/>
      <c r="BR45" s="697"/>
      <c r="BS45" s="697"/>
      <c r="BT45" s="697"/>
      <c r="BU45" s="697"/>
      <c r="BV45" s="697"/>
      <c r="BW45" s="697"/>
      <c r="BX45" s="697"/>
      <c r="BY45" s="697"/>
    </row>
    <row r="46" spans="1:77" ht="15" hidden="1" customHeight="1" x14ac:dyDescent="0.2">
      <c r="A46" s="698" t="s">
        <v>521</v>
      </c>
    </row>
    <row r="47" spans="1:77" ht="17.25" customHeight="1" thickTop="1" x14ac:dyDescent="0.2">
      <c r="A47" s="699" t="s">
        <v>522</v>
      </c>
      <c r="B47" s="673"/>
      <c r="C47" s="673"/>
      <c r="D47" s="673"/>
      <c r="E47" s="673"/>
      <c r="F47" s="673"/>
      <c r="G47" s="673"/>
      <c r="H47" s="673"/>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73"/>
      <c r="BR47" s="673"/>
      <c r="BS47" s="673"/>
      <c r="BT47" s="673"/>
      <c r="BU47" s="673"/>
      <c r="BV47" s="673"/>
      <c r="BW47" s="673"/>
      <c r="BX47" s="673"/>
      <c r="BY47" s="673"/>
    </row>
    <row r="48" spans="1:77" ht="15" customHeight="1" x14ac:dyDescent="0.2">
      <c r="A48" s="700" t="s">
        <v>523</v>
      </c>
      <c r="B48" s="673"/>
      <c r="C48" s="673"/>
      <c r="D48" s="673"/>
      <c r="E48" s="673"/>
      <c r="F48" s="673"/>
      <c r="G48" s="673"/>
      <c r="H48" s="673"/>
      <c r="I48" s="673"/>
      <c r="J48" s="673"/>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row>
    <row r="49" spans="1:77" s="705" customFormat="1" ht="24" customHeight="1" x14ac:dyDescent="0.25">
      <c r="A49" s="701" t="s">
        <v>524</v>
      </c>
      <c r="B49" s="702"/>
      <c r="C49" s="702"/>
      <c r="D49" s="702"/>
      <c r="E49" s="702"/>
      <c r="F49" s="703"/>
      <c r="G49" s="702"/>
      <c r="H49" s="702"/>
      <c r="I49" s="702"/>
      <c r="J49" s="704"/>
      <c r="K49" s="704"/>
      <c r="L49" s="704"/>
      <c r="M49" s="704"/>
      <c r="N49" s="704"/>
      <c r="O49" s="704"/>
      <c r="P49" s="7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row>
    <row r="50" spans="1:77" ht="15" customHeight="1" x14ac:dyDescent="0.25">
      <c r="A50" s="706" t="s">
        <v>239</v>
      </c>
      <c r="B50" s="707"/>
    </row>
    <row r="51" spans="1:77" ht="15" customHeight="1" x14ac:dyDescent="0.25">
      <c r="A51" s="708" t="s">
        <v>179</v>
      </c>
      <c r="B51" s="707"/>
    </row>
    <row r="52" spans="1:77" ht="15" customHeight="1" x14ac:dyDescent="0.2">
      <c r="B52" s="707"/>
    </row>
  </sheetData>
  <mergeCells count="1">
    <mergeCell ref="M2:N2"/>
  </mergeCells>
  <printOptions horizontalCentered="1" verticalCentered="1"/>
  <pageMargins left="0" right="0" top="0" bottom="0" header="0" footer="0"/>
  <pageSetup paperSize="9" scale="4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71"/>
  <sheetViews>
    <sheetView zoomScaleNormal="100" workbookViewId="0">
      <pane xSplit="48" ySplit="5" topLeftCell="BM6" activePane="bottomRight" state="frozen"/>
      <selection pane="topRight" activeCell="AW1" sqref="AW1"/>
      <selection pane="bottomLeft" activeCell="A6" sqref="A6"/>
      <selection pane="bottomRight" activeCell="CA9" sqref="CA9"/>
    </sheetView>
  </sheetViews>
  <sheetFormatPr defaultRowHeight="15.75" customHeight="1" x14ac:dyDescent="0.2"/>
  <cols>
    <col min="1" max="1" width="65.5703125" style="710" customWidth="1"/>
    <col min="2" max="14" width="9.7109375" style="710" hidden="1" customWidth="1"/>
    <col min="15" max="15" width="12" style="710" hidden="1" customWidth="1"/>
    <col min="16" max="40" width="9.7109375" style="710" hidden="1" customWidth="1"/>
    <col min="41" max="64" width="13.42578125" style="710" hidden="1" customWidth="1"/>
    <col min="65" max="77" width="13.42578125" style="710" customWidth="1"/>
    <col min="78" max="275" width="9.140625" style="710"/>
    <col min="276" max="276" width="57.28515625" style="710" customWidth="1"/>
    <col min="277" max="314" width="0" style="710" hidden="1" customWidth="1"/>
    <col min="315" max="327" width="9.7109375" style="710" customWidth="1"/>
    <col min="328" max="531" width="9.140625" style="710"/>
    <col min="532" max="532" width="57.28515625" style="710" customWidth="1"/>
    <col min="533" max="570" width="0" style="710" hidden="1" customWidth="1"/>
    <col min="571" max="583" width="9.7109375" style="710" customWidth="1"/>
    <col min="584" max="787" width="9.140625" style="710"/>
    <col min="788" max="788" width="57.28515625" style="710" customWidth="1"/>
    <col min="789" max="826" width="0" style="710" hidden="1" customWidth="1"/>
    <col min="827" max="839" width="9.7109375" style="710" customWidth="1"/>
    <col min="840" max="1043" width="9.140625" style="710"/>
    <col min="1044" max="1044" width="57.28515625" style="710" customWidth="1"/>
    <col min="1045" max="1082" width="0" style="710" hidden="1" customWidth="1"/>
    <col min="1083" max="1095" width="9.7109375" style="710" customWidth="1"/>
    <col min="1096" max="1299" width="9.140625" style="710"/>
    <col min="1300" max="1300" width="57.28515625" style="710" customWidth="1"/>
    <col min="1301" max="1338" width="0" style="710" hidden="1" customWidth="1"/>
    <col min="1339" max="1351" width="9.7109375" style="710" customWidth="1"/>
    <col min="1352" max="1555" width="9.140625" style="710"/>
    <col min="1556" max="1556" width="57.28515625" style="710" customWidth="1"/>
    <col min="1557" max="1594" width="0" style="710" hidden="1" customWidth="1"/>
    <col min="1595" max="1607" width="9.7109375" style="710" customWidth="1"/>
    <col min="1608" max="1811" width="9.140625" style="710"/>
    <col min="1812" max="1812" width="57.28515625" style="710" customWidth="1"/>
    <col min="1813" max="1850" width="0" style="710" hidden="1" customWidth="1"/>
    <col min="1851" max="1863" width="9.7109375" style="710" customWidth="1"/>
    <col min="1864" max="2067" width="9.140625" style="710"/>
    <col min="2068" max="2068" width="57.28515625" style="710" customWidth="1"/>
    <col min="2069" max="2106" width="0" style="710" hidden="1" customWidth="1"/>
    <col min="2107" max="2119" width="9.7109375" style="710" customWidth="1"/>
    <col min="2120" max="2323" width="9.140625" style="710"/>
    <col min="2324" max="2324" width="57.28515625" style="710" customWidth="1"/>
    <col min="2325" max="2362" width="0" style="710" hidden="1" customWidth="1"/>
    <col min="2363" max="2375" width="9.7109375" style="710" customWidth="1"/>
    <col min="2376" max="2579" width="9.140625" style="710"/>
    <col min="2580" max="2580" width="57.28515625" style="710" customWidth="1"/>
    <col min="2581" max="2618" width="0" style="710" hidden="1" customWidth="1"/>
    <col min="2619" max="2631" width="9.7109375" style="710" customWidth="1"/>
    <col min="2632" max="2835" width="9.140625" style="710"/>
    <col min="2836" max="2836" width="57.28515625" style="710" customWidth="1"/>
    <col min="2837" max="2874" width="0" style="710" hidden="1" customWidth="1"/>
    <col min="2875" max="2887" width="9.7109375" style="710" customWidth="1"/>
    <col min="2888" max="3091" width="9.140625" style="710"/>
    <col min="3092" max="3092" width="57.28515625" style="710" customWidth="1"/>
    <col min="3093" max="3130" width="0" style="710" hidden="1" customWidth="1"/>
    <col min="3131" max="3143" width="9.7109375" style="710" customWidth="1"/>
    <col min="3144" max="3347" width="9.140625" style="710"/>
    <col min="3348" max="3348" width="57.28515625" style="710" customWidth="1"/>
    <col min="3349" max="3386" width="0" style="710" hidden="1" customWidth="1"/>
    <col min="3387" max="3399" width="9.7109375" style="710" customWidth="1"/>
    <col min="3400" max="3603" width="9.140625" style="710"/>
    <col min="3604" max="3604" width="57.28515625" style="710" customWidth="1"/>
    <col min="3605" max="3642" width="0" style="710" hidden="1" customWidth="1"/>
    <col min="3643" max="3655" width="9.7109375" style="710" customWidth="1"/>
    <col min="3656" max="3859" width="9.140625" style="710"/>
    <col min="3860" max="3860" width="57.28515625" style="710" customWidth="1"/>
    <col min="3861" max="3898" width="0" style="710" hidden="1" customWidth="1"/>
    <col min="3899" max="3911" width="9.7109375" style="710" customWidth="1"/>
    <col min="3912" max="4115" width="9.140625" style="710"/>
    <col min="4116" max="4116" width="57.28515625" style="710" customWidth="1"/>
    <col min="4117" max="4154" width="0" style="710" hidden="1" customWidth="1"/>
    <col min="4155" max="4167" width="9.7109375" style="710" customWidth="1"/>
    <col min="4168" max="4371" width="9.140625" style="710"/>
    <col min="4372" max="4372" width="57.28515625" style="710" customWidth="1"/>
    <col min="4373" max="4410" width="0" style="710" hidden="1" customWidth="1"/>
    <col min="4411" max="4423" width="9.7109375" style="710" customWidth="1"/>
    <col min="4424" max="4627" width="9.140625" style="710"/>
    <col min="4628" max="4628" width="57.28515625" style="710" customWidth="1"/>
    <col min="4629" max="4666" width="0" style="710" hidden="1" customWidth="1"/>
    <col min="4667" max="4679" width="9.7109375" style="710" customWidth="1"/>
    <col min="4680" max="4883" width="9.140625" style="710"/>
    <col min="4884" max="4884" width="57.28515625" style="710" customWidth="1"/>
    <col min="4885" max="4922" width="0" style="710" hidden="1" customWidth="1"/>
    <col min="4923" max="4935" width="9.7109375" style="710" customWidth="1"/>
    <col min="4936" max="5139" width="9.140625" style="710"/>
    <col min="5140" max="5140" width="57.28515625" style="710" customWidth="1"/>
    <col min="5141" max="5178" width="0" style="710" hidden="1" customWidth="1"/>
    <col min="5179" max="5191" width="9.7109375" style="710" customWidth="1"/>
    <col min="5192" max="5395" width="9.140625" style="710"/>
    <col min="5396" max="5396" width="57.28515625" style="710" customWidth="1"/>
    <col min="5397" max="5434" width="0" style="710" hidden="1" customWidth="1"/>
    <col min="5435" max="5447" width="9.7109375" style="710" customWidth="1"/>
    <col min="5448" max="5651" width="9.140625" style="710"/>
    <col min="5652" max="5652" width="57.28515625" style="710" customWidth="1"/>
    <col min="5653" max="5690" width="0" style="710" hidden="1" customWidth="1"/>
    <col min="5691" max="5703" width="9.7109375" style="710" customWidth="1"/>
    <col min="5704" max="5907" width="9.140625" style="710"/>
    <col min="5908" max="5908" width="57.28515625" style="710" customWidth="1"/>
    <col min="5909" max="5946" width="0" style="710" hidden="1" customWidth="1"/>
    <col min="5947" max="5959" width="9.7109375" style="710" customWidth="1"/>
    <col min="5960" max="6163" width="9.140625" style="710"/>
    <col min="6164" max="6164" width="57.28515625" style="710" customWidth="1"/>
    <col min="6165" max="6202" width="0" style="710" hidden="1" customWidth="1"/>
    <col min="6203" max="6215" width="9.7109375" style="710" customWidth="1"/>
    <col min="6216" max="6419" width="9.140625" style="710"/>
    <col min="6420" max="6420" width="57.28515625" style="710" customWidth="1"/>
    <col min="6421" max="6458" width="0" style="710" hidden="1" customWidth="1"/>
    <col min="6459" max="6471" width="9.7109375" style="710" customWidth="1"/>
    <col min="6472" max="6675" width="9.140625" style="710"/>
    <col min="6676" max="6676" width="57.28515625" style="710" customWidth="1"/>
    <col min="6677" max="6714" width="0" style="710" hidden="1" customWidth="1"/>
    <col min="6715" max="6727" width="9.7109375" style="710" customWidth="1"/>
    <col min="6728" max="6931" width="9.140625" style="710"/>
    <col min="6932" max="6932" width="57.28515625" style="710" customWidth="1"/>
    <col min="6933" max="6970" width="0" style="710" hidden="1" customWidth="1"/>
    <col min="6971" max="6983" width="9.7109375" style="710" customWidth="1"/>
    <col min="6984" max="7187" width="9.140625" style="710"/>
    <col min="7188" max="7188" width="57.28515625" style="710" customWidth="1"/>
    <col min="7189" max="7226" width="0" style="710" hidden="1" customWidth="1"/>
    <col min="7227" max="7239" width="9.7109375" style="710" customWidth="1"/>
    <col min="7240" max="7443" width="9.140625" style="710"/>
    <col min="7444" max="7444" width="57.28515625" style="710" customWidth="1"/>
    <col min="7445" max="7482" width="0" style="710" hidden="1" customWidth="1"/>
    <col min="7483" max="7495" width="9.7109375" style="710" customWidth="1"/>
    <col min="7496" max="7699" width="9.140625" style="710"/>
    <col min="7700" max="7700" width="57.28515625" style="710" customWidth="1"/>
    <col min="7701" max="7738" width="0" style="710" hidden="1" customWidth="1"/>
    <col min="7739" max="7751" width="9.7109375" style="710" customWidth="1"/>
    <col min="7752" max="7955" width="9.140625" style="710"/>
    <col min="7956" max="7956" width="57.28515625" style="710" customWidth="1"/>
    <col min="7957" max="7994" width="0" style="710" hidden="1" customWidth="1"/>
    <col min="7995" max="8007" width="9.7109375" style="710" customWidth="1"/>
    <col min="8008" max="8211" width="9.140625" style="710"/>
    <col min="8212" max="8212" width="57.28515625" style="710" customWidth="1"/>
    <col min="8213" max="8250" width="0" style="710" hidden="1" customWidth="1"/>
    <col min="8251" max="8263" width="9.7109375" style="710" customWidth="1"/>
    <col min="8264" max="8467" width="9.140625" style="710"/>
    <col min="8468" max="8468" width="57.28515625" style="710" customWidth="1"/>
    <col min="8469" max="8506" width="0" style="710" hidden="1" customWidth="1"/>
    <col min="8507" max="8519" width="9.7109375" style="710" customWidth="1"/>
    <col min="8520" max="8723" width="9.140625" style="710"/>
    <col min="8724" max="8724" width="57.28515625" style="710" customWidth="1"/>
    <col min="8725" max="8762" width="0" style="710" hidden="1" customWidth="1"/>
    <col min="8763" max="8775" width="9.7109375" style="710" customWidth="1"/>
    <col min="8776" max="8979" width="9.140625" style="710"/>
    <col min="8980" max="8980" width="57.28515625" style="710" customWidth="1"/>
    <col min="8981" max="9018" width="0" style="710" hidden="1" customWidth="1"/>
    <col min="9019" max="9031" width="9.7109375" style="710" customWidth="1"/>
    <col min="9032" max="9235" width="9.140625" style="710"/>
    <col min="9236" max="9236" width="57.28515625" style="710" customWidth="1"/>
    <col min="9237" max="9274" width="0" style="710" hidden="1" customWidth="1"/>
    <col min="9275" max="9287" width="9.7109375" style="710" customWidth="1"/>
    <col min="9288" max="9491" width="9.140625" style="710"/>
    <col min="9492" max="9492" width="57.28515625" style="710" customWidth="1"/>
    <col min="9493" max="9530" width="0" style="710" hidden="1" customWidth="1"/>
    <col min="9531" max="9543" width="9.7109375" style="710" customWidth="1"/>
    <col min="9544" max="9747" width="9.140625" style="710"/>
    <col min="9748" max="9748" width="57.28515625" style="710" customWidth="1"/>
    <col min="9749" max="9786" width="0" style="710" hidden="1" customWidth="1"/>
    <col min="9787" max="9799" width="9.7109375" style="710" customWidth="1"/>
    <col min="9800" max="10003" width="9.140625" style="710"/>
    <col min="10004" max="10004" width="57.28515625" style="710" customWidth="1"/>
    <col min="10005" max="10042" width="0" style="710" hidden="1" customWidth="1"/>
    <col min="10043" max="10055" width="9.7109375" style="710" customWidth="1"/>
    <col min="10056" max="10259" width="9.140625" style="710"/>
    <col min="10260" max="10260" width="57.28515625" style="710" customWidth="1"/>
    <col min="10261" max="10298" width="0" style="710" hidden="1" customWidth="1"/>
    <col min="10299" max="10311" width="9.7109375" style="710" customWidth="1"/>
    <col min="10312" max="10515" width="9.140625" style="710"/>
    <col min="10516" max="10516" width="57.28515625" style="710" customWidth="1"/>
    <col min="10517" max="10554" width="0" style="710" hidden="1" customWidth="1"/>
    <col min="10555" max="10567" width="9.7109375" style="710" customWidth="1"/>
    <col min="10568" max="10771" width="9.140625" style="710"/>
    <col min="10772" max="10772" width="57.28515625" style="710" customWidth="1"/>
    <col min="10773" max="10810" width="0" style="710" hidden="1" customWidth="1"/>
    <col min="10811" max="10823" width="9.7109375" style="710" customWidth="1"/>
    <col min="10824" max="11027" width="9.140625" style="710"/>
    <col min="11028" max="11028" width="57.28515625" style="710" customWidth="1"/>
    <col min="11029" max="11066" width="0" style="710" hidden="1" customWidth="1"/>
    <col min="11067" max="11079" width="9.7109375" style="710" customWidth="1"/>
    <col min="11080" max="11283" width="9.140625" style="710"/>
    <col min="11284" max="11284" width="57.28515625" style="710" customWidth="1"/>
    <col min="11285" max="11322" width="0" style="710" hidden="1" customWidth="1"/>
    <col min="11323" max="11335" width="9.7109375" style="710" customWidth="1"/>
    <col min="11336" max="11539" width="9.140625" style="710"/>
    <col min="11540" max="11540" width="57.28515625" style="710" customWidth="1"/>
    <col min="11541" max="11578" width="0" style="710" hidden="1" customWidth="1"/>
    <col min="11579" max="11591" width="9.7109375" style="710" customWidth="1"/>
    <col min="11592" max="11795" width="9.140625" style="710"/>
    <col min="11796" max="11796" width="57.28515625" style="710" customWidth="1"/>
    <col min="11797" max="11834" width="0" style="710" hidden="1" customWidth="1"/>
    <col min="11835" max="11847" width="9.7109375" style="710" customWidth="1"/>
    <col min="11848" max="12051" width="9.140625" style="710"/>
    <col min="12052" max="12052" width="57.28515625" style="710" customWidth="1"/>
    <col min="12053" max="12090" width="0" style="710" hidden="1" customWidth="1"/>
    <col min="12091" max="12103" width="9.7109375" style="710" customWidth="1"/>
    <col min="12104" max="12307" width="9.140625" style="710"/>
    <col min="12308" max="12308" width="57.28515625" style="710" customWidth="1"/>
    <col min="12309" max="12346" width="0" style="710" hidden="1" customWidth="1"/>
    <col min="12347" max="12359" width="9.7109375" style="710" customWidth="1"/>
    <col min="12360" max="12563" width="9.140625" style="710"/>
    <col min="12564" max="12564" width="57.28515625" style="710" customWidth="1"/>
    <col min="12565" max="12602" width="0" style="710" hidden="1" customWidth="1"/>
    <col min="12603" max="12615" width="9.7109375" style="710" customWidth="1"/>
    <col min="12616" max="12819" width="9.140625" style="710"/>
    <col min="12820" max="12820" width="57.28515625" style="710" customWidth="1"/>
    <col min="12821" max="12858" width="0" style="710" hidden="1" customWidth="1"/>
    <col min="12859" max="12871" width="9.7109375" style="710" customWidth="1"/>
    <col min="12872" max="13075" width="9.140625" style="710"/>
    <col min="13076" max="13076" width="57.28515625" style="710" customWidth="1"/>
    <col min="13077" max="13114" width="0" style="710" hidden="1" customWidth="1"/>
    <col min="13115" max="13127" width="9.7109375" style="710" customWidth="1"/>
    <col min="13128" max="13331" width="9.140625" style="710"/>
    <col min="13332" max="13332" width="57.28515625" style="710" customWidth="1"/>
    <col min="13333" max="13370" width="0" style="710" hidden="1" customWidth="1"/>
    <col min="13371" max="13383" width="9.7109375" style="710" customWidth="1"/>
    <col min="13384" max="13587" width="9.140625" style="710"/>
    <col min="13588" max="13588" width="57.28515625" style="710" customWidth="1"/>
    <col min="13589" max="13626" width="0" style="710" hidden="1" customWidth="1"/>
    <col min="13627" max="13639" width="9.7109375" style="710" customWidth="1"/>
    <col min="13640" max="13843" width="9.140625" style="710"/>
    <col min="13844" max="13844" width="57.28515625" style="710" customWidth="1"/>
    <col min="13845" max="13882" width="0" style="710" hidden="1" customWidth="1"/>
    <col min="13883" max="13895" width="9.7109375" style="710" customWidth="1"/>
    <col min="13896" max="14099" width="9.140625" style="710"/>
    <col min="14100" max="14100" width="57.28515625" style="710" customWidth="1"/>
    <col min="14101" max="14138" width="0" style="710" hidden="1" customWidth="1"/>
    <col min="14139" max="14151" width="9.7109375" style="710" customWidth="1"/>
    <col min="14152" max="14355" width="9.140625" style="710"/>
    <col min="14356" max="14356" width="57.28515625" style="710" customWidth="1"/>
    <col min="14357" max="14394" width="0" style="710" hidden="1" customWidth="1"/>
    <col min="14395" max="14407" width="9.7109375" style="710" customWidth="1"/>
    <col min="14408" max="14611" width="9.140625" style="710"/>
    <col min="14612" max="14612" width="57.28515625" style="710" customWidth="1"/>
    <col min="14613" max="14650" width="0" style="710" hidden="1" customWidth="1"/>
    <col min="14651" max="14663" width="9.7109375" style="710" customWidth="1"/>
    <col min="14664" max="14867" width="9.140625" style="710"/>
    <col min="14868" max="14868" width="57.28515625" style="710" customWidth="1"/>
    <col min="14869" max="14906" width="0" style="710" hidden="1" customWidth="1"/>
    <col min="14907" max="14919" width="9.7109375" style="710" customWidth="1"/>
    <col min="14920" max="15123" width="9.140625" style="710"/>
    <col min="15124" max="15124" width="57.28515625" style="710" customWidth="1"/>
    <col min="15125" max="15162" width="0" style="710" hidden="1" customWidth="1"/>
    <col min="15163" max="15175" width="9.7109375" style="710" customWidth="1"/>
    <col min="15176" max="15379" width="9.140625" style="710"/>
    <col min="15380" max="15380" width="57.28515625" style="710" customWidth="1"/>
    <col min="15381" max="15418" width="0" style="710" hidden="1" customWidth="1"/>
    <col min="15419" max="15431" width="9.7109375" style="710" customWidth="1"/>
    <col min="15432" max="15635" width="9.140625" style="710"/>
    <col min="15636" max="15636" width="57.28515625" style="710" customWidth="1"/>
    <col min="15637" max="15674" width="0" style="710" hidden="1" customWidth="1"/>
    <col min="15675" max="15687" width="9.7109375" style="710" customWidth="1"/>
    <col min="15688" max="15891" width="9.140625" style="710"/>
    <col min="15892" max="15892" width="57.28515625" style="710" customWidth="1"/>
    <col min="15893" max="15930" width="0" style="710" hidden="1" customWidth="1"/>
    <col min="15931" max="15943" width="9.7109375" style="710" customWidth="1"/>
    <col min="15944" max="16147" width="9.140625" style="710"/>
    <col min="16148" max="16148" width="57.28515625" style="710" customWidth="1"/>
    <col min="16149" max="16186" width="0" style="710" hidden="1" customWidth="1"/>
    <col min="16187" max="16199" width="9.7109375" style="710" customWidth="1"/>
    <col min="16200" max="16384" width="9.140625" style="710"/>
  </cols>
  <sheetData>
    <row r="1" spans="1:77" ht="27" customHeight="1" x14ac:dyDescent="0.2">
      <c r="A1" s="709" t="s">
        <v>525</v>
      </c>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row>
    <row r="2" spans="1:77" ht="0.75" customHeight="1" x14ac:dyDescent="0.2">
      <c r="A2" s="712"/>
    </row>
    <row r="3" spans="1:77" ht="15" customHeight="1" x14ac:dyDescent="0.2">
      <c r="A3" s="712"/>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row>
    <row r="4" spans="1:77" ht="15" thickBot="1" x14ac:dyDescent="0.25">
      <c r="A4" s="714"/>
      <c r="R4" s="715"/>
      <c r="S4" s="716"/>
      <c r="T4" s="717"/>
      <c r="U4" s="717"/>
      <c r="V4" s="717"/>
      <c r="W4" s="717"/>
      <c r="X4" s="717"/>
      <c r="Y4" s="717"/>
      <c r="Z4" s="717"/>
      <c r="AB4" s="717"/>
      <c r="AC4" s="717"/>
      <c r="AD4" s="717"/>
      <c r="AH4" s="717"/>
      <c r="AI4" s="717"/>
      <c r="AL4" s="717"/>
      <c r="AM4" s="717"/>
      <c r="AN4" s="717"/>
      <c r="AO4" s="717"/>
      <c r="AP4" s="717"/>
      <c r="AQ4" s="717"/>
      <c r="AR4" s="717"/>
      <c r="AU4" s="717"/>
      <c r="AV4" s="717"/>
      <c r="AW4" s="717"/>
      <c r="AX4" s="717"/>
      <c r="BA4" s="658"/>
      <c r="BB4" s="658"/>
      <c r="BC4" s="658"/>
      <c r="BD4" s="658"/>
      <c r="BE4" s="658"/>
      <c r="BF4" s="658"/>
      <c r="BG4" s="658"/>
      <c r="BH4" s="658"/>
      <c r="BI4" s="658"/>
      <c r="BJ4" s="658"/>
      <c r="BK4" s="658"/>
      <c r="BL4" s="658"/>
      <c r="BM4" s="658"/>
      <c r="BN4" s="658"/>
      <c r="BO4" s="658"/>
      <c r="BP4" s="658"/>
      <c r="BQ4" s="658"/>
      <c r="BR4" s="658"/>
      <c r="BS4" s="658"/>
      <c r="BT4" s="658"/>
      <c r="BU4" s="658"/>
      <c r="BV4" s="658"/>
      <c r="BW4" s="658"/>
      <c r="BX4" s="658"/>
      <c r="BY4" s="658" t="s">
        <v>73</v>
      </c>
    </row>
    <row r="5" spans="1:77" ht="27" customHeight="1" thickTop="1" thickBot="1" x14ac:dyDescent="0.25">
      <c r="A5" s="718"/>
      <c r="B5" s="719">
        <v>40179</v>
      </c>
      <c r="C5" s="719">
        <v>40210</v>
      </c>
      <c r="D5" s="719">
        <v>40238</v>
      </c>
      <c r="E5" s="719">
        <v>40269</v>
      </c>
      <c r="F5" s="719">
        <v>40299</v>
      </c>
      <c r="G5" s="719">
        <v>40330</v>
      </c>
      <c r="H5" s="719">
        <v>40360</v>
      </c>
      <c r="I5" s="719">
        <v>40391</v>
      </c>
      <c r="J5" s="719">
        <v>40422</v>
      </c>
      <c r="K5" s="719">
        <v>40452</v>
      </c>
      <c r="L5" s="719">
        <v>40483</v>
      </c>
      <c r="M5" s="719">
        <v>40513</v>
      </c>
      <c r="N5" s="719">
        <v>40544</v>
      </c>
      <c r="O5" s="719">
        <v>40575</v>
      </c>
      <c r="P5" s="719">
        <v>40603</v>
      </c>
      <c r="Q5" s="719">
        <v>40634</v>
      </c>
      <c r="R5" s="719">
        <v>40664</v>
      </c>
      <c r="S5" s="719">
        <v>40695</v>
      </c>
      <c r="T5" s="719">
        <v>40725</v>
      </c>
      <c r="U5" s="719">
        <v>40756</v>
      </c>
      <c r="V5" s="719">
        <v>40787</v>
      </c>
      <c r="W5" s="719">
        <v>40817</v>
      </c>
      <c r="X5" s="719">
        <v>40848</v>
      </c>
      <c r="Y5" s="719">
        <v>40878</v>
      </c>
      <c r="Z5" s="719">
        <v>40909</v>
      </c>
      <c r="AA5" s="719">
        <v>40940</v>
      </c>
      <c r="AB5" s="719">
        <v>40969</v>
      </c>
      <c r="AC5" s="719">
        <v>41000</v>
      </c>
      <c r="AD5" s="719">
        <v>41030</v>
      </c>
      <c r="AE5" s="719">
        <v>41061</v>
      </c>
      <c r="AF5" s="719">
        <v>41091</v>
      </c>
      <c r="AG5" s="719">
        <v>41122</v>
      </c>
      <c r="AH5" s="719">
        <v>41153</v>
      </c>
      <c r="AI5" s="719">
        <v>41183</v>
      </c>
      <c r="AJ5" s="719">
        <v>41214</v>
      </c>
      <c r="AK5" s="719">
        <v>41244</v>
      </c>
      <c r="AL5" s="719">
        <v>41275</v>
      </c>
      <c r="AM5" s="719">
        <v>41306</v>
      </c>
      <c r="AN5" s="719">
        <v>41334</v>
      </c>
      <c r="AO5" s="719">
        <v>41365</v>
      </c>
      <c r="AP5" s="719">
        <v>41395</v>
      </c>
      <c r="AQ5" s="720">
        <v>41426</v>
      </c>
      <c r="AR5" s="719">
        <v>41456</v>
      </c>
      <c r="AS5" s="719">
        <v>41487</v>
      </c>
      <c r="AT5" s="719">
        <v>41518</v>
      </c>
      <c r="AU5" s="719">
        <v>41548</v>
      </c>
      <c r="AV5" s="719">
        <v>41579</v>
      </c>
      <c r="AW5" s="719">
        <v>41609</v>
      </c>
      <c r="AX5" s="719">
        <v>41640</v>
      </c>
      <c r="AY5" s="719">
        <v>41671</v>
      </c>
      <c r="AZ5" s="721">
        <v>41699</v>
      </c>
      <c r="BA5" s="721">
        <v>41730</v>
      </c>
      <c r="BB5" s="721">
        <v>41760</v>
      </c>
      <c r="BC5" s="722" t="s">
        <v>526</v>
      </c>
      <c r="BD5" s="721">
        <v>41821</v>
      </c>
      <c r="BE5" s="721">
        <v>41852</v>
      </c>
      <c r="BF5" s="721">
        <v>41883</v>
      </c>
      <c r="BG5" s="721">
        <v>41913</v>
      </c>
      <c r="BH5" s="721">
        <v>41944</v>
      </c>
      <c r="BI5" s="721">
        <v>41974</v>
      </c>
      <c r="BJ5" s="721">
        <v>42005</v>
      </c>
      <c r="BK5" s="721">
        <v>42036</v>
      </c>
      <c r="BL5" s="721">
        <v>42064</v>
      </c>
      <c r="BM5" s="721">
        <v>42095</v>
      </c>
      <c r="BN5" s="721">
        <v>42125</v>
      </c>
      <c r="BO5" s="721">
        <v>42156</v>
      </c>
      <c r="BP5" s="721">
        <v>42186</v>
      </c>
      <c r="BQ5" s="721">
        <v>42217</v>
      </c>
      <c r="BR5" s="721">
        <v>42248</v>
      </c>
      <c r="BS5" s="721">
        <v>42278</v>
      </c>
      <c r="BT5" s="721">
        <v>42309</v>
      </c>
      <c r="BU5" s="721">
        <v>42339</v>
      </c>
      <c r="BV5" s="721">
        <v>42370</v>
      </c>
      <c r="BW5" s="721">
        <v>42401</v>
      </c>
      <c r="BX5" s="721">
        <v>42430</v>
      </c>
      <c r="BY5" s="721">
        <v>42461</v>
      </c>
    </row>
    <row r="6" spans="1:77" ht="27" customHeight="1" thickTop="1" x14ac:dyDescent="0.2">
      <c r="A6" s="723"/>
      <c r="B6" s="724"/>
      <c r="C6" s="724"/>
      <c r="D6" s="724"/>
      <c r="E6" s="724"/>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R6" s="724"/>
      <c r="AS6" s="724"/>
      <c r="AT6" s="724"/>
      <c r="AU6" s="724"/>
      <c r="AV6" s="724"/>
      <c r="AW6" s="724"/>
      <c r="AX6" s="724"/>
      <c r="AY6" s="724"/>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row>
    <row r="7" spans="1:77" ht="22.5" customHeight="1" x14ac:dyDescent="0.2">
      <c r="A7" s="726" t="s">
        <v>477</v>
      </c>
      <c r="B7" s="727">
        <v>355837.03116140142</v>
      </c>
      <c r="C7" s="727">
        <v>360605.04953497002</v>
      </c>
      <c r="D7" s="727">
        <v>364782.5979084057</v>
      </c>
      <c r="E7" s="727">
        <v>347836.52930073522</v>
      </c>
      <c r="F7" s="727">
        <v>398474.36596555047</v>
      </c>
      <c r="G7" s="727">
        <v>389200.51288481901</v>
      </c>
      <c r="H7" s="727">
        <v>349996.3624868911</v>
      </c>
      <c r="I7" s="727">
        <v>374559.74357372645</v>
      </c>
      <c r="J7" s="727">
        <v>374311.56619276927</v>
      </c>
      <c r="K7" s="727">
        <v>375558.9529931749</v>
      </c>
      <c r="L7" s="727">
        <v>387400.46029459574</v>
      </c>
      <c r="M7" s="727">
        <v>396025.74941314518</v>
      </c>
      <c r="N7" s="727">
        <v>397868.12297975575</v>
      </c>
      <c r="O7" s="727">
        <v>391740.02392533404</v>
      </c>
      <c r="P7" s="727">
        <v>362731.64003700012</v>
      </c>
      <c r="Q7" s="727">
        <v>376961.4054074281</v>
      </c>
      <c r="R7" s="727">
        <v>368985.79309799575</v>
      </c>
      <c r="S7" s="727">
        <v>398640.04925210681</v>
      </c>
      <c r="T7" s="727">
        <v>384262.82808588771</v>
      </c>
      <c r="U7" s="727">
        <v>367127.21882008214</v>
      </c>
      <c r="V7" s="727">
        <v>372146.50669052522</v>
      </c>
      <c r="W7" s="727">
        <v>373804.4944400455</v>
      </c>
      <c r="X7" s="727">
        <v>424939.29194978258</v>
      </c>
      <c r="Y7" s="727">
        <v>370755.1153975288</v>
      </c>
      <c r="Z7" s="727">
        <v>348029.36244730791</v>
      </c>
      <c r="AA7" s="727">
        <v>354708.02445732511</v>
      </c>
      <c r="AB7" s="727">
        <v>400460.7283425614</v>
      </c>
      <c r="AC7" s="727">
        <v>400880.36506270594</v>
      </c>
      <c r="AD7" s="727">
        <v>418934.88927327801</v>
      </c>
      <c r="AE7" s="727">
        <v>358615.76786022121</v>
      </c>
      <c r="AF7" s="727">
        <v>391317.48373264505</v>
      </c>
      <c r="AG7" s="727">
        <v>349407.08494980843</v>
      </c>
      <c r="AH7" s="727">
        <v>374495.6656296209</v>
      </c>
      <c r="AI7" s="727">
        <v>394291.12349107314</v>
      </c>
      <c r="AJ7" s="727">
        <v>396660.75575007958</v>
      </c>
      <c r="AK7" s="727">
        <v>401320.90685726877</v>
      </c>
      <c r="AL7" s="727">
        <v>425209.26168858795</v>
      </c>
      <c r="AM7" s="727">
        <v>371958.7623117551</v>
      </c>
      <c r="AN7" s="727">
        <v>396287.87252488441</v>
      </c>
      <c r="AO7" s="727">
        <v>406538.14793432248</v>
      </c>
      <c r="AP7" s="727">
        <v>439271.34989535093</v>
      </c>
      <c r="AQ7" s="728">
        <v>394121.83621676941</v>
      </c>
      <c r="AR7" s="727">
        <v>408187.61987977172</v>
      </c>
      <c r="AS7" s="727">
        <v>388409.770447916</v>
      </c>
      <c r="AT7" s="727">
        <v>381997.94592616044</v>
      </c>
      <c r="AU7" s="727">
        <v>372526.31475613813</v>
      </c>
      <c r="AV7" s="727">
        <v>375922.76888081006</v>
      </c>
      <c r="AW7" s="727">
        <v>396299.89658375003</v>
      </c>
      <c r="AX7" s="727">
        <v>371419.29907392245</v>
      </c>
      <c r="AY7" s="727">
        <v>374464.4740224086</v>
      </c>
      <c r="AZ7" s="729">
        <v>371676.94106507872</v>
      </c>
      <c r="BA7" s="729">
        <v>396120.44744818617</v>
      </c>
      <c r="BB7" s="729">
        <v>383220.66580576624</v>
      </c>
      <c r="BC7" s="729">
        <v>382241.50857958262</v>
      </c>
      <c r="BD7" s="729">
        <v>392334.94110129162</v>
      </c>
      <c r="BE7" s="729">
        <v>409256.21862257965</v>
      </c>
      <c r="BF7" s="729">
        <v>440686.40925503481</v>
      </c>
      <c r="BG7" s="729">
        <v>478691.88928722724</v>
      </c>
      <c r="BH7" s="729">
        <v>440194.91016732703</v>
      </c>
      <c r="BI7" s="729">
        <v>457823.19600778719</v>
      </c>
      <c r="BJ7" s="729">
        <v>476038.28698620788</v>
      </c>
      <c r="BK7" s="729">
        <v>485169.87018662738</v>
      </c>
      <c r="BL7" s="729">
        <v>557980.5835344377</v>
      </c>
      <c r="BM7" s="729">
        <v>567281.29490467883</v>
      </c>
      <c r="BN7" s="729">
        <v>533346.63558336208</v>
      </c>
      <c r="BO7" s="729">
        <v>519851.2626041802</v>
      </c>
      <c r="BP7" s="729">
        <v>529873.89145630517</v>
      </c>
      <c r="BQ7" s="729">
        <v>510245.61552506249</v>
      </c>
      <c r="BR7" s="729">
        <v>505829.92519510188</v>
      </c>
      <c r="BS7" s="729">
        <v>531278.38441134978</v>
      </c>
      <c r="BT7" s="729">
        <v>512635.67167410505</v>
      </c>
      <c r="BU7" s="729">
        <v>529025.54995501973</v>
      </c>
      <c r="BV7" s="729">
        <v>537501.79617460479</v>
      </c>
      <c r="BW7" s="729">
        <v>535959.01879941381</v>
      </c>
      <c r="BX7" s="729">
        <v>507495.62778716203</v>
      </c>
      <c r="BY7" s="729">
        <v>525294.95739611913</v>
      </c>
    </row>
    <row r="8" spans="1:77" ht="22.5" customHeight="1" x14ac:dyDescent="0.2">
      <c r="A8" s="730" t="s">
        <v>527</v>
      </c>
      <c r="B8" s="731">
        <v>620621.837699419</v>
      </c>
      <c r="C8" s="731">
        <v>642060.5751907127</v>
      </c>
      <c r="D8" s="731">
        <v>663429.32725319162</v>
      </c>
      <c r="E8" s="731">
        <v>660270.72395054298</v>
      </c>
      <c r="F8" s="731">
        <v>761396.68320768641</v>
      </c>
      <c r="G8" s="731">
        <v>740816.47303832963</v>
      </c>
      <c r="H8" s="731">
        <v>684450.63034732884</v>
      </c>
      <c r="I8" s="731">
        <v>719711.28924938058</v>
      </c>
      <c r="J8" s="731">
        <v>738966.31493576558</v>
      </c>
      <c r="K8" s="731">
        <v>755773.34799536539</v>
      </c>
      <c r="L8" s="731">
        <v>730427.97133117379</v>
      </c>
      <c r="M8" s="731">
        <v>779836.93405729183</v>
      </c>
      <c r="N8" s="731">
        <v>792904.66706368059</v>
      </c>
      <c r="O8" s="731">
        <v>799241.37941142917</v>
      </c>
      <c r="P8" s="731">
        <v>772002.0620707114</v>
      </c>
      <c r="Q8" s="731">
        <v>833074.86156630307</v>
      </c>
      <c r="R8" s="731">
        <v>760932.48047136737</v>
      </c>
      <c r="S8" s="731">
        <v>819704.2215900477</v>
      </c>
      <c r="T8" s="731">
        <v>792283.31229378958</v>
      </c>
      <c r="U8" s="731">
        <v>769573.7503542318</v>
      </c>
      <c r="V8" s="731">
        <v>849145.78153435339</v>
      </c>
      <c r="W8" s="731">
        <v>825213.0197940846</v>
      </c>
      <c r="X8" s="731">
        <v>854786.67227450153</v>
      </c>
      <c r="Y8" s="731">
        <v>863396.30990770692</v>
      </c>
      <c r="Z8" s="731">
        <v>883499.28029810451</v>
      </c>
      <c r="AA8" s="731">
        <v>924410.43065504672</v>
      </c>
      <c r="AB8" s="731">
        <v>935054.73596600047</v>
      </c>
      <c r="AC8" s="731">
        <v>908344.72760092339</v>
      </c>
      <c r="AD8" s="731">
        <v>941275.38883481221</v>
      </c>
      <c r="AE8" s="731">
        <v>924975.40282542526</v>
      </c>
      <c r="AF8" s="731">
        <v>959761.68273227406</v>
      </c>
      <c r="AG8" s="731">
        <v>911198.20442511863</v>
      </c>
      <c r="AH8" s="731">
        <v>930253.01125973463</v>
      </c>
      <c r="AI8" s="731">
        <v>928154.8538077781</v>
      </c>
      <c r="AJ8" s="731">
        <v>898275.10606672254</v>
      </c>
      <c r="AK8" s="731">
        <v>894597.72456951183</v>
      </c>
      <c r="AL8" s="731">
        <v>924934.29948737414</v>
      </c>
      <c r="AM8" s="731">
        <v>882547.70407548395</v>
      </c>
      <c r="AN8" s="731">
        <v>928446.97753067315</v>
      </c>
      <c r="AO8" s="731">
        <v>912790.97053313814</v>
      </c>
      <c r="AP8" s="731">
        <v>959177.5175875118</v>
      </c>
      <c r="AQ8" s="732">
        <v>938844.08762012294</v>
      </c>
      <c r="AR8" s="731">
        <v>976788.90990477568</v>
      </c>
      <c r="AS8" s="731">
        <v>985906.15371596976</v>
      </c>
      <c r="AT8" s="731">
        <v>969022.04418560036</v>
      </c>
      <c r="AU8" s="731">
        <v>910508.28106427356</v>
      </c>
      <c r="AV8" s="731">
        <v>892613.99100418424</v>
      </c>
      <c r="AW8" s="731">
        <v>876059.88719588786</v>
      </c>
      <c r="AX8" s="731">
        <v>845007.45623206696</v>
      </c>
      <c r="AY8" s="731">
        <v>859611.05145150574</v>
      </c>
      <c r="AZ8" s="733">
        <v>860914.60592225753</v>
      </c>
      <c r="BA8" s="733">
        <v>849298.33911979478</v>
      </c>
      <c r="BB8" s="733">
        <v>835050.76741546381</v>
      </c>
      <c r="BC8" s="733">
        <v>828604.13645683636</v>
      </c>
      <c r="BD8" s="733">
        <v>808813.65900833067</v>
      </c>
      <c r="BE8" s="733">
        <v>800621.00467713946</v>
      </c>
      <c r="BF8" s="733">
        <v>887384.30444940843</v>
      </c>
      <c r="BG8" s="733">
        <v>912144.35875707073</v>
      </c>
      <c r="BH8" s="733">
        <v>878517.23137246759</v>
      </c>
      <c r="BI8" s="733">
        <v>905397.36022433569</v>
      </c>
      <c r="BJ8" s="733">
        <v>916960.50223673228</v>
      </c>
      <c r="BK8" s="733">
        <v>920810.37303620414</v>
      </c>
      <c r="BL8" s="733">
        <v>1038041.4919855945</v>
      </c>
      <c r="BM8" s="733">
        <v>1036792.3627444834</v>
      </c>
      <c r="BN8" s="733">
        <v>975493.7246657362</v>
      </c>
      <c r="BO8" s="733">
        <v>927862.31180934072</v>
      </c>
      <c r="BP8" s="733">
        <v>926438.54991523095</v>
      </c>
      <c r="BQ8" s="733">
        <v>900097.66620323376</v>
      </c>
      <c r="BR8" s="733">
        <v>916352.90531814925</v>
      </c>
      <c r="BS8" s="733">
        <v>912612.24211213284</v>
      </c>
      <c r="BT8" s="733">
        <v>911655.78039476054</v>
      </c>
      <c r="BU8" s="733">
        <v>929831.50141212658</v>
      </c>
      <c r="BV8" s="733">
        <v>966858.45606570574</v>
      </c>
      <c r="BW8" s="733">
        <v>1011226.6658168149</v>
      </c>
      <c r="BX8" s="733">
        <v>902616.91164550767</v>
      </c>
      <c r="BY8" s="733">
        <v>863959.34267702838</v>
      </c>
    </row>
    <row r="9" spans="1:77" ht="22.5" customHeight="1" x14ac:dyDescent="0.2">
      <c r="A9" s="730" t="s">
        <v>528</v>
      </c>
      <c r="B9" s="731">
        <v>-264784.80653801758</v>
      </c>
      <c r="C9" s="731">
        <v>-281455.52565574268</v>
      </c>
      <c r="D9" s="731">
        <v>-298646.72934478591</v>
      </c>
      <c r="E9" s="731">
        <v>-312434.19464980776</v>
      </c>
      <c r="F9" s="731">
        <v>-362922.31724213593</v>
      </c>
      <c r="G9" s="731">
        <v>-351615.96015351062</v>
      </c>
      <c r="H9" s="731">
        <v>-334454.26786043774</v>
      </c>
      <c r="I9" s="731">
        <v>-345151.54567565414</v>
      </c>
      <c r="J9" s="731">
        <v>-364654.74874299631</v>
      </c>
      <c r="K9" s="731">
        <v>-380214.39500219049</v>
      </c>
      <c r="L9" s="731">
        <v>-343027.51103657804</v>
      </c>
      <c r="M9" s="731">
        <v>-383811.18464414665</v>
      </c>
      <c r="N9" s="731">
        <v>-395036.54408392485</v>
      </c>
      <c r="O9" s="731">
        <v>-407501.35548609513</v>
      </c>
      <c r="P9" s="731">
        <v>-409270.42203371128</v>
      </c>
      <c r="Q9" s="731">
        <v>-456113.45615887496</v>
      </c>
      <c r="R9" s="731">
        <v>-391946.68737337162</v>
      </c>
      <c r="S9" s="731">
        <v>-421064.17233794089</v>
      </c>
      <c r="T9" s="731">
        <v>-408020.48420790187</v>
      </c>
      <c r="U9" s="731">
        <v>-402446.53153414966</v>
      </c>
      <c r="V9" s="731">
        <v>-476999.27484382817</v>
      </c>
      <c r="W9" s="731">
        <v>-451408.5253540391</v>
      </c>
      <c r="X9" s="731">
        <v>-429847.38032471895</v>
      </c>
      <c r="Y9" s="731">
        <v>-492641.19451017812</v>
      </c>
      <c r="Z9" s="731">
        <v>-535469.9178507966</v>
      </c>
      <c r="AA9" s="731">
        <v>-569702.4061977216</v>
      </c>
      <c r="AB9" s="731">
        <v>-534594.00762343907</v>
      </c>
      <c r="AC9" s="731">
        <v>-507464.36253821745</v>
      </c>
      <c r="AD9" s="731">
        <v>-522340.4995615342</v>
      </c>
      <c r="AE9" s="731">
        <v>-566359.63496520405</v>
      </c>
      <c r="AF9" s="731">
        <v>-568444.19899962901</v>
      </c>
      <c r="AG9" s="731">
        <v>-561791.1194753102</v>
      </c>
      <c r="AH9" s="731">
        <v>-555757.34563011373</v>
      </c>
      <c r="AI9" s="731">
        <v>-533863.73031670495</v>
      </c>
      <c r="AJ9" s="731">
        <v>-501614.35031664296</v>
      </c>
      <c r="AK9" s="731">
        <v>-493276.81771224306</v>
      </c>
      <c r="AL9" s="731">
        <v>-499725.03779878619</v>
      </c>
      <c r="AM9" s="731">
        <v>-510588.94176372886</v>
      </c>
      <c r="AN9" s="731">
        <v>-532159.10500578873</v>
      </c>
      <c r="AO9" s="731">
        <v>-506252.82259881566</v>
      </c>
      <c r="AP9" s="731">
        <v>-519906.16769216087</v>
      </c>
      <c r="AQ9" s="732">
        <v>-544722.25140335353</v>
      </c>
      <c r="AR9" s="731">
        <v>-568601.29002500395</v>
      </c>
      <c r="AS9" s="731">
        <v>-597496.38326805376</v>
      </c>
      <c r="AT9" s="731">
        <v>-587024.09825943992</v>
      </c>
      <c r="AU9" s="731">
        <v>-537981.96630813542</v>
      </c>
      <c r="AV9" s="731">
        <v>-516691.22212337417</v>
      </c>
      <c r="AW9" s="731">
        <v>-479759.99061213783</v>
      </c>
      <c r="AX9" s="731">
        <v>-473588.15715814452</v>
      </c>
      <c r="AY9" s="731">
        <v>-485146.57742909715</v>
      </c>
      <c r="AZ9" s="733">
        <v>-489237.66485717881</v>
      </c>
      <c r="BA9" s="733">
        <v>-453177.89167160861</v>
      </c>
      <c r="BB9" s="733">
        <v>-451830.10160969757</v>
      </c>
      <c r="BC9" s="733">
        <v>-446362.62787725375</v>
      </c>
      <c r="BD9" s="733">
        <v>-416478.71790703904</v>
      </c>
      <c r="BE9" s="733">
        <v>-391364.78605455981</v>
      </c>
      <c r="BF9" s="733">
        <v>-446697.89519437362</v>
      </c>
      <c r="BG9" s="733">
        <v>-433452.46946984349</v>
      </c>
      <c r="BH9" s="733">
        <v>-438322.32120514056</v>
      </c>
      <c r="BI9" s="733">
        <v>-447574.1642165485</v>
      </c>
      <c r="BJ9" s="733">
        <v>-440922.2152505244</v>
      </c>
      <c r="BK9" s="733">
        <v>-435640.50284957676</v>
      </c>
      <c r="BL9" s="733">
        <v>-480060.90845115687</v>
      </c>
      <c r="BM9" s="733">
        <v>-469511.06783980451</v>
      </c>
      <c r="BN9" s="733">
        <v>-442147.08908237406</v>
      </c>
      <c r="BO9" s="733">
        <v>-408011.04920516053</v>
      </c>
      <c r="BP9" s="733">
        <v>-396564.65845892578</v>
      </c>
      <c r="BQ9" s="733">
        <v>-389852.05067817128</v>
      </c>
      <c r="BR9" s="733">
        <v>-410522.98012304737</v>
      </c>
      <c r="BS9" s="733">
        <v>-381333.85770078306</v>
      </c>
      <c r="BT9" s="733">
        <v>-399020.10872065549</v>
      </c>
      <c r="BU9" s="733">
        <v>-400805.9514571068</v>
      </c>
      <c r="BV9" s="733">
        <v>-429356.65989110095</v>
      </c>
      <c r="BW9" s="733">
        <v>-475267.64701740106</v>
      </c>
      <c r="BX9" s="733">
        <v>-395121.28385834565</v>
      </c>
      <c r="BY9" s="733">
        <v>-338664.38528090919</v>
      </c>
    </row>
    <row r="10" spans="1:77" ht="22.5" customHeight="1" x14ac:dyDescent="0.2">
      <c r="A10" s="730"/>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2"/>
      <c r="AR10" s="731"/>
      <c r="AS10" s="731"/>
      <c r="AT10" s="731"/>
      <c r="AU10" s="731"/>
      <c r="AV10" s="731"/>
      <c r="AW10" s="731"/>
      <c r="AX10" s="731"/>
      <c r="AY10" s="731"/>
      <c r="AZ10" s="733"/>
      <c r="BA10" s="733"/>
      <c r="BB10" s="733"/>
      <c r="BC10" s="733"/>
      <c r="BD10" s="733"/>
      <c r="BE10" s="733"/>
      <c r="BF10" s="733"/>
      <c r="BG10" s="733"/>
      <c r="BH10" s="733"/>
      <c r="BI10" s="733"/>
      <c r="BJ10" s="733"/>
      <c r="BK10" s="733"/>
      <c r="BL10" s="733"/>
      <c r="BM10" s="733"/>
      <c r="BN10" s="733"/>
      <c r="BO10" s="733"/>
      <c r="BP10" s="733"/>
      <c r="BQ10" s="733"/>
      <c r="BR10" s="733"/>
      <c r="BS10" s="733"/>
      <c r="BT10" s="733"/>
      <c r="BU10" s="733"/>
      <c r="BV10" s="733"/>
      <c r="BW10" s="733"/>
      <c r="BX10" s="733"/>
      <c r="BY10" s="733"/>
    </row>
    <row r="11" spans="1:77" ht="22.5" customHeight="1" x14ac:dyDescent="0.2">
      <c r="A11" s="726" t="s">
        <v>529</v>
      </c>
      <c r="B11" s="727">
        <v>279157.43526341411</v>
      </c>
      <c r="C11" s="727">
        <v>279902.18730475899</v>
      </c>
      <c r="D11" s="727">
        <v>282179.07488706929</v>
      </c>
      <c r="E11" s="727">
        <v>284293.81727101858</v>
      </c>
      <c r="F11" s="727">
        <v>296063.50983825832</v>
      </c>
      <c r="G11" s="727">
        <v>299764.75971159729</v>
      </c>
      <c r="H11" s="727">
        <v>296640.42558030994</v>
      </c>
      <c r="I11" s="727">
        <v>300612.49926796101</v>
      </c>
      <c r="J11" s="727">
        <v>299807.49843978824</v>
      </c>
      <c r="K11" s="727">
        <v>303317.11869252042</v>
      </c>
      <c r="L11" s="727">
        <v>303677.90454960323</v>
      </c>
      <c r="M11" s="727">
        <v>308854.78865813417</v>
      </c>
      <c r="N11" s="727">
        <v>308512.13633570104</v>
      </c>
      <c r="O11" s="727">
        <v>311686.10395471088</v>
      </c>
      <c r="P11" s="727">
        <v>308500.08114763151</v>
      </c>
      <c r="Q11" s="727">
        <v>314422.51627656468</v>
      </c>
      <c r="R11" s="727">
        <v>316255.17832025024</v>
      </c>
      <c r="S11" s="727">
        <v>321674.97265262774</v>
      </c>
      <c r="T11" s="727">
        <v>324724.43733242183</v>
      </c>
      <c r="U11" s="727">
        <v>328612.74738128798</v>
      </c>
      <c r="V11" s="727">
        <v>332325.67400211346</v>
      </c>
      <c r="W11" s="727">
        <v>340868.64420603361</v>
      </c>
      <c r="X11" s="727">
        <v>342247.0393485669</v>
      </c>
      <c r="Y11" s="727">
        <v>341302.03157849319</v>
      </c>
      <c r="Z11" s="727">
        <v>339250.52614897164</v>
      </c>
      <c r="AA11" s="727">
        <v>340559.42007212853</v>
      </c>
      <c r="AB11" s="727">
        <v>346267.88169898256</v>
      </c>
      <c r="AC11" s="727">
        <v>351086.9632465397</v>
      </c>
      <c r="AD11" s="727">
        <v>358110.97389489633</v>
      </c>
      <c r="AE11" s="727">
        <v>367426.84619048331</v>
      </c>
      <c r="AF11" s="727">
        <v>368866.51602499024</v>
      </c>
      <c r="AG11" s="727">
        <v>371601.85832135472</v>
      </c>
      <c r="AH11" s="727">
        <v>376240.38390320149</v>
      </c>
      <c r="AI11" s="727">
        <v>380541.05354163487</v>
      </c>
      <c r="AJ11" s="727">
        <v>380895.71790494601</v>
      </c>
      <c r="AK11" s="727">
        <v>391021.90605307498</v>
      </c>
      <c r="AL11" s="727">
        <v>390670.56807425956</v>
      </c>
      <c r="AM11" s="727">
        <v>399383.58689828479</v>
      </c>
      <c r="AN11" s="727">
        <v>397812.20158805221</v>
      </c>
      <c r="AO11" s="727">
        <v>400652.288198361</v>
      </c>
      <c r="AP11" s="727">
        <v>395570.16558570298</v>
      </c>
      <c r="AQ11" s="728">
        <v>395942.4653156143</v>
      </c>
      <c r="AR11" s="727">
        <v>410710.68947570113</v>
      </c>
      <c r="AS11" s="727">
        <v>434803.77510363708</v>
      </c>
      <c r="AT11" s="727">
        <v>438731.62484525517</v>
      </c>
      <c r="AU11" s="727">
        <v>432771.08952404722</v>
      </c>
      <c r="AV11" s="727">
        <v>438650.54830013338</v>
      </c>
      <c r="AW11" s="727">
        <v>448174.55755044182</v>
      </c>
      <c r="AX11" s="727">
        <v>432659.16859272541</v>
      </c>
      <c r="AY11" s="727">
        <v>435872.06325177965</v>
      </c>
      <c r="AZ11" s="729">
        <v>438794.36667353794</v>
      </c>
      <c r="BA11" s="729">
        <v>436791.86512686458</v>
      </c>
      <c r="BB11" s="729">
        <v>433904.52131419996</v>
      </c>
      <c r="BC11" s="729">
        <v>426481.2387282523</v>
      </c>
      <c r="BD11" s="729">
        <v>424753.43668848957</v>
      </c>
      <c r="BE11" s="729">
        <v>422782.09021782037</v>
      </c>
      <c r="BF11" s="729">
        <v>424432.75786045159</v>
      </c>
      <c r="BG11" s="729">
        <v>433513.12745475303</v>
      </c>
      <c r="BH11" s="729">
        <v>445774.56219516002</v>
      </c>
      <c r="BI11" s="729">
        <v>446806.05883179465</v>
      </c>
      <c r="BJ11" s="729">
        <v>448085.98648171197</v>
      </c>
      <c r="BK11" s="729">
        <v>453039.65448491456</v>
      </c>
      <c r="BL11" s="729">
        <v>462016.85014535341</v>
      </c>
      <c r="BM11" s="729">
        <v>453100.31442233932</v>
      </c>
      <c r="BN11" s="729">
        <v>455669.89973050688</v>
      </c>
      <c r="BO11" s="729">
        <v>460964.59352379234</v>
      </c>
      <c r="BP11" s="729">
        <v>457660.44371404528</v>
      </c>
      <c r="BQ11" s="729">
        <v>468206.30692897696</v>
      </c>
      <c r="BR11" s="729">
        <v>470299.62216953328</v>
      </c>
      <c r="BS11" s="729">
        <v>472536.80479119642</v>
      </c>
      <c r="BT11" s="729">
        <v>474021.19892477209</v>
      </c>
      <c r="BU11" s="729">
        <v>476652.57141140406</v>
      </c>
      <c r="BV11" s="729">
        <v>484602.15391861094</v>
      </c>
      <c r="BW11" s="729">
        <v>485210.16754143103</v>
      </c>
      <c r="BX11" s="729">
        <v>482473.0677796384</v>
      </c>
      <c r="BY11" s="729">
        <v>479939.84246103466</v>
      </c>
    </row>
    <row r="12" spans="1:77" ht="22.5" customHeight="1" x14ac:dyDescent="0.2">
      <c r="A12" s="726" t="s">
        <v>530</v>
      </c>
      <c r="B12" s="727">
        <v>30107.789499937426</v>
      </c>
      <c r="C12" s="727">
        <v>31094.415139565437</v>
      </c>
      <c r="D12" s="727">
        <v>30962.734737710922</v>
      </c>
      <c r="E12" s="727">
        <v>31722.669563358046</v>
      </c>
      <c r="F12" s="727">
        <v>32291.245409282688</v>
      </c>
      <c r="G12" s="727">
        <v>32190.982644318014</v>
      </c>
      <c r="H12" s="727">
        <v>30094.231303218698</v>
      </c>
      <c r="I12" s="727">
        <v>28685.302738552564</v>
      </c>
      <c r="J12" s="727">
        <v>27202.292881792397</v>
      </c>
      <c r="K12" s="727">
        <v>28366.741870910639</v>
      </c>
      <c r="L12" s="727">
        <v>26731.423608776124</v>
      </c>
      <c r="M12" s="727">
        <v>29842.888080704441</v>
      </c>
      <c r="N12" s="727">
        <v>29586.633266821049</v>
      </c>
      <c r="O12" s="727">
        <v>29891.802077865286</v>
      </c>
      <c r="P12" s="727">
        <v>25947.623236333398</v>
      </c>
      <c r="Q12" s="727">
        <v>27891.315556650741</v>
      </c>
      <c r="R12" s="727">
        <v>27836.315869896483</v>
      </c>
      <c r="S12" s="727">
        <v>29550.652640857745</v>
      </c>
      <c r="T12" s="727">
        <v>28814.146909541632</v>
      </c>
      <c r="U12" s="727">
        <v>29743.461993769037</v>
      </c>
      <c r="V12" s="727">
        <v>28007.929026793463</v>
      </c>
      <c r="W12" s="727">
        <v>27848.917471561232</v>
      </c>
      <c r="X12" s="727">
        <v>30798.478573031363</v>
      </c>
      <c r="Y12" s="727">
        <v>30173.425683765061</v>
      </c>
      <c r="Z12" s="727">
        <v>27635.564013278301</v>
      </c>
      <c r="AA12" s="727">
        <v>28505.675546840474</v>
      </c>
      <c r="AB12" s="727">
        <v>30015.249470331852</v>
      </c>
      <c r="AC12" s="727">
        <v>28849.601820639546</v>
      </c>
      <c r="AD12" s="727">
        <v>29685.935308031258</v>
      </c>
      <c r="AE12" s="727">
        <v>27434.626315896196</v>
      </c>
      <c r="AF12" s="727">
        <v>24564.372512824608</v>
      </c>
      <c r="AG12" s="727">
        <v>24843.929419416796</v>
      </c>
      <c r="AH12" s="727">
        <v>26903.079659206087</v>
      </c>
      <c r="AI12" s="727">
        <v>26692.130185590468</v>
      </c>
      <c r="AJ12" s="727">
        <v>23489.867346898696</v>
      </c>
      <c r="AK12" s="727">
        <v>26748.267328989139</v>
      </c>
      <c r="AL12" s="727">
        <v>24970.557388426183</v>
      </c>
      <c r="AM12" s="727">
        <v>27360.03419733396</v>
      </c>
      <c r="AN12" s="727">
        <v>28048.947249844314</v>
      </c>
      <c r="AO12" s="727">
        <v>27103.25020048616</v>
      </c>
      <c r="AP12" s="727">
        <v>23704.250976455427</v>
      </c>
      <c r="AQ12" s="728">
        <v>24490.234397729691</v>
      </c>
      <c r="AR12" s="727">
        <v>29194.044954404722</v>
      </c>
      <c r="AS12" s="727">
        <v>31589.148616054386</v>
      </c>
      <c r="AT12" s="727">
        <v>28878.627380932827</v>
      </c>
      <c r="AU12" s="727">
        <v>29438.984456836901</v>
      </c>
      <c r="AV12" s="727">
        <v>32222.328507304621</v>
      </c>
      <c r="AW12" s="727">
        <v>34759.046630821162</v>
      </c>
      <c r="AX12" s="727">
        <v>34060.323408110286</v>
      </c>
      <c r="AY12" s="727">
        <v>34817.594275368436</v>
      </c>
      <c r="AZ12" s="729">
        <v>35853.595180281867</v>
      </c>
      <c r="BA12" s="729">
        <v>32821.366597128312</v>
      </c>
      <c r="BB12" s="729">
        <v>35817.305316602033</v>
      </c>
      <c r="BC12" s="729">
        <v>34503.982019541334</v>
      </c>
      <c r="BD12" s="729">
        <v>34366.650950250732</v>
      </c>
      <c r="BE12" s="729">
        <v>33649.017850934637</v>
      </c>
      <c r="BF12" s="729">
        <v>34106.491150883034</v>
      </c>
      <c r="BG12" s="729">
        <v>38799.438567599893</v>
      </c>
      <c r="BH12" s="729">
        <v>42147.937072095498</v>
      </c>
      <c r="BI12" s="729">
        <v>44771.483064227883</v>
      </c>
      <c r="BJ12" s="729">
        <v>45036.202349362313</v>
      </c>
      <c r="BK12" s="729">
        <v>46331.067374710321</v>
      </c>
      <c r="BL12" s="729">
        <v>41183.321744285538</v>
      </c>
      <c r="BM12" s="729">
        <v>43101.216780224531</v>
      </c>
      <c r="BN12" s="729">
        <v>45620.751845429135</v>
      </c>
      <c r="BO12" s="729">
        <v>46467.822872853132</v>
      </c>
      <c r="BP12" s="729">
        <v>41800.329991954648</v>
      </c>
      <c r="BQ12" s="729">
        <v>43686.775365199937</v>
      </c>
      <c r="BR12" s="729">
        <v>43681.973409324011</v>
      </c>
      <c r="BS12" s="729">
        <v>44899.085888896509</v>
      </c>
      <c r="BT12" s="729">
        <v>43210.837423796285</v>
      </c>
      <c r="BU12" s="729">
        <v>41980.48434305824</v>
      </c>
      <c r="BV12" s="729">
        <v>45398.624617775509</v>
      </c>
      <c r="BW12" s="729">
        <v>45850.184701248836</v>
      </c>
      <c r="BX12" s="729">
        <v>47471.770916704685</v>
      </c>
      <c r="BY12" s="729">
        <v>48841.163122945538</v>
      </c>
    </row>
    <row r="13" spans="1:77" ht="22.5" customHeight="1" x14ac:dyDescent="0.2">
      <c r="A13" s="730" t="s">
        <v>531</v>
      </c>
      <c r="B13" s="731">
        <v>62247.449598796695</v>
      </c>
      <c r="C13" s="731">
        <v>62078.627513342202</v>
      </c>
      <c r="D13" s="731">
        <v>58621.628512086099</v>
      </c>
      <c r="E13" s="731">
        <v>61059.940191024194</v>
      </c>
      <c r="F13" s="731">
        <v>62075.973603945691</v>
      </c>
      <c r="G13" s="731">
        <v>63451.930288277792</v>
      </c>
      <c r="H13" s="731">
        <v>60329.759144688702</v>
      </c>
      <c r="I13" s="731">
        <v>59364.753885714301</v>
      </c>
      <c r="J13" s="731">
        <v>58071.370773454997</v>
      </c>
      <c r="K13" s="731">
        <v>58355.757920710188</v>
      </c>
      <c r="L13" s="731">
        <v>60527.158519901997</v>
      </c>
      <c r="M13" s="731">
        <v>63181.795107204591</v>
      </c>
      <c r="N13" s="731">
        <v>60527.455175031791</v>
      </c>
      <c r="O13" s="731">
        <v>59228.258593532999</v>
      </c>
      <c r="P13" s="731">
        <v>59090.206294092699</v>
      </c>
      <c r="Q13" s="731">
        <v>59977.721164235802</v>
      </c>
      <c r="R13" s="731">
        <v>59610.460310873001</v>
      </c>
      <c r="S13" s="731">
        <v>59154.092239929996</v>
      </c>
      <c r="T13" s="731">
        <v>60056.864967213296</v>
      </c>
      <c r="U13" s="731">
        <v>58790.068792390397</v>
      </c>
      <c r="V13" s="731">
        <v>58238.144413407193</v>
      </c>
      <c r="W13" s="731">
        <v>60426.469304216494</v>
      </c>
      <c r="X13" s="731">
        <v>60787.891064987001</v>
      </c>
      <c r="Y13" s="731">
        <v>60487.665919956497</v>
      </c>
      <c r="Z13" s="731">
        <v>61557.747562835895</v>
      </c>
      <c r="AA13" s="731">
        <v>60765.079328507403</v>
      </c>
      <c r="AB13" s="731">
        <v>62239.532246027207</v>
      </c>
      <c r="AC13" s="731">
        <v>61389.677588403494</v>
      </c>
      <c r="AD13" s="731">
        <v>62491.376489843897</v>
      </c>
      <c r="AE13" s="731">
        <v>62494.342657425601</v>
      </c>
      <c r="AF13" s="731">
        <v>60676.384979231101</v>
      </c>
      <c r="AG13" s="731">
        <v>61284.490368013096</v>
      </c>
      <c r="AH13" s="731">
        <v>60724.533443126398</v>
      </c>
      <c r="AI13" s="731">
        <v>61380.022424516697</v>
      </c>
      <c r="AJ13" s="731">
        <v>61423.613334974791</v>
      </c>
      <c r="AK13" s="731">
        <v>61251.304019367759</v>
      </c>
      <c r="AL13" s="731">
        <v>61263.400885697803</v>
      </c>
      <c r="AM13" s="731">
        <v>61529.145957104425</v>
      </c>
      <c r="AN13" s="731">
        <v>63129.123083022227</v>
      </c>
      <c r="AO13" s="731">
        <v>63466.015183915326</v>
      </c>
      <c r="AP13" s="731">
        <v>63704.506322416666</v>
      </c>
      <c r="AQ13" s="732">
        <v>63203.108327341819</v>
      </c>
      <c r="AR13" s="731">
        <v>64822.12292138319</v>
      </c>
      <c r="AS13" s="731">
        <v>65926.752736681025</v>
      </c>
      <c r="AT13" s="731">
        <v>66073.018351476101</v>
      </c>
      <c r="AU13" s="731">
        <v>65758.897825785491</v>
      </c>
      <c r="AV13" s="731">
        <v>65415.171107779017</v>
      </c>
      <c r="AW13" s="731">
        <v>65605.505796377416</v>
      </c>
      <c r="AX13" s="731">
        <v>66551.458848736744</v>
      </c>
      <c r="AY13" s="731">
        <v>67604.386516305123</v>
      </c>
      <c r="AZ13" s="733">
        <v>68621.399317399613</v>
      </c>
      <c r="BA13" s="733">
        <v>70840.141138037405</v>
      </c>
      <c r="BB13" s="733">
        <v>71998.040262357157</v>
      </c>
      <c r="BC13" s="733">
        <v>74354.521860141191</v>
      </c>
      <c r="BD13" s="733">
        <v>73234.580482455189</v>
      </c>
      <c r="BE13" s="733">
        <v>73327.151453633298</v>
      </c>
      <c r="BF13" s="733">
        <v>76768.800994352248</v>
      </c>
      <c r="BG13" s="733">
        <v>77874.862711564187</v>
      </c>
      <c r="BH13" s="733">
        <v>78752.340945559976</v>
      </c>
      <c r="BI13" s="733">
        <v>78031.361701802191</v>
      </c>
      <c r="BJ13" s="733">
        <v>77528.589770499922</v>
      </c>
      <c r="BK13" s="733">
        <v>79381.825628767183</v>
      </c>
      <c r="BL13" s="733">
        <v>76119.444514248302</v>
      </c>
      <c r="BM13" s="733">
        <v>77936.359502880121</v>
      </c>
      <c r="BN13" s="733">
        <v>80582.376572562702</v>
      </c>
      <c r="BO13" s="733">
        <v>79660.203736832802</v>
      </c>
      <c r="BP13" s="733">
        <v>80243.409042005049</v>
      </c>
      <c r="BQ13" s="733">
        <v>81390.677323702243</v>
      </c>
      <c r="BR13" s="733">
        <v>81976.1600052555</v>
      </c>
      <c r="BS13" s="733">
        <v>82520.431271130583</v>
      </c>
      <c r="BT13" s="733">
        <v>84704.102306069966</v>
      </c>
      <c r="BU13" s="733">
        <v>83459.750784959266</v>
      </c>
      <c r="BV13" s="733">
        <v>82749.414779706305</v>
      </c>
      <c r="BW13" s="733">
        <v>86031.946997018487</v>
      </c>
      <c r="BX13" s="733">
        <v>89542.679573455098</v>
      </c>
      <c r="BY13" s="733">
        <v>92761.399843975669</v>
      </c>
    </row>
    <row r="14" spans="1:77" ht="22.5" customHeight="1" x14ac:dyDescent="0.2">
      <c r="A14" s="730" t="s">
        <v>532</v>
      </c>
      <c r="B14" s="731">
        <v>-32139.660098859269</v>
      </c>
      <c r="C14" s="731">
        <v>-30984.212373776765</v>
      </c>
      <c r="D14" s="731">
        <v>-27658.893774375178</v>
      </c>
      <c r="E14" s="731">
        <v>-29337.270627666148</v>
      </c>
      <c r="F14" s="731">
        <v>-29784.728194663003</v>
      </c>
      <c r="G14" s="731">
        <v>-31260.947643959778</v>
      </c>
      <c r="H14" s="731">
        <v>-30235.527841470004</v>
      </c>
      <c r="I14" s="731">
        <v>-30679.451147161737</v>
      </c>
      <c r="J14" s="731">
        <v>-30869.0778916626</v>
      </c>
      <c r="K14" s="731">
        <v>-29989.016049799549</v>
      </c>
      <c r="L14" s="731">
        <v>-33795.734911125874</v>
      </c>
      <c r="M14" s="731">
        <v>-33338.90702650015</v>
      </c>
      <c r="N14" s="731">
        <v>-30940.821908210743</v>
      </c>
      <c r="O14" s="731">
        <v>-29336.456515667713</v>
      </c>
      <c r="P14" s="731">
        <v>-33142.583057759301</v>
      </c>
      <c r="Q14" s="731">
        <v>-32086.40560758506</v>
      </c>
      <c r="R14" s="731">
        <v>-31774.144440976517</v>
      </c>
      <c r="S14" s="731">
        <v>-29603.439599072251</v>
      </c>
      <c r="T14" s="731">
        <v>-31242.718057671664</v>
      </c>
      <c r="U14" s="731">
        <v>-29046.60679862136</v>
      </c>
      <c r="V14" s="731">
        <v>-30230.215386613731</v>
      </c>
      <c r="W14" s="731">
        <v>-32577.551832655263</v>
      </c>
      <c r="X14" s="731">
        <v>-29989.412491955638</v>
      </c>
      <c r="Y14" s="731">
        <v>-30314.240236191436</v>
      </c>
      <c r="Z14" s="731">
        <v>-33922.183549557594</v>
      </c>
      <c r="AA14" s="731">
        <v>-32259.40378166693</v>
      </c>
      <c r="AB14" s="731">
        <v>-32224.282775695356</v>
      </c>
      <c r="AC14" s="731">
        <v>-32540.075767763949</v>
      </c>
      <c r="AD14" s="731">
        <v>-32805.441181812639</v>
      </c>
      <c r="AE14" s="731">
        <v>-35059.716341529405</v>
      </c>
      <c r="AF14" s="731">
        <v>-36112.012466406493</v>
      </c>
      <c r="AG14" s="731">
        <v>-36440.5609485963</v>
      </c>
      <c r="AH14" s="731">
        <v>-33821.453783920311</v>
      </c>
      <c r="AI14" s="731">
        <v>-34687.89223892623</v>
      </c>
      <c r="AJ14" s="731">
        <v>-37933.745988076094</v>
      </c>
      <c r="AK14" s="731">
        <v>-34503.03669037862</v>
      </c>
      <c r="AL14" s="731">
        <v>-36292.84349727162</v>
      </c>
      <c r="AM14" s="731">
        <v>-34169.111759770465</v>
      </c>
      <c r="AN14" s="731">
        <v>-35080.175833177913</v>
      </c>
      <c r="AO14" s="731">
        <v>-36362.764983429166</v>
      </c>
      <c r="AP14" s="731">
        <v>-40000.255345961239</v>
      </c>
      <c r="AQ14" s="732">
        <v>-38712.873929612128</v>
      </c>
      <c r="AR14" s="731">
        <v>-35628.077966978468</v>
      </c>
      <c r="AS14" s="731">
        <v>-34337.604120626638</v>
      </c>
      <c r="AT14" s="731">
        <v>-37194.390970543274</v>
      </c>
      <c r="AU14" s="731">
        <v>-36319.91336894859</v>
      </c>
      <c r="AV14" s="731">
        <v>-33192.842600474396</v>
      </c>
      <c r="AW14" s="731">
        <v>-30846.459165556254</v>
      </c>
      <c r="AX14" s="731">
        <v>-32491.135440626458</v>
      </c>
      <c r="AY14" s="731">
        <v>-32786.792240936687</v>
      </c>
      <c r="AZ14" s="733">
        <v>-32767.804137117746</v>
      </c>
      <c r="BA14" s="733">
        <v>-38018.774540909093</v>
      </c>
      <c r="BB14" s="733">
        <v>-36180.734945755124</v>
      </c>
      <c r="BC14" s="733">
        <v>-39850.539840599857</v>
      </c>
      <c r="BD14" s="733">
        <v>-38867.929532204456</v>
      </c>
      <c r="BE14" s="733">
        <v>-39678.133602698661</v>
      </c>
      <c r="BF14" s="733">
        <v>-42662.309843469215</v>
      </c>
      <c r="BG14" s="733">
        <v>-39075.424143964294</v>
      </c>
      <c r="BH14" s="733">
        <v>-36604.403873464478</v>
      </c>
      <c r="BI14" s="733">
        <v>-33259.878637574308</v>
      </c>
      <c r="BJ14" s="733">
        <v>-32492.38742113761</v>
      </c>
      <c r="BK14" s="733">
        <v>-33050.758254056862</v>
      </c>
      <c r="BL14" s="733">
        <v>-34936.122769962763</v>
      </c>
      <c r="BM14" s="733">
        <v>-34835.14272265559</v>
      </c>
      <c r="BN14" s="733">
        <v>-34961.624727133567</v>
      </c>
      <c r="BO14" s="733">
        <v>-33192.38086397967</v>
      </c>
      <c r="BP14" s="733">
        <v>-38443.079050050401</v>
      </c>
      <c r="BQ14" s="733">
        <v>-37703.901958502305</v>
      </c>
      <c r="BR14" s="733">
        <v>-38294.186595931489</v>
      </c>
      <c r="BS14" s="733">
        <v>-37621.345382234074</v>
      </c>
      <c r="BT14" s="733">
        <v>-41493.264882273681</v>
      </c>
      <c r="BU14" s="733">
        <v>-41479.266441901025</v>
      </c>
      <c r="BV14" s="733">
        <v>-37350.790161930796</v>
      </c>
      <c r="BW14" s="733">
        <v>-40181.762295769651</v>
      </c>
      <c r="BX14" s="733">
        <v>-42070.908656750413</v>
      </c>
      <c r="BY14" s="733">
        <v>-43920.236721030131</v>
      </c>
    </row>
    <row r="15" spans="1:77" ht="22.5" customHeight="1" x14ac:dyDescent="0.2">
      <c r="A15" s="726" t="s">
        <v>533</v>
      </c>
      <c r="B15" s="727">
        <v>249049.64576347667</v>
      </c>
      <c r="C15" s="727">
        <v>248807.77216519357</v>
      </c>
      <c r="D15" s="727">
        <v>251216.34014935835</v>
      </c>
      <c r="E15" s="727">
        <v>252571.14770766054</v>
      </c>
      <c r="F15" s="727">
        <v>263772.26442897564</v>
      </c>
      <c r="G15" s="727">
        <v>267573.77706727927</v>
      </c>
      <c r="H15" s="727">
        <v>266546.19427709124</v>
      </c>
      <c r="I15" s="727">
        <v>271927.19652940845</v>
      </c>
      <c r="J15" s="727">
        <v>272605.20555799583</v>
      </c>
      <c r="K15" s="727">
        <v>274950.3768216098</v>
      </c>
      <c r="L15" s="727">
        <v>276946.48094082711</v>
      </c>
      <c r="M15" s="727">
        <v>279011.90057742974</v>
      </c>
      <c r="N15" s="727">
        <v>278925.50306888</v>
      </c>
      <c r="O15" s="727">
        <v>281794.30187684559</v>
      </c>
      <c r="P15" s="727">
        <v>282552.45791129809</v>
      </c>
      <c r="Q15" s="727">
        <v>286531.20071991393</v>
      </c>
      <c r="R15" s="727">
        <v>288418.86245035374</v>
      </c>
      <c r="S15" s="727">
        <v>292124.32001177</v>
      </c>
      <c r="T15" s="727">
        <v>295910.29042288021</v>
      </c>
      <c r="U15" s="727">
        <v>298869.28538751893</v>
      </c>
      <c r="V15" s="727">
        <v>304317.74497532001</v>
      </c>
      <c r="W15" s="727">
        <v>313019.72673447238</v>
      </c>
      <c r="X15" s="727">
        <v>311448.56077553553</v>
      </c>
      <c r="Y15" s="727">
        <v>311128.60589472816</v>
      </c>
      <c r="Z15" s="727">
        <v>311614.96213569335</v>
      </c>
      <c r="AA15" s="727">
        <v>312053.74452528806</v>
      </c>
      <c r="AB15" s="727">
        <v>316252.63222865073</v>
      </c>
      <c r="AC15" s="727">
        <v>322237.36142590013</v>
      </c>
      <c r="AD15" s="727">
        <v>328425.03858686506</v>
      </c>
      <c r="AE15" s="727">
        <v>339992.21987458714</v>
      </c>
      <c r="AF15" s="727">
        <v>344302.14351216564</v>
      </c>
      <c r="AG15" s="727">
        <v>346757.92890193791</v>
      </c>
      <c r="AH15" s="727">
        <v>349337.3042439954</v>
      </c>
      <c r="AI15" s="727">
        <v>353848.9233560444</v>
      </c>
      <c r="AJ15" s="727">
        <v>357405.8505580473</v>
      </c>
      <c r="AK15" s="727">
        <v>364273.63872408582</v>
      </c>
      <c r="AL15" s="727">
        <v>365700.0106858334</v>
      </c>
      <c r="AM15" s="727">
        <v>372023.55270095082</v>
      </c>
      <c r="AN15" s="727">
        <v>369763.25433820789</v>
      </c>
      <c r="AO15" s="727">
        <v>373549.03799787484</v>
      </c>
      <c r="AP15" s="727">
        <v>371865.91460924759</v>
      </c>
      <c r="AQ15" s="728">
        <v>371452.23091788462</v>
      </c>
      <c r="AR15" s="727">
        <v>381516.64452129643</v>
      </c>
      <c r="AS15" s="727">
        <v>403214.62648758269</v>
      </c>
      <c r="AT15" s="727">
        <v>409852.99746432231</v>
      </c>
      <c r="AU15" s="727">
        <v>403332.10506721033</v>
      </c>
      <c r="AV15" s="727">
        <v>406428.21979282878</v>
      </c>
      <c r="AW15" s="727">
        <v>413415.51091962063</v>
      </c>
      <c r="AX15" s="727">
        <v>398598.84518461511</v>
      </c>
      <c r="AY15" s="727">
        <v>401054.46897641121</v>
      </c>
      <c r="AZ15" s="729">
        <v>402940.77149325609</v>
      </c>
      <c r="BA15" s="729">
        <v>403970.49852973624</v>
      </c>
      <c r="BB15" s="729">
        <v>398087.2159975979</v>
      </c>
      <c r="BC15" s="729">
        <v>391977.25670871098</v>
      </c>
      <c r="BD15" s="729">
        <v>390386.78573823883</v>
      </c>
      <c r="BE15" s="729">
        <v>389133.07236688572</v>
      </c>
      <c r="BF15" s="729">
        <v>390326.26670956856</v>
      </c>
      <c r="BG15" s="729">
        <v>394713.68888715311</v>
      </c>
      <c r="BH15" s="729">
        <v>403626.6251230645</v>
      </c>
      <c r="BI15" s="729">
        <v>402034.5757675668</v>
      </c>
      <c r="BJ15" s="729">
        <v>403049.78413234965</v>
      </c>
      <c r="BK15" s="729">
        <v>406708.58711020421</v>
      </c>
      <c r="BL15" s="729">
        <v>420833.52840106789</v>
      </c>
      <c r="BM15" s="729">
        <v>409999.09764211479</v>
      </c>
      <c r="BN15" s="729">
        <v>410049.14788507775</v>
      </c>
      <c r="BO15" s="729">
        <v>414496.7706509392</v>
      </c>
      <c r="BP15" s="729">
        <v>415860.11372209061</v>
      </c>
      <c r="BQ15" s="729">
        <v>424519.53156377701</v>
      </c>
      <c r="BR15" s="729">
        <v>426617.64876020927</v>
      </c>
      <c r="BS15" s="729">
        <v>427637.71890229994</v>
      </c>
      <c r="BT15" s="729">
        <v>430810.36150097579</v>
      </c>
      <c r="BU15" s="729">
        <v>434672.08706834581</v>
      </c>
      <c r="BV15" s="729">
        <v>439203.52930083545</v>
      </c>
      <c r="BW15" s="729">
        <v>439359.9828401822</v>
      </c>
      <c r="BX15" s="729">
        <v>435001.29686293373</v>
      </c>
      <c r="BY15" s="729">
        <v>431098.67933808913</v>
      </c>
    </row>
    <row r="16" spans="1:77" ht="22.5" customHeight="1" x14ac:dyDescent="0.2">
      <c r="A16" s="730"/>
      <c r="B16" s="731"/>
      <c r="C16" s="731"/>
      <c r="D16" s="731"/>
      <c r="E16" s="731"/>
      <c r="F16" s="731"/>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2"/>
      <c r="AR16" s="731"/>
      <c r="AS16" s="731"/>
      <c r="AT16" s="731"/>
      <c r="AU16" s="731"/>
      <c r="AV16" s="731"/>
      <c r="AW16" s="731"/>
      <c r="AX16" s="731"/>
      <c r="AY16" s="731"/>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row>
    <row r="17" spans="1:77" ht="22.5" customHeight="1" x14ac:dyDescent="0.2">
      <c r="A17" s="726" t="s">
        <v>534</v>
      </c>
      <c r="B17" s="727">
        <v>279735.10531540611</v>
      </c>
      <c r="C17" s="727">
        <v>280832.71616430738</v>
      </c>
      <c r="D17" s="727">
        <v>281427.58380275633</v>
      </c>
      <c r="E17" s="727">
        <v>282053.88717788778</v>
      </c>
      <c r="F17" s="727">
        <v>286161.75081736082</v>
      </c>
      <c r="G17" s="727">
        <v>286852.74157677876</v>
      </c>
      <c r="H17" s="727">
        <v>281980.74913940532</v>
      </c>
      <c r="I17" s="727">
        <v>282105.32767522556</v>
      </c>
      <c r="J17" s="727">
        <v>283581.44315563818</v>
      </c>
      <c r="K17" s="727">
        <v>287418.95498439157</v>
      </c>
      <c r="L17" s="727">
        <v>288135.77511421102</v>
      </c>
      <c r="M17" s="727">
        <v>300231.38741758832</v>
      </c>
      <c r="N17" s="727">
        <v>298556.62578708364</v>
      </c>
      <c r="O17" s="727">
        <v>298369.33004481444</v>
      </c>
      <c r="P17" s="727">
        <v>298155.4975326315</v>
      </c>
      <c r="Q17" s="727">
        <v>299059.78403224464</v>
      </c>
      <c r="R17" s="727">
        <v>299494.63948161434</v>
      </c>
      <c r="S17" s="727">
        <v>306227.71706558566</v>
      </c>
      <c r="T17" s="727">
        <v>305393.34314475313</v>
      </c>
      <c r="U17" s="727">
        <v>308770.06989294145</v>
      </c>
      <c r="V17" s="727">
        <v>309120.82380339794</v>
      </c>
      <c r="W17" s="727">
        <v>309586.03971583769</v>
      </c>
      <c r="X17" s="727">
        <v>312758.67268372775</v>
      </c>
      <c r="Y17" s="727">
        <v>319536.66994800227</v>
      </c>
      <c r="Z17" s="727">
        <v>318174.79569418327</v>
      </c>
      <c r="AA17" s="727">
        <v>318311.51350059046</v>
      </c>
      <c r="AB17" s="727">
        <v>321028.1330225463</v>
      </c>
      <c r="AC17" s="727">
        <v>321243.46464984753</v>
      </c>
      <c r="AD17" s="727">
        <v>323994.44183545001</v>
      </c>
      <c r="AE17" s="727">
        <v>327851.02421752224</v>
      </c>
      <c r="AF17" s="727">
        <v>328873.41930057184</v>
      </c>
      <c r="AG17" s="727">
        <v>329210.58830269566</v>
      </c>
      <c r="AH17" s="727">
        <v>331263.67529123975</v>
      </c>
      <c r="AI17" s="727">
        <v>334358.44301515532</v>
      </c>
      <c r="AJ17" s="727">
        <v>336572.52553336316</v>
      </c>
      <c r="AK17" s="727">
        <v>345617.19551340822</v>
      </c>
      <c r="AL17" s="727">
        <v>340908.92052914307</v>
      </c>
      <c r="AM17" s="727">
        <v>344826.53440251615</v>
      </c>
      <c r="AN17" s="727">
        <v>348245.69090443774</v>
      </c>
      <c r="AO17" s="727">
        <v>346565.10847846698</v>
      </c>
      <c r="AP17" s="727">
        <v>346712.14590246271</v>
      </c>
      <c r="AQ17" s="728">
        <v>351375.81885802944</v>
      </c>
      <c r="AR17" s="727">
        <v>352944.69968920405</v>
      </c>
      <c r="AS17" s="727">
        <v>351417.83862996538</v>
      </c>
      <c r="AT17" s="727">
        <v>350499.23615290475</v>
      </c>
      <c r="AU17" s="727">
        <v>349810.86009880248</v>
      </c>
      <c r="AV17" s="727">
        <v>354693.08322884847</v>
      </c>
      <c r="AW17" s="727">
        <v>365608.73772902408</v>
      </c>
      <c r="AX17" s="727">
        <v>364980.69233736565</v>
      </c>
      <c r="AY17" s="727">
        <v>369066.6968826761</v>
      </c>
      <c r="AZ17" s="729">
        <v>371778.39312112692</v>
      </c>
      <c r="BA17" s="729">
        <v>372675.4736776097</v>
      </c>
      <c r="BB17" s="729">
        <v>374448.43718937907</v>
      </c>
      <c r="BC17" s="729">
        <v>378456.25837457663</v>
      </c>
      <c r="BD17" s="729">
        <v>377725.22592014022</v>
      </c>
      <c r="BE17" s="729">
        <v>379201.60618379351</v>
      </c>
      <c r="BF17" s="729">
        <v>379536.06867122132</v>
      </c>
      <c r="BG17" s="729">
        <v>386009.67288569751</v>
      </c>
      <c r="BH17" s="729">
        <v>389293.57228882512</v>
      </c>
      <c r="BI17" s="729">
        <v>397556.54743014235</v>
      </c>
      <c r="BJ17" s="729">
        <v>399865.77736164047</v>
      </c>
      <c r="BK17" s="729">
        <v>404452.45097584795</v>
      </c>
      <c r="BL17" s="729">
        <v>410915.27725647902</v>
      </c>
      <c r="BM17" s="729">
        <v>410066.84698475082</v>
      </c>
      <c r="BN17" s="729">
        <v>411917.76295781805</v>
      </c>
      <c r="BO17" s="729">
        <v>418402.1040415793</v>
      </c>
      <c r="BP17" s="729">
        <v>420266.19606512645</v>
      </c>
      <c r="BQ17" s="729">
        <v>425740.7330671784</v>
      </c>
      <c r="BR17" s="729">
        <v>423801.82017970324</v>
      </c>
      <c r="BS17" s="729">
        <v>428368.7791012997</v>
      </c>
      <c r="BT17" s="729">
        <v>431628.14552528458</v>
      </c>
      <c r="BU17" s="729">
        <v>437998.58407957532</v>
      </c>
      <c r="BV17" s="729">
        <v>441887.17765523674</v>
      </c>
      <c r="BW17" s="729">
        <v>442606.92125446955</v>
      </c>
      <c r="BX17" s="729">
        <v>442449.85457323812</v>
      </c>
      <c r="BY17" s="729">
        <v>446911.85781437065</v>
      </c>
    </row>
    <row r="18" spans="1:77" ht="22.5" customHeight="1" x14ac:dyDescent="0.2">
      <c r="A18" s="730" t="s">
        <v>535</v>
      </c>
      <c r="B18" s="731">
        <v>16171.960026841442</v>
      </c>
      <c r="C18" s="731">
        <v>15979.91850439056</v>
      </c>
      <c r="D18" s="731">
        <v>15845.174678718537</v>
      </c>
      <c r="E18" s="731">
        <v>16036.327574022576</v>
      </c>
      <c r="F18" s="731">
        <v>16227.254416493</v>
      </c>
      <c r="G18" s="731">
        <v>15904.557043885219</v>
      </c>
      <c r="H18" s="731">
        <v>16369.72122726513</v>
      </c>
      <c r="I18" s="731">
        <v>16281.244842284286</v>
      </c>
      <c r="J18" s="731">
        <v>16241.98075845217</v>
      </c>
      <c r="K18" s="731">
        <v>16473.996105313156</v>
      </c>
      <c r="L18" s="731">
        <v>16722.43897559122</v>
      </c>
      <c r="M18" s="731">
        <v>18975.00627066891</v>
      </c>
      <c r="N18" s="731">
        <v>18010.593082900661</v>
      </c>
      <c r="O18" s="731">
        <v>17749.329653375993</v>
      </c>
      <c r="P18" s="731">
        <v>17492.407133231849</v>
      </c>
      <c r="Q18" s="731">
        <v>17646.497592686108</v>
      </c>
      <c r="R18" s="731">
        <v>17594.772439179418</v>
      </c>
      <c r="S18" s="731">
        <v>17516.570603709999</v>
      </c>
      <c r="T18" s="731">
        <v>18045.28066906859</v>
      </c>
      <c r="U18" s="731">
        <v>18269.48957031875</v>
      </c>
      <c r="V18" s="731">
        <v>17957.873646394451</v>
      </c>
      <c r="W18" s="731">
        <v>18294.304306683178</v>
      </c>
      <c r="X18" s="731">
        <v>17891.407119467127</v>
      </c>
      <c r="Y18" s="731">
        <v>20307.786446312799</v>
      </c>
      <c r="Z18" s="731">
        <v>19209.573208944617</v>
      </c>
      <c r="AA18" s="731">
        <v>18923.022119759327</v>
      </c>
      <c r="AB18" s="731">
        <v>18978.695497382181</v>
      </c>
      <c r="AC18" s="731">
        <v>18961.549992068227</v>
      </c>
      <c r="AD18" s="731">
        <v>18678.032246711129</v>
      </c>
      <c r="AE18" s="731">
        <v>19013.633662171218</v>
      </c>
      <c r="AF18" s="731">
        <v>19228.100893541679</v>
      </c>
      <c r="AG18" s="731">
        <v>19287.1599017013</v>
      </c>
      <c r="AH18" s="731">
        <v>19233.798105900332</v>
      </c>
      <c r="AI18" s="731">
        <v>19257.554559318651</v>
      </c>
      <c r="AJ18" s="731">
        <v>19629.552590686868</v>
      </c>
      <c r="AK18" s="731">
        <v>22169.717386902448</v>
      </c>
      <c r="AL18" s="731">
        <v>20964.304899561892</v>
      </c>
      <c r="AM18" s="731">
        <v>20780.286985424955</v>
      </c>
      <c r="AN18" s="731">
        <v>20987.016268127656</v>
      </c>
      <c r="AO18" s="731">
        <v>20656.089712851328</v>
      </c>
      <c r="AP18" s="731">
        <v>20557.306859228109</v>
      </c>
      <c r="AQ18" s="732">
        <v>20523.48661882988</v>
      </c>
      <c r="AR18" s="731">
        <v>20820.159883091204</v>
      </c>
      <c r="AS18" s="731">
        <v>20987.512445111654</v>
      </c>
      <c r="AT18" s="731">
        <v>20664.185177378316</v>
      </c>
      <c r="AU18" s="731">
        <v>20702.891560809614</v>
      </c>
      <c r="AV18" s="731">
        <v>20888.105552438185</v>
      </c>
      <c r="AW18" s="731">
        <v>23316.684992015878</v>
      </c>
      <c r="AX18" s="731">
        <v>22265.883860057205</v>
      </c>
      <c r="AY18" s="731">
        <v>22077.566872167037</v>
      </c>
      <c r="AZ18" s="733">
        <v>22090.400144122301</v>
      </c>
      <c r="BA18" s="733">
        <v>21718.536421617555</v>
      </c>
      <c r="BB18" s="733">
        <v>21737.2264592838</v>
      </c>
      <c r="BC18" s="733">
        <v>21684.992832060678</v>
      </c>
      <c r="BD18" s="733">
        <v>22175.789473345048</v>
      </c>
      <c r="BE18" s="733">
        <v>22196.112731025903</v>
      </c>
      <c r="BF18" s="733">
        <v>21848.23998536943</v>
      </c>
      <c r="BG18" s="733">
        <v>22102.50724703589</v>
      </c>
      <c r="BH18" s="733">
        <v>22503.624769895934</v>
      </c>
      <c r="BI18" s="733">
        <v>25391.16857677501</v>
      </c>
      <c r="BJ18" s="733">
        <v>24029.803890028252</v>
      </c>
      <c r="BK18" s="733">
        <v>24013.562842210038</v>
      </c>
      <c r="BL18" s="733">
        <v>23784.870318967191</v>
      </c>
      <c r="BM18" s="733">
        <v>23912.218911613985</v>
      </c>
      <c r="BN18" s="733">
        <v>24220.596316528303</v>
      </c>
      <c r="BO18" s="733">
        <v>24017.50101763201</v>
      </c>
      <c r="BP18" s="733">
        <v>24588.241511306522</v>
      </c>
      <c r="BQ18" s="733">
        <v>24794.334919669374</v>
      </c>
      <c r="BR18" s="733">
        <v>24354.580198828076</v>
      </c>
      <c r="BS18" s="733">
        <v>24815.527936131883</v>
      </c>
      <c r="BT18" s="733">
        <v>25002.24008601328</v>
      </c>
      <c r="BU18" s="733">
        <v>27637.551010208503</v>
      </c>
      <c r="BV18" s="733">
        <v>26531.097152112925</v>
      </c>
      <c r="BW18" s="733">
        <v>26526.899703812975</v>
      </c>
      <c r="BX18" s="733">
        <v>26183.738862633141</v>
      </c>
      <c r="BY18" s="733">
        <v>26254.514732054799</v>
      </c>
    </row>
    <row r="19" spans="1:77" ht="22.5" customHeight="1" x14ac:dyDescent="0.2">
      <c r="A19" s="730" t="s">
        <v>536</v>
      </c>
      <c r="B19" s="731">
        <v>68440.163460267344</v>
      </c>
      <c r="C19" s="731">
        <v>69678.376510214075</v>
      </c>
      <c r="D19" s="731">
        <v>70239.198428667893</v>
      </c>
      <c r="E19" s="731">
        <v>68357.192898560214</v>
      </c>
      <c r="F19" s="731">
        <v>70233.514626166798</v>
      </c>
      <c r="G19" s="731">
        <v>71294.937109063059</v>
      </c>
      <c r="H19" s="731">
        <v>64491.572058049554</v>
      </c>
      <c r="I19" s="731">
        <v>60686.73659774851</v>
      </c>
      <c r="J19" s="731">
        <v>62178.475800750988</v>
      </c>
      <c r="K19" s="731">
        <v>64317.477482118862</v>
      </c>
      <c r="L19" s="731">
        <v>62986.395870102693</v>
      </c>
      <c r="M19" s="731">
        <v>66822.635577947105</v>
      </c>
      <c r="N19" s="731">
        <v>66857.771529601625</v>
      </c>
      <c r="O19" s="731">
        <v>64726.969441204834</v>
      </c>
      <c r="P19" s="731">
        <v>64935.200147133197</v>
      </c>
      <c r="Q19" s="731">
        <v>64094.286390514229</v>
      </c>
      <c r="R19" s="731">
        <v>64820.00739616865</v>
      </c>
      <c r="S19" s="731">
        <v>67735.366582814095</v>
      </c>
      <c r="T19" s="731">
        <v>65055.410495106407</v>
      </c>
      <c r="U19" s="731">
        <v>67323.280074791997</v>
      </c>
      <c r="V19" s="731">
        <v>67629.257695279957</v>
      </c>
      <c r="W19" s="731">
        <v>66022.057503493124</v>
      </c>
      <c r="X19" s="731">
        <v>69189.806936289024</v>
      </c>
      <c r="Y19" s="731">
        <v>69425.492196942403</v>
      </c>
      <c r="Z19" s="731">
        <v>70418.374468171169</v>
      </c>
      <c r="AA19" s="731">
        <v>68961.007171570134</v>
      </c>
      <c r="AB19" s="731">
        <v>68966.851754985924</v>
      </c>
      <c r="AC19" s="731">
        <v>69935.361099149726</v>
      </c>
      <c r="AD19" s="731">
        <v>71130.84171565772</v>
      </c>
      <c r="AE19" s="731">
        <v>72252.999345979173</v>
      </c>
      <c r="AF19" s="731">
        <v>71299.755115606196</v>
      </c>
      <c r="AG19" s="731">
        <v>70869.552863209348</v>
      </c>
      <c r="AH19" s="731">
        <v>71457.467026263155</v>
      </c>
      <c r="AI19" s="731">
        <v>72962.716282801557</v>
      </c>
      <c r="AJ19" s="731">
        <v>74593.484911332082</v>
      </c>
      <c r="AK19" s="731">
        <v>74630.800585144476</v>
      </c>
      <c r="AL19" s="731">
        <v>71880.550028447236</v>
      </c>
      <c r="AM19" s="731">
        <v>72487.703800614865</v>
      </c>
      <c r="AN19" s="731">
        <v>73952.786544837218</v>
      </c>
      <c r="AO19" s="731">
        <v>73243.379458741008</v>
      </c>
      <c r="AP19" s="731">
        <v>72956.856921409402</v>
      </c>
      <c r="AQ19" s="732">
        <v>74120.659506834359</v>
      </c>
      <c r="AR19" s="731">
        <v>76839.86410492062</v>
      </c>
      <c r="AS19" s="731">
        <v>76259.488607465886</v>
      </c>
      <c r="AT19" s="731">
        <v>76067.447345451103</v>
      </c>
      <c r="AU19" s="731">
        <v>74280.950089026097</v>
      </c>
      <c r="AV19" s="731">
        <v>75857.213298872462</v>
      </c>
      <c r="AW19" s="731">
        <v>80391.360526563571</v>
      </c>
      <c r="AX19" s="731">
        <v>80999.115349685977</v>
      </c>
      <c r="AY19" s="731">
        <v>83224.490832997486</v>
      </c>
      <c r="AZ19" s="733">
        <v>80761.726575901353</v>
      </c>
      <c r="BA19" s="733">
        <v>83553.175236591749</v>
      </c>
      <c r="BB19" s="733">
        <v>84398.374121406901</v>
      </c>
      <c r="BC19" s="733">
        <v>85000.136815015503</v>
      </c>
      <c r="BD19" s="733">
        <v>81933.482744483175</v>
      </c>
      <c r="BE19" s="733">
        <v>82539.57779023645</v>
      </c>
      <c r="BF19" s="733">
        <v>83803.160893381122</v>
      </c>
      <c r="BG19" s="733">
        <v>87258.911577917854</v>
      </c>
      <c r="BH19" s="733">
        <v>89220.384338624048</v>
      </c>
      <c r="BI19" s="733">
        <v>92719.247110435957</v>
      </c>
      <c r="BJ19" s="733">
        <v>93199.697006633709</v>
      </c>
      <c r="BK19" s="733">
        <v>96562.361285275372</v>
      </c>
      <c r="BL19" s="733">
        <v>100592.56512339406</v>
      </c>
      <c r="BM19" s="733">
        <v>101556.93585501333</v>
      </c>
      <c r="BN19" s="733">
        <v>100795.75258034824</v>
      </c>
      <c r="BO19" s="733">
        <v>102269.97744766194</v>
      </c>
      <c r="BP19" s="733">
        <v>102486.67718222277</v>
      </c>
      <c r="BQ19" s="733">
        <v>107016.59548382222</v>
      </c>
      <c r="BR19" s="733">
        <v>104979.26708865511</v>
      </c>
      <c r="BS19" s="733">
        <v>104966.63894714223</v>
      </c>
      <c r="BT19" s="733">
        <v>109165.17752092025</v>
      </c>
      <c r="BU19" s="733">
        <v>107987.38459392448</v>
      </c>
      <c r="BV19" s="733">
        <v>110612.34516238322</v>
      </c>
      <c r="BW19" s="733">
        <v>110204.22758785707</v>
      </c>
      <c r="BX19" s="733">
        <v>110751.575315108</v>
      </c>
      <c r="BY19" s="733">
        <v>111937.0517352849</v>
      </c>
    </row>
    <row r="20" spans="1:77" ht="22.5" customHeight="1" x14ac:dyDescent="0.2">
      <c r="A20" s="730" t="s">
        <v>537</v>
      </c>
      <c r="B20" s="731">
        <v>86002.005008486682</v>
      </c>
      <c r="C20" s="731">
        <v>86430.334994463396</v>
      </c>
      <c r="D20" s="731">
        <v>87980.657385565777</v>
      </c>
      <c r="E20" s="731">
        <v>88701.149805639681</v>
      </c>
      <c r="F20" s="731">
        <v>89270.248456882007</v>
      </c>
      <c r="G20" s="731">
        <v>89154.323627973514</v>
      </c>
      <c r="H20" s="731">
        <v>90701.193436550544</v>
      </c>
      <c r="I20" s="731">
        <v>94966.115896958989</v>
      </c>
      <c r="J20" s="731">
        <v>96640.404973560464</v>
      </c>
      <c r="K20" s="731">
        <v>98032.756931829164</v>
      </c>
      <c r="L20" s="731">
        <v>97861.717844145649</v>
      </c>
      <c r="M20" s="731">
        <v>103724.85564967337</v>
      </c>
      <c r="N20" s="731">
        <v>104389.22207054911</v>
      </c>
      <c r="O20" s="731">
        <v>106664.57534290411</v>
      </c>
      <c r="P20" s="731">
        <v>107206.88138370164</v>
      </c>
      <c r="Q20" s="731">
        <v>108620.08748099591</v>
      </c>
      <c r="R20" s="731">
        <v>107655.14280378608</v>
      </c>
      <c r="S20" s="731">
        <v>108184.74986758425</v>
      </c>
      <c r="T20" s="731">
        <v>108733.92540058088</v>
      </c>
      <c r="U20" s="731">
        <v>109085.11095657838</v>
      </c>
      <c r="V20" s="731">
        <v>108846.39305074242</v>
      </c>
      <c r="W20" s="731">
        <v>109719.8377185056</v>
      </c>
      <c r="X20" s="731">
        <v>109948.1827041051</v>
      </c>
      <c r="Y20" s="731">
        <v>114277.70110134366</v>
      </c>
      <c r="Z20" s="731">
        <v>113985.53990418378</v>
      </c>
      <c r="AA20" s="731">
        <v>116610.20363369156</v>
      </c>
      <c r="AB20" s="731">
        <v>117693.25363014425</v>
      </c>
      <c r="AC20" s="731">
        <v>116060.31403665496</v>
      </c>
      <c r="AD20" s="731">
        <v>116163.6332307518</v>
      </c>
      <c r="AE20" s="731">
        <v>118175.51892211345</v>
      </c>
      <c r="AF20" s="731">
        <v>117894.59109897181</v>
      </c>
      <c r="AG20" s="731">
        <v>117293.51383782346</v>
      </c>
      <c r="AH20" s="731">
        <v>118335.53065373108</v>
      </c>
      <c r="AI20" s="731">
        <v>118419.04652726192</v>
      </c>
      <c r="AJ20" s="731">
        <v>120267.96107586552</v>
      </c>
      <c r="AK20" s="731">
        <v>123940.24706978291</v>
      </c>
      <c r="AL20" s="731">
        <v>125927.59113183178</v>
      </c>
      <c r="AM20" s="731">
        <v>127700.67489801101</v>
      </c>
      <c r="AN20" s="731">
        <v>130221.61249399875</v>
      </c>
      <c r="AO20" s="731">
        <v>129555.58381315233</v>
      </c>
      <c r="AP20" s="731">
        <v>130874.52793089766</v>
      </c>
      <c r="AQ20" s="732">
        <v>132412.54231621322</v>
      </c>
      <c r="AR20" s="731">
        <v>134150.43078186901</v>
      </c>
      <c r="AS20" s="731">
        <v>132965.69728082433</v>
      </c>
      <c r="AT20" s="731">
        <v>132891.3405092886</v>
      </c>
      <c r="AU20" s="731">
        <v>131916.76361065177</v>
      </c>
      <c r="AV20" s="731">
        <v>132916.41188870533</v>
      </c>
      <c r="AW20" s="731">
        <v>137028.58257943401</v>
      </c>
      <c r="AX20" s="731">
        <v>139536.17451725059</v>
      </c>
      <c r="AY20" s="731">
        <v>141374.11037787879</v>
      </c>
      <c r="AZ20" s="733">
        <v>143389.44134980321</v>
      </c>
      <c r="BA20" s="733">
        <v>143137.20575972123</v>
      </c>
      <c r="BB20" s="733">
        <v>143112.36780075575</v>
      </c>
      <c r="BC20" s="733">
        <v>145274.23009115169</v>
      </c>
      <c r="BD20" s="733">
        <v>146738.11960623346</v>
      </c>
      <c r="BE20" s="733">
        <v>146609.26600948314</v>
      </c>
      <c r="BF20" s="733">
        <v>147441.75915400017</v>
      </c>
      <c r="BG20" s="733">
        <v>150897.85414947488</v>
      </c>
      <c r="BH20" s="733">
        <v>150022.70341062004</v>
      </c>
      <c r="BI20" s="733">
        <v>151721.29844907482</v>
      </c>
      <c r="BJ20" s="733">
        <v>155891.4138969772</v>
      </c>
      <c r="BK20" s="733">
        <v>157687.33850349611</v>
      </c>
      <c r="BL20" s="733">
        <v>157723.53110445768</v>
      </c>
      <c r="BM20" s="733">
        <v>158508.70418172545</v>
      </c>
      <c r="BN20" s="733">
        <v>159802.28138109492</v>
      </c>
      <c r="BO20" s="733">
        <v>162367.58641059365</v>
      </c>
      <c r="BP20" s="733">
        <v>163212.85536403063</v>
      </c>
      <c r="BQ20" s="733">
        <v>163339.49024732222</v>
      </c>
      <c r="BR20" s="733">
        <v>163856.69744432965</v>
      </c>
      <c r="BS20" s="733">
        <v>166313.55156211261</v>
      </c>
      <c r="BT20" s="733">
        <v>166456.1968425122</v>
      </c>
      <c r="BU20" s="733">
        <v>171829.46753571433</v>
      </c>
      <c r="BV20" s="733">
        <v>174620.19748435059</v>
      </c>
      <c r="BW20" s="733">
        <v>176804.69491635181</v>
      </c>
      <c r="BX20" s="733">
        <v>177427.02083549256</v>
      </c>
      <c r="BY20" s="733">
        <v>178812.21562706216</v>
      </c>
    </row>
    <row r="21" spans="1:77" ht="22.5" customHeight="1" x14ac:dyDescent="0.2">
      <c r="A21" s="730" t="s">
        <v>538</v>
      </c>
      <c r="B21" s="731">
        <v>108337.33309446063</v>
      </c>
      <c r="C21" s="731">
        <v>107949.05189360936</v>
      </c>
      <c r="D21" s="731">
        <v>106556.19188693419</v>
      </c>
      <c r="E21" s="731">
        <v>108142.09769579527</v>
      </c>
      <c r="F21" s="731">
        <v>109601.04232438894</v>
      </c>
      <c r="G21" s="731">
        <v>109657.16420816696</v>
      </c>
      <c r="H21" s="731">
        <v>109576.92049539011</v>
      </c>
      <c r="I21" s="731">
        <v>109016.7679681938</v>
      </c>
      <c r="J21" s="731">
        <v>107157.51622137454</v>
      </c>
      <c r="K21" s="731">
        <v>107221.09582455043</v>
      </c>
      <c r="L21" s="731">
        <v>109181.01668118146</v>
      </c>
      <c r="M21" s="731">
        <v>109339.50361199888</v>
      </c>
      <c r="N21" s="731">
        <v>107872.76478810217</v>
      </c>
      <c r="O21" s="731">
        <v>107752.41611847951</v>
      </c>
      <c r="P21" s="731">
        <v>106890.97035476481</v>
      </c>
      <c r="Q21" s="731">
        <v>107008.91315902832</v>
      </c>
      <c r="R21" s="731">
        <v>107524.86084521035</v>
      </c>
      <c r="S21" s="731">
        <v>110727.71958847724</v>
      </c>
      <c r="T21" s="731">
        <v>111186.35170496718</v>
      </c>
      <c r="U21" s="731">
        <v>111785.71807500235</v>
      </c>
      <c r="V21" s="731">
        <v>112630.6284661511</v>
      </c>
      <c r="W21" s="731">
        <v>113433.63924819577</v>
      </c>
      <c r="X21" s="731">
        <v>113678.05241101647</v>
      </c>
      <c r="Y21" s="731">
        <v>113563.84232721348</v>
      </c>
      <c r="Z21" s="731">
        <v>112576.62210909363</v>
      </c>
      <c r="AA21" s="731">
        <v>111821.33194981936</v>
      </c>
      <c r="AB21" s="731">
        <v>113383.38799960395</v>
      </c>
      <c r="AC21" s="731">
        <v>114294.08627406454</v>
      </c>
      <c r="AD21" s="731">
        <v>116172.37551745937</v>
      </c>
      <c r="AE21" s="731">
        <v>116533.5371812285</v>
      </c>
      <c r="AF21" s="731">
        <v>118514.46922049219</v>
      </c>
      <c r="AG21" s="731">
        <v>119908.68858915771</v>
      </c>
      <c r="AH21" s="731">
        <v>120422.23327013517</v>
      </c>
      <c r="AI21" s="731">
        <v>121997.54910909318</v>
      </c>
      <c r="AJ21" s="731">
        <v>120275.77831936871</v>
      </c>
      <c r="AK21" s="731">
        <v>122902.1138271384</v>
      </c>
      <c r="AL21" s="731">
        <v>119874.03095146213</v>
      </c>
      <c r="AM21" s="731">
        <v>121506.56051536532</v>
      </c>
      <c r="AN21" s="731">
        <v>119635.54512883411</v>
      </c>
      <c r="AO21" s="731">
        <v>119366.46899796234</v>
      </c>
      <c r="AP21" s="731">
        <v>118324.11332331387</v>
      </c>
      <c r="AQ21" s="732">
        <v>120353.39135312781</v>
      </c>
      <c r="AR21" s="731">
        <v>117329.01579842149</v>
      </c>
      <c r="AS21" s="731">
        <v>117008.62830640456</v>
      </c>
      <c r="AT21" s="731">
        <v>117002.29754481323</v>
      </c>
      <c r="AU21" s="731">
        <v>119075.81281598069</v>
      </c>
      <c r="AV21" s="731">
        <v>121223.42782561541</v>
      </c>
      <c r="AW21" s="731">
        <v>121803.1134269164</v>
      </c>
      <c r="AX21" s="731">
        <v>119349.71920997766</v>
      </c>
      <c r="AY21" s="731">
        <v>119596.13610690634</v>
      </c>
      <c r="AZ21" s="733">
        <v>122623.36647979006</v>
      </c>
      <c r="BA21" s="733">
        <v>121427.41756610731</v>
      </c>
      <c r="BB21" s="733">
        <v>121944.95395148022</v>
      </c>
      <c r="BC21" s="733">
        <v>123269.48505004852</v>
      </c>
      <c r="BD21" s="733">
        <v>123616.54998110369</v>
      </c>
      <c r="BE21" s="733">
        <v>124673.50818016056</v>
      </c>
      <c r="BF21" s="733">
        <v>123280.64256473699</v>
      </c>
      <c r="BG21" s="733">
        <v>122581.84382541035</v>
      </c>
      <c r="BH21" s="733">
        <v>124245.50618848442</v>
      </c>
      <c r="BI21" s="733">
        <v>124366.85410919171</v>
      </c>
      <c r="BJ21" s="733">
        <v>122248.23520598582</v>
      </c>
      <c r="BK21" s="733">
        <v>121654.08884032573</v>
      </c>
      <c r="BL21" s="733">
        <v>124372.0333632828</v>
      </c>
      <c r="BM21" s="733">
        <v>122476.30088527317</v>
      </c>
      <c r="BN21" s="733">
        <v>123616.41263148551</v>
      </c>
      <c r="BO21" s="733">
        <v>126313.12867005773</v>
      </c>
      <c r="BP21" s="733">
        <v>126237.88713585303</v>
      </c>
      <c r="BQ21" s="733">
        <v>126308.02541131932</v>
      </c>
      <c r="BR21" s="733">
        <v>126371.18709988924</v>
      </c>
      <c r="BS21" s="733">
        <v>128175.9074031792</v>
      </c>
      <c r="BT21" s="733">
        <v>126693.21119657856</v>
      </c>
      <c r="BU21" s="733">
        <v>126016.35594448941</v>
      </c>
      <c r="BV21" s="733">
        <v>125662.19740406473</v>
      </c>
      <c r="BW21" s="733">
        <v>124053.51124817002</v>
      </c>
      <c r="BX21" s="733">
        <v>122824.93916717821</v>
      </c>
      <c r="BY21" s="733">
        <v>124554.62308206613</v>
      </c>
    </row>
    <row r="22" spans="1:77" ht="22.5" customHeight="1" x14ac:dyDescent="0.2">
      <c r="A22" s="730" t="s">
        <v>539</v>
      </c>
      <c r="B22" s="731">
        <v>783.64372534999995</v>
      </c>
      <c r="C22" s="731">
        <v>795.03426162999995</v>
      </c>
      <c r="D22" s="731">
        <v>806.36142286999996</v>
      </c>
      <c r="E22" s="731">
        <v>817.11920386999998</v>
      </c>
      <c r="F22" s="731">
        <v>829.69099342999993</v>
      </c>
      <c r="G22" s="731">
        <v>841.75958768999999</v>
      </c>
      <c r="H22" s="731">
        <v>841.34192214999996</v>
      </c>
      <c r="I22" s="731">
        <v>1154.4623700399998</v>
      </c>
      <c r="J22" s="731">
        <v>1363.0654015</v>
      </c>
      <c r="K22" s="731">
        <v>1373.6286405800001</v>
      </c>
      <c r="L22" s="731">
        <v>1384.20574319</v>
      </c>
      <c r="M22" s="731">
        <v>1369.3863073</v>
      </c>
      <c r="N22" s="731">
        <v>1426.2743159300001</v>
      </c>
      <c r="O22" s="731">
        <v>1476.03948885</v>
      </c>
      <c r="P22" s="731">
        <v>1630.0385137999997</v>
      </c>
      <c r="Q22" s="731">
        <v>1689.9994090199998</v>
      </c>
      <c r="R22" s="731">
        <v>1899.85599727</v>
      </c>
      <c r="S22" s="731">
        <v>2063.3104229999999</v>
      </c>
      <c r="T22" s="731">
        <v>2372.3748750300001</v>
      </c>
      <c r="U22" s="731">
        <v>2306.47121625</v>
      </c>
      <c r="V22" s="731">
        <v>2056.6709448299998</v>
      </c>
      <c r="W22" s="731">
        <v>2116.2009389599998</v>
      </c>
      <c r="X22" s="731">
        <v>2051.2235128499997</v>
      </c>
      <c r="Y22" s="731">
        <v>1961.8478761899999</v>
      </c>
      <c r="Z22" s="731">
        <v>1984.6860037900001</v>
      </c>
      <c r="AA22" s="731">
        <v>1995.9486257499998</v>
      </c>
      <c r="AB22" s="731">
        <v>2005.9441404300003</v>
      </c>
      <c r="AC22" s="731">
        <v>1992.1532479099997</v>
      </c>
      <c r="AD22" s="731">
        <v>1849.5591248699998</v>
      </c>
      <c r="AE22" s="731">
        <v>1875.3351060299997</v>
      </c>
      <c r="AF22" s="731">
        <v>1936.5029719600002</v>
      </c>
      <c r="AG22" s="731">
        <v>1851.673110803793</v>
      </c>
      <c r="AH22" s="731">
        <v>1814.6462352099998</v>
      </c>
      <c r="AI22" s="731">
        <v>1721.5765366799997</v>
      </c>
      <c r="AJ22" s="731">
        <v>1805.74863611</v>
      </c>
      <c r="AK22" s="731">
        <v>1974.3166444399999</v>
      </c>
      <c r="AL22" s="731">
        <v>2262.4435178399999</v>
      </c>
      <c r="AM22" s="731">
        <v>2351.3082030999999</v>
      </c>
      <c r="AN22" s="731">
        <v>3448.7304686399993</v>
      </c>
      <c r="AO22" s="731">
        <v>3743.5864957599997</v>
      </c>
      <c r="AP22" s="731">
        <v>3999.3408676136651</v>
      </c>
      <c r="AQ22" s="732">
        <v>3965.7390630241857</v>
      </c>
      <c r="AR22" s="731">
        <v>3805.2291209016812</v>
      </c>
      <c r="AS22" s="731">
        <v>4196.5119901589333</v>
      </c>
      <c r="AT22" s="731">
        <v>3873.9655759735083</v>
      </c>
      <c r="AU22" s="731">
        <v>3834.4420223342331</v>
      </c>
      <c r="AV22" s="731">
        <v>3807.9246632170971</v>
      </c>
      <c r="AW22" s="731">
        <v>3068.9962040941982</v>
      </c>
      <c r="AX22" s="731">
        <v>2829.7994003941976</v>
      </c>
      <c r="AY22" s="731">
        <v>2794.3926927264838</v>
      </c>
      <c r="AZ22" s="733">
        <v>2913.4585715098992</v>
      </c>
      <c r="BA22" s="733">
        <v>2839.1386935717792</v>
      </c>
      <c r="BB22" s="733">
        <v>3255.5148564524297</v>
      </c>
      <c r="BC22" s="733">
        <v>3227.4135863002011</v>
      </c>
      <c r="BD22" s="733">
        <v>3261.284114974846</v>
      </c>
      <c r="BE22" s="733">
        <v>3183.1414728874179</v>
      </c>
      <c r="BF22" s="733">
        <v>3162.2660737335982</v>
      </c>
      <c r="BG22" s="733">
        <v>3168.5560858585532</v>
      </c>
      <c r="BH22" s="733">
        <v>3301.3535812006594</v>
      </c>
      <c r="BI22" s="733">
        <v>3357.9791846648477</v>
      </c>
      <c r="BJ22" s="733">
        <v>4496.627362015477</v>
      </c>
      <c r="BK22" s="733">
        <v>4535.0995045407535</v>
      </c>
      <c r="BL22" s="733">
        <v>4442.2773463772428</v>
      </c>
      <c r="BM22" s="733">
        <v>3612.6871511249556</v>
      </c>
      <c r="BN22" s="733">
        <v>3482.7200483611373</v>
      </c>
      <c r="BO22" s="733">
        <v>3433.9104956339547</v>
      </c>
      <c r="BP22" s="733">
        <v>3740.5348717135103</v>
      </c>
      <c r="BQ22" s="733">
        <v>4282.2870050452148</v>
      </c>
      <c r="BR22" s="733">
        <v>4240.0883480011971</v>
      </c>
      <c r="BS22" s="733">
        <v>4097.1532527337404</v>
      </c>
      <c r="BT22" s="733">
        <v>4311.319879260267</v>
      </c>
      <c r="BU22" s="733">
        <v>4527.8249952385468</v>
      </c>
      <c r="BV22" s="733">
        <v>4461.3404523252648</v>
      </c>
      <c r="BW22" s="733">
        <v>5017.5877982776055</v>
      </c>
      <c r="BX22" s="733">
        <v>5262.5803928261712</v>
      </c>
      <c r="BY22" s="733">
        <v>5353.4526379026456</v>
      </c>
    </row>
    <row r="23" spans="1:77" ht="22.5" customHeight="1" x14ac:dyDescent="0.2">
      <c r="A23" s="730"/>
      <c r="B23" s="731"/>
      <c r="C23" s="731"/>
      <c r="D23" s="731"/>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2"/>
      <c r="AR23" s="731"/>
      <c r="AS23" s="731"/>
      <c r="AT23" s="731"/>
      <c r="AU23" s="731"/>
      <c r="AV23" s="731"/>
      <c r="AW23" s="731"/>
      <c r="AX23" s="731"/>
      <c r="AY23" s="731"/>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row>
    <row r="24" spans="1:77" ht="22.5" customHeight="1" x14ac:dyDescent="0.2">
      <c r="A24" s="726" t="s">
        <v>540</v>
      </c>
      <c r="B24" s="727">
        <v>249421.72343086239</v>
      </c>
      <c r="C24" s="727">
        <v>251683.73343534349</v>
      </c>
      <c r="D24" s="727">
        <v>257276.41783137046</v>
      </c>
      <c r="E24" s="727">
        <v>241033.05509909985</v>
      </c>
      <c r="F24" s="727">
        <v>288315.54908923391</v>
      </c>
      <c r="G24" s="727">
        <v>283503.54409989074</v>
      </c>
      <c r="H24" s="727">
        <v>249900.05129821139</v>
      </c>
      <c r="I24" s="727">
        <v>274403.34114791802</v>
      </c>
      <c r="J24" s="727">
        <v>273840.96005234023</v>
      </c>
      <c r="K24" s="727">
        <v>272862.97441161837</v>
      </c>
      <c r="L24" s="727">
        <v>280448.80813903833</v>
      </c>
      <c r="M24" s="727">
        <v>285127.22824227123</v>
      </c>
      <c r="N24" s="727">
        <v>285949.76458674058</v>
      </c>
      <c r="O24" s="727">
        <v>282375.20362944185</v>
      </c>
      <c r="P24" s="727">
        <v>252128.57518651435</v>
      </c>
      <c r="Q24" s="727">
        <v>269805.26106424408</v>
      </c>
      <c r="R24" s="727">
        <v>262543.19234715501</v>
      </c>
      <c r="S24" s="727">
        <v>288168.8524665783</v>
      </c>
      <c r="T24" s="727">
        <v>277038.15307211183</v>
      </c>
      <c r="U24" s="727">
        <v>259164.5096482696</v>
      </c>
      <c r="V24" s="727">
        <v>263307.0499162362</v>
      </c>
      <c r="W24" s="727">
        <v>265912.59229042806</v>
      </c>
      <c r="X24" s="727">
        <v>316471.89617668418</v>
      </c>
      <c r="Y24" s="727">
        <v>258985.93914751025</v>
      </c>
      <c r="Z24" s="727">
        <v>233042.6677349048</v>
      </c>
      <c r="AA24" s="727">
        <v>238005.48124106464</v>
      </c>
      <c r="AB24" s="727">
        <v>285751.89270933071</v>
      </c>
      <c r="AC24" s="727">
        <v>286056.20333105623</v>
      </c>
      <c r="AD24" s="727">
        <v>302733.88373924565</v>
      </c>
      <c r="AE24" s="727">
        <v>237864.52270123633</v>
      </c>
      <c r="AF24" s="727">
        <v>265914.89481855725</v>
      </c>
      <c r="AG24" s="727">
        <v>226927.0897155148</v>
      </c>
      <c r="AH24" s="727">
        <v>250134.81187810071</v>
      </c>
      <c r="AI24" s="727">
        <v>267919.57561633986</v>
      </c>
      <c r="AJ24" s="727">
        <v>268153.0656253848</v>
      </c>
      <c r="AK24" s="727">
        <v>270051.70861034992</v>
      </c>
      <c r="AL24" s="727">
        <v>293471.38304344483</v>
      </c>
      <c r="AM24" s="727">
        <v>238398.10249723177</v>
      </c>
      <c r="AN24" s="727">
        <v>260379.11596963604</v>
      </c>
      <c r="AO24" s="727">
        <v>270523.08078087622</v>
      </c>
      <c r="AP24" s="727">
        <v>301490.54106999451</v>
      </c>
      <c r="AQ24" s="728">
        <v>257271.601201841</v>
      </c>
      <c r="AR24" s="727">
        <v>276146.1621269969</v>
      </c>
      <c r="AS24" s="727">
        <v>260883.78672217965</v>
      </c>
      <c r="AT24" s="727">
        <v>252727.34320697849</v>
      </c>
      <c r="AU24" s="727">
        <v>249208.40920297554</v>
      </c>
      <c r="AV24" s="727">
        <v>253196.13845745657</v>
      </c>
      <c r="AW24" s="727">
        <v>273222.25759406434</v>
      </c>
      <c r="AX24" s="727">
        <v>241915.47072696078</v>
      </c>
      <c r="AY24" s="727">
        <v>243137.21030990247</v>
      </c>
      <c r="AZ24" s="729">
        <v>235702.18005448813</v>
      </c>
      <c r="BA24" s="729">
        <v>254404.93768176984</v>
      </c>
      <c r="BB24" s="729">
        <v>240853.07088779513</v>
      </c>
      <c r="BC24" s="729">
        <v>232663.42813653438</v>
      </c>
      <c r="BD24" s="729">
        <v>245433.75948683362</v>
      </c>
      <c r="BE24" s="729">
        <v>259585.97518630733</v>
      </c>
      <c r="BF24" s="729">
        <v>292021.46188121906</v>
      </c>
      <c r="BG24" s="729">
        <v>332187.15055583493</v>
      </c>
      <c r="BH24" s="729">
        <v>299059.25030201982</v>
      </c>
      <c r="BI24" s="729">
        <v>313590.94541086827</v>
      </c>
      <c r="BJ24" s="729">
        <v>329814.14950376149</v>
      </c>
      <c r="BK24" s="729">
        <v>332205.68413127831</v>
      </c>
      <c r="BL24" s="729">
        <v>387381.33242654538</v>
      </c>
      <c r="BM24" s="729">
        <v>398925.47232189035</v>
      </c>
      <c r="BN24" s="729">
        <v>362703.98977607006</v>
      </c>
      <c r="BO24" s="729">
        <v>350392.8567357529</v>
      </c>
      <c r="BP24" s="729">
        <v>355490.2494643291</v>
      </c>
      <c r="BQ24" s="729">
        <v>340348.56612341886</v>
      </c>
      <c r="BR24" s="729">
        <v>334330.68608096836</v>
      </c>
      <c r="BS24" s="729">
        <v>351829.81869430933</v>
      </c>
      <c r="BT24" s="729">
        <v>330934.53902794444</v>
      </c>
      <c r="BU24" s="729">
        <v>347019.84799752233</v>
      </c>
      <c r="BV24" s="729">
        <v>342360.67668059462</v>
      </c>
      <c r="BW24" s="729">
        <v>349676.59102297196</v>
      </c>
      <c r="BX24" s="729">
        <v>320078.42150282598</v>
      </c>
      <c r="BY24" s="729">
        <v>335250.54542853992</v>
      </c>
    </row>
    <row r="25" spans="1:77" ht="22.5" customHeight="1" x14ac:dyDescent="0.2">
      <c r="A25" s="730"/>
      <c r="B25" s="731"/>
      <c r="C25" s="731"/>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2"/>
      <c r="AR25" s="731"/>
      <c r="AS25" s="731"/>
      <c r="AT25" s="731"/>
      <c r="AU25" s="731"/>
      <c r="AV25" s="731"/>
      <c r="AW25" s="731"/>
      <c r="AX25" s="731"/>
      <c r="AY25" s="731"/>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row>
    <row r="26" spans="1:77" ht="22.5" customHeight="1" x14ac:dyDescent="0.2">
      <c r="A26" s="726" t="s">
        <v>464</v>
      </c>
      <c r="B26" s="727">
        <v>780.83335447802313</v>
      </c>
      <c r="C26" s="727">
        <v>1307.3476262020708</v>
      </c>
      <c r="D26" s="727">
        <v>870.795543418237</v>
      </c>
      <c r="E26" s="727">
        <v>906.74831901740288</v>
      </c>
      <c r="F26" s="727">
        <v>954.59610409870197</v>
      </c>
      <c r="G26" s="727">
        <v>906.56745224829285</v>
      </c>
      <c r="H26" s="727">
        <v>894.12479932191707</v>
      </c>
      <c r="I26" s="727">
        <v>887.25715586064484</v>
      </c>
      <c r="J26" s="727">
        <v>919.85558221704707</v>
      </c>
      <c r="K26" s="727">
        <v>961.68873383604387</v>
      </c>
      <c r="L26" s="727">
        <v>1030.751525010478</v>
      </c>
      <c r="M26" s="727">
        <v>976.46441225026501</v>
      </c>
      <c r="N26" s="727">
        <v>1032.181005959666</v>
      </c>
      <c r="O26" s="727">
        <v>979.14362287489803</v>
      </c>
      <c r="P26" s="727">
        <v>966.705862169488</v>
      </c>
      <c r="Q26" s="727">
        <v>1075.990217483263</v>
      </c>
      <c r="R26" s="727">
        <v>923.61436692454197</v>
      </c>
      <c r="S26" s="727">
        <v>851.83847900000001</v>
      </c>
      <c r="T26" s="727">
        <v>789.93033996162887</v>
      </c>
      <c r="U26" s="727">
        <v>791.66040233189597</v>
      </c>
      <c r="V26" s="727">
        <v>794.65907199350193</v>
      </c>
      <c r="W26" s="727">
        <v>955.85218717974999</v>
      </c>
      <c r="X26" s="727">
        <v>1215.5125553658072</v>
      </c>
      <c r="Y26" s="727">
        <v>1020.2142982047188</v>
      </c>
      <c r="Z26" s="727">
        <v>1087.052801120298</v>
      </c>
      <c r="AA26" s="727">
        <v>1083.1315885791598</v>
      </c>
      <c r="AB26" s="727">
        <v>1127.9859973855298</v>
      </c>
      <c r="AC26" s="727">
        <v>1033.7024482868167</v>
      </c>
      <c r="AD26" s="727">
        <v>990.86649687866691</v>
      </c>
      <c r="AE26" s="727">
        <v>1121.32805768651</v>
      </c>
      <c r="AF26" s="727">
        <v>980.20775901344587</v>
      </c>
      <c r="AG26" s="727">
        <v>1064.886012827616</v>
      </c>
      <c r="AH26" s="727">
        <v>1204.5198552601721</v>
      </c>
      <c r="AI26" s="727">
        <v>1241.2385154657088</v>
      </c>
      <c r="AJ26" s="727">
        <v>1028.0983960188648</v>
      </c>
      <c r="AK26" s="727">
        <v>879.73782580783597</v>
      </c>
      <c r="AL26" s="727">
        <v>1193.2356834366099</v>
      </c>
      <c r="AM26" s="727">
        <v>1329.735668429548</v>
      </c>
      <c r="AN26" s="727">
        <v>988.71528003862841</v>
      </c>
      <c r="AO26" s="727">
        <v>964.18095770440732</v>
      </c>
      <c r="AP26" s="727">
        <v>1096.9291484846294</v>
      </c>
      <c r="AQ26" s="728">
        <v>1084.3626055967143</v>
      </c>
      <c r="AR26" s="727">
        <v>1135.8648678761838</v>
      </c>
      <c r="AS26" s="727">
        <v>4888.5457638808575</v>
      </c>
      <c r="AT26" s="727">
        <v>4868.001493409859</v>
      </c>
      <c r="AU26" s="727">
        <v>4806.9250192648806</v>
      </c>
      <c r="AV26" s="727">
        <v>4816.5420333365264</v>
      </c>
      <c r="AW26" s="727">
        <v>4574.4064544329376</v>
      </c>
      <c r="AX26" s="727">
        <v>4727.197112639943</v>
      </c>
      <c r="AY26" s="727">
        <v>4636.8743797893376</v>
      </c>
      <c r="AZ26" s="729">
        <v>6153.2790808723958</v>
      </c>
      <c r="BA26" s="729">
        <v>6317.0251469209325</v>
      </c>
      <c r="BB26" s="729">
        <v>6775.2763834690504</v>
      </c>
      <c r="BC26" s="729">
        <v>7221.3382246638403</v>
      </c>
      <c r="BD26" s="729">
        <v>7417.7528081044275</v>
      </c>
      <c r="BE26" s="729">
        <v>7346.3642344220962</v>
      </c>
      <c r="BF26" s="729">
        <v>7299.1054236360369</v>
      </c>
      <c r="BG26" s="729">
        <v>5230.226324397212</v>
      </c>
      <c r="BH26" s="729">
        <v>4871.11785048207</v>
      </c>
      <c r="BI26" s="729">
        <v>5417.5922189672183</v>
      </c>
      <c r="BJ26" s="729">
        <v>5270.5671284441269</v>
      </c>
      <c r="BK26" s="729">
        <v>5172.3431592074257</v>
      </c>
      <c r="BL26" s="729">
        <v>5379.6882937291002</v>
      </c>
      <c r="BM26" s="729">
        <v>6434.7642885129962</v>
      </c>
      <c r="BN26" s="729">
        <v>6466.0513631093572</v>
      </c>
      <c r="BO26" s="729">
        <v>2138.6519580786021</v>
      </c>
      <c r="BP26" s="729">
        <v>2330.8291266588772</v>
      </c>
      <c r="BQ26" s="729">
        <v>2391.1950233269076</v>
      </c>
      <c r="BR26" s="729">
        <v>2157.1390795829843</v>
      </c>
      <c r="BS26" s="729">
        <v>2197.3621385718247</v>
      </c>
      <c r="BT26" s="729">
        <v>2822.2127074927989</v>
      </c>
      <c r="BU26" s="729">
        <v>2668.8200357954879</v>
      </c>
      <c r="BV26" s="729">
        <v>2764.7027070509448</v>
      </c>
      <c r="BW26" s="729">
        <v>2371.0821562805136</v>
      </c>
      <c r="BX26" s="729">
        <v>2277.9508014527996</v>
      </c>
      <c r="BY26" s="729">
        <v>2235.3257842464322</v>
      </c>
    </row>
    <row r="27" spans="1:77" ht="22.5" customHeight="1" x14ac:dyDescent="0.2">
      <c r="A27" s="730"/>
      <c r="B27" s="731"/>
      <c r="C27" s="731"/>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2"/>
      <c r="AR27" s="731"/>
      <c r="AS27" s="731"/>
      <c r="AT27" s="731"/>
      <c r="AU27" s="731"/>
      <c r="AV27" s="731"/>
      <c r="AW27" s="731"/>
      <c r="AX27" s="731"/>
      <c r="AY27" s="731"/>
      <c r="AZ27" s="733"/>
      <c r="BA27" s="733"/>
      <c r="BB27" s="733"/>
      <c r="BC27" s="733"/>
      <c r="BD27" s="733"/>
      <c r="BE27" s="733"/>
      <c r="BF27" s="733"/>
      <c r="BG27" s="733"/>
      <c r="BH27" s="733"/>
      <c r="BI27" s="733"/>
      <c r="BJ27" s="733"/>
      <c r="BK27" s="733"/>
      <c r="BL27" s="733"/>
      <c r="BM27" s="733"/>
      <c r="BN27" s="733"/>
      <c r="BO27" s="733"/>
      <c r="BP27" s="733"/>
      <c r="BQ27" s="733"/>
      <c r="BR27" s="733"/>
      <c r="BS27" s="733"/>
      <c r="BT27" s="733"/>
      <c r="BU27" s="733"/>
      <c r="BV27" s="733"/>
      <c r="BW27" s="733"/>
      <c r="BX27" s="733"/>
      <c r="BY27" s="733"/>
    </row>
    <row r="28" spans="1:77" ht="22.5" customHeight="1" x14ac:dyDescent="0.2">
      <c r="A28" s="726" t="s">
        <v>200</v>
      </c>
      <c r="B28" s="727">
        <v>954.40139647000001</v>
      </c>
      <c r="C28" s="727">
        <v>773.83237627999995</v>
      </c>
      <c r="D28" s="727">
        <v>832.74037261000001</v>
      </c>
      <c r="E28" s="727">
        <v>877.0711045999999</v>
      </c>
      <c r="F28" s="727">
        <v>912.78641126999992</v>
      </c>
      <c r="G28" s="727">
        <v>990.83616271999995</v>
      </c>
      <c r="H28" s="727">
        <v>1178.8645466399998</v>
      </c>
      <c r="I28" s="727">
        <v>1144.15429767</v>
      </c>
      <c r="J28" s="727">
        <v>935.40036557999997</v>
      </c>
      <c r="K28" s="727">
        <v>736.85754703999999</v>
      </c>
      <c r="L28" s="727">
        <v>890.49728249999998</v>
      </c>
      <c r="M28" s="727">
        <v>1197.75504847</v>
      </c>
      <c r="N28" s="727">
        <v>1098.23310578</v>
      </c>
      <c r="O28" s="727">
        <v>1073.3048325499999</v>
      </c>
      <c r="P28" s="727">
        <v>1154.3039894599997</v>
      </c>
      <c r="Q28" s="727">
        <v>1163.7714331699999</v>
      </c>
      <c r="R28" s="727">
        <v>1462.8666796499999</v>
      </c>
      <c r="S28" s="727">
        <v>1434.5940000000001</v>
      </c>
      <c r="T28" s="727">
        <v>1579.19917358</v>
      </c>
      <c r="U28" s="727">
        <v>1497.92577121</v>
      </c>
      <c r="V28" s="727">
        <v>1707.9922760499999</v>
      </c>
      <c r="W28" s="727">
        <v>1700.3897597799998</v>
      </c>
      <c r="X28" s="727">
        <v>1729.7772085899996</v>
      </c>
      <c r="Y28" s="727">
        <v>1762.5908422200002</v>
      </c>
      <c r="Z28" s="727">
        <v>1682.78710776</v>
      </c>
      <c r="AA28" s="727">
        <v>1713.32924157</v>
      </c>
      <c r="AB28" s="727">
        <v>1656.5536764200001</v>
      </c>
      <c r="AC28" s="727">
        <v>1632.2673410399998</v>
      </c>
      <c r="AD28" s="727">
        <v>1685.5414563100001</v>
      </c>
      <c r="AE28" s="727">
        <v>1851.5900833599997</v>
      </c>
      <c r="AF28" s="727">
        <v>1868.84614268</v>
      </c>
      <c r="AG28" s="727">
        <v>1748.8815379</v>
      </c>
      <c r="AH28" s="727">
        <v>1722.18598217</v>
      </c>
      <c r="AI28" s="727">
        <v>1714.25887257</v>
      </c>
      <c r="AJ28" s="727">
        <v>2049.9443790199998</v>
      </c>
      <c r="AK28" s="727">
        <v>2023.3571086500001</v>
      </c>
      <c r="AL28" s="727">
        <v>2043.31956182</v>
      </c>
      <c r="AM28" s="727">
        <v>2002.55015974</v>
      </c>
      <c r="AN28" s="727">
        <v>2078.8768424</v>
      </c>
      <c r="AO28" s="727">
        <v>2122.2261027499999</v>
      </c>
      <c r="AP28" s="727">
        <v>2003.80352659</v>
      </c>
      <c r="AQ28" s="728">
        <v>2339.1142400200001</v>
      </c>
      <c r="AR28" s="727">
        <v>2357.4444714199999</v>
      </c>
      <c r="AS28" s="727">
        <v>2598.09075153</v>
      </c>
      <c r="AT28" s="727">
        <v>3525.4559250552802</v>
      </c>
      <c r="AU28" s="727">
        <v>3753.9238259589997</v>
      </c>
      <c r="AV28" s="727">
        <v>3807.8426272781999</v>
      </c>
      <c r="AW28" s="727">
        <v>4047.3651736438596</v>
      </c>
      <c r="AX28" s="727">
        <v>4084.9571735700001</v>
      </c>
      <c r="AY28" s="727">
        <v>4097.551853063861</v>
      </c>
      <c r="AZ28" s="729">
        <v>4224.5270528158399</v>
      </c>
      <c r="BA28" s="729">
        <v>4476.8457098246809</v>
      </c>
      <c r="BB28" s="729">
        <v>4638.9772561358905</v>
      </c>
      <c r="BC28" s="729">
        <v>4251.5199626081203</v>
      </c>
      <c r="BD28" s="729">
        <v>4433.6908449118746</v>
      </c>
      <c r="BE28" s="729">
        <v>4562.4686395815997</v>
      </c>
      <c r="BF28" s="729">
        <v>4752.2897572731999</v>
      </c>
      <c r="BG28" s="729">
        <v>4709.609627492101</v>
      </c>
      <c r="BH28" s="729">
        <v>4851.0005767818602</v>
      </c>
      <c r="BI28" s="729">
        <v>4642.3921049384098</v>
      </c>
      <c r="BJ28" s="729">
        <v>4677.6723879410001</v>
      </c>
      <c r="BK28" s="729">
        <v>4763.0074741839999</v>
      </c>
      <c r="BL28" s="729">
        <v>4796.4405217106996</v>
      </c>
      <c r="BM28" s="729">
        <v>4452.9241270059247</v>
      </c>
      <c r="BN28" s="729">
        <v>4408.7073510668697</v>
      </c>
      <c r="BO28" s="729">
        <v>4214.0726971081122</v>
      </c>
      <c r="BP28" s="729">
        <v>4184.5179470731873</v>
      </c>
      <c r="BQ28" s="729">
        <v>4174.9655733601312</v>
      </c>
      <c r="BR28" s="729">
        <v>4332.7072278469495</v>
      </c>
      <c r="BS28" s="729">
        <v>4283.3280599190002</v>
      </c>
      <c r="BT28" s="729">
        <v>4249.2798328944946</v>
      </c>
      <c r="BU28" s="729">
        <v>4243.4027028338896</v>
      </c>
      <c r="BV28" s="729">
        <v>4754.6775937437078</v>
      </c>
      <c r="BW28" s="729">
        <v>4610.4957955462396</v>
      </c>
      <c r="BX28" s="729">
        <v>4507.2798876795496</v>
      </c>
      <c r="BY28" s="729">
        <v>4682.6000451228101</v>
      </c>
    </row>
    <row r="29" spans="1:77" ht="22.5" customHeight="1" x14ac:dyDescent="0.2">
      <c r="A29" s="730"/>
      <c r="B29" s="731"/>
      <c r="C29" s="731"/>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2"/>
      <c r="AR29" s="731"/>
      <c r="AS29" s="731"/>
      <c r="AT29" s="731"/>
      <c r="AU29" s="731"/>
      <c r="AV29" s="731"/>
      <c r="AW29" s="731"/>
      <c r="AX29" s="731"/>
      <c r="AY29" s="731"/>
      <c r="AZ29" s="733"/>
      <c r="BA29" s="733"/>
      <c r="BB29" s="733"/>
      <c r="BC29" s="733"/>
      <c r="BD29" s="733"/>
      <c r="BE29" s="733"/>
      <c r="BF29" s="733"/>
      <c r="BG29" s="733"/>
      <c r="BH29" s="733"/>
      <c r="BI29" s="733"/>
      <c r="BJ29" s="733"/>
      <c r="BK29" s="733"/>
      <c r="BL29" s="733"/>
      <c r="BM29" s="733"/>
      <c r="BN29" s="733"/>
      <c r="BO29" s="733"/>
      <c r="BP29" s="733"/>
      <c r="BQ29" s="733"/>
      <c r="BR29" s="733"/>
      <c r="BS29" s="733"/>
      <c r="BT29" s="733"/>
      <c r="BU29" s="733"/>
      <c r="BV29" s="733"/>
      <c r="BW29" s="733"/>
      <c r="BX29" s="733"/>
      <c r="BY29" s="733"/>
    </row>
    <row r="30" spans="1:77" ht="22.5" customHeight="1" x14ac:dyDescent="0.2">
      <c r="A30" s="726" t="s">
        <v>422</v>
      </c>
      <c r="B30" s="727">
        <v>8004.9418573799994</v>
      </c>
      <c r="C30" s="727">
        <v>6345.2660890399993</v>
      </c>
      <c r="D30" s="727">
        <v>7274.3973694999995</v>
      </c>
      <c r="E30" s="727">
        <v>7471.1022488100007</v>
      </c>
      <c r="F30" s="727">
        <v>12450.12102138</v>
      </c>
      <c r="G30" s="727">
        <v>13043.306204839999</v>
      </c>
      <c r="H30" s="727">
        <v>13172.8547151776</v>
      </c>
      <c r="I30" s="727">
        <v>14515.80547266</v>
      </c>
      <c r="J30" s="727">
        <v>13240.189651499</v>
      </c>
      <c r="K30" s="727">
        <v>13236.251026315998</v>
      </c>
      <c r="L30" s="727">
        <v>13317.192274773599</v>
      </c>
      <c r="M30" s="727">
        <v>9501.1873320228879</v>
      </c>
      <c r="N30" s="727">
        <v>10357.0032780292</v>
      </c>
      <c r="O30" s="727">
        <v>11055.461459829201</v>
      </c>
      <c r="P30" s="727">
        <v>11127.2517693058</v>
      </c>
      <c r="Q30" s="727">
        <v>12865.488681405699</v>
      </c>
      <c r="R30" s="727">
        <v>12319.008321619429</v>
      </c>
      <c r="S30" s="727">
        <v>12482.525</v>
      </c>
      <c r="T30" s="727">
        <v>14247.6379276189</v>
      </c>
      <c r="U30" s="727">
        <v>14089.231251202</v>
      </c>
      <c r="V30" s="727">
        <v>16530.263901124497</v>
      </c>
      <c r="W30" s="727">
        <v>20328.644211066796</v>
      </c>
      <c r="X30" s="727">
        <v>17594.954029616001</v>
      </c>
      <c r="Y30" s="727">
        <v>17280.523779515599</v>
      </c>
      <c r="Z30" s="727">
        <v>17821.451958536396</v>
      </c>
      <c r="AA30" s="727">
        <v>18147.069136084898</v>
      </c>
      <c r="AB30" s="727">
        <v>17882.999953672599</v>
      </c>
      <c r="AC30" s="727">
        <v>20587.424013521402</v>
      </c>
      <c r="AD30" s="727">
        <v>24441.2549489757</v>
      </c>
      <c r="AE30" s="727">
        <v>27500.8282418255</v>
      </c>
      <c r="AF30" s="727">
        <v>31205.986672913001</v>
      </c>
      <c r="AG30" s="727">
        <v>29918.687292360497</v>
      </c>
      <c r="AH30" s="727">
        <v>30731.6072824232</v>
      </c>
      <c r="AI30" s="727">
        <v>31935.307121929403</v>
      </c>
      <c r="AJ30" s="727">
        <v>31548.632029781798</v>
      </c>
      <c r="AK30" s="727">
        <v>33922.982514620904</v>
      </c>
      <c r="AL30" s="727">
        <v>37130.725390234526</v>
      </c>
      <c r="AM30" s="727">
        <v>40196.987263964569</v>
      </c>
      <c r="AN30" s="727">
        <v>36119.447936337179</v>
      </c>
      <c r="AO30" s="727">
        <v>39442.185711229904</v>
      </c>
      <c r="AP30" s="727">
        <v>37721.251117337226</v>
      </c>
      <c r="AQ30" s="728">
        <v>31613.741695206623</v>
      </c>
      <c r="AR30" s="727">
        <v>37412.899783422552</v>
      </c>
      <c r="AS30" s="727">
        <v>54416.710918332916</v>
      </c>
      <c r="AT30" s="727">
        <v>56432.192213846894</v>
      </c>
      <c r="AU30" s="727">
        <v>50440.246592234478</v>
      </c>
      <c r="AV30" s="727">
        <v>48881.789015601302</v>
      </c>
      <c r="AW30" s="727">
        <v>48880.560964746386</v>
      </c>
      <c r="AX30" s="727">
        <v>39948.766296267277</v>
      </c>
      <c r="AY30" s="727">
        <v>38593.980605309778</v>
      </c>
      <c r="AZ30" s="729">
        <v>40498.299068308806</v>
      </c>
      <c r="BA30" s="729">
        <v>41178.206022089078</v>
      </c>
      <c r="BB30" s="729">
        <v>33805.521873733574</v>
      </c>
      <c r="BC30" s="729">
        <v>29398.686670884017</v>
      </c>
      <c r="BD30" s="729">
        <v>27257.72379902887</v>
      </c>
      <c r="BE30" s="729">
        <v>22869.704785399732</v>
      </c>
      <c r="BF30" s="729">
        <v>24039.086564300596</v>
      </c>
      <c r="BG30" s="729">
        <v>25613.554496006123</v>
      </c>
      <c r="BH30" s="729">
        <v>26795.004876852636</v>
      </c>
      <c r="BI30" s="729">
        <v>24875.937234929897</v>
      </c>
      <c r="BJ30" s="729">
        <v>25516.752884201425</v>
      </c>
      <c r="BK30" s="729">
        <v>27691.003048840001</v>
      </c>
      <c r="BL30" s="729">
        <v>30158.965265442595</v>
      </c>
      <c r="BM30" s="729">
        <v>25886.464964752795</v>
      </c>
      <c r="BN30" s="729">
        <v>27114.111732047993</v>
      </c>
      <c r="BO30" s="729">
        <v>24374.629169193489</v>
      </c>
      <c r="BP30" s="729">
        <v>23422.453439970584</v>
      </c>
      <c r="BQ30" s="729">
        <v>24893.600002795105</v>
      </c>
      <c r="BR30" s="729">
        <v>26988.597457577725</v>
      </c>
      <c r="BS30" s="729">
        <v>28356.91269681292</v>
      </c>
      <c r="BT30" s="729">
        <v>24871.343893774218</v>
      </c>
      <c r="BU30" s="729">
        <v>26324.552439009116</v>
      </c>
      <c r="BV30" s="729">
        <v>29314.19185264457</v>
      </c>
      <c r="BW30" s="729">
        <v>27592.004433406553</v>
      </c>
      <c r="BX30" s="729">
        <v>31338.55516834664</v>
      </c>
      <c r="BY30" s="729">
        <v>26854.178580857722</v>
      </c>
    </row>
    <row r="31" spans="1:77" ht="22.5" customHeight="1" x14ac:dyDescent="0.2">
      <c r="A31" s="730"/>
      <c r="B31" s="731"/>
      <c r="C31" s="731"/>
      <c r="D31" s="731"/>
      <c r="E31" s="731"/>
      <c r="F31" s="731"/>
      <c r="G31" s="731"/>
      <c r="H31" s="731"/>
      <c r="I31" s="731"/>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1"/>
      <c r="AQ31" s="732"/>
      <c r="AR31" s="731"/>
      <c r="AS31" s="731"/>
      <c r="AT31" s="731"/>
      <c r="AU31" s="731"/>
      <c r="AV31" s="731"/>
      <c r="AW31" s="731"/>
      <c r="AX31" s="731"/>
      <c r="AY31" s="731"/>
      <c r="AZ31" s="733"/>
      <c r="BA31" s="733"/>
      <c r="BB31" s="733"/>
      <c r="BC31" s="733"/>
      <c r="BD31" s="733"/>
      <c r="BE31" s="733"/>
      <c r="BF31" s="733"/>
      <c r="BG31" s="733"/>
      <c r="BH31" s="733"/>
      <c r="BI31" s="733"/>
      <c r="BJ31" s="733"/>
      <c r="BK31" s="733"/>
      <c r="BL31" s="733"/>
      <c r="BM31" s="733"/>
      <c r="BN31" s="733"/>
      <c r="BO31" s="733"/>
      <c r="BP31" s="733"/>
      <c r="BQ31" s="733"/>
      <c r="BR31" s="733"/>
      <c r="BS31" s="733"/>
      <c r="BT31" s="733"/>
      <c r="BU31" s="733"/>
      <c r="BV31" s="733"/>
      <c r="BW31" s="733"/>
      <c r="BX31" s="733"/>
      <c r="BY31" s="733"/>
    </row>
    <row r="32" spans="1:77" ht="22.5" customHeight="1" x14ac:dyDescent="0.2">
      <c r="A32" s="726" t="s">
        <v>420</v>
      </c>
      <c r="B32" s="727">
        <v>0</v>
      </c>
      <c r="C32" s="727">
        <v>0</v>
      </c>
      <c r="D32" s="727">
        <v>0</v>
      </c>
      <c r="E32" s="727">
        <v>0</v>
      </c>
      <c r="F32" s="727">
        <v>0</v>
      </c>
      <c r="G32" s="727">
        <v>0</v>
      </c>
      <c r="H32" s="727">
        <v>0</v>
      </c>
      <c r="I32" s="727">
        <v>0</v>
      </c>
      <c r="J32" s="727">
        <v>0</v>
      </c>
      <c r="K32" s="727">
        <v>0</v>
      </c>
      <c r="L32" s="727">
        <v>0</v>
      </c>
      <c r="M32" s="727">
        <v>0</v>
      </c>
      <c r="N32" s="727">
        <v>0</v>
      </c>
      <c r="O32" s="727">
        <v>0</v>
      </c>
      <c r="P32" s="727">
        <v>0</v>
      </c>
      <c r="Q32" s="727">
        <v>0</v>
      </c>
      <c r="R32" s="727">
        <v>0</v>
      </c>
      <c r="S32" s="727">
        <v>0</v>
      </c>
      <c r="T32" s="727">
        <v>0</v>
      </c>
      <c r="U32" s="727">
        <v>0</v>
      </c>
      <c r="V32" s="727">
        <v>0</v>
      </c>
      <c r="W32" s="727">
        <v>0</v>
      </c>
      <c r="X32" s="727">
        <v>0</v>
      </c>
      <c r="Y32" s="727">
        <v>0</v>
      </c>
      <c r="Z32" s="727">
        <v>0</v>
      </c>
      <c r="AA32" s="727">
        <v>0</v>
      </c>
      <c r="AB32" s="727">
        <v>0</v>
      </c>
      <c r="AC32" s="727">
        <v>0</v>
      </c>
      <c r="AD32" s="727">
        <v>0</v>
      </c>
      <c r="AE32" s="727">
        <v>0</v>
      </c>
      <c r="AF32" s="727">
        <v>0</v>
      </c>
      <c r="AG32" s="727">
        <v>0</v>
      </c>
      <c r="AH32" s="727">
        <v>0</v>
      </c>
      <c r="AI32" s="727">
        <v>0</v>
      </c>
      <c r="AJ32" s="727">
        <v>0</v>
      </c>
      <c r="AK32" s="727">
        <v>0</v>
      </c>
      <c r="AL32" s="727">
        <v>0</v>
      </c>
      <c r="AM32" s="727">
        <v>0</v>
      </c>
      <c r="AN32" s="727">
        <v>0</v>
      </c>
      <c r="AO32" s="727">
        <v>0</v>
      </c>
      <c r="AP32" s="727">
        <v>0</v>
      </c>
      <c r="AQ32" s="728">
        <v>0</v>
      </c>
      <c r="AR32" s="727">
        <v>0</v>
      </c>
      <c r="AS32" s="727">
        <v>0</v>
      </c>
      <c r="AT32" s="727">
        <v>0</v>
      </c>
      <c r="AU32" s="727">
        <v>0</v>
      </c>
      <c r="AV32" s="727">
        <v>0</v>
      </c>
      <c r="AW32" s="727">
        <v>0</v>
      </c>
      <c r="AX32" s="727">
        <v>0</v>
      </c>
      <c r="AY32" s="727">
        <v>0</v>
      </c>
      <c r="AZ32" s="729">
        <v>0</v>
      </c>
      <c r="BA32" s="729">
        <v>0</v>
      </c>
      <c r="BB32" s="729">
        <v>0</v>
      </c>
      <c r="BC32" s="729">
        <v>0</v>
      </c>
      <c r="BD32" s="729">
        <v>0</v>
      </c>
      <c r="BE32" s="729">
        <v>0</v>
      </c>
      <c r="BF32" s="729">
        <v>0</v>
      </c>
      <c r="BG32" s="729">
        <v>0</v>
      </c>
      <c r="BH32" s="729">
        <v>0</v>
      </c>
      <c r="BI32" s="729">
        <v>0</v>
      </c>
      <c r="BJ32" s="729">
        <v>0</v>
      </c>
      <c r="BK32" s="729">
        <v>0</v>
      </c>
      <c r="BL32" s="729">
        <v>0</v>
      </c>
      <c r="BM32" s="729">
        <v>0</v>
      </c>
      <c r="BN32" s="729">
        <v>0</v>
      </c>
      <c r="BO32" s="729">
        <v>0</v>
      </c>
      <c r="BP32" s="729">
        <v>0</v>
      </c>
      <c r="BQ32" s="729">
        <v>0</v>
      </c>
      <c r="BR32" s="729">
        <v>0</v>
      </c>
      <c r="BS32" s="729">
        <v>0</v>
      </c>
      <c r="BT32" s="729">
        <v>0</v>
      </c>
      <c r="BU32" s="729">
        <v>0</v>
      </c>
      <c r="BV32" s="729">
        <v>0</v>
      </c>
      <c r="BW32" s="729">
        <v>0</v>
      </c>
      <c r="BX32" s="729">
        <v>0</v>
      </c>
      <c r="BY32" s="729">
        <v>0</v>
      </c>
    </row>
    <row r="33" spans="1:77" ht="22.5" customHeight="1" x14ac:dyDescent="0.2">
      <c r="A33" s="726"/>
      <c r="B33" s="731"/>
      <c r="C33" s="731"/>
      <c r="D33" s="731"/>
      <c r="E33" s="731"/>
      <c r="F33" s="731"/>
      <c r="G33" s="731"/>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2"/>
      <c r="AR33" s="731"/>
      <c r="AS33" s="731"/>
      <c r="AT33" s="731"/>
      <c r="AU33" s="731"/>
      <c r="AV33" s="731"/>
      <c r="AW33" s="731"/>
      <c r="AX33" s="731"/>
      <c r="AY33" s="731"/>
      <c r="AZ33" s="733"/>
      <c r="BA33" s="733"/>
      <c r="BB33" s="733"/>
      <c r="BC33" s="733"/>
      <c r="BD33" s="733"/>
      <c r="BE33" s="733"/>
      <c r="BF33" s="733"/>
      <c r="BG33" s="733"/>
      <c r="BH33" s="733"/>
      <c r="BI33" s="733"/>
      <c r="BJ33" s="733"/>
      <c r="BK33" s="733"/>
      <c r="BL33" s="733"/>
      <c r="BM33" s="733"/>
      <c r="BN33" s="733"/>
      <c r="BO33" s="733"/>
      <c r="BP33" s="733"/>
      <c r="BQ33" s="733"/>
      <c r="BR33" s="733"/>
      <c r="BS33" s="733"/>
      <c r="BT33" s="733"/>
      <c r="BU33" s="733"/>
      <c r="BV33" s="733"/>
      <c r="BW33" s="733"/>
      <c r="BX33" s="733"/>
      <c r="BY33" s="733"/>
    </row>
    <row r="34" spans="1:77" ht="22.5" customHeight="1" x14ac:dyDescent="0.2">
      <c r="A34" s="726" t="s">
        <v>418</v>
      </c>
      <c r="B34" s="727">
        <v>91931.205161325051</v>
      </c>
      <c r="C34" s="727">
        <v>93727.510363099893</v>
      </c>
      <c r="D34" s="727">
        <v>94506.183742594367</v>
      </c>
      <c r="E34" s="727">
        <v>94838.528273953576</v>
      </c>
      <c r="F34" s="727">
        <v>100595.16788201034</v>
      </c>
      <c r="G34" s="727">
        <v>99331.44868220159</v>
      </c>
      <c r="H34" s="727">
        <v>95838.989661111074</v>
      </c>
      <c r="I34" s="727">
        <v>98022.360128515997</v>
      </c>
      <c r="J34" s="727">
        <v>98776.014559370538</v>
      </c>
      <c r="K34" s="727">
        <v>99602.168756712548</v>
      </c>
      <c r="L34" s="727">
        <v>104664.66887425256</v>
      </c>
      <c r="M34" s="727">
        <v>106399.90190484645</v>
      </c>
      <c r="N34" s="727">
        <v>105108.65961164402</v>
      </c>
      <c r="O34" s="727">
        <v>106283.79045313233</v>
      </c>
      <c r="P34" s="727">
        <v>105327.64207053928</v>
      </c>
      <c r="Q34" s="727">
        <v>105001.19883486707</v>
      </c>
      <c r="R34" s="727">
        <v>106258.75707319782</v>
      </c>
      <c r="S34" s="727">
        <v>109185.94717009999</v>
      </c>
      <c r="T34" s="727">
        <v>107989.00679121458</v>
      </c>
      <c r="U34" s="727">
        <v>108729.78240078196</v>
      </c>
      <c r="V34" s="727">
        <v>111605.25449693477</v>
      </c>
      <c r="W34" s="727">
        <v>114178.72364166354</v>
      </c>
      <c r="X34" s="727">
        <v>115195.0824272186</v>
      </c>
      <c r="Y34" s="727">
        <v>112198.55426725603</v>
      </c>
      <c r="Z34" s="727">
        <v>114678.91798097546</v>
      </c>
      <c r="AA34" s="727">
        <v>115906.3855018546</v>
      </c>
      <c r="AB34" s="727">
        <v>116848.76121707752</v>
      </c>
      <c r="AC34" s="727">
        <v>118071.64878841744</v>
      </c>
      <c r="AD34" s="727">
        <v>119925.04522720347</v>
      </c>
      <c r="AE34" s="727">
        <v>125927.4686794286</v>
      </c>
      <c r="AF34" s="727">
        <v>126766.88139465361</v>
      </c>
      <c r="AG34" s="727">
        <v>127443.02605404922</v>
      </c>
      <c r="AH34" s="727">
        <v>129280.07779198514</v>
      </c>
      <c r="AI34" s="727">
        <v>131248.79180393298</v>
      </c>
      <c r="AJ34" s="727">
        <v>131875.50132312486</v>
      </c>
      <c r="AK34" s="727">
        <v>134541.18717390965</v>
      </c>
      <c r="AL34" s="727">
        <v>136064.41264635103</v>
      </c>
      <c r="AM34" s="727">
        <v>137886.54470620683</v>
      </c>
      <c r="AN34" s="727">
        <v>140070.71968185881</v>
      </c>
      <c r="AO34" s="727">
        <v>140663.12940670119</v>
      </c>
      <c r="AP34" s="727">
        <v>138584.42056945321</v>
      </c>
      <c r="AQ34" s="728">
        <v>137630.49591039534</v>
      </c>
      <c r="AR34" s="727">
        <v>139053.49700415551</v>
      </c>
      <c r="AS34" s="727">
        <v>138598.10325879735</v>
      </c>
      <c r="AT34" s="727">
        <v>137836.17712575244</v>
      </c>
      <c r="AU34" s="727">
        <v>137918.32496904978</v>
      </c>
      <c r="AV34" s="727">
        <v>138265.58759757516</v>
      </c>
      <c r="AW34" s="727">
        <v>137324.87513103662</v>
      </c>
      <c r="AX34" s="727">
        <v>138186.04176737939</v>
      </c>
      <c r="AY34" s="727">
        <v>140965.70042205742</v>
      </c>
      <c r="AZ34" s="729">
        <v>142317.50339027692</v>
      </c>
      <c r="BA34" s="729">
        <v>143132.89270273305</v>
      </c>
      <c r="BB34" s="729">
        <v>144530.03984466376</v>
      </c>
      <c r="BC34" s="729">
        <v>145404.84491628187</v>
      </c>
      <c r="BD34" s="729">
        <v>144018.79903569387</v>
      </c>
      <c r="BE34" s="729">
        <v>145561.70968978491</v>
      </c>
      <c r="BF34" s="729">
        <v>142900.20762331548</v>
      </c>
      <c r="BG34" s="729">
        <v>141965.79410231134</v>
      </c>
      <c r="BH34" s="729">
        <v>143107.57272787095</v>
      </c>
      <c r="BI34" s="729">
        <v>143257.80748646177</v>
      </c>
      <c r="BJ34" s="729">
        <v>145101.45879266993</v>
      </c>
      <c r="BK34" s="729">
        <v>149814.99882359046</v>
      </c>
      <c r="BL34" s="729">
        <v>164291.82205122249</v>
      </c>
      <c r="BM34" s="729">
        <v>162358.62357286274</v>
      </c>
      <c r="BN34" s="729">
        <v>162604.74182849855</v>
      </c>
      <c r="BO34" s="729">
        <v>165868.98385879662</v>
      </c>
      <c r="BP34" s="729">
        <v>166513.15516178071</v>
      </c>
      <c r="BQ34" s="729">
        <v>166109.40555985674</v>
      </c>
      <c r="BR34" s="729">
        <v>166822.19564445765</v>
      </c>
      <c r="BS34" s="729">
        <v>170782.24754361322</v>
      </c>
      <c r="BT34" s="729">
        <v>172607.78269226855</v>
      </c>
      <c r="BU34" s="729">
        <v>170609.56691363768</v>
      </c>
      <c r="BV34" s="729">
        <v>174092.97215239477</v>
      </c>
      <c r="BW34" s="729">
        <v>175725.9280216803</v>
      </c>
      <c r="BX34" s="729">
        <v>168102.10390466126</v>
      </c>
      <c r="BY34" s="729">
        <v>167593.15212916528</v>
      </c>
    </row>
    <row r="35" spans="1:77" ht="22.5" customHeight="1" x14ac:dyDescent="0.2">
      <c r="A35" s="730"/>
      <c r="B35" s="731"/>
      <c r="C35" s="731"/>
      <c r="D35" s="731"/>
      <c r="E35" s="731"/>
      <c r="F35" s="731"/>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c r="AQ35" s="732"/>
      <c r="AR35" s="731"/>
      <c r="AS35" s="731"/>
      <c r="AT35" s="731"/>
      <c r="AU35" s="731"/>
      <c r="AV35" s="731"/>
      <c r="AW35" s="731"/>
      <c r="AX35" s="731"/>
      <c r="AY35" s="731"/>
      <c r="AZ35" s="733"/>
      <c r="BA35" s="733"/>
      <c r="BB35" s="733"/>
      <c r="BC35" s="733"/>
      <c r="BD35" s="733"/>
      <c r="BE35" s="733"/>
      <c r="BF35" s="733"/>
      <c r="BG35" s="733"/>
      <c r="BH35" s="733"/>
      <c r="BI35" s="733"/>
      <c r="BJ35" s="733"/>
      <c r="BK35" s="733"/>
      <c r="BL35" s="733"/>
      <c r="BM35" s="733"/>
      <c r="BN35" s="733"/>
      <c r="BO35" s="733"/>
      <c r="BP35" s="733"/>
      <c r="BQ35" s="733"/>
      <c r="BR35" s="733"/>
      <c r="BS35" s="733"/>
      <c r="BT35" s="733"/>
      <c r="BU35" s="733"/>
      <c r="BV35" s="733"/>
      <c r="BW35" s="733"/>
      <c r="BX35" s="733"/>
      <c r="BY35" s="733"/>
    </row>
    <row r="36" spans="1:77" ht="22.5" customHeight="1" x14ac:dyDescent="0.2">
      <c r="A36" s="726" t="s">
        <v>496</v>
      </c>
      <c r="B36" s="734">
        <v>4166.2559083107681</v>
      </c>
      <c r="C36" s="734">
        <v>5836.8307848394315</v>
      </c>
      <c r="D36" s="734">
        <v>4773.5541999522748</v>
      </c>
      <c r="E36" s="734">
        <v>4949.9543473415715</v>
      </c>
      <c r="F36" s="734">
        <v>5147.9044785482811</v>
      </c>
      <c r="G36" s="734">
        <v>4336.8289647200054</v>
      </c>
      <c r="H36" s="734">
        <v>3671.1543026623749</v>
      </c>
      <c r="I36" s="734">
        <v>4093.9973592667557</v>
      </c>
      <c r="J36" s="734">
        <v>2825.201247150314</v>
      </c>
      <c r="K36" s="734">
        <v>4057.1762056371635</v>
      </c>
      <c r="L36" s="734">
        <v>2590.6716106366011</v>
      </c>
      <c r="M36" s="734">
        <v>1446.6136928997857</v>
      </c>
      <c r="N36" s="734">
        <v>4277.7919181665729</v>
      </c>
      <c r="O36" s="734">
        <v>3289.8936343798723</v>
      </c>
      <c r="P36" s="734">
        <v>2371.7447532179149</v>
      </c>
      <c r="Q36" s="734">
        <v>2412.4201621529996</v>
      </c>
      <c r="R36" s="734">
        <v>2238.8931284029268</v>
      </c>
      <c r="S36" s="734">
        <v>1963.5477770030498</v>
      </c>
      <c r="T36" s="734">
        <v>1949.9947478903198</v>
      </c>
      <c r="U36" s="734">
        <v>2696.786814233571</v>
      </c>
      <c r="V36" s="734">
        <v>1406.1372073461521</v>
      </c>
      <c r="W36" s="734">
        <v>2010.8968166979798</v>
      </c>
      <c r="X36" s="734">
        <v>2220.4361954284714</v>
      </c>
      <c r="Y36" s="734">
        <v>1272.6546704822965</v>
      </c>
      <c r="Z36" s="734">
        <v>792.21529780152628</v>
      </c>
      <c r="AA36" s="734">
        <v>2100.5342991543275</v>
      </c>
      <c r="AB36" s="734">
        <v>2432.2834422394635</v>
      </c>
      <c r="AC36" s="734">
        <v>3342.6177155972546</v>
      </c>
      <c r="AD36" s="734">
        <v>3274.8304417881586</v>
      </c>
      <c r="AE36" s="734">
        <v>3925.853069862545</v>
      </c>
      <c r="AF36" s="734">
        <v>4573.7656659014074</v>
      </c>
      <c r="AG36" s="734">
        <v>4695.7843545821997</v>
      </c>
      <c r="AH36" s="734">
        <v>6399.17145052878</v>
      </c>
      <c r="AI36" s="734">
        <v>6414.5620846104957</v>
      </c>
      <c r="AJ36" s="734">
        <v>6328.7049696942104</v>
      </c>
      <c r="AK36" s="734">
        <v>5306.6438209349626</v>
      </c>
      <c r="AL36" s="734">
        <v>5067.8329082944792</v>
      </c>
      <c r="AM36" s="734">
        <v>6701.894232284897</v>
      </c>
      <c r="AN36" s="734">
        <v>6217.5076293957345</v>
      </c>
      <c r="AO36" s="734">
        <v>6910.5249090891812</v>
      </c>
      <c r="AP36" s="734">
        <v>7232.4241446583119</v>
      </c>
      <c r="AQ36" s="735">
        <v>8749.1670206348845</v>
      </c>
      <c r="AR36" s="734">
        <v>9847.7414118267607</v>
      </c>
      <c r="AS36" s="734">
        <v>10410.469506132276</v>
      </c>
      <c r="AT36" s="734">
        <v>14841.164652872918</v>
      </c>
      <c r="AU36" s="734">
        <v>9358.7145716027208</v>
      </c>
      <c r="AV36" s="734">
        <v>10912.334219159186</v>
      </c>
      <c r="AW36" s="734">
        <v>10816.251084779213</v>
      </c>
      <c r="AX36" s="734">
        <v>10235.342249522188</v>
      </c>
      <c r="AY36" s="734">
        <v>9838.5228214073486</v>
      </c>
      <c r="AZ36" s="736">
        <v>9797.1259705820448</v>
      </c>
      <c r="BA36" s="736">
        <v>10726.931633296925</v>
      </c>
      <c r="BB36" s="736">
        <v>12073.863684212154</v>
      </c>
      <c r="BC36" s="736">
        <v>11326.671021321095</v>
      </c>
      <c r="BD36" s="736">
        <v>10801.425896280352</v>
      </c>
      <c r="BE36" s="736">
        <v>12910.480120332581</v>
      </c>
      <c r="BF36" s="736">
        <v>14570.947193627353</v>
      </c>
      <c r="BG36" s="736">
        <v>16489.008749524332</v>
      </c>
      <c r="BH36" s="736">
        <v>17991.953738499964</v>
      </c>
      <c r="BI36" s="736">
        <v>15288.032952154661</v>
      </c>
      <c r="BJ36" s="736">
        <v>13877.89540863472</v>
      </c>
      <c r="BK36" s="736">
        <v>14110.03705747331</v>
      </c>
      <c r="BL36" s="736">
        <v>17073.937235824262</v>
      </c>
      <c r="BM36" s="736">
        <v>12256.513064142209</v>
      </c>
      <c r="BN36" s="736">
        <v>13801.170303397401</v>
      </c>
      <c r="BO36" s="736">
        <v>15424.557664104779</v>
      </c>
      <c r="BP36" s="736">
        <v>15326.933963099953</v>
      </c>
      <c r="BQ36" s="736">
        <v>14793.457104653464</v>
      </c>
      <c r="BR36" s="736">
        <v>17696.401696072175</v>
      </c>
      <c r="BS36" s="736">
        <v>17996.74096540557</v>
      </c>
      <c r="BT36" s="736">
        <v>19543.566917252538</v>
      </c>
      <c r="BU36" s="736">
        <v>16813.347196893385</v>
      </c>
      <c r="BV36" s="736">
        <v>26929.551452887092</v>
      </c>
      <c r="BW36" s="736">
        <v>18586.163655545966</v>
      </c>
      <c r="BX36" s="736">
        <v>21214.529727430374</v>
      </c>
      <c r="BY36" s="736">
        <v>21707.140073667993</v>
      </c>
    </row>
    <row r="37" spans="1:77" ht="22.5" customHeight="1" thickBot="1" x14ac:dyDescent="0.25">
      <c r="A37" s="737"/>
      <c r="B37" s="738"/>
      <c r="C37" s="738"/>
      <c r="D37" s="738"/>
      <c r="E37" s="738"/>
      <c r="F37" s="738"/>
      <c r="G37" s="738"/>
      <c r="H37" s="738"/>
      <c r="I37" s="738"/>
      <c r="J37" s="738"/>
      <c r="K37" s="738"/>
      <c r="L37" s="738"/>
      <c r="M37" s="738"/>
      <c r="N37" s="738"/>
      <c r="O37" s="738"/>
      <c r="P37" s="738"/>
      <c r="Q37" s="738"/>
      <c r="R37" s="738"/>
      <c r="S37" s="738"/>
      <c r="T37" s="738"/>
      <c r="U37" s="738"/>
      <c r="V37" s="738"/>
      <c r="W37" s="738"/>
      <c r="X37" s="738"/>
      <c r="Y37" s="738"/>
      <c r="Z37" s="738"/>
      <c r="AA37" s="738"/>
      <c r="AB37" s="738"/>
      <c r="AC37" s="738"/>
      <c r="AD37" s="738"/>
      <c r="AE37" s="738"/>
      <c r="AF37" s="738"/>
      <c r="AG37" s="738"/>
      <c r="AH37" s="738"/>
      <c r="AI37" s="738"/>
      <c r="AJ37" s="738"/>
      <c r="AK37" s="738"/>
      <c r="AL37" s="738"/>
      <c r="AM37" s="738"/>
      <c r="AN37" s="738"/>
      <c r="AO37" s="738"/>
      <c r="AP37" s="738"/>
      <c r="AQ37" s="739"/>
      <c r="AR37" s="738"/>
      <c r="AS37" s="738"/>
      <c r="AT37" s="738"/>
      <c r="AU37" s="738"/>
      <c r="AV37" s="738"/>
      <c r="AW37" s="738"/>
      <c r="AX37" s="738"/>
      <c r="AY37" s="738"/>
      <c r="AZ37" s="740"/>
      <c r="BA37" s="740"/>
      <c r="BB37" s="740"/>
      <c r="BC37" s="740"/>
      <c r="BD37" s="740"/>
      <c r="BE37" s="740"/>
      <c r="BF37" s="740"/>
      <c r="BG37" s="740"/>
      <c r="BH37" s="740"/>
      <c r="BI37" s="740"/>
      <c r="BJ37" s="740"/>
      <c r="BK37" s="740"/>
      <c r="BL37" s="740"/>
      <c r="BM37" s="740"/>
      <c r="BN37" s="740"/>
      <c r="BO37" s="740"/>
      <c r="BP37" s="740"/>
      <c r="BQ37" s="740"/>
      <c r="BR37" s="740"/>
      <c r="BS37" s="740"/>
      <c r="BT37" s="740"/>
      <c r="BU37" s="740"/>
      <c r="BV37" s="740"/>
      <c r="BW37" s="740"/>
      <c r="BX37" s="740"/>
      <c r="BY37" s="740"/>
    </row>
    <row r="38" spans="1:77" ht="14.25" hidden="1" thickTop="1" x14ac:dyDescent="0.2">
      <c r="A38" s="741" t="s">
        <v>541</v>
      </c>
      <c r="Q38" s="713"/>
      <c r="R38" s="713"/>
      <c r="S38" s="713"/>
      <c r="T38" s="713"/>
      <c r="U38" s="713"/>
      <c r="V38" s="713"/>
      <c r="W38" s="713"/>
      <c r="X38" s="713"/>
      <c r="Y38" s="713"/>
      <c r="Z38" s="713"/>
      <c r="AA38" s="713"/>
      <c r="AB38" s="713"/>
      <c r="AC38" s="713"/>
      <c r="AD38" s="713"/>
      <c r="AE38" s="713"/>
      <c r="AF38" s="713"/>
      <c r="AG38" s="713"/>
      <c r="AH38" s="713"/>
      <c r="AI38" s="713"/>
      <c r="AJ38" s="713"/>
      <c r="AK38" s="713"/>
      <c r="AL38" s="713"/>
      <c r="AM38" s="713"/>
      <c r="AN38" s="713"/>
      <c r="AO38" s="713"/>
      <c r="AP38" s="713"/>
      <c r="AQ38" s="713"/>
      <c r="AR38" s="713"/>
      <c r="AS38" s="713"/>
      <c r="AT38" s="713"/>
      <c r="AU38" s="713"/>
      <c r="AV38" s="713"/>
      <c r="AW38" s="713"/>
      <c r="AX38" s="713"/>
      <c r="AY38" s="713"/>
      <c r="AZ38" s="713"/>
    </row>
    <row r="39" spans="1:77" ht="18.75" thickTop="1" x14ac:dyDescent="0.2">
      <c r="A39" s="699" t="s">
        <v>542</v>
      </c>
      <c r="B39" s="673"/>
      <c r="C39" s="673"/>
      <c r="D39" s="673"/>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3"/>
      <c r="AQ39" s="673"/>
      <c r="AR39" s="673"/>
      <c r="AS39" s="673"/>
      <c r="AT39" s="673"/>
      <c r="AU39" s="673"/>
      <c r="AV39" s="673"/>
      <c r="AW39" s="673"/>
      <c r="AX39" s="673"/>
      <c r="AY39" s="673"/>
      <c r="AZ39" s="673"/>
    </row>
    <row r="40" spans="1:77" ht="18" x14ac:dyDescent="0.25">
      <c r="A40" s="742" t="s">
        <v>543</v>
      </c>
      <c r="B40" s="743"/>
      <c r="C40" s="744"/>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row>
    <row r="41" spans="1:77" ht="15" x14ac:dyDescent="0.25">
      <c r="A41" s="742" t="s">
        <v>544</v>
      </c>
      <c r="B41" s="743"/>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row>
    <row r="42" spans="1:77" ht="15" x14ac:dyDescent="0.25">
      <c r="A42" s="708" t="s">
        <v>179</v>
      </c>
      <c r="B42" s="673"/>
      <c r="C42" s="673"/>
      <c r="D42" s="673"/>
      <c r="E42" s="673"/>
      <c r="F42" s="673"/>
      <c r="G42" s="673"/>
      <c r="H42" s="673"/>
      <c r="I42" s="673"/>
      <c r="J42" s="673"/>
      <c r="K42" s="673"/>
      <c r="L42" s="673"/>
      <c r="M42" s="673"/>
      <c r="N42" s="673"/>
      <c r="O42" s="673"/>
      <c r="P42" s="673"/>
      <c r="Q42" s="673"/>
      <c r="R42" s="673"/>
      <c r="S42" s="673"/>
      <c r="T42" s="673"/>
      <c r="U42" s="673"/>
      <c r="V42" s="673"/>
      <c r="W42" s="673"/>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row>
    <row r="43" spans="1:77" ht="15.75" customHeight="1" x14ac:dyDescent="0.2">
      <c r="N43" s="713"/>
      <c r="O43" s="713"/>
      <c r="P43" s="713"/>
      <c r="Q43" s="713"/>
      <c r="R43" s="713"/>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713"/>
      <c r="AR43" s="713"/>
      <c r="AS43" s="713"/>
      <c r="AT43" s="713"/>
      <c r="AU43" s="713"/>
      <c r="AV43" s="713"/>
      <c r="AW43" s="713"/>
      <c r="AX43" s="713"/>
      <c r="AY43" s="713"/>
      <c r="AZ43" s="713"/>
    </row>
    <row r="44" spans="1:77" ht="15.75" customHeight="1" x14ac:dyDescent="0.2">
      <c r="B44" s="713"/>
      <c r="C44" s="713"/>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c r="AL44" s="713"/>
      <c r="AM44" s="713"/>
      <c r="AN44" s="713"/>
      <c r="AO44" s="713"/>
      <c r="AP44" s="713"/>
      <c r="AQ44" s="713"/>
      <c r="AR44" s="713"/>
      <c r="AS44" s="713"/>
      <c r="AT44" s="713"/>
      <c r="AU44" s="713"/>
      <c r="AV44" s="713"/>
      <c r="AW44" s="713"/>
      <c r="AX44" s="713"/>
      <c r="AY44" s="713"/>
      <c r="AZ44" s="713"/>
    </row>
    <row r="45" spans="1:77" ht="15.75" customHeight="1" x14ac:dyDescent="0.2">
      <c r="N45" s="746"/>
      <c r="O45" s="746"/>
      <c r="P45" s="746"/>
    </row>
    <row r="61" spans="58:77" ht="15.75" customHeight="1" x14ac:dyDescent="0.2">
      <c r="BF61" s="710">
        <f t="shared" ref="BF61:BY61" si="0">(BF17-AT17)/AT17*100</f>
        <v>8.2844210552428432</v>
      </c>
      <c r="BG61" s="710">
        <f t="shared" si="0"/>
        <v>10.348110054865318</v>
      </c>
      <c r="BH61" s="710">
        <f t="shared" si="0"/>
        <v>9.755050407242468</v>
      </c>
      <c r="BI61" s="710">
        <f t="shared" si="0"/>
        <v>8.738251142344641</v>
      </c>
      <c r="BJ61" s="710">
        <f t="shared" si="0"/>
        <v>9.5580631405096916</v>
      </c>
      <c r="BK61" s="710">
        <f t="shared" si="0"/>
        <v>9.587902238825075</v>
      </c>
      <c r="BL61" s="710">
        <f t="shared" si="0"/>
        <v>10.52693885913944</v>
      </c>
      <c r="BM61" s="710">
        <f t="shared" si="0"/>
        <v>10.033226211040459</v>
      </c>
      <c r="BN61" s="710">
        <f t="shared" si="0"/>
        <v>10.006538163087244</v>
      </c>
      <c r="BO61" s="710">
        <f t="shared" si="0"/>
        <v>10.554943876094212</v>
      </c>
      <c r="BP61" s="710">
        <f t="shared" si="0"/>
        <v>11.26241172835525</v>
      </c>
      <c r="BQ61" s="710">
        <f t="shared" si="0"/>
        <v>12.272924514150937</v>
      </c>
      <c r="BR61" s="710">
        <f t="shared" si="0"/>
        <v>11.663121153006349</v>
      </c>
      <c r="BS61" s="710">
        <f t="shared" si="0"/>
        <v>10.973586723601425</v>
      </c>
      <c r="BT61" s="710">
        <f t="shared" si="0"/>
        <v>10.874716730501408</v>
      </c>
      <c r="BU61" s="710">
        <f t="shared" si="0"/>
        <v>10.172650132630338</v>
      </c>
      <c r="BV61" s="710">
        <f t="shared" si="0"/>
        <v>10.508876396189294</v>
      </c>
      <c r="BW61" s="710">
        <f t="shared" si="0"/>
        <v>9.4336108451225584</v>
      </c>
      <c r="BX61" s="710">
        <f t="shared" si="0"/>
        <v>7.6742284996808019</v>
      </c>
      <c r="BY61" s="710">
        <f t="shared" si="0"/>
        <v>8.9851230599458791</v>
      </c>
    </row>
    <row r="68" spans="15:15" ht="15.75" customHeight="1" x14ac:dyDescent="0.2">
      <c r="O68" s="710">
        <f>23136-20420</f>
        <v>2716</v>
      </c>
    </row>
    <row r="69" spans="15:15" ht="15.75" customHeight="1" x14ac:dyDescent="0.2">
      <c r="O69" s="710">
        <f>23136/291715*100</f>
        <v>7.9310285724080014</v>
      </c>
    </row>
    <row r="70" spans="15:15" ht="15.75" customHeight="1" x14ac:dyDescent="0.2">
      <c r="O70" s="710">
        <f>23136-20420</f>
        <v>2716</v>
      </c>
    </row>
    <row r="71" spans="15:15" ht="15.75" customHeight="1" x14ac:dyDescent="0.2">
      <c r="O71" s="710">
        <f>23136/291715*100</f>
        <v>7.9310285724080014</v>
      </c>
    </row>
  </sheetData>
  <printOptions horizontalCentered="1" verticalCentered="1"/>
  <pageMargins left="0" right="0" top="0" bottom="0" header="0" footer="0"/>
  <pageSetup paperSize="9" scale="4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D31"/>
  <sheetViews>
    <sheetView workbookViewId="0">
      <pane xSplit="39" ySplit="4" topLeftCell="AN5" activePane="bottomRight" state="frozen"/>
      <selection pane="topRight" activeCell="AN1" sqref="AN1"/>
      <selection pane="bottomLeft" activeCell="A5" sqref="A5"/>
      <selection pane="bottomRight" sqref="A1:AY26"/>
    </sheetView>
  </sheetViews>
  <sheetFormatPr defaultRowHeight="12.75" x14ac:dyDescent="0.2"/>
  <cols>
    <col min="1" max="1" width="48.85546875" style="106" customWidth="1"/>
    <col min="2" max="39" width="13.28515625" style="106" hidden="1" customWidth="1"/>
    <col min="40" max="52" width="13.28515625" style="106" customWidth="1"/>
    <col min="53" max="53" width="15.140625" style="748" customWidth="1"/>
    <col min="54" max="54" width="10.28515625" style="748" bestFit="1" customWidth="1"/>
    <col min="55" max="56" width="9.140625" style="748"/>
    <col min="57" max="16384" width="9.140625" style="106"/>
  </cols>
  <sheetData>
    <row r="1" spans="1:56" ht="15.75" x14ac:dyDescent="0.25">
      <c r="A1" s="747" t="s">
        <v>545</v>
      </c>
    </row>
    <row r="2" spans="1:56" ht="15.75" x14ac:dyDescent="0.25">
      <c r="A2" s="747"/>
    </row>
    <row r="3" spans="1:56" ht="15.75" x14ac:dyDescent="0.25">
      <c r="A3" s="747"/>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R3" s="749"/>
      <c r="AS3" s="749"/>
      <c r="AV3" s="749"/>
      <c r="AW3" s="749"/>
      <c r="AX3" s="750"/>
      <c r="AY3" s="750" t="s">
        <v>73</v>
      </c>
      <c r="AZ3" s="749"/>
    </row>
    <row r="4" spans="1:56" ht="15.75" x14ac:dyDescent="0.25">
      <c r="A4" s="751" t="s">
        <v>1</v>
      </c>
      <c r="B4" s="752">
        <v>40940</v>
      </c>
      <c r="C4" s="752">
        <v>40969</v>
      </c>
      <c r="D4" s="752">
        <v>41000</v>
      </c>
      <c r="E4" s="752">
        <v>41030</v>
      </c>
      <c r="F4" s="752">
        <v>41061</v>
      </c>
      <c r="G4" s="752">
        <v>41091</v>
      </c>
      <c r="H4" s="752">
        <v>41122</v>
      </c>
      <c r="I4" s="752">
        <v>41153</v>
      </c>
      <c r="J4" s="752">
        <v>41183</v>
      </c>
      <c r="K4" s="752">
        <v>41214</v>
      </c>
      <c r="L4" s="752">
        <v>41244</v>
      </c>
      <c r="M4" s="752">
        <v>41275</v>
      </c>
      <c r="N4" s="752">
        <v>41306</v>
      </c>
      <c r="O4" s="752">
        <v>41334</v>
      </c>
      <c r="P4" s="752">
        <v>41365</v>
      </c>
      <c r="Q4" s="752">
        <v>41395</v>
      </c>
      <c r="R4" s="752">
        <v>41426</v>
      </c>
      <c r="S4" s="752">
        <v>41456</v>
      </c>
      <c r="T4" s="752">
        <v>41487</v>
      </c>
      <c r="U4" s="752">
        <v>41518</v>
      </c>
      <c r="V4" s="752">
        <v>41548</v>
      </c>
      <c r="W4" s="752">
        <v>41579</v>
      </c>
      <c r="X4" s="752">
        <v>41609</v>
      </c>
      <c r="Y4" s="752">
        <v>41640</v>
      </c>
      <c r="Z4" s="752">
        <v>41671</v>
      </c>
      <c r="AA4" s="752">
        <v>41699</v>
      </c>
      <c r="AB4" s="752">
        <v>41730</v>
      </c>
      <c r="AC4" s="752">
        <v>41760</v>
      </c>
      <c r="AD4" s="752">
        <v>41791</v>
      </c>
      <c r="AE4" s="752">
        <v>41821</v>
      </c>
      <c r="AF4" s="752">
        <v>41852</v>
      </c>
      <c r="AG4" s="752">
        <v>41883</v>
      </c>
      <c r="AH4" s="752">
        <v>41913</v>
      </c>
      <c r="AI4" s="752">
        <v>41944</v>
      </c>
      <c r="AJ4" s="752">
        <v>41974</v>
      </c>
      <c r="AK4" s="752">
        <v>42005</v>
      </c>
      <c r="AL4" s="752">
        <v>42036</v>
      </c>
      <c r="AM4" s="752">
        <v>42064</v>
      </c>
      <c r="AN4" s="752">
        <v>42095</v>
      </c>
      <c r="AO4" s="752">
        <v>42125</v>
      </c>
      <c r="AP4" s="752">
        <v>42156</v>
      </c>
      <c r="AQ4" s="752">
        <v>42186</v>
      </c>
      <c r="AR4" s="752">
        <v>42217</v>
      </c>
      <c r="AS4" s="752">
        <v>42248</v>
      </c>
      <c r="AT4" s="752">
        <v>42278</v>
      </c>
      <c r="AU4" s="752">
        <v>42309</v>
      </c>
      <c r="AV4" s="752">
        <v>42339</v>
      </c>
      <c r="AW4" s="752">
        <v>42370</v>
      </c>
      <c r="AX4" s="752">
        <v>42401</v>
      </c>
      <c r="AY4" s="752">
        <v>42430</v>
      </c>
      <c r="AZ4" s="748"/>
    </row>
    <row r="5" spans="1:56" ht="15" x14ac:dyDescent="0.2">
      <c r="A5" s="753" t="s">
        <v>546</v>
      </c>
      <c r="B5" s="754">
        <v>3784.9486335699999</v>
      </c>
      <c r="C5" s="754">
        <v>4146.7953958849994</v>
      </c>
      <c r="D5" s="754">
        <v>4022.084003985</v>
      </c>
      <c r="E5" s="754">
        <v>3584.497060485</v>
      </c>
      <c r="F5" s="754">
        <v>3225.2424225109999</v>
      </c>
      <c r="G5" s="754">
        <v>3388.0164518410006</v>
      </c>
      <c r="H5" s="754">
        <v>3213.4017549810055</v>
      </c>
      <c r="I5" s="754">
        <v>3294.4372535110065</v>
      </c>
      <c r="J5" s="754">
        <v>3154.4285983910063</v>
      </c>
      <c r="K5" s="754">
        <v>3148.0892080410067</v>
      </c>
      <c r="L5" s="754">
        <v>3345.1358636110058</v>
      </c>
      <c r="M5" s="754">
        <v>3128.3774049100002</v>
      </c>
      <c r="N5" s="754">
        <v>3203.3190910810063</v>
      </c>
      <c r="O5" s="754">
        <v>3322.5468090010063</v>
      </c>
      <c r="P5" s="754">
        <v>3313.392617461006</v>
      </c>
      <c r="Q5" s="754">
        <v>3325.3249562447063</v>
      </c>
      <c r="R5" s="754">
        <v>3428.9582647047064</v>
      </c>
      <c r="S5" s="754">
        <v>3200.2595633639089</v>
      </c>
      <c r="T5" s="754">
        <v>3427.7854060795316</v>
      </c>
      <c r="U5" s="754">
        <v>3675.1366027608988</v>
      </c>
      <c r="V5" s="754">
        <v>3458.5248819868975</v>
      </c>
      <c r="W5" s="754">
        <v>3286.6199989168977</v>
      </c>
      <c r="X5" s="754">
        <v>3316.0467721327036</v>
      </c>
      <c r="Y5" s="754">
        <v>3201.0535848027043</v>
      </c>
      <c r="Z5" s="754">
        <v>3244.2693786322957</v>
      </c>
      <c r="AA5" s="754">
        <v>3209.5673300822955</v>
      </c>
      <c r="AB5" s="754">
        <v>3372.8599289422968</v>
      </c>
      <c r="AC5" s="754">
        <v>3262.1931688182876</v>
      </c>
      <c r="AD5" s="754">
        <v>3357.269089338251</v>
      </c>
      <c r="AE5" s="754">
        <v>3454.970170245861</v>
      </c>
      <c r="AF5" s="754">
        <v>3199.8626864938701</v>
      </c>
      <c r="AG5" s="754">
        <v>3611.2009549747509</v>
      </c>
      <c r="AH5" s="754">
        <v>3738.534652824751</v>
      </c>
      <c r="AI5" s="754">
        <v>3669.9878765200015</v>
      </c>
      <c r="AJ5" s="754">
        <v>3829.0192880300006</v>
      </c>
      <c r="AK5" s="754">
        <v>3696.6955143384366</v>
      </c>
      <c r="AL5" s="754">
        <v>3877.2012400383878</v>
      </c>
      <c r="AM5" s="754">
        <v>4057.4989944483882</v>
      </c>
      <c r="AN5" s="754">
        <v>3787.1285439083886</v>
      </c>
      <c r="AO5" s="754">
        <v>3805.8541573683879</v>
      </c>
      <c r="AP5" s="754">
        <v>4098.195514651612</v>
      </c>
      <c r="AQ5" s="754">
        <v>3667.253724035113</v>
      </c>
      <c r="AR5" s="754">
        <v>3618.0046117023244</v>
      </c>
      <c r="AS5" s="754">
        <v>3759.7951593273237</v>
      </c>
      <c r="AT5" s="754">
        <v>3443.2439499577231</v>
      </c>
      <c r="AU5" s="754">
        <v>3699.9854227800001</v>
      </c>
      <c r="AV5" s="754">
        <v>3589.3408642577242</v>
      </c>
      <c r="AW5" s="754">
        <v>3539.1884541786817</v>
      </c>
      <c r="AX5" s="754">
        <v>3434.3436062520545</v>
      </c>
      <c r="AY5" s="754">
        <v>3436.3616314499141</v>
      </c>
      <c r="AZ5" s="748"/>
    </row>
    <row r="6" spans="1:56" ht="15" x14ac:dyDescent="0.2">
      <c r="A6" s="753" t="s">
        <v>547</v>
      </c>
      <c r="B6" s="755">
        <v>9316.2234302199995</v>
      </c>
      <c r="C6" s="755">
        <v>9415.8096210905005</v>
      </c>
      <c r="D6" s="755">
        <v>9535.3307578904987</v>
      </c>
      <c r="E6" s="755">
        <v>7634.3834235704999</v>
      </c>
      <c r="F6" s="755">
        <v>7685.6638522344992</v>
      </c>
      <c r="G6" s="755">
        <v>7769.0335341344999</v>
      </c>
      <c r="H6" s="755">
        <v>7781.6829723244946</v>
      </c>
      <c r="I6" s="755">
        <v>7825.2223860644945</v>
      </c>
      <c r="J6" s="755">
        <v>7905.8672250044929</v>
      </c>
      <c r="K6" s="755">
        <v>7949.0957587237699</v>
      </c>
      <c r="L6" s="755">
        <v>8093.0274049682712</v>
      </c>
      <c r="M6" s="755">
        <v>8105.9256304500004</v>
      </c>
      <c r="N6" s="755">
        <v>8122.4054758394614</v>
      </c>
      <c r="O6" s="755">
        <v>8173.5077580255911</v>
      </c>
      <c r="P6" s="755">
        <v>8181.4418704855907</v>
      </c>
      <c r="Q6" s="755">
        <v>8248.0292083418917</v>
      </c>
      <c r="R6" s="755">
        <v>8327.257198237392</v>
      </c>
      <c r="S6" s="755">
        <v>8362.6018428981879</v>
      </c>
      <c r="T6" s="755">
        <v>8616.3561014105671</v>
      </c>
      <c r="U6" s="755">
        <v>8540.2080518612001</v>
      </c>
      <c r="V6" s="755">
        <v>8725.4808364296132</v>
      </c>
      <c r="W6" s="755">
        <v>8992.3185840638089</v>
      </c>
      <c r="X6" s="755">
        <v>9146.039682133809</v>
      </c>
      <c r="Y6" s="755">
        <v>9175.2192890207971</v>
      </c>
      <c r="Z6" s="755">
        <v>9165.592346084215</v>
      </c>
      <c r="AA6" s="755">
        <v>9268.3452642042157</v>
      </c>
      <c r="AB6" s="755">
        <v>9265.6731395319603</v>
      </c>
      <c r="AC6" s="755">
        <v>9443.9182049919418</v>
      </c>
      <c r="AD6" s="755">
        <v>9436.8506816582358</v>
      </c>
      <c r="AE6" s="755">
        <v>9484.7520766305843</v>
      </c>
      <c r="AF6" s="755">
        <v>9672.0489355405734</v>
      </c>
      <c r="AG6" s="755">
        <v>9624.0057615456135</v>
      </c>
      <c r="AH6" s="755">
        <v>9714.1897551355596</v>
      </c>
      <c r="AI6" s="755">
        <v>9831.3831511399912</v>
      </c>
      <c r="AJ6" s="755">
        <v>9827.8521064000015</v>
      </c>
      <c r="AK6" s="755">
        <v>9877.0160043965298</v>
      </c>
      <c r="AL6" s="755">
        <v>9829.7011622365717</v>
      </c>
      <c r="AM6" s="755">
        <v>9871.1268300740157</v>
      </c>
      <c r="AN6" s="755">
        <v>9952.575729425751</v>
      </c>
      <c r="AO6" s="755">
        <v>9997.967484201452</v>
      </c>
      <c r="AP6" s="755">
        <v>10008.43832362624</v>
      </c>
      <c r="AQ6" s="754">
        <v>10011.175122769673</v>
      </c>
      <c r="AR6" s="754">
        <v>10098.517125396067</v>
      </c>
      <c r="AS6" s="754">
        <v>10207.617707772424</v>
      </c>
      <c r="AT6" s="754">
        <v>10276.030584333654</v>
      </c>
      <c r="AU6" s="754">
        <v>10275.747553329642</v>
      </c>
      <c r="AV6" s="755">
        <v>10416.145620100175</v>
      </c>
      <c r="AW6" s="755">
        <v>10420.027987303169</v>
      </c>
      <c r="AX6" s="755">
        <v>10446.55052447</v>
      </c>
      <c r="AY6" s="755">
        <v>10267.802319351869</v>
      </c>
      <c r="AZ6" s="748"/>
    </row>
    <row r="7" spans="1:56" ht="15" x14ac:dyDescent="0.2">
      <c r="A7" s="753" t="s">
        <v>548</v>
      </c>
      <c r="B7" s="754">
        <v>1290.6051660000001</v>
      </c>
      <c r="C7" s="754">
        <v>1277.0112658987998</v>
      </c>
      <c r="D7" s="754">
        <v>1278.857266</v>
      </c>
      <c r="E7" s="754">
        <v>1051.3130000000001</v>
      </c>
      <c r="F7" s="754">
        <v>1106.2239999999999</v>
      </c>
      <c r="G7" s="754">
        <v>1106.097</v>
      </c>
      <c r="H7" s="754">
        <v>1105.9380000000001</v>
      </c>
      <c r="I7" s="754">
        <v>1106.499</v>
      </c>
      <c r="J7" s="754">
        <v>1186.9690000000001</v>
      </c>
      <c r="K7" s="754">
        <v>1211.5940000000001</v>
      </c>
      <c r="L7" s="754">
        <v>1212.627</v>
      </c>
      <c r="M7" s="754">
        <v>1398.2760000000001</v>
      </c>
      <c r="N7" s="754">
        <v>1399.2170000000001</v>
      </c>
      <c r="O7" s="754">
        <v>1399.761</v>
      </c>
      <c r="P7" s="754">
        <v>1193.356</v>
      </c>
      <c r="Q7" s="754">
        <v>1130.297</v>
      </c>
      <c r="R7" s="754">
        <v>1101.19</v>
      </c>
      <c r="S7" s="754">
        <v>1057.5060000000001</v>
      </c>
      <c r="T7" s="754">
        <v>1058.1569999999999</v>
      </c>
      <c r="U7" s="754">
        <v>1110.588</v>
      </c>
      <c r="V7" s="754">
        <v>1061.039</v>
      </c>
      <c r="W7" s="754">
        <v>1061.634</v>
      </c>
      <c r="X7" s="754">
        <v>1061.9880000000001</v>
      </c>
      <c r="Y7" s="754">
        <v>957.51099999999997</v>
      </c>
      <c r="Z7" s="754">
        <v>1007.919</v>
      </c>
      <c r="AA7" s="754">
        <v>1110.106</v>
      </c>
      <c r="AB7" s="754">
        <v>1135.75</v>
      </c>
      <c r="AC7" s="754">
        <v>1168.5239999999999</v>
      </c>
      <c r="AD7" s="754">
        <v>1173.8989999999999</v>
      </c>
      <c r="AE7" s="754">
        <v>1173.9290000000001</v>
      </c>
      <c r="AF7" s="754">
        <v>1128.962</v>
      </c>
      <c r="AG7" s="754">
        <v>1153.1197500000001</v>
      </c>
      <c r="AH7" s="754">
        <v>1099.771</v>
      </c>
      <c r="AI7" s="754">
        <v>1093.9359999999999</v>
      </c>
      <c r="AJ7" s="754">
        <v>1094.367</v>
      </c>
      <c r="AK7" s="754">
        <v>1015.933</v>
      </c>
      <c r="AL7" s="754">
        <v>939.09500000000003</v>
      </c>
      <c r="AM7" s="754">
        <v>982.322</v>
      </c>
      <c r="AN7" s="754">
        <v>1027.1479999999999</v>
      </c>
      <c r="AO7" s="754">
        <v>838.95699999999999</v>
      </c>
      <c r="AP7" s="754">
        <v>787.16300000000001</v>
      </c>
      <c r="AQ7" s="754">
        <v>827.42700000000002</v>
      </c>
      <c r="AR7" s="754">
        <v>826.66099999999994</v>
      </c>
      <c r="AS7" s="754">
        <v>817.45899999999995</v>
      </c>
      <c r="AT7" s="754">
        <v>819.81299999999999</v>
      </c>
      <c r="AU7" s="754">
        <v>831.47699999999998</v>
      </c>
      <c r="AV7" s="754">
        <v>831.27599999999995</v>
      </c>
      <c r="AW7" s="754">
        <v>829.80799999999999</v>
      </c>
      <c r="AX7" s="754">
        <v>832.09500000000003</v>
      </c>
      <c r="AY7" s="754">
        <v>836.91200000000003</v>
      </c>
      <c r="AZ7" s="748"/>
    </row>
    <row r="8" spans="1:56" ht="15" x14ac:dyDescent="0.2">
      <c r="A8" s="753" t="s">
        <v>200</v>
      </c>
      <c r="B8" s="755">
        <v>1049.5340839299993</v>
      </c>
      <c r="C8" s="755">
        <v>1035.4049702700015</v>
      </c>
      <c r="D8" s="755">
        <v>1040.5369035600033</v>
      </c>
      <c r="E8" s="755">
        <v>1017.7621709900027</v>
      </c>
      <c r="F8" s="755">
        <v>1053.8905977500001</v>
      </c>
      <c r="G8" s="755">
        <v>1026.8778699199981</v>
      </c>
      <c r="H8" s="755">
        <v>1029.0696868600005</v>
      </c>
      <c r="I8" s="755">
        <v>1066.4551997700005</v>
      </c>
      <c r="J8" s="755">
        <v>1035.9338482200012</v>
      </c>
      <c r="K8" s="755">
        <v>1101.7836990000019</v>
      </c>
      <c r="L8" s="755">
        <v>1101.4117712299994</v>
      </c>
      <c r="M8" s="755">
        <v>1059.8975900900002</v>
      </c>
      <c r="N8" s="755">
        <v>1144.7319792299995</v>
      </c>
      <c r="O8" s="755">
        <v>1145.6658957799989</v>
      </c>
      <c r="P8" s="755">
        <v>1034.1520761699983</v>
      </c>
      <c r="Q8" s="755">
        <v>1024.829464619999</v>
      </c>
      <c r="R8" s="755">
        <v>1116.2583365200005</v>
      </c>
      <c r="S8" s="755">
        <v>1038.7184114700012</v>
      </c>
      <c r="T8" s="755">
        <v>1128.2178182700004</v>
      </c>
      <c r="U8" s="755">
        <v>1022.4848672200012</v>
      </c>
      <c r="V8" s="755">
        <v>959.63591970000073</v>
      </c>
      <c r="W8" s="755">
        <v>982.01230300999828</v>
      </c>
      <c r="X8" s="755">
        <v>939.57567293000034</v>
      </c>
      <c r="Y8" s="755">
        <v>939.52300000000002</v>
      </c>
      <c r="Z8" s="755">
        <v>949.51946127000429</v>
      </c>
      <c r="AA8" s="755">
        <v>944.67310577999501</v>
      </c>
      <c r="AB8" s="755">
        <v>922.92985149999618</v>
      </c>
      <c r="AC8" s="755">
        <v>925.58467952999501</v>
      </c>
      <c r="AD8" s="755">
        <v>929.61111616999813</v>
      </c>
      <c r="AE8" s="755">
        <v>927.90292083999634</v>
      </c>
      <c r="AF8" s="755">
        <v>950.25936095999907</v>
      </c>
      <c r="AG8" s="755">
        <v>947.22736095999903</v>
      </c>
      <c r="AH8" s="755">
        <v>405.63400000000001</v>
      </c>
      <c r="AI8" s="755">
        <v>973.7171097900009</v>
      </c>
      <c r="AJ8" s="755">
        <v>2915.3857860599974</v>
      </c>
      <c r="AK8" s="755">
        <v>914.95158881999964</v>
      </c>
      <c r="AL8" s="755">
        <v>940.64749199000164</v>
      </c>
      <c r="AM8" s="755">
        <v>898.06081856999776</v>
      </c>
      <c r="AN8" s="755">
        <v>904.00015748000044</v>
      </c>
      <c r="AO8" s="755">
        <v>923.54817405000017</v>
      </c>
      <c r="AP8" s="755">
        <v>900.22477961999994</v>
      </c>
      <c r="AQ8" s="754">
        <v>893.62689414000317</v>
      </c>
      <c r="AR8" s="754">
        <v>889.35303468999575</v>
      </c>
      <c r="AS8" s="754">
        <v>888.45204606999971</v>
      </c>
      <c r="AT8" s="754">
        <v>886.67939750000187</v>
      </c>
      <c r="AU8" s="754">
        <v>882.29426043999581</v>
      </c>
      <c r="AV8" s="755">
        <v>867.77306620999627</v>
      </c>
      <c r="AW8" s="755">
        <v>890.79272574999618</v>
      </c>
      <c r="AX8" s="755">
        <v>865.89003259000015</v>
      </c>
      <c r="AY8" s="755">
        <v>862.42203259000303</v>
      </c>
      <c r="AZ8" s="748"/>
    </row>
    <row r="9" spans="1:56" ht="15" x14ac:dyDescent="0.2">
      <c r="A9" s="753" t="s">
        <v>46</v>
      </c>
      <c r="B9" s="754">
        <v>1753.9680650199998</v>
      </c>
      <c r="C9" s="754">
        <v>1774.1520941600004</v>
      </c>
      <c r="D9" s="754">
        <v>1787.8331137299999</v>
      </c>
      <c r="E9" s="754">
        <v>1395.2307854299997</v>
      </c>
      <c r="F9" s="754">
        <v>1472.85677018</v>
      </c>
      <c r="G9" s="754">
        <v>1475.1329524554644</v>
      </c>
      <c r="H9" s="754">
        <v>1467.34213931</v>
      </c>
      <c r="I9" s="754">
        <v>1470.5541987900001</v>
      </c>
      <c r="J9" s="754">
        <v>1491.4065421199998</v>
      </c>
      <c r="K9" s="754">
        <v>1518.9228208700001</v>
      </c>
      <c r="L9" s="754">
        <v>1594.0724050400001</v>
      </c>
      <c r="M9" s="754">
        <v>1606.2662365599999</v>
      </c>
      <c r="N9" s="754">
        <v>1605.2700167499995</v>
      </c>
      <c r="O9" s="754">
        <v>1585.0209128299998</v>
      </c>
      <c r="P9" s="754">
        <v>1581.5227964000001</v>
      </c>
      <c r="Q9" s="754">
        <v>1594.7889929200001</v>
      </c>
      <c r="R9" s="754">
        <v>1633.2042625899996</v>
      </c>
      <c r="S9" s="754">
        <v>1628.5791776099998</v>
      </c>
      <c r="T9" s="754">
        <v>1607.4693381700001</v>
      </c>
      <c r="U9" s="754">
        <v>1580.6486043600003</v>
      </c>
      <c r="V9" s="754">
        <v>1608.4649095600003</v>
      </c>
      <c r="W9" s="754">
        <v>1604.9155631599999</v>
      </c>
      <c r="X9" s="754">
        <v>1595.2074937100001</v>
      </c>
      <c r="Y9" s="754">
        <v>1586.6967480300002</v>
      </c>
      <c r="Z9" s="754">
        <v>1576.4994108699998</v>
      </c>
      <c r="AA9" s="754">
        <v>1587.5429659400004</v>
      </c>
      <c r="AB9" s="754">
        <v>1582.2983194999997</v>
      </c>
      <c r="AC9" s="754">
        <v>1610.9319729000001</v>
      </c>
      <c r="AD9" s="754">
        <v>1633.3828057500002</v>
      </c>
      <c r="AE9" s="754">
        <v>1636.210760430793</v>
      </c>
      <c r="AF9" s="754">
        <v>1689.0061177341456</v>
      </c>
      <c r="AG9" s="754">
        <v>1683.9681872263866</v>
      </c>
      <c r="AH9" s="754">
        <v>1728.4101491355852</v>
      </c>
      <c r="AI9" s="754">
        <v>1749.15051756</v>
      </c>
      <c r="AJ9" s="754">
        <v>1784.8334949700002</v>
      </c>
      <c r="AK9" s="754">
        <v>1746.4247669700007</v>
      </c>
      <c r="AL9" s="754">
        <v>1723.7254569800004</v>
      </c>
      <c r="AM9" s="754">
        <v>1703.6596541400013</v>
      </c>
      <c r="AN9" s="754">
        <v>1772.4242830200019</v>
      </c>
      <c r="AO9" s="754">
        <v>1734.3680079200019</v>
      </c>
      <c r="AP9" s="754">
        <v>1732.5763233996006</v>
      </c>
      <c r="AQ9" s="754">
        <v>1738.1832551200009</v>
      </c>
      <c r="AR9" s="754">
        <v>1759.5888913400015</v>
      </c>
      <c r="AS9" s="754">
        <v>1767.1726364899998</v>
      </c>
      <c r="AT9" s="754">
        <v>1785.8085636100016</v>
      </c>
      <c r="AU9" s="754">
        <v>1771.8237305300022</v>
      </c>
      <c r="AV9" s="754">
        <v>1774.7141900800025</v>
      </c>
      <c r="AW9" s="754">
        <v>1750.6291802500009</v>
      </c>
      <c r="AX9" s="754">
        <v>1765.3181984400001</v>
      </c>
      <c r="AY9" s="754">
        <v>1778.51572848</v>
      </c>
      <c r="AZ9" s="748"/>
    </row>
    <row r="10" spans="1:56" ht="15" x14ac:dyDescent="0.2">
      <c r="A10" s="753" t="s">
        <v>23</v>
      </c>
      <c r="B10" s="754">
        <v>3615.5609109199995</v>
      </c>
      <c r="C10" s="754">
        <v>3591.6548253400001</v>
      </c>
      <c r="D10" s="754">
        <v>3469.77614696</v>
      </c>
      <c r="E10" s="754">
        <v>2711.2755812099999</v>
      </c>
      <c r="F10" s="754">
        <v>2822.6144497200007</v>
      </c>
      <c r="G10" s="754">
        <v>2681.4932744534253</v>
      </c>
      <c r="H10" s="754">
        <v>2726.8820131899997</v>
      </c>
      <c r="I10" s="754">
        <v>2798.1972356799997</v>
      </c>
      <c r="J10" s="754">
        <v>2723.2698446399995</v>
      </c>
      <c r="K10" s="754">
        <v>2718.6264536499998</v>
      </c>
      <c r="L10" s="754">
        <v>2999.4531696499989</v>
      </c>
      <c r="M10" s="754">
        <v>3074.4410800299988</v>
      </c>
      <c r="N10" s="754">
        <v>3047.1624065300002</v>
      </c>
      <c r="O10" s="754">
        <v>3136.2570574599995</v>
      </c>
      <c r="P10" s="754">
        <v>3092.3309591300003</v>
      </c>
      <c r="Q10" s="754">
        <v>3105.6022608900003</v>
      </c>
      <c r="R10" s="754">
        <v>3188.7636856999998</v>
      </c>
      <c r="S10" s="754">
        <v>3189.1649630400011</v>
      </c>
      <c r="T10" s="754">
        <v>3188.2292967999992</v>
      </c>
      <c r="U10" s="754">
        <v>3216.6004821800002</v>
      </c>
      <c r="V10" s="754">
        <v>3217.7280058900005</v>
      </c>
      <c r="W10" s="754">
        <v>3258.1434047400003</v>
      </c>
      <c r="X10" s="754">
        <v>3448.6695504000004</v>
      </c>
      <c r="Y10" s="754">
        <v>3562.8312456199988</v>
      </c>
      <c r="Z10" s="754">
        <v>3494.8946900800001</v>
      </c>
      <c r="AA10" s="754">
        <v>3446.7721609599998</v>
      </c>
      <c r="AB10" s="754">
        <v>3386.3477944199999</v>
      </c>
      <c r="AC10" s="754">
        <v>3332.902685234656</v>
      </c>
      <c r="AD10" s="754">
        <v>3373.7901256299992</v>
      </c>
      <c r="AE10" s="754">
        <v>3338.8892463825368</v>
      </c>
      <c r="AF10" s="754">
        <v>3538.4120660798635</v>
      </c>
      <c r="AG10" s="754">
        <v>3459.2873462780199</v>
      </c>
      <c r="AH10" s="754">
        <v>3960.929102158429</v>
      </c>
      <c r="AI10" s="754">
        <v>3676.5465251399992</v>
      </c>
      <c r="AJ10" s="754">
        <v>1918.3702627100001</v>
      </c>
      <c r="AK10" s="754">
        <v>4101.9822124599987</v>
      </c>
      <c r="AL10" s="754">
        <v>3974.5677442600004</v>
      </c>
      <c r="AM10" s="754">
        <v>3907.3169374400004</v>
      </c>
      <c r="AN10" s="754">
        <v>3932.8893692599986</v>
      </c>
      <c r="AO10" s="754">
        <v>4071.0051506499985</v>
      </c>
      <c r="AP10" s="754">
        <v>3970.4546269400007</v>
      </c>
      <c r="AQ10" s="754">
        <v>3792.8778268299998</v>
      </c>
      <c r="AR10" s="754">
        <v>3905.8351481799987</v>
      </c>
      <c r="AS10" s="754">
        <v>4102.1663902500004</v>
      </c>
      <c r="AT10" s="754">
        <v>4309.1927375200003</v>
      </c>
      <c r="AU10" s="754">
        <v>4409.7743337169986</v>
      </c>
      <c r="AV10" s="754">
        <v>5040.55307825</v>
      </c>
      <c r="AW10" s="754">
        <v>5257.3123353199999</v>
      </c>
      <c r="AX10" s="754">
        <v>5404.6482547279456</v>
      </c>
      <c r="AY10" s="754">
        <v>5517.1750307478087</v>
      </c>
      <c r="AZ10" s="748"/>
    </row>
    <row r="11" spans="1:56" ht="15.75" x14ac:dyDescent="0.25">
      <c r="A11" s="756" t="s">
        <v>427</v>
      </c>
      <c r="B11" s="757">
        <v>20810.840289659995</v>
      </c>
      <c r="C11" s="757">
        <v>21240.828172644302</v>
      </c>
      <c r="D11" s="757">
        <v>21134.4181921255</v>
      </c>
      <c r="E11" s="757">
        <v>17394.462021685504</v>
      </c>
      <c r="F11" s="757">
        <v>17366.4920923955</v>
      </c>
      <c r="G11" s="757">
        <v>17446.651082804387</v>
      </c>
      <c r="H11" s="757">
        <v>17324.316566665497</v>
      </c>
      <c r="I11" s="757">
        <v>17561.3652738155</v>
      </c>
      <c r="J11" s="757">
        <v>17497.875058375503</v>
      </c>
      <c r="K11" s="757">
        <v>17648.11194028478</v>
      </c>
      <c r="L11" s="757">
        <v>18345.727614499276</v>
      </c>
      <c r="M11" s="758">
        <v>18373.183942039999</v>
      </c>
      <c r="N11" s="758">
        <v>18522.105969430468</v>
      </c>
      <c r="O11" s="758">
        <v>18762.759433096595</v>
      </c>
      <c r="P11" s="758">
        <v>18396.196319646595</v>
      </c>
      <c r="Q11" s="758">
        <v>18428.871883016596</v>
      </c>
      <c r="R11" s="758">
        <v>18795.631747752101</v>
      </c>
      <c r="S11" s="758">
        <v>18476.829958382099</v>
      </c>
      <c r="T11" s="758">
        <v>19026.214960730096</v>
      </c>
      <c r="U11" s="758">
        <v>19145.6666083821</v>
      </c>
      <c r="V11" s="758">
        <v>19030.873553566511</v>
      </c>
      <c r="W11" s="758">
        <v>19185.643853890706</v>
      </c>
      <c r="X11" s="758">
        <v>19507.527171306516</v>
      </c>
      <c r="Y11" s="758">
        <v>19422.834867473503</v>
      </c>
      <c r="Z11" s="758">
        <v>19438.694286936516</v>
      </c>
      <c r="AA11" s="758">
        <v>19567.006826966506</v>
      </c>
      <c r="AB11" s="758">
        <v>19665.859033894252</v>
      </c>
      <c r="AC11" s="758">
        <v>19744.054711474877</v>
      </c>
      <c r="AD11" s="758">
        <v>19904.802818546483</v>
      </c>
      <c r="AE11" s="758">
        <v>20016.654174529769</v>
      </c>
      <c r="AF11" s="758">
        <v>20178.551166808451</v>
      </c>
      <c r="AG11" s="758">
        <v>20478.809360984771</v>
      </c>
      <c r="AH11" s="758">
        <v>20647.468659254326</v>
      </c>
      <c r="AI11" s="758">
        <v>20994.721180149991</v>
      </c>
      <c r="AJ11" s="758">
        <v>21369.827938169998</v>
      </c>
      <c r="AK11" s="758">
        <v>21353.003086984969</v>
      </c>
      <c r="AL11" s="758">
        <v>21284.93809550496</v>
      </c>
      <c r="AM11" s="758">
        <v>21419.985234672407</v>
      </c>
      <c r="AN11" s="758">
        <v>21376.166083094144</v>
      </c>
      <c r="AO11" s="758">
        <v>21371.69997418984</v>
      </c>
      <c r="AP11" s="758">
        <v>21497.052568237454</v>
      </c>
      <c r="AQ11" s="758">
        <v>20930.54382289479</v>
      </c>
      <c r="AR11" s="758">
        <v>21097.959811308388</v>
      </c>
      <c r="AS11" s="758">
        <v>21542.662939909751</v>
      </c>
      <c r="AT11" s="758">
        <v>21520.768232921379</v>
      </c>
      <c r="AU11" s="758">
        <v>21871.10230079664</v>
      </c>
      <c r="AV11" s="758">
        <v>22519.802818897897</v>
      </c>
      <c r="AW11" s="758">
        <v>22687.758682801847</v>
      </c>
      <c r="AX11" s="758">
        <v>22748.845616479997</v>
      </c>
      <c r="AY11" s="758">
        <v>22699.188742619597</v>
      </c>
      <c r="AZ11" s="748"/>
    </row>
    <row r="12" spans="1:56" s="761" customFormat="1" ht="15.75" x14ac:dyDescent="0.25">
      <c r="A12" s="759"/>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48"/>
      <c r="BA12" s="748"/>
      <c r="BB12" s="748"/>
      <c r="BC12" s="748"/>
      <c r="BD12" s="748"/>
    </row>
    <row r="13" spans="1:56" ht="15" x14ac:dyDescent="0.2">
      <c r="A13" s="762"/>
      <c r="B13" s="750"/>
      <c r="C13" s="750"/>
      <c r="D13" s="750"/>
      <c r="E13" s="750"/>
      <c r="F13" s="750"/>
      <c r="G13" s="750"/>
      <c r="H13" s="750"/>
      <c r="I13" s="750"/>
      <c r="J13" s="750"/>
      <c r="K13" s="750"/>
      <c r="L13" s="750"/>
      <c r="M13" s="750"/>
      <c r="N13" s="750"/>
      <c r="O13" s="750"/>
      <c r="P13" s="750"/>
      <c r="Q13" s="750"/>
      <c r="R13" s="750"/>
      <c r="S13" s="750"/>
      <c r="T13" s="750"/>
      <c r="U13" s="750"/>
      <c r="V13" s="750"/>
      <c r="W13" s="750"/>
      <c r="X13" s="750"/>
      <c r="Y13" s="750"/>
      <c r="Z13" s="750"/>
      <c r="AA13" s="750"/>
      <c r="AB13" s="750"/>
      <c r="AC13" s="750"/>
      <c r="AD13" s="750"/>
      <c r="AE13" s="750"/>
      <c r="AF13" s="750"/>
      <c r="AG13" s="750"/>
      <c r="AH13" s="750"/>
      <c r="AI13" s="750"/>
      <c r="AJ13" s="750"/>
      <c r="AK13" s="750"/>
      <c r="AL13" s="750"/>
      <c r="AM13" s="750"/>
      <c r="AN13" s="750"/>
      <c r="AO13" s="750"/>
      <c r="AP13" s="750"/>
      <c r="AQ13" s="750"/>
      <c r="AR13" s="750"/>
      <c r="AS13" s="750"/>
      <c r="AV13" s="750"/>
      <c r="AW13" s="750"/>
      <c r="AX13" s="750"/>
      <c r="AY13" s="750" t="s">
        <v>73</v>
      </c>
      <c r="AZ13" s="748"/>
    </row>
    <row r="14" spans="1:56" ht="15.75" x14ac:dyDescent="0.25">
      <c r="A14" s="751" t="s">
        <v>6</v>
      </c>
      <c r="B14" s="752">
        <v>40940</v>
      </c>
      <c r="C14" s="752">
        <v>40969</v>
      </c>
      <c r="D14" s="752">
        <v>41000</v>
      </c>
      <c r="E14" s="752">
        <v>41030</v>
      </c>
      <c r="F14" s="752">
        <v>41061</v>
      </c>
      <c r="G14" s="752">
        <v>41091</v>
      </c>
      <c r="H14" s="752">
        <v>41122</v>
      </c>
      <c r="I14" s="752">
        <v>41153</v>
      </c>
      <c r="J14" s="752">
        <v>41183</v>
      </c>
      <c r="K14" s="752">
        <v>41214</v>
      </c>
      <c r="L14" s="752">
        <v>41244</v>
      </c>
      <c r="M14" s="752">
        <v>41275</v>
      </c>
      <c r="N14" s="752">
        <v>41306</v>
      </c>
      <c r="O14" s="752">
        <v>41334</v>
      </c>
      <c r="P14" s="752">
        <v>41365</v>
      </c>
      <c r="Q14" s="752">
        <v>41395</v>
      </c>
      <c r="R14" s="752">
        <v>41426</v>
      </c>
      <c r="S14" s="752">
        <v>41456</v>
      </c>
      <c r="T14" s="752">
        <v>41487</v>
      </c>
      <c r="U14" s="752">
        <v>41518</v>
      </c>
      <c r="V14" s="752">
        <v>41548</v>
      </c>
      <c r="W14" s="752">
        <v>41579</v>
      </c>
      <c r="X14" s="752">
        <v>41609</v>
      </c>
      <c r="Y14" s="752">
        <v>41640</v>
      </c>
      <c r="Z14" s="752">
        <v>41671</v>
      </c>
      <c r="AA14" s="752">
        <v>41699</v>
      </c>
      <c r="AB14" s="752">
        <v>41730</v>
      </c>
      <c r="AC14" s="752">
        <v>41760</v>
      </c>
      <c r="AD14" s="752">
        <v>41791</v>
      </c>
      <c r="AE14" s="752">
        <v>41821</v>
      </c>
      <c r="AF14" s="752">
        <v>41852</v>
      </c>
      <c r="AG14" s="752">
        <v>41883</v>
      </c>
      <c r="AH14" s="752">
        <v>41913</v>
      </c>
      <c r="AI14" s="752">
        <v>41944</v>
      </c>
      <c r="AJ14" s="752">
        <v>41974</v>
      </c>
      <c r="AK14" s="752">
        <v>42005</v>
      </c>
      <c r="AL14" s="752">
        <v>42036</v>
      </c>
      <c r="AM14" s="752">
        <v>42064</v>
      </c>
      <c r="AN14" s="752">
        <v>42095</v>
      </c>
      <c r="AO14" s="752">
        <v>42125</v>
      </c>
      <c r="AP14" s="752">
        <v>42156</v>
      </c>
      <c r="AQ14" s="752">
        <v>42186</v>
      </c>
      <c r="AR14" s="752">
        <v>42217</v>
      </c>
      <c r="AS14" s="752">
        <v>42248</v>
      </c>
      <c r="AT14" s="752">
        <v>42278</v>
      </c>
      <c r="AU14" s="752">
        <v>42309</v>
      </c>
      <c r="AV14" s="752">
        <v>42339</v>
      </c>
      <c r="AW14" s="752">
        <v>42370</v>
      </c>
      <c r="AX14" s="752">
        <v>42401</v>
      </c>
      <c r="AY14" s="752">
        <v>42430</v>
      </c>
      <c r="AZ14" s="748"/>
    </row>
    <row r="15" spans="1:56" ht="15" x14ac:dyDescent="0.2">
      <c r="A15" s="753" t="s">
        <v>549</v>
      </c>
      <c r="B15" s="763">
        <v>1746.58243204</v>
      </c>
      <c r="C15" s="763">
        <v>1746.58243204</v>
      </c>
      <c r="D15" s="763">
        <v>1746.5824324499997</v>
      </c>
      <c r="E15" s="763">
        <v>1325.00000004</v>
      </c>
      <c r="F15" s="763">
        <v>1325.00000004</v>
      </c>
      <c r="G15" s="763">
        <v>1325.00000004</v>
      </c>
      <c r="H15" s="763">
        <v>1325.00000004</v>
      </c>
      <c r="I15" s="763">
        <v>1325.00000004</v>
      </c>
      <c r="J15" s="763">
        <v>1325.00000004</v>
      </c>
      <c r="K15" s="763">
        <v>1325.00000004</v>
      </c>
      <c r="L15" s="763">
        <v>1325.00000004</v>
      </c>
      <c r="M15" s="763">
        <v>1325.00000004</v>
      </c>
      <c r="N15" s="763">
        <v>1325.00000004</v>
      </c>
      <c r="O15" s="763">
        <v>1325.00000004</v>
      </c>
      <c r="P15" s="763">
        <v>1325.00000004</v>
      </c>
      <c r="Q15" s="763">
        <v>1325.00000004</v>
      </c>
      <c r="R15" s="763">
        <v>1325.00000004</v>
      </c>
      <c r="S15" s="763">
        <v>1325.00000004</v>
      </c>
      <c r="T15" s="763">
        <v>1325.00000004</v>
      </c>
      <c r="U15" s="763">
        <v>1325.00000004</v>
      </c>
      <c r="V15" s="763">
        <v>1325.00000004</v>
      </c>
      <c r="W15" s="763">
        <v>1325.00000004</v>
      </c>
      <c r="X15" s="763">
        <v>1325.00000004</v>
      </c>
      <c r="Y15" s="763">
        <v>1325.00000004</v>
      </c>
      <c r="Z15" s="763">
        <v>1325.00000004</v>
      </c>
      <c r="AA15" s="763">
        <v>1325.00000004</v>
      </c>
      <c r="AB15" s="763">
        <v>1325.00000004</v>
      </c>
      <c r="AC15" s="763">
        <v>1325.00000004</v>
      </c>
      <c r="AD15" s="763">
        <v>1325.00000004</v>
      </c>
      <c r="AE15" s="763">
        <v>1325.00000004</v>
      </c>
      <c r="AF15" s="763">
        <v>1325.00000004</v>
      </c>
      <c r="AG15" s="763">
        <v>1325.00000004</v>
      </c>
      <c r="AH15" s="763">
        <v>1325.00000004</v>
      </c>
      <c r="AI15" s="763">
        <v>1325.00000004</v>
      </c>
      <c r="AJ15" s="763">
        <v>1325.00000004</v>
      </c>
      <c r="AK15" s="763">
        <v>1325.00000004</v>
      </c>
      <c r="AL15" s="763">
        <v>1475.00000004</v>
      </c>
      <c r="AM15" s="763">
        <v>1475.00000004</v>
      </c>
      <c r="AN15" s="763">
        <v>1475.00000004</v>
      </c>
      <c r="AO15" s="763">
        <v>1475.00000004</v>
      </c>
      <c r="AP15" s="763">
        <v>1475.00000004</v>
      </c>
      <c r="AQ15" s="763">
        <v>1475.00000004</v>
      </c>
      <c r="AR15" s="763">
        <v>1475.00000004</v>
      </c>
      <c r="AS15" s="763">
        <v>1475.00000004</v>
      </c>
      <c r="AT15" s="763">
        <v>1475.00000004</v>
      </c>
      <c r="AU15" s="763">
        <v>1775.00000004</v>
      </c>
      <c r="AV15" s="763">
        <v>1775.00000004</v>
      </c>
      <c r="AW15" s="763">
        <v>1775.00000004</v>
      </c>
      <c r="AX15" s="763">
        <v>1775.00000004</v>
      </c>
      <c r="AY15" s="763">
        <v>1775.00000004</v>
      </c>
      <c r="AZ15" s="748"/>
    </row>
    <row r="16" spans="1:56" ht="15" x14ac:dyDescent="0.2">
      <c r="A16" s="753" t="s">
        <v>550</v>
      </c>
      <c r="B16" s="763">
        <v>599.53232722149994</v>
      </c>
      <c r="C16" s="763">
        <v>597.48768222150011</v>
      </c>
      <c r="D16" s="763">
        <v>585.08768969800064</v>
      </c>
      <c r="E16" s="763">
        <v>550.85495347150015</v>
      </c>
      <c r="F16" s="763">
        <v>550.85495377149937</v>
      </c>
      <c r="G16" s="763">
        <v>645.15164702100037</v>
      </c>
      <c r="H16" s="763">
        <v>646.24856795400092</v>
      </c>
      <c r="I16" s="763">
        <v>672.13719595400096</v>
      </c>
      <c r="J16" s="763">
        <v>719.21607130400037</v>
      </c>
      <c r="K16" s="763">
        <v>719.21607129400115</v>
      </c>
      <c r="L16" s="763">
        <v>694.21606729400105</v>
      </c>
      <c r="M16" s="763">
        <v>670.71247913400077</v>
      </c>
      <c r="N16" s="763">
        <v>670.71248195892997</v>
      </c>
      <c r="O16" s="763">
        <v>670.71248957391742</v>
      </c>
      <c r="P16" s="763">
        <v>670.71248505391691</v>
      </c>
      <c r="Q16" s="763">
        <v>660.71248457391744</v>
      </c>
      <c r="R16" s="763">
        <v>610.71248834191704</v>
      </c>
      <c r="S16" s="763">
        <v>734.33972089841654</v>
      </c>
      <c r="T16" s="763">
        <v>733.24190232691672</v>
      </c>
      <c r="U16" s="763">
        <v>733.7838401344161</v>
      </c>
      <c r="V16" s="763">
        <v>782.94232321041534</v>
      </c>
      <c r="W16" s="763">
        <v>782.85444522441719</v>
      </c>
      <c r="X16" s="763">
        <v>752.85457930648761</v>
      </c>
      <c r="Y16" s="763">
        <v>763.24215569149976</v>
      </c>
      <c r="Z16" s="763">
        <v>763.24215869149975</v>
      </c>
      <c r="AA16" s="763">
        <v>763.24215869149975</v>
      </c>
      <c r="AB16" s="763">
        <v>748.24215869149975</v>
      </c>
      <c r="AC16" s="763">
        <v>748.32769254350285</v>
      </c>
      <c r="AD16" s="763">
        <v>747.54909254350275</v>
      </c>
      <c r="AE16" s="763">
        <v>773.27414996748257</v>
      </c>
      <c r="AF16" s="763">
        <v>795.52384592534258</v>
      </c>
      <c r="AG16" s="763">
        <v>793.82143868338437</v>
      </c>
      <c r="AH16" s="763">
        <v>860.00679545936248</v>
      </c>
      <c r="AI16" s="763">
        <v>866.69740693486267</v>
      </c>
      <c r="AJ16" s="763">
        <v>832.47084905478573</v>
      </c>
      <c r="AK16" s="763">
        <v>833.7203840475006</v>
      </c>
      <c r="AL16" s="763">
        <v>832.06366670750049</v>
      </c>
      <c r="AM16" s="763">
        <v>832.4695897075004</v>
      </c>
      <c r="AN16" s="763">
        <v>832.06366825008206</v>
      </c>
      <c r="AO16" s="763">
        <v>832.06366843008232</v>
      </c>
      <c r="AP16" s="763">
        <v>833.32054886750029</v>
      </c>
      <c r="AQ16" s="763">
        <v>771.86210399964807</v>
      </c>
      <c r="AR16" s="763">
        <v>785.97295392969988</v>
      </c>
      <c r="AS16" s="763">
        <v>770.83561280299853</v>
      </c>
      <c r="AT16" s="763">
        <v>814.82260084253028</v>
      </c>
      <c r="AU16" s="763">
        <v>809.20022965300086</v>
      </c>
      <c r="AV16" s="763">
        <v>808.7943096896505</v>
      </c>
      <c r="AW16" s="763">
        <v>831.23117294492624</v>
      </c>
      <c r="AX16" s="763">
        <v>831.23116803964899</v>
      </c>
      <c r="AY16" s="763">
        <v>831.23116803965002</v>
      </c>
      <c r="AZ16" s="748"/>
    </row>
    <row r="17" spans="1:56" ht="15" x14ac:dyDescent="0.2">
      <c r="A17" s="753" t="s">
        <v>551</v>
      </c>
      <c r="B17" s="763">
        <v>0</v>
      </c>
      <c r="C17" s="763">
        <v>0</v>
      </c>
      <c r="D17" s="763">
        <v>0</v>
      </c>
      <c r="E17" s="763">
        <v>0</v>
      </c>
      <c r="F17" s="763">
        <v>0</v>
      </c>
      <c r="G17" s="763">
        <v>0</v>
      </c>
      <c r="H17" s="763">
        <v>0</v>
      </c>
      <c r="I17" s="763">
        <v>0</v>
      </c>
      <c r="J17" s="763">
        <v>0</v>
      </c>
      <c r="K17" s="763">
        <v>0</v>
      </c>
      <c r="L17" s="763">
        <v>0</v>
      </c>
      <c r="M17" s="763">
        <v>0</v>
      </c>
      <c r="N17" s="763">
        <v>0</v>
      </c>
      <c r="O17" s="763">
        <v>0</v>
      </c>
      <c r="P17" s="763">
        <v>0</v>
      </c>
      <c r="Q17" s="763">
        <v>0</v>
      </c>
      <c r="R17" s="763">
        <v>0</v>
      </c>
      <c r="S17" s="763">
        <v>0</v>
      </c>
      <c r="T17" s="763">
        <v>0</v>
      </c>
      <c r="U17" s="763">
        <v>0</v>
      </c>
      <c r="V17" s="763">
        <v>0</v>
      </c>
      <c r="W17" s="763">
        <v>0</v>
      </c>
      <c r="X17" s="763">
        <v>0</v>
      </c>
      <c r="Y17" s="763">
        <v>0</v>
      </c>
      <c r="Z17" s="763">
        <v>0</v>
      </c>
      <c r="AA17" s="763">
        <v>0</v>
      </c>
      <c r="AB17" s="763">
        <v>0</v>
      </c>
      <c r="AC17" s="763">
        <v>0</v>
      </c>
      <c r="AD17" s="763">
        <v>0</v>
      </c>
      <c r="AE17" s="763">
        <v>0</v>
      </c>
      <c r="AF17" s="763">
        <v>0</v>
      </c>
      <c r="AG17" s="763">
        <v>0</v>
      </c>
      <c r="AH17" s="763">
        <v>0</v>
      </c>
      <c r="AI17" s="763">
        <v>0</v>
      </c>
      <c r="AJ17" s="763">
        <v>0</v>
      </c>
      <c r="AK17" s="763">
        <v>0</v>
      </c>
      <c r="AL17" s="763">
        <v>0</v>
      </c>
      <c r="AM17" s="763">
        <v>0</v>
      </c>
      <c r="AN17" s="763">
        <v>0</v>
      </c>
      <c r="AO17" s="763">
        <v>0</v>
      </c>
      <c r="AP17" s="763">
        <v>0</v>
      </c>
      <c r="AQ17" s="763">
        <v>0</v>
      </c>
      <c r="AR17" s="763">
        <v>0</v>
      </c>
      <c r="AS17" s="763">
        <v>0</v>
      </c>
      <c r="AT17" s="763">
        <v>0</v>
      </c>
      <c r="AU17" s="763">
        <v>0</v>
      </c>
      <c r="AV17" s="763">
        <v>0</v>
      </c>
      <c r="AW17" s="763">
        <v>0</v>
      </c>
      <c r="AX17" s="763">
        <v>0</v>
      </c>
      <c r="AY17" s="763">
        <v>0</v>
      </c>
      <c r="AZ17" s="748"/>
    </row>
    <row r="18" spans="1:56" ht="15" x14ac:dyDescent="0.2">
      <c r="A18" s="753" t="s">
        <v>552</v>
      </c>
      <c r="B18" s="763">
        <v>174.68465315537588</v>
      </c>
      <c r="C18" s="763">
        <v>138.83161136000064</v>
      </c>
      <c r="D18" s="763">
        <v>166.05437092823649</v>
      </c>
      <c r="E18" s="763">
        <v>184.09390129199969</v>
      </c>
      <c r="F18" s="763">
        <v>214.51573574299965</v>
      </c>
      <c r="G18" s="763">
        <v>152.83371287038995</v>
      </c>
      <c r="H18" s="763">
        <v>183.68492711000061</v>
      </c>
      <c r="I18" s="763">
        <v>97.722879887501534</v>
      </c>
      <c r="J18" s="763">
        <v>78.951812543999964</v>
      </c>
      <c r="K18" s="763">
        <v>106.59191788399994</v>
      </c>
      <c r="L18" s="763">
        <v>129.06181087241649</v>
      </c>
      <c r="M18" s="763">
        <v>138.63510564942897</v>
      </c>
      <c r="N18" s="763">
        <v>174.03551509249951</v>
      </c>
      <c r="O18" s="763">
        <v>138.81410591500051</v>
      </c>
      <c r="P18" s="763">
        <v>166.94650340549961</v>
      </c>
      <c r="Q18" s="763">
        <v>202.46809445749884</v>
      </c>
      <c r="R18" s="763">
        <v>238.49052996700198</v>
      </c>
      <c r="S18" s="763">
        <v>168.69020238549959</v>
      </c>
      <c r="T18" s="763">
        <v>195.02616721850077</v>
      </c>
      <c r="U18" s="763">
        <v>92.981908756502534</v>
      </c>
      <c r="V18" s="763">
        <v>80.497340199501778</v>
      </c>
      <c r="W18" s="763">
        <v>110.35300234900004</v>
      </c>
      <c r="X18" s="763">
        <v>132.31135786501284</v>
      </c>
      <c r="Y18" s="763">
        <v>154.90767153200554</v>
      </c>
      <c r="Z18" s="763">
        <v>191.2673920019993</v>
      </c>
      <c r="AA18" s="763">
        <v>134.18046513999943</v>
      </c>
      <c r="AB18" s="763">
        <v>169.56187140749978</v>
      </c>
      <c r="AC18" s="763">
        <v>204.00408966017156</v>
      </c>
      <c r="AD18" s="763">
        <v>162.03582013999878</v>
      </c>
      <c r="AE18" s="763">
        <v>181.02625737277651</v>
      </c>
      <c r="AF18" s="763">
        <v>169.9038893095867</v>
      </c>
      <c r="AG18" s="763">
        <v>186.86123331597574</v>
      </c>
      <c r="AH18" s="763">
        <v>90.006159540000084</v>
      </c>
      <c r="AI18" s="763">
        <v>102.00333708000016</v>
      </c>
      <c r="AJ18" s="763">
        <v>150.19311207821463</v>
      </c>
      <c r="AK18" s="763">
        <v>-216.06557044155002</v>
      </c>
      <c r="AL18" s="763">
        <v>209.65880384789824</v>
      </c>
      <c r="AM18" s="763">
        <v>150.29535886365224</v>
      </c>
      <c r="AN18" s="763">
        <v>158.84471261826491</v>
      </c>
      <c r="AO18" s="763">
        <v>194.65759772665669</v>
      </c>
      <c r="AP18" s="763">
        <v>239.42893458454776</v>
      </c>
      <c r="AQ18" s="763">
        <v>172.04503190000008</v>
      </c>
      <c r="AR18" s="763">
        <v>169.00169310994983</v>
      </c>
      <c r="AS18" s="763">
        <v>85.847129245998914</v>
      </c>
      <c r="AT18" s="763">
        <v>70.68240364646995</v>
      </c>
      <c r="AU18" s="763">
        <v>107.70849731405603</v>
      </c>
      <c r="AV18" s="763">
        <v>134.06343513600004</v>
      </c>
      <c r="AW18" s="763">
        <v>139.82272541743328</v>
      </c>
      <c r="AX18" s="763">
        <v>165.65544617525006</v>
      </c>
      <c r="AY18" s="763">
        <v>106.80229341558814</v>
      </c>
      <c r="AZ18" s="748"/>
    </row>
    <row r="19" spans="1:56" ht="15" x14ac:dyDescent="0.2">
      <c r="A19" s="753" t="s">
        <v>553</v>
      </c>
      <c r="B19" s="763">
        <v>14673.987694020007</v>
      </c>
      <c r="C19" s="763">
        <v>15022.280191680002</v>
      </c>
      <c r="D19" s="763">
        <v>14950.51709168</v>
      </c>
      <c r="E19" s="763">
        <v>12226.293971069999</v>
      </c>
      <c r="F19" s="763">
        <v>11892.032891719997</v>
      </c>
      <c r="G19" s="763">
        <v>12056.502985439998</v>
      </c>
      <c r="H19" s="763">
        <v>12136.8419505</v>
      </c>
      <c r="I19" s="763">
        <v>12195.952606729999</v>
      </c>
      <c r="J19" s="763">
        <v>12297.28802287</v>
      </c>
      <c r="K19" s="763">
        <v>12244.178058209996</v>
      </c>
      <c r="L19" s="763">
        <v>12481.682409219993</v>
      </c>
      <c r="M19" s="763">
        <v>12805.170594069996</v>
      </c>
      <c r="N19" s="763">
        <v>12881.226528809995</v>
      </c>
      <c r="O19" s="763">
        <v>13034.154719470002</v>
      </c>
      <c r="P19" s="763">
        <v>12777.125437519997</v>
      </c>
      <c r="Q19" s="763">
        <v>12855.538266410002</v>
      </c>
      <c r="R19" s="763">
        <v>12936.980305380001</v>
      </c>
      <c r="S19" s="763">
        <v>12753.110069369999</v>
      </c>
      <c r="T19" s="763">
        <v>12769.440596630004</v>
      </c>
      <c r="U19" s="763">
        <v>12859.20819573</v>
      </c>
      <c r="V19" s="763">
        <v>12841.551802059997</v>
      </c>
      <c r="W19" s="763">
        <v>12847.820847959993</v>
      </c>
      <c r="X19" s="763">
        <v>12681.677415169997</v>
      </c>
      <c r="Y19" s="763">
        <v>12598.589176169999</v>
      </c>
      <c r="Z19" s="763">
        <v>12606.652558670003</v>
      </c>
      <c r="AA19" s="763">
        <v>12516.867773700002</v>
      </c>
      <c r="AB19" s="763">
        <v>12728.165184020003</v>
      </c>
      <c r="AC19" s="763">
        <v>12619.011896249995</v>
      </c>
      <c r="AD19" s="763">
        <v>12670.801787809994</v>
      </c>
      <c r="AE19" s="763">
        <v>12746.752611029999</v>
      </c>
      <c r="AF19" s="763">
        <v>12640.080890633646</v>
      </c>
      <c r="AG19" s="763">
        <v>12886.816174719101</v>
      </c>
      <c r="AH19" s="763">
        <v>12980.330780480786</v>
      </c>
      <c r="AI19" s="763">
        <v>12986.737583169997</v>
      </c>
      <c r="AJ19" s="763">
        <v>13046.342853210004</v>
      </c>
      <c r="AK19" s="763">
        <v>12912.732273344805</v>
      </c>
      <c r="AL19" s="763">
        <v>12792.471171226414</v>
      </c>
      <c r="AM19" s="763">
        <v>12875.36210425326</v>
      </c>
      <c r="AN19" s="763">
        <v>13219.451940166635</v>
      </c>
      <c r="AO19" s="763">
        <v>13105.709520297352</v>
      </c>
      <c r="AP19" s="763">
        <v>13265.866946603664</v>
      </c>
      <c r="AQ19" s="763">
        <v>13048.951064894271</v>
      </c>
      <c r="AR19" s="763">
        <v>12982.570250911642</v>
      </c>
      <c r="AS19" s="763">
        <v>13009.324764056431</v>
      </c>
      <c r="AT19" s="763">
        <v>13221.405926468185</v>
      </c>
      <c r="AU19" s="763">
        <v>13242.494205370045</v>
      </c>
      <c r="AV19" s="763">
        <v>13263.809498084305</v>
      </c>
      <c r="AW19" s="763">
        <v>13256.534100927116</v>
      </c>
      <c r="AX19" s="763">
        <v>13256.360152814792</v>
      </c>
      <c r="AY19" s="763">
        <v>13288.908411514871</v>
      </c>
      <c r="AZ19" s="748"/>
    </row>
    <row r="20" spans="1:56" s="766" customFormat="1" ht="15" x14ac:dyDescent="0.2">
      <c r="A20" s="764" t="s">
        <v>554</v>
      </c>
      <c r="B20" s="765">
        <v>14551.555964250007</v>
      </c>
      <c r="C20" s="765">
        <v>14902.643488680002</v>
      </c>
      <c r="D20" s="765">
        <v>14831.144394680001</v>
      </c>
      <c r="E20" s="765">
        <v>12109.832539069999</v>
      </c>
      <c r="F20" s="765">
        <v>11778.019082239998</v>
      </c>
      <c r="G20" s="765">
        <v>11949.233858439999</v>
      </c>
      <c r="H20" s="765">
        <v>12026.675456499999</v>
      </c>
      <c r="I20" s="765">
        <v>12076.429211659999</v>
      </c>
      <c r="J20" s="765">
        <v>12177.216458729999</v>
      </c>
      <c r="K20" s="765">
        <v>12127.075089559998</v>
      </c>
      <c r="L20" s="765">
        <v>12370.895662509995</v>
      </c>
      <c r="M20" s="765">
        <v>12696.615796389995</v>
      </c>
      <c r="N20" s="765">
        <v>12774.912824429997</v>
      </c>
      <c r="O20" s="765">
        <v>12930.049730080002</v>
      </c>
      <c r="P20" s="765">
        <v>12675.321549519997</v>
      </c>
      <c r="Q20" s="765">
        <v>12755.96350263</v>
      </c>
      <c r="R20" s="765">
        <v>12794.52027936</v>
      </c>
      <c r="S20" s="765">
        <v>12588.450738419999</v>
      </c>
      <c r="T20" s="765">
        <v>12593.328752050003</v>
      </c>
      <c r="U20" s="765">
        <v>12687.318257049999</v>
      </c>
      <c r="V20" s="765">
        <v>12673.612646059997</v>
      </c>
      <c r="W20" s="765">
        <v>12678.074341059993</v>
      </c>
      <c r="X20" s="765">
        <v>12495.064819719997</v>
      </c>
      <c r="Y20" s="765">
        <v>12416.832218329999</v>
      </c>
      <c r="Z20" s="765">
        <v>12416.327303240001</v>
      </c>
      <c r="AA20" s="765">
        <v>12398.51194604</v>
      </c>
      <c r="AB20" s="765">
        <v>12612.756203890003</v>
      </c>
      <c r="AC20" s="765">
        <v>12506.284809149995</v>
      </c>
      <c r="AD20" s="765">
        <v>12560.846690849994</v>
      </c>
      <c r="AE20" s="765">
        <v>12619.01920137</v>
      </c>
      <c r="AF20" s="765">
        <v>12515.133505893646</v>
      </c>
      <c r="AG20" s="765">
        <v>12762.893653859101</v>
      </c>
      <c r="AH20" s="765">
        <v>12856.408259620786</v>
      </c>
      <c r="AI20" s="765">
        <v>12846.057671599998</v>
      </c>
      <c r="AJ20" s="765">
        <v>12898.127239020005</v>
      </c>
      <c r="AK20" s="765">
        <v>12775.631758314805</v>
      </c>
      <c r="AL20" s="765">
        <v>12655.370656226414</v>
      </c>
      <c r="AM20" s="765">
        <v>12738.261589223259</v>
      </c>
      <c r="AN20" s="765">
        <v>13043.080241426636</v>
      </c>
      <c r="AO20" s="765">
        <v>12932.628574297352</v>
      </c>
      <c r="AP20" s="765">
        <v>13100.456734923664</v>
      </c>
      <c r="AQ20" s="763">
        <v>12861.953987354271</v>
      </c>
      <c r="AR20" s="763">
        <v>12802.991847871643</v>
      </c>
      <c r="AS20" s="763">
        <v>12833.000492556432</v>
      </c>
      <c r="AT20" s="763">
        <v>13047.897504268185</v>
      </c>
      <c r="AU20" s="763">
        <v>13076.869333600045</v>
      </c>
      <c r="AV20" s="765">
        <v>13101.419448314304</v>
      </c>
      <c r="AW20" s="765">
        <v>13095.686274477115</v>
      </c>
      <c r="AX20" s="765">
        <v>13103.118408104794</v>
      </c>
      <c r="AY20" s="765">
        <v>13138.767070704873</v>
      </c>
      <c r="AZ20" s="748"/>
      <c r="BA20" s="748"/>
      <c r="BB20" s="748"/>
      <c r="BC20" s="748"/>
      <c r="BD20" s="748"/>
    </row>
    <row r="21" spans="1:56" ht="15" x14ac:dyDescent="0.2">
      <c r="A21" s="753" t="s">
        <v>53</v>
      </c>
      <c r="B21" s="763">
        <v>1816.2484834300003</v>
      </c>
      <c r="C21" s="763">
        <v>1871.3934472400003</v>
      </c>
      <c r="D21" s="763">
        <v>1823.9683416599994</v>
      </c>
      <c r="E21" s="763">
        <v>1415.7926568399998</v>
      </c>
      <c r="F21" s="763">
        <v>1740.0558439700003</v>
      </c>
      <c r="G21" s="763">
        <v>1573.7345048299999</v>
      </c>
      <c r="H21" s="763">
        <v>1401.1215261600003</v>
      </c>
      <c r="I21" s="763">
        <v>1583.2044379400002</v>
      </c>
      <c r="J21" s="763">
        <v>1385.15929467</v>
      </c>
      <c r="K21" s="763">
        <v>1459.4611832399996</v>
      </c>
      <c r="L21" s="763">
        <v>1770.0614025900002</v>
      </c>
      <c r="M21" s="763">
        <v>1850.4168175099996</v>
      </c>
      <c r="N21" s="763">
        <v>1810.5282499099999</v>
      </c>
      <c r="O21" s="763">
        <v>1949.0623081799997</v>
      </c>
      <c r="P21" s="763">
        <v>1804.3358888600001</v>
      </c>
      <c r="Q21" s="763">
        <v>1640.3018918900004</v>
      </c>
      <c r="R21" s="763">
        <v>1865.9683750199999</v>
      </c>
      <c r="S21" s="763">
        <v>1545.2656388999997</v>
      </c>
      <c r="T21" s="763">
        <v>1910.7907514600001</v>
      </c>
      <c r="U21" s="763">
        <v>2070.54935471</v>
      </c>
      <c r="V21" s="763">
        <v>2120.6724401199999</v>
      </c>
      <c r="W21" s="763">
        <v>2192.7014391800003</v>
      </c>
      <c r="X21" s="763">
        <v>2396.9668014700001</v>
      </c>
      <c r="Y21" s="763">
        <v>2595.5052623199995</v>
      </c>
      <c r="Z21" s="763">
        <v>2580.2813334799998</v>
      </c>
      <c r="AA21" s="763">
        <v>2899.7717887999997</v>
      </c>
      <c r="AB21" s="763">
        <v>2793.1222935299993</v>
      </c>
      <c r="AC21" s="763">
        <v>2960.8303499099993</v>
      </c>
      <c r="AD21" s="763">
        <v>3078.3956087700003</v>
      </c>
      <c r="AE21" s="763">
        <v>3025.6830691499995</v>
      </c>
      <c r="AF21" s="763">
        <v>3254.0411064189998</v>
      </c>
      <c r="AG21" s="763">
        <v>3301.8126503000003</v>
      </c>
      <c r="AH21" s="763">
        <v>3477.2955768400002</v>
      </c>
      <c r="AI21" s="763">
        <v>3575.1337587800008</v>
      </c>
      <c r="AJ21" s="763">
        <v>3625.4098094999999</v>
      </c>
      <c r="AK21" s="763">
        <v>3451.3163360500002</v>
      </c>
      <c r="AL21" s="763">
        <v>4002.4317127300001</v>
      </c>
      <c r="AM21" s="763">
        <v>4099.3227502899999</v>
      </c>
      <c r="AN21" s="763">
        <v>3668.6098897894985</v>
      </c>
      <c r="AO21" s="763">
        <v>3559.3600213699997</v>
      </c>
      <c r="AP21" s="763">
        <v>3687.7407699099999</v>
      </c>
      <c r="AQ21" s="763">
        <v>3517.0215815446663</v>
      </c>
      <c r="AR21" s="763">
        <v>3661.6867347200005</v>
      </c>
      <c r="AS21" s="763">
        <v>4000.0865004936004</v>
      </c>
      <c r="AT21" s="763">
        <v>3541.0446523508986</v>
      </c>
      <c r="AU21" s="763">
        <v>3606.1145415144665</v>
      </c>
      <c r="AV21" s="763">
        <v>3835.5236469627248</v>
      </c>
      <c r="AW21" s="763">
        <v>4389.8431062571372</v>
      </c>
      <c r="AX21" s="763">
        <v>4365.9022720600005</v>
      </c>
      <c r="AY21" s="763">
        <v>4434.2311773900001</v>
      </c>
      <c r="AZ21" s="748"/>
    </row>
    <row r="22" spans="1:56" ht="15" x14ac:dyDescent="0.2">
      <c r="A22" s="753" t="s">
        <v>58</v>
      </c>
      <c r="B22" s="763">
        <v>1799.8046994554986</v>
      </c>
      <c r="C22" s="763">
        <v>1864.2528078224993</v>
      </c>
      <c r="D22" s="763">
        <v>1862.2082661299992</v>
      </c>
      <c r="E22" s="763">
        <v>1692.4265391454996</v>
      </c>
      <c r="F22" s="763">
        <v>1644.0326673576606</v>
      </c>
      <c r="G22" s="763">
        <v>1693.4282335971793</v>
      </c>
      <c r="H22" s="763">
        <v>1631.4195957471791</v>
      </c>
      <c r="I22" s="763">
        <v>1687.3481527838196</v>
      </c>
      <c r="J22" s="763">
        <v>1692.2598568708188</v>
      </c>
      <c r="K22" s="763">
        <v>1793.6647095710955</v>
      </c>
      <c r="L22" s="763">
        <v>1945.7059241178026</v>
      </c>
      <c r="M22" s="763">
        <v>1583.2489452885827</v>
      </c>
      <c r="N22" s="763">
        <v>1660.603190898051</v>
      </c>
      <c r="O22" s="763">
        <v>1645.0158121701809</v>
      </c>
      <c r="P22" s="763">
        <v>1652.0760039620964</v>
      </c>
      <c r="Q22" s="763">
        <v>1744.851146639181</v>
      </c>
      <c r="R22" s="763">
        <v>1818.4800479889018</v>
      </c>
      <c r="S22" s="763">
        <v>1950.424325898819</v>
      </c>
      <c r="T22" s="763">
        <v>2092.7155430588191</v>
      </c>
      <c r="U22" s="763">
        <v>2064.1435028648857</v>
      </c>
      <c r="V22" s="763">
        <v>1880.2096480220112</v>
      </c>
      <c r="W22" s="763">
        <v>1926.9139964014933</v>
      </c>
      <c r="X22" s="763">
        <v>2218.7168944220116</v>
      </c>
      <c r="Y22" s="763">
        <v>1985.5904765195039</v>
      </c>
      <c r="Z22" s="763">
        <v>1972.2507203140117</v>
      </c>
      <c r="AA22" s="763">
        <v>1927.9445168920113</v>
      </c>
      <c r="AB22" s="763">
        <v>1901.7674149797515</v>
      </c>
      <c r="AC22" s="763">
        <v>1886.8805592166605</v>
      </c>
      <c r="AD22" s="763">
        <v>1921.0224354300935</v>
      </c>
      <c r="AE22" s="763">
        <v>1964.920014049894</v>
      </c>
      <c r="AF22" s="763">
        <v>1994.0033608783267</v>
      </c>
      <c r="AG22" s="763">
        <v>1984.4977902220121</v>
      </c>
      <c r="AH22" s="763">
        <v>1914.8292231520109</v>
      </c>
      <c r="AI22" s="763">
        <v>2139.14897036</v>
      </c>
      <c r="AJ22" s="763">
        <v>2390.4111904900005</v>
      </c>
      <c r="AK22" s="763">
        <v>3046.2996005074833</v>
      </c>
      <c r="AL22" s="763">
        <v>1973.312739295822</v>
      </c>
      <c r="AM22" s="763">
        <v>1987.5354303920108</v>
      </c>
      <c r="AN22" s="763">
        <v>2022.1958714371826</v>
      </c>
      <c r="AO22" s="763">
        <v>2204.9091645160111</v>
      </c>
      <c r="AP22" s="763">
        <v>1995.6953669103707</v>
      </c>
      <c r="AQ22" s="763">
        <v>1945.6640394770111</v>
      </c>
      <c r="AR22" s="763">
        <v>2023.7281758620102</v>
      </c>
      <c r="AS22" s="763">
        <v>2201.5689331232115</v>
      </c>
      <c r="AT22" s="763">
        <v>2397.8126471387277</v>
      </c>
      <c r="AU22" s="763">
        <v>2330.5848261245992</v>
      </c>
      <c r="AV22" s="763">
        <v>2702.6119290699999</v>
      </c>
      <c r="AW22" s="763">
        <v>2295.3275763679453</v>
      </c>
      <c r="AX22" s="763">
        <v>2354.6965760959711</v>
      </c>
      <c r="AY22" s="763">
        <v>2263.0156921693228</v>
      </c>
      <c r="AZ22" s="748"/>
    </row>
    <row r="23" spans="1:56" ht="15.75" x14ac:dyDescent="0.25">
      <c r="A23" s="767" t="s">
        <v>454</v>
      </c>
      <c r="B23" s="768">
        <v>20810.840289322379</v>
      </c>
      <c r="C23" s="768">
        <v>21240.828172364003</v>
      </c>
      <c r="D23" s="768">
        <v>21134.418192546233</v>
      </c>
      <c r="E23" s="768">
        <v>17394.462021858999</v>
      </c>
      <c r="F23" s="768">
        <v>17366.492092602155</v>
      </c>
      <c r="G23" s="768">
        <v>17446.651083798566</v>
      </c>
      <c r="H23" s="768">
        <v>17324.316567511185</v>
      </c>
      <c r="I23" s="768">
        <v>17561.365273335323</v>
      </c>
      <c r="J23" s="768">
        <v>17497.875058298818</v>
      </c>
      <c r="K23" s="768">
        <v>17648.11194023909</v>
      </c>
      <c r="L23" s="768">
        <v>18345.727614134215</v>
      </c>
      <c r="M23" s="769">
        <v>18373.183941692008</v>
      </c>
      <c r="N23" s="769">
        <v>18522.105966709474</v>
      </c>
      <c r="O23" s="769">
        <v>18762.7594353491</v>
      </c>
      <c r="P23" s="769">
        <v>18396.19631884151</v>
      </c>
      <c r="Q23" s="769">
        <v>18428.871884010601</v>
      </c>
      <c r="R23" s="769">
        <v>18795.631746737821</v>
      </c>
      <c r="S23" s="769">
        <v>18476.829957492737</v>
      </c>
      <c r="T23" s="769">
        <v>19026.214960734244</v>
      </c>
      <c r="U23" s="769">
        <v>19145.666802235803</v>
      </c>
      <c r="V23" s="769">
        <v>19030.873553651923</v>
      </c>
      <c r="W23" s="769">
        <v>19185.643731154905</v>
      </c>
      <c r="X23" s="769">
        <v>19507.527048273507</v>
      </c>
      <c r="Y23" s="769">
        <v>19422.834742273008</v>
      </c>
      <c r="Z23" s="769">
        <v>19438.694163197513</v>
      </c>
      <c r="AA23" s="769">
        <v>19567.006703263512</v>
      </c>
      <c r="AB23" s="769">
        <v>19665.858922668755</v>
      </c>
      <c r="AC23" s="769">
        <v>19744.054587620329</v>
      </c>
      <c r="AD23" s="769">
        <v>19904.804744733592</v>
      </c>
      <c r="AE23" s="769">
        <v>20016.656101610151</v>
      </c>
      <c r="AF23" s="769">
        <v>20178.553093205905</v>
      </c>
      <c r="AG23" s="769">
        <v>20478.809287280474</v>
      </c>
      <c r="AH23" s="769">
        <v>20647.468535512158</v>
      </c>
      <c r="AI23" s="769">
        <v>20994.721056364862</v>
      </c>
      <c r="AJ23" s="769">
        <v>21369.827814373006</v>
      </c>
      <c r="AK23" s="769">
        <v>21353.003023548241</v>
      </c>
      <c r="AL23" s="769">
        <v>21284.938093847635</v>
      </c>
      <c r="AM23" s="769">
        <v>21419.985233546424</v>
      </c>
      <c r="AN23" s="769">
        <v>21376.166082301665</v>
      </c>
      <c r="AO23" s="769">
        <v>21371.699972380102</v>
      </c>
      <c r="AP23" s="769">
        <v>21497.052566916085</v>
      </c>
      <c r="AQ23" s="769">
        <v>20930.543821855597</v>
      </c>
      <c r="AR23" s="769">
        <v>21097.959808573301</v>
      </c>
      <c r="AS23" s="769">
        <v>21542.662939762246</v>
      </c>
      <c r="AT23" s="769">
        <v>21520.768230486814</v>
      </c>
      <c r="AU23" s="769">
        <v>21871.102300016169</v>
      </c>
      <c r="AV23" s="769">
        <v>22519.80281898268</v>
      </c>
      <c r="AW23" s="769">
        <v>22687.758681954558</v>
      </c>
      <c r="AX23" s="769">
        <v>22748.845615225662</v>
      </c>
      <c r="AY23" s="769">
        <v>22699.188742569433</v>
      </c>
      <c r="AZ23" s="748"/>
    </row>
    <row r="24" spans="1:56" s="771" customFormat="1" x14ac:dyDescent="0.2">
      <c r="A24" s="770" t="s">
        <v>239</v>
      </c>
      <c r="BA24" s="748"/>
      <c r="BB24" s="748"/>
      <c r="BC24" s="748"/>
      <c r="BD24" s="748"/>
    </row>
    <row r="25" spans="1:56" s="771" customFormat="1" x14ac:dyDescent="0.2">
      <c r="A25" s="772" t="s">
        <v>555</v>
      </c>
      <c r="AD25" s="771">
        <v>0.75129096898639425</v>
      </c>
      <c r="BA25" s="748"/>
      <c r="BB25" s="748"/>
      <c r="BC25" s="748"/>
      <c r="BD25" s="748"/>
    </row>
    <row r="26" spans="1:56" s="773" customFormat="1" x14ac:dyDescent="0.2">
      <c r="A26" s="770" t="s">
        <v>556</v>
      </c>
      <c r="BA26" s="748"/>
      <c r="BB26" s="748"/>
      <c r="BC26" s="748"/>
      <c r="BD26" s="748"/>
    </row>
    <row r="27" spans="1:56" s="773" customFormat="1" ht="15.75" x14ac:dyDescent="0.25">
      <c r="A27" s="747"/>
      <c r="BA27" s="748"/>
      <c r="BB27" s="748"/>
      <c r="BC27" s="748"/>
      <c r="BD27" s="748"/>
    </row>
    <row r="28" spans="1:56" s="773" customFormat="1" ht="15.75" x14ac:dyDescent="0.25">
      <c r="A28" s="747"/>
      <c r="BA28" s="748"/>
      <c r="BB28" s="748"/>
      <c r="BC28" s="748"/>
      <c r="BD28" s="748"/>
    </row>
    <row r="29" spans="1:56" s="773" customFormat="1" ht="15.75" x14ac:dyDescent="0.25">
      <c r="A29" s="747"/>
      <c r="B29" s="774"/>
      <c r="C29" s="774"/>
      <c r="D29" s="774"/>
      <c r="E29" s="774"/>
      <c r="F29" s="774"/>
      <c r="G29" s="774"/>
      <c r="H29" s="774"/>
      <c r="I29" s="774"/>
      <c r="J29" s="774"/>
      <c r="K29" s="774"/>
      <c r="L29" s="774"/>
      <c r="M29" s="774"/>
      <c r="N29" s="774"/>
      <c r="O29" s="774"/>
      <c r="P29" s="774"/>
      <c r="Q29" s="774"/>
      <c r="R29" s="775"/>
      <c r="S29" s="774"/>
      <c r="T29" s="774"/>
      <c r="U29" s="774"/>
      <c r="V29" s="774"/>
      <c r="W29" s="774"/>
      <c r="X29" s="774"/>
      <c r="Y29" s="774"/>
      <c r="Z29" s="774"/>
      <c r="AA29" s="774"/>
      <c r="AB29" s="774"/>
      <c r="AC29" s="775"/>
      <c r="AD29" s="775"/>
      <c r="AE29" s="775"/>
      <c r="AF29" s="775"/>
      <c r="AG29" s="775"/>
      <c r="AH29" s="775"/>
      <c r="AI29" s="775"/>
      <c r="AJ29" s="775"/>
      <c r="AK29" s="775"/>
      <c r="AL29" s="775"/>
      <c r="AM29" s="775"/>
      <c r="AN29" s="775"/>
      <c r="AO29" s="775"/>
      <c r="AP29" s="775"/>
      <c r="AQ29" s="775"/>
      <c r="AR29" s="775"/>
      <c r="AS29" s="775"/>
      <c r="AZ29" s="775"/>
      <c r="BA29" s="748"/>
      <c r="BB29" s="748"/>
      <c r="BC29" s="748"/>
      <c r="BD29" s="748"/>
    </row>
    <row r="30" spans="1:56" s="773" customFormat="1" ht="15.75" x14ac:dyDescent="0.25">
      <c r="A30" s="747"/>
      <c r="BA30" s="748"/>
      <c r="BB30" s="748"/>
      <c r="BC30" s="748"/>
      <c r="BD30" s="748"/>
    </row>
    <row r="31" spans="1:56" s="773" customFormat="1" x14ac:dyDescent="0.2">
      <c r="AT31" s="106"/>
      <c r="AU31" s="106"/>
      <c r="AV31" s="106"/>
      <c r="AW31" s="106"/>
      <c r="AX31" s="106"/>
      <c r="AY31" s="106"/>
      <c r="BA31" s="748"/>
      <c r="BB31" s="748"/>
      <c r="BC31" s="748"/>
      <c r="BD31" s="748"/>
    </row>
  </sheetData>
  <pageMargins left="0.7" right="0.7" top="0.75" bottom="0.75" header="0.3" footer="0.3"/>
  <pageSetup paperSize="9" scale="6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30"/>
  <sheetViews>
    <sheetView tabSelected="1" zoomScaleNormal="100" zoomScaleSheetLayoutView="100" workbookViewId="0">
      <pane xSplit="1" ySplit="5" topLeftCell="E6" activePane="bottomRight" state="frozen"/>
      <selection pane="topRight" activeCell="B1" sqref="B1"/>
      <selection pane="bottomLeft" activeCell="A6" sqref="A6"/>
      <selection pane="bottomRight" activeCell="O3" sqref="O3"/>
    </sheetView>
  </sheetViews>
  <sheetFormatPr defaultRowHeight="15" x14ac:dyDescent="0.25"/>
  <cols>
    <col min="1" max="1" width="52.5703125" style="702" customWidth="1"/>
    <col min="2" max="2" width="10.5703125" style="702" hidden="1" customWidth="1"/>
    <col min="3" max="3" width="11.85546875" style="702" hidden="1" customWidth="1"/>
    <col min="4" max="4" width="9.85546875" style="702" hidden="1" customWidth="1"/>
    <col min="5" max="5" width="10.42578125" style="702" customWidth="1"/>
    <col min="6" max="6" width="10.85546875" style="702" bestFit="1" customWidth="1"/>
    <col min="7" max="7" width="10.85546875" style="702" customWidth="1"/>
    <col min="8" max="8" width="10.85546875" style="702" bestFit="1" customWidth="1"/>
    <col min="9" max="24" width="10.7109375" style="702" customWidth="1"/>
    <col min="25" max="16384" width="9.140625" style="702"/>
  </cols>
  <sheetData>
    <row r="1" spans="1:24" ht="1.5" customHeight="1" x14ac:dyDescent="0.25">
      <c r="A1" s="776"/>
    </row>
    <row r="2" spans="1:24" ht="15.75" hidden="1" customHeight="1" x14ac:dyDescent="0.25">
      <c r="A2" s="776"/>
    </row>
    <row r="3" spans="1:24" ht="49.5" customHeight="1" x14ac:dyDescent="0.25">
      <c r="A3" s="3526" t="s">
        <v>557</v>
      </c>
      <c r="B3" s="3526"/>
      <c r="C3" s="3526"/>
      <c r="D3" s="3526"/>
    </row>
    <row r="4" spans="1:24" ht="21.75" customHeight="1" thickBot="1" x14ac:dyDescent="0.3">
      <c r="A4" s="777"/>
      <c r="B4" s="777"/>
      <c r="C4" s="777"/>
      <c r="E4" s="778"/>
      <c r="F4" s="778"/>
      <c r="G4" s="778"/>
      <c r="H4" s="778"/>
      <c r="X4" s="702" t="s">
        <v>73</v>
      </c>
    </row>
    <row r="5" spans="1:24" ht="25.5" customHeight="1" thickBot="1" x14ac:dyDescent="0.3">
      <c r="A5" s="779"/>
      <c r="B5" s="780">
        <v>40451</v>
      </c>
      <c r="C5" s="781">
        <v>40543</v>
      </c>
      <c r="D5" s="782">
        <v>40633</v>
      </c>
      <c r="E5" s="782">
        <v>40724</v>
      </c>
      <c r="F5" s="782">
        <v>40816</v>
      </c>
      <c r="G5" s="782">
        <v>40907</v>
      </c>
      <c r="H5" s="782">
        <v>40969</v>
      </c>
      <c r="I5" s="782">
        <v>41061</v>
      </c>
      <c r="J5" s="782">
        <v>41153</v>
      </c>
      <c r="K5" s="782">
        <v>41244</v>
      </c>
      <c r="L5" s="782">
        <v>41334</v>
      </c>
      <c r="M5" s="782">
        <v>41426</v>
      </c>
      <c r="N5" s="782">
        <v>41518</v>
      </c>
      <c r="O5" s="782">
        <v>41609</v>
      </c>
      <c r="P5" s="782">
        <v>41699</v>
      </c>
      <c r="Q5" s="782">
        <v>41791</v>
      </c>
      <c r="R5" s="782">
        <v>41883</v>
      </c>
      <c r="S5" s="782">
        <v>41974</v>
      </c>
      <c r="T5" s="782">
        <v>42064</v>
      </c>
      <c r="U5" s="782">
        <v>42156</v>
      </c>
      <c r="V5" s="782">
        <v>42248</v>
      </c>
      <c r="W5" s="782">
        <v>42339</v>
      </c>
      <c r="X5" s="782">
        <v>42430</v>
      </c>
    </row>
    <row r="6" spans="1:24" ht="18" customHeight="1" x14ac:dyDescent="0.25">
      <c r="A6" s="783" t="s">
        <v>558</v>
      </c>
      <c r="B6" s="784">
        <v>472.36257554000002</v>
      </c>
      <c r="C6" s="785">
        <v>510</v>
      </c>
      <c r="D6" s="786">
        <v>491</v>
      </c>
      <c r="E6" s="786">
        <v>498</v>
      </c>
      <c r="F6" s="786">
        <v>497</v>
      </c>
      <c r="G6" s="786">
        <v>476</v>
      </c>
      <c r="H6" s="786">
        <v>491</v>
      </c>
      <c r="I6" s="786">
        <v>422</v>
      </c>
      <c r="J6" s="786">
        <v>408.45183361999989</v>
      </c>
      <c r="K6" s="786">
        <v>408</v>
      </c>
      <c r="L6" s="786">
        <v>415</v>
      </c>
      <c r="M6" s="786">
        <v>400</v>
      </c>
      <c r="N6" s="786">
        <v>408</v>
      </c>
      <c r="O6" s="786">
        <v>399</v>
      </c>
      <c r="P6" s="786">
        <v>405</v>
      </c>
      <c r="Q6" s="786">
        <v>412</v>
      </c>
      <c r="R6" s="786">
        <v>400</v>
      </c>
      <c r="S6" s="786">
        <v>398</v>
      </c>
      <c r="T6" s="786">
        <v>414</v>
      </c>
      <c r="U6" s="786">
        <v>406</v>
      </c>
      <c r="V6" s="786">
        <v>401.86626766947501</v>
      </c>
      <c r="W6" s="786">
        <v>395.52858592927186</v>
      </c>
      <c r="X6" s="786">
        <v>418</v>
      </c>
    </row>
    <row r="7" spans="1:24" ht="18" customHeight="1" x14ac:dyDescent="0.25">
      <c r="A7" s="783" t="s">
        <v>559</v>
      </c>
      <c r="B7" s="784">
        <v>335.91336057999996</v>
      </c>
      <c r="C7" s="785">
        <v>357</v>
      </c>
      <c r="D7" s="786">
        <v>319</v>
      </c>
      <c r="E7" s="786">
        <v>321</v>
      </c>
      <c r="F7" s="786">
        <v>324</v>
      </c>
      <c r="G7" s="786">
        <v>304</v>
      </c>
      <c r="H7" s="786">
        <v>304</v>
      </c>
      <c r="I7" s="786">
        <v>241</v>
      </c>
      <c r="J7" s="786">
        <v>235.49498532999999</v>
      </c>
      <c r="K7" s="786">
        <v>234</v>
      </c>
      <c r="L7" s="786">
        <v>228</v>
      </c>
      <c r="M7" s="786">
        <v>235</v>
      </c>
      <c r="N7" s="786">
        <v>231</v>
      </c>
      <c r="O7" s="786">
        <v>229</v>
      </c>
      <c r="P7" s="786">
        <v>223</v>
      </c>
      <c r="Q7" s="786">
        <v>224</v>
      </c>
      <c r="R7" s="786">
        <v>224</v>
      </c>
      <c r="S7" s="786">
        <v>219</v>
      </c>
      <c r="T7" s="786">
        <v>241</v>
      </c>
      <c r="U7" s="786">
        <v>231</v>
      </c>
      <c r="V7" s="786">
        <v>224.83341470972292</v>
      </c>
      <c r="W7" s="786">
        <v>229.86400646224232</v>
      </c>
      <c r="X7" s="786">
        <v>229</v>
      </c>
    </row>
    <row r="8" spans="1:24" ht="18" customHeight="1" x14ac:dyDescent="0.25">
      <c r="A8" s="787" t="s">
        <v>560</v>
      </c>
      <c r="B8" s="788">
        <v>136.44921496000006</v>
      </c>
      <c r="C8" s="789">
        <v>153</v>
      </c>
      <c r="D8" s="790">
        <f>D6-D7</f>
        <v>172</v>
      </c>
      <c r="E8" s="790">
        <f>E6-E7</f>
        <v>177</v>
      </c>
      <c r="F8" s="790">
        <f>F6-F7</f>
        <v>173</v>
      </c>
      <c r="G8" s="790">
        <v>172</v>
      </c>
      <c r="H8" s="790">
        <f>H6-H7</f>
        <v>187</v>
      </c>
      <c r="I8" s="790">
        <f>I6-I7</f>
        <v>181</v>
      </c>
      <c r="J8" s="790">
        <f t="shared" ref="J8:O8" si="0">J6-J7</f>
        <v>172.9568482899999</v>
      </c>
      <c r="K8" s="790">
        <v>174</v>
      </c>
      <c r="L8" s="790">
        <f t="shared" si="0"/>
        <v>187</v>
      </c>
      <c r="M8" s="790">
        <f t="shared" si="0"/>
        <v>165</v>
      </c>
      <c r="N8" s="790">
        <f t="shared" si="0"/>
        <v>177</v>
      </c>
      <c r="O8" s="790">
        <f t="shared" si="0"/>
        <v>170</v>
      </c>
      <c r="P8" s="790">
        <v>182</v>
      </c>
      <c r="Q8" s="790">
        <v>188</v>
      </c>
      <c r="R8" s="790">
        <f>R6-R7</f>
        <v>176</v>
      </c>
      <c r="S8" s="790">
        <f>S6-S7</f>
        <v>179</v>
      </c>
      <c r="T8" s="790">
        <v>173</v>
      </c>
      <c r="U8" s="790">
        <f>U6-U7</f>
        <v>175</v>
      </c>
      <c r="V8" s="790">
        <v>177.03285295975209</v>
      </c>
      <c r="W8" s="790">
        <v>165.66457946702954</v>
      </c>
      <c r="X8" s="790">
        <v>189</v>
      </c>
    </row>
    <row r="9" spans="1:24" ht="18" customHeight="1" x14ac:dyDescent="0.25">
      <c r="A9" s="791"/>
      <c r="B9" s="784"/>
      <c r="C9" s="785"/>
      <c r="D9" s="786"/>
      <c r="E9" s="786"/>
      <c r="F9" s="786"/>
      <c r="G9" s="786"/>
      <c r="H9" s="786"/>
      <c r="I9" s="786"/>
      <c r="J9" s="786"/>
      <c r="K9" s="786"/>
      <c r="L9" s="786"/>
      <c r="M9" s="786"/>
      <c r="N9" s="786"/>
      <c r="O9" s="786"/>
      <c r="P9" s="786"/>
      <c r="Q9" s="786"/>
      <c r="R9" s="786"/>
      <c r="S9" s="786"/>
      <c r="T9" s="786"/>
      <c r="U9" s="786"/>
      <c r="V9" s="786"/>
      <c r="W9" s="786"/>
      <c r="X9" s="786"/>
    </row>
    <row r="10" spans="1:24" ht="18" customHeight="1" x14ac:dyDescent="0.25">
      <c r="A10" s="787" t="s">
        <v>561</v>
      </c>
      <c r="B10" s="788">
        <v>184.51846550000002</v>
      </c>
      <c r="C10" s="789">
        <v>202</v>
      </c>
      <c r="D10" s="790">
        <f>D11+D12</f>
        <v>168.01905119000003</v>
      </c>
      <c r="E10" s="790">
        <f>E11+E12</f>
        <v>175</v>
      </c>
      <c r="F10" s="790">
        <f>F11+F12</f>
        <v>185</v>
      </c>
      <c r="G10" s="790">
        <v>184</v>
      </c>
      <c r="H10" s="790">
        <f>H11+H12</f>
        <v>189</v>
      </c>
      <c r="I10" s="790">
        <f>I11+I12</f>
        <v>167</v>
      </c>
      <c r="J10" s="790">
        <v>177.96196124999997</v>
      </c>
      <c r="K10" s="790">
        <v>185</v>
      </c>
      <c r="L10" s="790">
        <f>L11+L12</f>
        <v>182</v>
      </c>
      <c r="M10" s="790">
        <f>M11+M12</f>
        <v>198</v>
      </c>
      <c r="N10" s="790">
        <f>N11+N12</f>
        <v>193</v>
      </c>
      <c r="O10" s="790">
        <f t="shared" ref="O10:S10" si="1">O11+O12</f>
        <v>202</v>
      </c>
      <c r="P10" s="790">
        <v>191</v>
      </c>
      <c r="Q10" s="790">
        <v>194</v>
      </c>
      <c r="R10" s="790">
        <f t="shared" si="1"/>
        <v>197</v>
      </c>
      <c r="S10" s="790">
        <f t="shared" si="1"/>
        <v>214</v>
      </c>
      <c r="T10" s="790">
        <v>197</v>
      </c>
      <c r="U10" s="790">
        <f t="shared" ref="U10" si="2">U11+U12</f>
        <v>210</v>
      </c>
      <c r="V10" s="790">
        <v>222.59457931750001</v>
      </c>
      <c r="W10" s="790">
        <v>229.45092545999995</v>
      </c>
      <c r="X10" s="790">
        <v>234</v>
      </c>
    </row>
    <row r="11" spans="1:24" ht="18" customHeight="1" x14ac:dyDescent="0.25">
      <c r="A11" s="783" t="s">
        <v>562</v>
      </c>
      <c r="B11" s="784">
        <v>55.894596980000038</v>
      </c>
      <c r="C11" s="785">
        <v>65</v>
      </c>
      <c r="D11" s="786">
        <v>58.019051190000013</v>
      </c>
      <c r="E11" s="786">
        <v>65</v>
      </c>
      <c r="F11" s="786">
        <v>67</v>
      </c>
      <c r="G11" s="786">
        <v>67</v>
      </c>
      <c r="H11" s="786">
        <v>66</v>
      </c>
      <c r="I11" s="786">
        <v>67</v>
      </c>
      <c r="J11" s="786">
        <v>70.554284209999977</v>
      </c>
      <c r="K11" s="786">
        <v>72</v>
      </c>
      <c r="L11" s="786">
        <v>70</v>
      </c>
      <c r="M11" s="786">
        <v>78</v>
      </c>
      <c r="N11" s="786">
        <v>79</v>
      </c>
      <c r="O11" s="786">
        <v>79</v>
      </c>
      <c r="P11" s="786">
        <v>73</v>
      </c>
      <c r="Q11" s="786">
        <v>81</v>
      </c>
      <c r="R11" s="786">
        <v>81</v>
      </c>
      <c r="S11" s="786">
        <v>97</v>
      </c>
      <c r="T11" s="786">
        <v>83</v>
      </c>
      <c r="U11" s="786">
        <v>91</v>
      </c>
      <c r="V11" s="786">
        <v>89.594579317500006</v>
      </c>
      <c r="W11" s="786">
        <v>110.45092545999997</v>
      </c>
      <c r="X11" s="786">
        <v>115</v>
      </c>
    </row>
    <row r="12" spans="1:24" ht="18" customHeight="1" x14ac:dyDescent="0.25">
      <c r="A12" s="783" t="s">
        <v>563</v>
      </c>
      <c r="B12" s="784">
        <v>128.62386851999997</v>
      </c>
      <c r="C12" s="785">
        <v>137</v>
      </c>
      <c r="D12" s="786">
        <v>110</v>
      </c>
      <c r="E12" s="786">
        <v>110</v>
      </c>
      <c r="F12" s="786">
        <v>118</v>
      </c>
      <c r="G12" s="786">
        <v>117</v>
      </c>
      <c r="H12" s="786">
        <v>123</v>
      </c>
      <c r="I12" s="786">
        <v>100</v>
      </c>
      <c r="J12" s="786">
        <v>107.40767704</v>
      </c>
      <c r="K12" s="786">
        <v>113</v>
      </c>
      <c r="L12" s="786">
        <v>112</v>
      </c>
      <c r="M12" s="786">
        <v>120</v>
      </c>
      <c r="N12" s="786">
        <v>114</v>
      </c>
      <c r="O12" s="786">
        <v>123</v>
      </c>
      <c r="P12" s="786">
        <v>118</v>
      </c>
      <c r="Q12" s="786">
        <v>113</v>
      </c>
      <c r="R12" s="786">
        <v>116</v>
      </c>
      <c r="S12" s="786">
        <v>117</v>
      </c>
      <c r="T12" s="786">
        <v>114</v>
      </c>
      <c r="U12" s="786">
        <v>119</v>
      </c>
      <c r="V12" s="786">
        <v>133</v>
      </c>
      <c r="W12" s="786">
        <v>119</v>
      </c>
      <c r="X12" s="786">
        <v>119</v>
      </c>
    </row>
    <row r="13" spans="1:24" ht="18" customHeight="1" x14ac:dyDescent="0.25">
      <c r="A13" s="783"/>
      <c r="B13" s="784"/>
      <c r="C13" s="785"/>
      <c r="D13" s="786"/>
      <c r="E13" s="786"/>
      <c r="F13" s="786"/>
      <c r="G13" s="786"/>
      <c r="H13" s="786"/>
      <c r="I13" s="786"/>
      <c r="J13" s="786"/>
      <c r="K13" s="786"/>
      <c r="L13" s="786"/>
      <c r="M13" s="786"/>
      <c r="N13" s="786"/>
      <c r="O13" s="786"/>
      <c r="P13" s="786"/>
      <c r="Q13" s="786"/>
      <c r="R13" s="786"/>
      <c r="S13" s="786"/>
      <c r="T13" s="786"/>
      <c r="U13" s="786"/>
      <c r="V13" s="786"/>
      <c r="W13" s="786"/>
      <c r="X13" s="786"/>
    </row>
    <row r="14" spans="1:24" ht="18" customHeight="1" x14ac:dyDescent="0.25">
      <c r="A14" s="787" t="s">
        <v>564</v>
      </c>
      <c r="B14" s="788">
        <v>320.96768046000011</v>
      </c>
      <c r="C14" s="789">
        <v>355</v>
      </c>
      <c r="D14" s="790">
        <f>D8+D10</f>
        <v>340.01905119000003</v>
      </c>
      <c r="E14" s="790">
        <f>E8+E10</f>
        <v>352</v>
      </c>
      <c r="F14" s="790">
        <f>F8+F10</f>
        <v>358</v>
      </c>
      <c r="G14" s="790">
        <v>356</v>
      </c>
      <c r="H14" s="790">
        <f>H8+H10</f>
        <v>376</v>
      </c>
      <c r="I14" s="790">
        <f>I8+I10</f>
        <v>348</v>
      </c>
      <c r="J14" s="790">
        <v>350.91880953999987</v>
      </c>
      <c r="K14" s="790">
        <v>359</v>
      </c>
      <c r="L14" s="790">
        <f>L8+L10</f>
        <v>369</v>
      </c>
      <c r="M14" s="790">
        <f>M8+M10</f>
        <v>363</v>
      </c>
      <c r="N14" s="790">
        <f>N8+N10</f>
        <v>370</v>
      </c>
      <c r="O14" s="790">
        <f t="shared" ref="O14" si="3">O8+O10</f>
        <v>372</v>
      </c>
      <c r="P14" s="790">
        <v>373</v>
      </c>
      <c r="Q14" s="790">
        <v>382</v>
      </c>
      <c r="R14" s="790">
        <f>R8+R10</f>
        <v>373</v>
      </c>
      <c r="S14" s="790">
        <f>S8+S10</f>
        <v>393</v>
      </c>
      <c r="T14" s="790">
        <v>370</v>
      </c>
      <c r="U14" s="790">
        <f>U8+U10</f>
        <v>385</v>
      </c>
      <c r="V14" s="790">
        <v>399.62743227725207</v>
      </c>
      <c r="W14" s="790">
        <v>395.11550492702952</v>
      </c>
      <c r="X14" s="790">
        <v>423</v>
      </c>
    </row>
    <row r="15" spans="1:24" ht="18" customHeight="1" x14ac:dyDescent="0.25">
      <c r="A15" s="787"/>
      <c r="B15" s="784"/>
      <c r="C15" s="785"/>
      <c r="D15" s="786"/>
      <c r="E15" s="786"/>
      <c r="F15" s="786"/>
      <c r="G15" s="786"/>
      <c r="H15" s="786"/>
      <c r="I15" s="786"/>
      <c r="J15" s="786"/>
      <c r="K15" s="786"/>
      <c r="L15" s="786"/>
      <c r="M15" s="786"/>
      <c r="N15" s="786"/>
      <c r="O15" s="786"/>
      <c r="P15" s="786"/>
      <c r="Q15" s="786"/>
      <c r="R15" s="786"/>
      <c r="S15" s="786"/>
      <c r="T15" s="786"/>
      <c r="U15" s="786"/>
      <c r="V15" s="786"/>
      <c r="W15" s="786"/>
      <c r="X15" s="786"/>
    </row>
    <row r="16" spans="1:24" ht="18" customHeight="1" x14ac:dyDescent="0.25">
      <c r="A16" s="787" t="s">
        <v>565</v>
      </c>
      <c r="B16" s="788">
        <v>209.14297093000002</v>
      </c>
      <c r="C16" s="789">
        <v>244</v>
      </c>
      <c r="D16" s="790">
        <f>D17+D18</f>
        <v>231</v>
      </c>
      <c r="E16" s="790">
        <f>E17+E18</f>
        <v>241</v>
      </c>
      <c r="F16" s="790">
        <f>F17+F18</f>
        <v>251</v>
      </c>
      <c r="G16" s="790">
        <v>240</v>
      </c>
      <c r="H16" s="790">
        <f>H17+H18</f>
        <v>246</v>
      </c>
      <c r="I16" s="790">
        <f>I17+I18</f>
        <v>225</v>
      </c>
      <c r="J16" s="790">
        <v>223.43907991</v>
      </c>
      <c r="K16" s="790">
        <v>240</v>
      </c>
      <c r="L16" s="790">
        <f>L17+L18</f>
        <v>243</v>
      </c>
      <c r="M16" s="790">
        <f>M17+M18</f>
        <v>220</v>
      </c>
      <c r="N16" s="790">
        <f>N17+N18</f>
        <v>246</v>
      </c>
      <c r="O16" s="790">
        <f t="shared" ref="O16:S16" si="4">O17+O18</f>
        <v>239</v>
      </c>
      <c r="P16" s="790">
        <v>246</v>
      </c>
      <c r="Q16" s="790">
        <v>248</v>
      </c>
      <c r="R16" s="790">
        <f t="shared" si="4"/>
        <v>247</v>
      </c>
      <c r="S16" s="790">
        <f t="shared" si="4"/>
        <v>265</v>
      </c>
      <c r="T16" s="790">
        <v>273</v>
      </c>
      <c r="U16" s="790">
        <f t="shared" ref="U16" si="5">U17+U18</f>
        <v>277</v>
      </c>
      <c r="V16" s="790">
        <v>310.5876818328307</v>
      </c>
      <c r="W16" s="790">
        <v>263</v>
      </c>
      <c r="X16" s="790">
        <v>289</v>
      </c>
    </row>
    <row r="17" spans="1:24" ht="18" customHeight="1" x14ac:dyDescent="0.25">
      <c r="A17" s="783" t="s">
        <v>566</v>
      </c>
      <c r="B17" s="784">
        <v>61.287354260000001</v>
      </c>
      <c r="C17" s="785">
        <v>66</v>
      </c>
      <c r="D17" s="786">
        <v>64</v>
      </c>
      <c r="E17" s="786">
        <v>67</v>
      </c>
      <c r="F17" s="786">
        <v>73</v>
      </c>
      <c r="G17" s="786">
        <v>68</v>
      </c>
      <c r="H17" s="786">
        <v>71</v>
      </c>
      <c r="I17" s="786">
        <v>59</v>
      </c>
      <c r="J17" s="786">
        <v>56.377752529999903</v>
      </c>
      <c r="K17" s="786">
        <v>64</v>
      </c>
      <c r="L17" s="786">
        <v>65</v>
      </c>
      <c r="M17" s="786">
        <v>64</v>
      </c>
      <c r="N17" s="786">
        <v>61</v>
      </c>
      <c r="O17" s="786">
        <v>65</v>
      </c>
      <c r="P17" s="786">
        <v>68</v>
      </c>
      <c r="Q17" s="786">
        <v>66</v>
      </c>
      <c r="R17" s="786">
        <v>70</v>
      </c>
      <c r="S17" s="786">
        <v>71</v>
      </c>
      <c r="T17" s="786">
        <v>91</v>
      </c>
      <c r="U17" s="786">
        <v>88</v>
      </c>
      <c r="V17" s="786">
        <v>74.79489670000001</v>
      </c>
      <c r="W17" s="786">
        <v>66</v>
      </c>
      <c r="X17" s="786">
        <v>82</v>
      </c>
    </row>
    <row r="18" spans="1:24" ht="18" customHeight="1" x14ac:dyDescent="0.25">
      <c r="A18" s="783" t="s">
        <v>567</v>
      </c>
      <c r="B18" s="784">
        <v>147.85561667000002</v>
      </c>
      <c r="C18" s="785">
        <v>178</v>
      </c>
      <c r="D18" s="786">
        <v>167</v>
      </c>
      <c r="E18" s="786">
        <v>174</v>
      </c>
      <c r="F18" s="786">
        <v>178</v>
      </c>
      <c r="G18" s="786">
        <v>172</v>
      </c>
      <c r="H18" s="786">
        <v>175</v>
      </c>
      <c r="I18" s="786">
        <v>166</v>
      </c>
      <c r="J18" s="786">
        <v>167.06132738000011</v>
      </c>
      <c r="K18" s="786">
        <v>176</v>
      </c>
      <c r="L18" s="786">
        <v>178</v>
      </c>
      <c r="M18" s="786">
        <v>156</v>
      </c>
      <c r="N18" s="786">
        <v>185</v>
      </c>
      <c r="O18" s="786">
        <v>174</v>
      </c>
      <c r="P18" s="786">
        <v>178</v>
      </c>
      <c r="Q18" s="786">
        <v>182</v>
      </c>
      <c r="R18" s="786">
        <v>177</v>
      </c>
      <c r="S18" s="786">
        <v>194</v>
      </c>
      <c r="T18" s="786">
        <v>182</v>
      </c>
      <c r="U18" s="786">
        <v>189</v>
      </c>
      <c r="V18" s="786">
        <v>235.79278513283069</v>
      </c>
      <c r="W18" s="786">
        <v>196.98818191637574</v>
      </c>
      <c r="X18" s="786">
        <v>207</v>
      </c>
    </row>
    <row r="19" spans="1:24" ht="18" customHeight="1" x14ac:dyDescent="0.25">
      <c r="A19" s="783"/>
      <c r="B19" s="784"/>
      <c r="C19" s="785"/>
      <c r="D19" s="786"/>
      <c r="E19" s="786"/>
      <c r="F19" s="786"/>
      <c r="G19" s="786"/>
      <c r="H19" s="786"/>
      <c r="I19" s="786"/>
      <c r="J19" s="786"/>
      <c r="K19" s="786"/>
      <c r="L19" s="786"/>
      <c r="M19" s="786"/>
      <c r="N19" s="786"/>
      <c r="O19" s="786"/>
      <c r="P19" s="786"/>
      <c r="Q19" s="786"/>
      <c r="R19" s="786"/>
      <c r="S19" s="786"/>
      <c r="T19" s="786"/>
      <c r="U19" s="786"/>
      <c r="V19" s="786"/>
      <c r="W19" s="786"/>
      <c r="X19" s="786"/>
    </row>
    <row r="20" spans="1:24" ht="18" customHeight="1" x14ac:dyDescent="0.25">
      <c r="A20" s="787" t="s">
        <v>568</v>
      </c>
      <c r="B20" s="788">
        <v>111.82470953000009</v>
      </c>
      <c r="C20" s="789">
        <v>111</v>
      </c>
      <c r="D20" s="790">
        <f>D14-D16</f>
        <v>109.01905119000003</v>
      </c>
      <c r="E20" s="790">
        <f>E14-E16</f>
        <v>111</v>
      </c>
      <c r="F20" s="790">
        <f>F14-F16</f>
        <v>107</v>
      </c>
      <c r="G20" s="790">
        <v>116</v>
      </c>
      <c r="H20" s="790">
        <f>H14-H16</f>
        <v>130</v>
      </c>
      <c r="I20" s="790">
        <f>I14-I16</f>
        <v>123</v>
      </c>
      <c r="J20" s="790">
        <v>128</v>
      </c>
      <c r="K20" s="790">
        <v>119</v>
      </c>
      <c r="L20" s="790">
        <f t="shared" ref="L20:S20" si="6">L14-L16</f>
        <v>126</v>
      </c>
      <c r="M20" s="790">
        <f t="shared" si="6"/>
        <v>143</v>
      </c>
      <c r="N20" s="790">
        <f t="shared" si="6"/>
        <v>124</v>
      </c>
      <c r="O20" s="790">
        <f t="shared" si="6"/>
        <v>133</v>
      </c>
      <c r="P20" s="790">
        <v>127</v>
      </c>
      <c r="Q20" s="790">
        <v>134</v>
      </c>
      <c r="R20" s="790">
        <f t="shared" si="6"/>
        <v>126</v>
      </c>
      <c r="S20" s="790">
        <f t="shared" si="6"/>
        <v>128</v>
      </c>
      <c r="T20" s="790">
        <v>97</v>
      </c>
      <c r="U20" s="790">
        <f t="shared" ref="U20" si="7">U14-U16</f>
        <v>108</v>
      </c>
      <c r="V20" s="790">
        <v>89.039750444421372</v>
      </c>
      <c r="W20" s="790">
        <v>131.50715414465378</v>
      </c>
      <c r="X20" s="790">
        <v>134</v>
      </c>
    </row>
    <row r="21" spans="1:24" ht="18" customHeight="1" x14ac:dyDescent="0.25">
      <c r="A21" s="783"/>
      <c r="B21" s="784"/>
      <c r="C21" s="785"/>
      <c r="D21" s="786"/>
      <c r="E21" s="786"/>
      <c r="F21" s="786"/>
      <c r="G21" s="786"/>
      <c r="H21" s="786"/>
      <c r="I21" s="786"/>
      <c r="J21" s="786"/>
      <c r="K21" s="786"/>
      <c r="L21" s="786"/>
      <c r="M21" s="786"/>
      <c r="N21" s="786"/>
      <c r="O21" s="786"/>
      <c r="P21" s="786"/>
      <c r="Q21" s="786"/>
      <c r="R21" s="786"/>
      <c r="S21" s="786"/>
      <c r="T21" s="786"/>
      <c r="U21" s="786"/>
      <c r="V21" s="786"/>
      <c r="W21" s="786"/>
      <c r="X21" s="786"/>
    </row>
    <row r="22" spans="1:24" ht="18" customHeight="1" x14ac:dyDescent="0.25">
      <c r="A22" s="783" t="s">
        <v>569</v>
      </c>
      <c r="B22" s="784">
        <v>26.476855660000002</v>
      </c>
      <c r="C22" s="785">
        <v>34</v>
      </c>
      <c r="D22" s="786">
        <v>14</v>
      </c>
      <c r="E22" s="786">
        <v>50</v>
      </c>
      <c r="F22" s="786">
        <v>22</v>
      </c>
      <c r="G22" s="786">
        <v>13</v>
      </c>
      <c r="H22" s="786">
        <v>17</v>
      </c>
      <c r="I22" s="786">
        <v>17</v>
      </c>
      <c r="J22" s="786">
        <v>13.67015</v>
      </c>
      <c r="K22" s="786">
        <v>22</v>
      </c>
      <c r="L22" s="786">
        <v>17</v>
      </c>
      <c r="M22" s="786">
        <v>17</v>
      </c>
      <c r="N22" s="786">
        <v>12</v>
      </c>
      <c r="O22" s="786">
        <v>31</v>
      </c>
      <c r="P22" s="786">
        <v>17</v>
      </c>
      <c r="Q22" s="786">
        <v>7</v>
      </c>
      <c r="R22" s="792">
        <v>0.4</v>
      </c>
      <c r="S22" s="786">
        <v>10</v>
      </c>
      <c r="T22" s="786">
        <v>30</v>
      </c>
      <c r="U22" s="786">
        <v>5</v>
      </c>
      <c r="V22" s="786">
        <v>-21.500401710000002</v>
      </c>
      <c r="W22" s="786">
        <v>62.864840700000002</v>
      </c>
      <c r="X22" s="786">
        <v>115</v>
      </c>
    </row>
    <row r="23" spans="1:24" ht="18" customHeight="1" x14ac:dyDescent="0.25">
      <c r="A23" s="783"/>
      <c r="B23" s="784"/>
      <c r="C23" s="785"/>
      <c r="D23" s="786"/>
      <c r="E23" s="786"/>
      <c r="F23" s="786"/>
      <c r="G23" s="786"/>
      <c r="H23" s="786"/>
      <c r="I23" s="786"/>
      <c r="J23" s="786"/>
      <c r="K23" s="786"/>
      <c r="L23" s="786"/>
      <c r="M23" s="786"/>
      <c r="N23" s="786"/>
      <c r="O23" s="786"/>
      <c r="P23" s="786"/>
      <c r="Q23" s="786"/>
      <c r="R23" s="786"/>
      <c r="S23" s="786"/>
      <c r="T23" s="786"/>
      <c r="U23" s="786"/>
      <c r="V23" s="786"/>
      <c r="W23" s="786"/>
      <c r="X23" s="786"/>
    </row>
    <row r="24" spans="1:24" ht="18" customHeight="1" x14ac:dyDescent="0.25">
      <c r="A24" s="787" t="s">
        <v>570</v>
      </c>
      <c r="B24" s="788">
        <v>86</v>
      </c>
      <c r="C24" s="789">
        <v>77</v>
      </c>
      <c r="D24" s="790">
        <f>D20-D22</f>
        <v>95.019051190000027</v>
      </c>
      <c r="E24" s="790">
        <f>E20-E22</f>
        <v>61</v>
      </c>
      <c r="F24" s="790">
        <f>F20-F22</f>
        <v>85</v>
      </c>
      <c r="G24" s="790">
        <v>103</v>
      </c>
      <c r="H24" s="790">
        <f>H20-H22</f>
        <v>113</v>
      </c>
      <c r="I24" s="790">
        <f>I20-I22</f>
        <v>106</v>
      </c>
      <c r="J24" s="790">
        <v>114.32984999999999</v>
      </c>
      <c r="K24" s="790">
        <v>97</v>
      </c>
      <c r="L24" s="790">
        <f>L20-L22</f>
        <v>109</v>
      </c>
      <c r="M24" s="790">
        <f>M20-M22</f>
        <v>126</v>
      </c>
      <c r="N24" s="790">
        <f>N20-N22</f>
        <v>112</v>
      </c>
      <c r="O24" s="790">
        <f t="shared" ref="O24:S24" si="8">O20-O22</f>
        <v>102</v>
      </c>
      <c r="P24" s="790">
        <v>110</v>
      </c>
      <c r="Q24" s="790">
        <v>127</v>
      </c>
      <c r="R24" s="790">
        <f t="shared" si="8"/>
        <v>125.6</v>
      </c>
      <c r="S24" s="790">
        <f t="shared" si="8"/>
        <v>118</v>
      </c>
      <c r="T24" s="790">
        <v>67</v>
      </c>
      <c r="U24" s="790">
        <f t="shared" ref="U24" si="9">U20-U22</f>
        <v>103</v>
      </c>
      <c r="V24" s="790">
        <v>110.54015215442138</v>
      </c>
      <c r="W24" s="790">
        <v>68.64231344465378</v>
      </c>
      <c r="X24" s="790">
        <v>20</v>
      </c>
    </row>
    <row r="25" spans="1:24" ht="18" customHeight="1" x14ac:dyDescent="0.25">
      <c r="A25" s="783"/>
      <c r="B25" s="784"/>
      <c r="C25" s="785"/>
      <c r="D25" s="786"/>
      <c r="E25" s="786"/>
      <c r="F25" s="786"/>
      <c r="G25" s="786"/>
      <c r="H25" s="786"/>
      <c r="I25" s="786"/>
      <c r="J25" s="786"/>
      <c r="K25" s="786"/>
      <c r="L25" s="786"/>
      <c r="M25" s="786"/>
      <c r="N25" s="786"/>
      <c r="O25" s="786"/>
      <c r="P25" s="786"/>
      <c r="Q25" s="786"/>
      <c r="R25" s="786"/>
      <c r="S25" s="786"/>
      <c r="T25" s="786"/>
      <c r="U25" s="786"/>
      <c r="V25" s="786"/>
      <c r="W25" s="786"/>
      <c r="X25" s="786"/>
    </row>
    <row r="26" spans="1:24" ht="18" customHeight="1" x14ac:dyDescent="0.25">
      <c r="A26" s="783" t="s">
        <v>571</v>
      </c>
      <c r="B26" s="784">
        <v>13.971818000000001</v>
      </c>
      <c r="C26" s="785">
        <v>12</v>
      </c>
      <c r="D26" s="786">
        <v>13</v>
      </c>
      <c r="E26" s="786">
        <v>17</v>
      </c>
      <c r="F26" s="786">
        <v>14</v>
      </c>
      <c r="G26" s="786">
        <v>17</v>
      </c>
      <c r="H26" s="786">
        <v>17</v>
      </c>
      <c r="I26" s="786">
        <v>18</v>
      </c>
      <c r="J26" s="786">
        <v>18.839625000000002</v>
      </c>
      <c r="K26" s="786">
        <v>18</v>
      </c>
      <c r="L26" s="786">
        <v>18</v>
      </c>
      <c r="M26" s="786">
        <v>22</v>
      </c>
      <c r="N26" s="786">
        <v>18</v>
      </c>
      <c r="O26" s="786">
        <v>18</v>
      </c>
      <c r="P26" s="786">
        <v>20</v>
      </c>
      <c r="Q26" s="786">
        <v>12</v>
      </c>
      <c r="R26" s="786">
        <v>18</v>
      </c>
      <c r="S26" s="786">
        <v>19</v>
      </c>
      <c r="T26" s="786">
        <v>21</v>
      </c>
      <c r="U26" s="786">
        <v>20</v>
      </c>
      <c r="V26" s="786">
        <v>14.644615752414341</v>
      </c>
      <c r="W26" s="786">
        <v>18.636109964079402</v>
      </c>
      <c r="X26" s="786">
        <v>22</v>
      </c>
    </row>
    <row r="27" spans="1:24" ht="18" customHeight="1" x14ac:dyDescent="0.25">
      <c r="A27" s="783"/>
      <c r="B27" s="784"/>
      <c r="C27" s="785"/>
      <c r="D27" s="786"/>
      <c r="E27" s="786"/>
      <c r="F27" s="786"/>
      <c r="G27" s="786"/>
      <c r="H27" s="786"/>
      <c r="I27" s="786"/>
      <c r="J27" s="786"/>
      <c r="K27" s="786"/>
      <c r="L27" s="786"/>
      <c r="M27" s="786"/>
      <c r="N27" s="786"/>
      <c r="O27" s="786"/>
      <c r="P27" s="786"/>
      <c r="Q27" s="786"/>
      <c r="R27" s="786"/>
      <c r="S27" s="786"/>
      <c r="T27" s="786"/>
      <c r="U27" s="786"/>
      <c r="V27" s="786"/>
      <c r="W27" s="786"/>
      <c r="X27" s="786"/>
    </row>
    <row r="28" spans="1:24" ht="18" customHeight="1" thickBot="1" x14ac:dyDescent="0.3">
      <c r="A28" s="793" t="s">
        <v>572</v>
      </c>
      <c r="B28" s="794">
        <v>72.028182000000001</v>
      </c>
      <c r="C28" s="795">
        <v>65</v>
      </c>
      <c r="D28" s="796">
        <f>D24-D26</f>
        <v>82.019051190000027</v>
      </c>
      <c r="E28" s="796">
        <f>E24-E26</f>
        <v>44</v>
      </c>
      <c r="F28" s="796">
        <f>F24-F26</f>
        <v>71</v>
      </c>
      <c r="G28" s="796">
        <v>86</v>
      </c>
      <c r="H28" s="796">
        <f>H24-H26</f>
        <v>96</v>
      </c>
      <c r="I28" s="796">
        <f>I24-I26</f>
        <v>88</v>
      </c>
      <c r="J28" s="796">
        <v>95.490224999999995</v>
      </c>
      <c r="K28" s="796">
        <v>79</v>
      </c>
      <c r="L28" s="796">
        <f>L24-L26</f>
        <v>91</v>
      </c>
      <c r="M28" s="796">
        <f>M24-M26</f>
        <v>104</v>
      </c>
      <c r="N28" s="796">
        <f>N24-N26</f>
        <v>94</v>
      </c>
      <c r="O28" s="796">
        <f t="shared" ref="O28:S28" si="10">O24-O26</f>
        <v>84</v>
      </c>
      <c r="P28" s="796">
        <v>90</v>
      </c>
      <c r="Q28" s="796">
        <v>115</v>
      </c>
      <c r="R28" s="796">
        <f t="shared" si="10"/>
        <v>107.6</v>
      </c>
      <c r="S28" s="796">
        <f t="shared" si="10"/>
        <v>99</v>
      </c>
      <c r="T28" s="796">
        <v>46</v>
      </c>
      <c r="U28" s="796">
        <f t="shared" ref="U28" si="11">U24-U26</f>
        <v>83</v>
      </c>
      <c r="V28" s="796">
        <v>95.895536402007039</v>
      </c>
      <c r="W28" s="796">
        <v>50.006203480574378</v>
      </c>
      <c r="X28" s="796">
        <v>-2</v>
      </c>
    </row>
    <row r="29" spans="1:24" x14ac:dyDescent="0.25">
      <c r="A29" s="3226" t="s">
        <v>555</v>
      </c>
      <c r="B29" s="3226"/>
      <c r="C29" s="3226"/>
      <c r="D29" s="3226"/>
      <c r="E29" s="3226"/>
      <c r="F29" s="3226"/>
      <c r="G29" s="3226"/>
      <c r="H29" s="3226"/>
      <c r="I29" s="3227"/>
      <c r="J29" s="3227"/>
      <c r="K29" s="3227"/>
      <c r="L29" s="3227"/>
      <c r="M29" s="3227"/>
      <c r="N29" s="3227"/>
      <c r="O29" s="3227"/>
    </row>
    <row r="30" spans="1:24" x14ac:dyDescent="0.25">
      <c r="A30" s="797" t="s">
        <v>573</v>
      </c>
    </row>
  </sheetData>
  <mergeCells count="1">
    <mergeCell ref="A29:O29"/>
  </mergeCells>
  <pageMargins left="0.19685039370078741" right="0.19685039370078741" top="0.51181102362204722" bottom="0" header="7.874015748031496E-2" footer="7.874015748031496E-2"/>
  <pageSetup paperSize="9" scale="55"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CB70"/>
  <sheetViews>
    <sheetView zoomScaleNormal="100" workbookViewId="0">
      <pane xSplit="49" ySplit="4" topLeftCell="BU5" activePane="bottomRight" state="frozen"/>
      <selection pane="topRight" activeCell="AX1" sqref="AX1"/>
      <selection pane="bottomLeft" activeCell="A5" sqref="A5"/>
      <selection pane="bottomRight" activeCell="BP69" sqref="BP69"/>
    </sheetView>
  </sheetViews>
  <sheetFormatPr defaultRowHeight="12.75" x14ac:dyDescent="0.2"/>
  <cols>
    <col min="1" max="1" width="54.140625" style="801" customWidth="1"/>
    <col min="2" max="39" width="8.7109375" style="801" hidden="1" customWidth="1"/>
    <col min="40" max="40" width="15.42578125" style="801" hidden="1" customWidth="1"/>
    <col min="41" max="58" width="14.7109375" style="801" hidden="1" customWidth="1"/>
    <col min="59" max="64" width="14.5703125" style="801" hidden="1" customWidth="1"/>
    <col min="65" max="77" width="14.5703125" style="801" customWidth="1"/>
    <col min="78" max="277" width="9.140625" style="801"/>
    <col min="278" max="278" width="54.140625" style="801" customWidth="1"/>
    <col min="279" max="316" width="0" style="801" hidden="1" customWidth="1"/>
    <col min="317" max="329" width="8.7109375" style="801" customWidth="1"/>
    <col min="330" max="533" width="9.140625" style="801"/>
    <col min="534" max="534" width="54.140625" style="801" customWidth="1"/>
    <col min="535" max="572" width="0" style="801" hidden="1" customWidth="1"/>
    <col min="573" max="585" width="8.7109375" style="801" customWidth="1"/>
    <col min="586" max="789" width="9.140625" style="801"/>
    <col min="790" max="790" width="54.140625" style="801" customWidth="1"/>
    <col min="791" max="828" width="0" style="801" hidden="1" customWidth="1"/>
    <col min="829" max="841" width="8.7109375" style="801" customWidth="1"/>
    <col min="842" max="1045" width="9.140625" style="801"/>
    <col min="1046" max="1046" width="54.140625" style="801" customWidth="1"/>
    <col min="1047" max="1084" width="0" style="801" hidden="1" customWidth="1"/>
    <col min="1085" max="1097" width="8.7109375" style="801" customWidth="1"/>
    <col min="1098" max="1301" width="9.140625" style="801"/>
    <col min="1302" max="1302" width="54.140625" style="801" customWidth="1"/>
    <col min="1303" max="1340" width="0" style="801" hidden="1" customWidth="1"/>
    <col min="1341" max="1353" width="8.7109375" style="801" customWidth="1"/>
    <col min="1354" max="1557" width="9.140625" style="801"/>
    <col min="1558" max="1558" width="54.140625" style="801" customWidth="1"/>
    <col min="1559" max="1596" width="0" style="801" hidden="1" customWidth="1"/>
    <col min="1597" max="1609" width="8.7109375" style="801" customWidth="1"/>
    <col min="1610" max="1813" width="9.140625" style="801"/>
    <col min="1814" max="1814" width="54.140625" style="801" customWidth="1"/>
    <col min="1815" max="1852" width="0" style="801" hidden="1" customWidth="1"/>
    <col min="1853" max="1865" width="8.7109375" style="801" customWidth="1"/>
    <col min="1866" max="2069" width="9.140625" style="801"/>
    <col min="2070" max="2070" width="54.140625" style="801" customWidth="1"/>
    <col min="2071" max="2108" width="0" style="801" hidden="1" customWidth="1"/>
    <col min="2109" max="2121" width="8.7109375" style="801" customWidth="1"/>
    <col min="2122" max="2325" width="9.140625" style="801"/>
    <col min="2326" max="2326" width="54.140625" style="801" customWidth="1"/>
    <col min="2327" max="2364" width="0" style="801" hidden="1" customWidth="1"/>
    <col min="2365" max="2377" width="8.7109375" style="801" customWidth="1"/>
    <col min="2378" max="2581" width="9.140625" style="801"/>
    <col min="2582" max="2582" width="54.140625" style="801" customWidth="1"/>
    <col min="2583" max="2620" width="0" style="801" hidden="1" customWidth="1"/>
    <col min="2621" max="2633" width="8.7109375" style="801" customWidth="1"/>
    <col min="2634" max="2837" width="9.140625" style="801"/>
    <col min="2838" max="2838" width="54.140625" style="801" customWidth="1"/>
    <col min="2839" max="2876" width="0" style="801" hidden="1" customWidth="1"/>
    <col min="2877" max="2889" width="8.7109375" style="801" customWidth="1"/>
    <col min="2890" max="3093" width="9.140625" style="801"/>
    <col min="3094" max="3094" width="54.140625" style="801" customWidth="1"/>
    <col min="3095" max="3132" width="0" style="801" hidden="1" customWidth="1"/>
    <col min="3133" max="3145" width="8.7109375" style="801" customWidth="1"/>
    <col min="3146" max="3349" width="9.140625" style="801"/>
    <col min="3350" max="3350" width="54.140625" style="801" customWidth="1"/>
    <col min="3351" max="3388" width="0" style="801" hidden="1" customWidth="1"/>
    <col min="3389" max="3401" width="8.7109375" style="801" customWidth="1"/>
    <col min="3402" max="3605" width="9.140625" style="801"/>
    <col min="3606" max="3606" width="54.140625" style="801" customWidth="1"/>
    <col min="3607" max="3644" width="0" style="801" hidden="1" customWidth="1"/>
    <col min="3645" max="3657" width="8.7109375" style="801" customWidth="1"/>
    <col min="3658" max="3861" width="9.140625" style="801"/>
    <col min="3862" max="3862" width="54.140625" style="801" customWidth="1"/>
    <col min="3863" max="3900" width="0" style="801" hidden="1" customWidth="1"/>
    <col min="3901" max="3913" width="8.7109375" style="801" customWidth="1"/>
    <col min="3914" max="4117" width="9.140625" style="801"/>
    <col min="4118" max="4118" width="54.140625" style="801" customWidth="1"/>
    <col min="4119" max="4156" width="0" style="801" hidden="1" customWidth="1"/>
    <col min="4157" max="4169" width="8.7109375" style="801" customWidth="1"/>
    <col min="4170" max="4373" width="9.140625" style="801"/>
    <col min="4374" max="4374" width="54.140625" style="801" customWidth="1"/>
    <col min="4375" max="4412" width="0" style="801" hidden="1" customWidth="1"/>
    <col min="4413" max="4425" width="8.7109375" style="801" customWidth="1"/>
    <col min="4426" max="4629" width="9.140625" style="801"/>
    <col min="4630" max="4630" width="54.140625" style="801" customWidth="1"/>
    <col min="4631" max="4668" width="0" style="801" hidden="1" customWidth="1"/>
    <col min="4669" max="4681" width="8.7109375" style="801" customWidth="1"/>
    <col min="4682" max="4885" width="9.140625" style="801"/>
    <col min="4886" max="4886" width="54.140625" style="801" customWidth="1"/>
    <col min="4887" max="4924" width="0" style="801" hidden="1" customWidth="1"/>
    <col min="4925" max="4937" width="8.7109375" style="801" customWidth="1"/>
    <col min="4938" max="5141" width="9.140625" style="801"/>
    <col min="5142" max="5142" width="54.140625" style="801" customWidth="1"/>
    <col min="5143" max="5180" width="0" style="801" hidden="1" customWidth="1"/>
    <col min="5181" max="5193" width="8.7109375" style="801" customWidth="1"/>
    <col min="5194" max="5397" width="9.140625" style="801"/>
    <col min="5398" max="5398" width="54.140625" style="801" customWidth="1"/>
    <col min="5399" max="5436" width="0" style="801" hidden="1" customWidth="1"/>
    <col min="5437" max="5449" width="8.7109375" style="801" customWidth="1"/>
    <col min="5450" max="5653" width="9.140625" style="801"/>
    <col min="5654" max="5654" width="54.140625" style="801" customWidth="1"/>
    <col min="5655" max="5692" width="0" style="801" hidden="1" customWidth="1"/>
    <col min="5693" max="5705" width="8.7109375" style="801" customWidth="1"/>
    <col min="5706" max="5909" width="9.140625" style="801"/>
    <col min="5910" max="5910" width="54.140625" style="801" customWidth="1"/>
    <col min="5911" max="5948" width="0" style="801" hidden="1" customWidth="1"/>
    <col min="5949" max="5961" width="8.7109375" style="801" customWidth="1"/>
    <col min="5962" max="6165" width="9.140625" style="801"/>
    <col min="6166" max="6166" width="54.140625" style="801" customWidth="1"/>
    <col min="6167" max="6204" width="0" style="801" hidden="1" customWidth="1"/>
    <col min="6205" max="6217" width="8.7109375" style="801" customWidth="1"/>
    <col min="6218" max="6421" width="9.140625" style="801"/>
    <col min="6422" max="6422" width="54.140625" style="801" customWidth="1"/>
    <col min="6423" max="6460" width="0" style="801" hidden="1" customWidth="1"/>
    <col min="6461" max="6473" width="8.7109375" style="801" customWidth="1"/>
    <col min="6474" max="6677" width="9.140625" style="801"/>
    <col min="6678" max="6678" width="54.140625" style="801" customWidth="1"/>
    <col min="6679" max="6716" width="0" style="801" hidden="1" customWidth="1"/>
    <col min="6717" max="6729" width="8.7109375" style="801" customWidth="1"/>
    <col min="6730" max="6933" width="9.140625" style="801"/>
    <col min="6934" max="6934" width="54.140625" style="801" customWidth="1"/>
    <col min="6935" max="6972" width="0" style="801" hidden="1" customWidth="1"/>
    <col min="6973" max="6985" width="8.7109375" style="801" customWidth="1"/>
    <col min="6986" max="7189" width="9.140625" style="801"/>
    <col min="7190" max="7190" width="54.140625" style="801" customWidth="1"/>
    <col min="7191" max="7228" width="0" style="801" hidden="1" customWidth="1"/>
    <col min="7229" max="7241" width="8.7109375" style="801" customWidth="1"/>
    <col min="7242" max="7445" width="9.140625" style="801"/>
    <col min="7446" max="7446" width="54.140625" style="801" customWidth="1"/>
    <col min="7447" max="7484" width="0" style="801" hidden="1" customWidth="1"/>
    <col min="7485" max="7497" width="8.7109375" style="801" customWidth="1"/>
    <col min="7498" max="7701" width="9.140625" style="801"/>
    <col min="7702" max="7702" width="54.140625" style="801" customWidth="1"/>
    <col min="7703" max="7740" width="0" style="801" hidden="1" customWidth="1"/>
    <col min="7741" max="7753" width="8.7109375" style="801" customWidth="1"/>
    <col min="7754" max="7957" width="9.140625" style="801"/>
    <col min="7958" max="7958" width="54.140625" style="801" customWidth="1"/>
    <col min="7959" max="7996" width="0" style="801" hidden="1" customWidth="1"/>
    <col min="7997" max="8009" width="8.7109375" style="801" customWidth="1"/>
    <col min="8010" max="8213" width="9.140625" style="801"/>
    <col min="8214" max="8214" width="54.140625" style="801" customWidth="1"/>
    <col min="8215" max="8252" width="0" style="801" hidden="1" customWidth="1"/>
    <col min="8253" max="8265" width="8.7109375" style="801" customWidth="1"/>
    <col min="8266" max="8469" width="9.140625" style="801"/>
    <col min="8470" max="8470" width="54.140625" style="801" customWidth="1"/>
    <col min="8471" max="8508" width="0" style="801" hidden="1" customWidth="1"/>
    <col min="8509" max="8521" width="8.7109375" style="801" customWidth="1"/>
    <col min="8522" max="8725" width="9.140625" style="801"/>
    <col min="8726" max="8726" width="54.140625" style="801" customWidth="1"/>
    <col min="8727" max="8764" width="0" style="801" hidden="1" customWidth="1"/>
    <col min="8765" max="8777" width="8.7109375" style="801" customWidth="1"/>
    <col min="8778" max="8981" width="9.140625" style="801"/>
    <col min="8982" max="8982" width="54.140625" style="801" customWidth="1"/>
    <col min="8983" max="9020" width="0" style="801" hidden="1" customWidth="1"/>
    <col min="9021" max="9033" width="8.7109375" style="801" customWidth="1"/>
    <col min="9034" max="9237" width="9.140625" style="801"/>
    <col min="9238" max="9238" width="54.140625" style="801" customWidth="1"/>
    <col min="9239" max="9276" width="0" style="801" hidden="1" customWidth="1"/>
    <col min="9277" max="9289" width="8.7109375" style="801" customWidth="1"/>
    <col min="9290" max="9493" width="9.140625" style="801"/>
    <col min="9494" max="9494" width="54.140625" style="801" customWidth="1"/>
    <col min="9495" max="9532" width="0" style="801" hidden="1" customWidth="1"/>
    <col min="9533" max="9545" width="8.7109375" style="801" customWidth="1"/>
    <col min="9546" max="9749" width="9.140625" style="801"/>
    <col min="9750" max="9750" width="54.140625" style="801" customWidth="1"/>
    <col min="9751" max="9788" width="0" style="801" hidden="1" customWidth="1"/>
    <col min="9789" max="9801" width="8.7109375" style="801" customWidth="1"/>
    <col min="9802" max="10005" width="9.140625" style="801"/>
    <col min="10006" max="10006" width="54.140625" style="801" customWidth="1"/>
    <col min="10007" max="10044" width="0" style="801" hidden="1" customWidth="1"/>
    <col min="10045" max="10057" width="8.7109375" style="801" customWidth="1"/>
    <col min="10058" max="10261" width="9.140625" style="801"/>
    <col min="10262" max="10262" width="54.140625" style="801" customWidth="1"/>
    <col min="10263" max="10300" width="0" style="801" hidden="1" customWidth="1"/>
    <col min="10301" max="10313" width="8.7109375" style="801" customWidth="1"/>
    <col min="10314" max="10517" width="9.140625" style="801"/>
    <col min="10518" max="10518" width="54.140625" style="801" customWidth="1"/>
    <col min="10519" max="10556" width="0" style="801" hidden="1" customWidth="1"/>
    <col min="10557" max="10569" width="8.7109375" style="801" customWidth="1"/>
    <col min="10570" max="10773" width="9.140625" style="801"/>
    <col min="10774" max="10774" width="54.140625" style="801" customWidth="1"/>
    <col min="10775" max="10812" width="0" style="801" hidden="1" customWidth="1"/>
    <col min="10813" max="10825" width="8.7109375" style="801" customWidth="1"/>
    <col min="10826" max="11029" width="9.140625" style="801"/>
    <col min="11030" max="11030" width="54.140625" style="801" customWidth="1"/>
    <col min="11031" max="11068" width="0" style="801" hidden="1" customWidth="1"/>
    <col min="11069" max="11081" width="8.7109375" style="801" customWidth="1"/>
    <col min="11082" max="11285" width="9.140625" style="801"/>
    <col min="11286" max="11286" width="54.140625" style="801" customWidth="1"/>
    <col min="11287" max="11324" width="0" style="801" hidden="1" customWidth="1"/>
    <col min="11325" max="11337" width="8.7109375" style="801" customWidth="1"/>
    <col min="11338" max="11541" width="9.140625" style="801"/>
    <col min="11542" max="11542" width="54.140625" style="801" customWidth="1"/>
    <col min="11543" max="11580" width="0" style="801" hidden="1" customWidth="1"/>
    <col min="11581" max="11593" width="8.7109375" style="801" customWidth="1"/>
    <col min="11594" max="11797" width="9.140625" style="801"/>
    <col min="11798" max="11798" width="54.140625" style="801" customWidth="1"/>
    <col min="11799" max="11836" width="0" style="801" hidden="1" customWidth="1"/>
    <col min="11837" max="11849" width="8.7109375" style="801" customWidth="1"/>
    <col min="11850" max="12053" width="9.140625" style="801"/>
    <col min="12054" max="12054" width="54.140625" style="801" customWidth="1"/>
    <col min="12055" max="12092" width="0" style="801" hidden="1" customWidth="1"/>
    <col min="12093" max="12105" width="8.7109375" style="801" customWidth="1"/>
    <col min="12106" max="12309" width="9.140625" style="801"/>
    <col min="12310" max="12310" width="54.140625" style="801" customWidth="1"/>
    <col min="12311" max="12348" width="0" style="801" hidden="1" customWidth="1"/>
    <col min="12349" max="12361" width="8.7109375" style="801" customWidth="1"/>
    <col min="12362" max="12565" width="9.140625" style="801"/>
    <col min="12566" max="12566" width="54.140625" style="801" customWidth="1"/>
    <col min="12567" max="12604" width="0" style="801" hidden="1" customWidth="1"/>
    <col min="12605" max="12617" width="8.7109375" style="801" customWidth="1"/>
    <col min="12618" max="12821" width="9.140625" style="801"/>
    <col min="12822" max="12822" width="54.140625" style="801" customWidth="1"/>
    <col min="12823" max="12860" width="0" style="801" hidden="1" customWidth="1"/>
    <col min="12861" max="12873" width="8.7109375" style="801" customWidth="1"/>
    <col min="12874" max="13077" width="9.140625" style="801"/>
    <col min="13078" max="13078" width="54.140625" style="801" customWidth="1"/>
    <col min="13079" max="13116" width="0" style="801" hidden="1" customWidth="1"/>
    <col min="13117" max="13129" width="8.7109375" style="801" customWidth="1"/>
    <col min="13130" max="13333" width="9.140625" style="801"/>
    <col min="13334" max="13334" width="54.140625" style="801" customWidth="1"/>
    <col min="13335" max="13372" width="0" style="801" hidden="1" customWidth="1"/>
    <col min="13373" max="13385" width="8.7109375" style="801" customWidth="1"/>
    <col min="13386" max="13589" width="9.140625" style="801"/>
    <col min="13590" max="13590" width="54.140625" style="801" customWidth="1"/>
    <col min="13591" max="13628" width="0" style="801" hidden="1" customWidth="1"/>
    <col min="13629" max="13641" width="8.7109375" style="801" customWidth="1"/>
    <col min="13642" max="13845" width="9.140625" style="801"/>
    <col min="13846" max="13846" width="54.140625" style="801" customWidth="1"/>
    <col min="13847" max="13884" width="0" style="801" hidden="1" customWidth="1"/>
    <col min="13885" max="13897" width="8.7109375" style="801" customWidth="1"/>
    <col min="13898" max="14101" width="9.140625" style="801"/>
    <col min="14102" max="14102" width="54.140625" style="801" customWidth="1"/>
    <col min="14103" max="14140" width="0" style="801" hidden="1" customWidth="1"/>
    <col min="14141" max="14153" width="8.7109375" style="801" customWidth="1"/>
    <col min="14154" max="14357" width="9.140625" style="801"/>
    <col min="14358" max="14358" width="54.140625" style="801" customWidth="1"/>
    <col min="14359" max="14396" width="0" style="801" hidden="1" customWidth="1"/>
    <col min="14397" max="14409" width="8.7109375" style="801" customWidth="1"/>
    <col min="14410" max="14613" width="9.140625" style="801"/>
    <col min="14614" max="14614" width="54.140625" style="801" customWidth="1"/>
    <col min="14615" max="14652" width="0" style="801" hidden="1" customWidth="1"/>
    <col min="14653" max="14665" width="8.7109375" style="801" customWidth="1"/>
    <col min="14666" max="14869" width="9.140625" style="801"/>
    <col min="14870" max="14870" width="54.140625" style="801" customWidth="1"/>
    <col min="14871" max="14908" width="0" style="801" hidden="1" customWidth="1"/>
    <col min="14909" max="14921" width="8.7109375" style="801" customWidth="1"/>
    <col min="14922" max="15125" width="9.140625" style="801"/>
    <col min="15126" max="15126" width="54.140625" style="801" customWidth="1"/>
    <col min="15127" max="15164" width="0" style="801" hidden="1" customWidth="1"/>
    <col min="15165" max="15177" width="8.7109375" style="801" customWidth="1"/>
    <col min="15178" max="15381" width="9.140625" style="801"/>
    <col min="15382" max="15382" width="54.140625" style="801" customWidth="1"/>
    <col min="15383" max="15420" width="0" style="801" hidden="1" customWidth="1"/>
    <col min="15421" max="15433" width="8.7109375" style="801" customWidth="1"/>
    <col min="15434" max="15637" width="9.140625" style="801"/>
    <col min="15638" max="15638" width="54.140625" style="801" customWidth="1"/>
    <col min="15639" max="15676" width="0" style="801" hidden="1" customWidth="1"/>
    <col min="15677" max="15689" width="8.7109375" style="801" customWidth="1"/>
    <col min="15690" max="15893" width="9.140625" style="801"/>
    <col min="15894" max="15894" width="54.140625" style="801" customWidth="1"/>
    <col min="15895" max="15932" width="0" style="801" hidden="1" customWidth="1"/>
    <col min="15933" max="15945" width="8.7109375" style="801" customWidth="1"/>
    <col min="15946" max="16149" width="9.140625" style="801"/>
    <col min="16150" max="16150" width="54.140625" style="801" customWidth="1"/>
    <col min="16151" max="16188" width="0" style="801" hidden="1" customWidth="1"/>
    <col min="16189" max="16201" width="8.7109375" style="801" customWidth="1"/>
    <col min="16202" max="16384" width="9.140625" style="801"/>
  </cols>
  <sheetData>
    <row r="1" spans="1:80" ht="27" customHeight="1" x14ac:dyDescent="0.2">
      <c r="A1" s="798" t="s">
        <v>574</v>
      </c>
      <c r="B1" s="799"/>
      <c r="C1" s="799"/>
      <c r="D1" s="799"/>
      <c r="E1" s="799"/>
      <c r="F1" s="799"/>
      <c r="G1" s="799"/>
      <c r="H1" s="799"/>
      <c r="I1" s="799"/>
      <c r="J1" s="799"/>
      <c r="K1" s="799"/>
      <c r="L1" s="799"/>
      <c r="M1" s="799"/>
      <c r="N1" s="799"/>
      <c r="O1" s="799"/>
      <c r="P1" s="799"/>
      <c r="Q1" s="799"/>
      <c r="R1" s="799"/>
      <c r="S1" s="799"/>
      <c r="T1" s="799"/>
      <c r="U1" s="799"/>
      <c r="V1" s="799"/>
      <c r="W1" s="799"/>
      <c r="X1" s="799"/>
      <c r="Y1" s="799"/>
      <c r="Z1" s="800"/>
      <c r="AA1" s="799"/>
      <c r="AB1" s="799"/>
      <c r="AC1" s="799"/>
      <c r="AD1" s="799"/>
      <c r="AE1" s="799"/>
      <c r="AF1" s="799"/>
      <c r="AG1" s="799"/>
      <c r="AH1" s="799"/>
      <c r="AI1" s="799"/>
      <c r="AJ1" s="799"/>
      <c r="AK1" s="799"/>
      <c r="AL1" s="799"/>
      <c r="AM1" s="799"/>
      <c r="AN1" s="799"/>
      <c r="AO1" s="799"/>
      <c r="AP1" s="799"/>
      <c r="AQ1" s="799"/>
      <c r="BD1" s="802"/>
    </row>
    <row r="2" spans="1:80" s="803" customFormat="1" ht="15.75" thickBot="1" x14ac:dyDescent="0.25">
      <c r="B2" s="804"/>
      <c r="F2" s="804"/>
      <c r="G2" s="804"/>
      <c r="H2" s="804"/>
      <c r="I2" s="804"/>
      <c r="J2" s="804"/>
      <c r="K2" s="804"/>
      <c r="T2" s="805"/>
      <c r="U2" s="805"/>
      <c r="V2" s="805"/>
      <c r="AA2" s="803" t="s">
        <v>575</v>
      </c>
      <c r="AB2" s="806"/>
      <c r="AD2" s="806"/>
      <c r="AH2" s="806"/>
      <c r="AI2" s="806"/>
      <c r="AM2" s="806"/>
      <c r="AN2" s="806"/>
      <c r="AP2" s="806"/>
      <c r="AQ2" s="806"/>
      <c r="AR2" s="806"/>
      <c r="AU2" s="806"/>
      <c r="AV2" s="806"/>
      <c r="AX2" s="806"/>
      <c r="AY2" s="806"/>
      <c r="BB2" s="807"/>
      <c r="BC2" s="807"/>
      <c r="BD2" s="807"/>
      <c r="BE2" s="807"/>
      <c r="BF2" s="807"/>
      <c r="BW2" s="808"/>
      <c r="BX2" s="808"/>
      <c r="BY2" s="808" t="s">
        <v>73</v>
      </c>
    </row>
    <row r="3" spans="1:80" s="813" customFormat="1" ht="18.75" customHeight="1" thickTop="1" thickBot="1" x14ac:dyDescent="0.25">
      <c r="A3" s="809"/>
      <c r="B3" s="810">
        <v>40193</v>
      </c>
      <c r="C3" s="810">
        <v>40224</v>
      </c>
      <c r="D3" s="810">
        <v>40252</v>
      </c>
      <c r="E3" s="810">
        <v>40284</v>
      </c>
      <c r="F3" s="810">
        <v>40316</v>
      </c>
      <c r="G3" s="810">
        <v>40347</v>
      </c>
      <c r="H3" s="810">
        <v>40377</v>
      </c>
      <c r="I3" s="810">
        <v>40408</v>
      </c>
      <c r="J3" s="810">
        <v>40439</v>
      </c>
      <c r="K3" s="810">
        <v>40469</v>
      </c>
      <c r="L3" s="810">
        <v>40500</v>
      </c>
      <c r="M3" s="810">
        <v>40530</v>
      </c>
      <c r="N3" s="810">
        <v>40561</v>
      </c>
      <c r="O3" s="810">
        <v>40592</v>
      </c>
      <c r="P3" s="810">
        <v>40620</v>
      </c>
      <c r="Q3" s="810">
        <v>40651</v>
      </c>
      <c r="R3" s="810">
        <v>40681</v>
      </c>
      <c r="S3" s="810">
        <v>40712</v>
      </c>
      <c r="T3" s="810">
        <v>40742</v>
      </c>
      <c r="U3" s="810">
        <v>40773</v>
      </c>
      <c r="V3" s="810">
        <v>40804</v>
      </c>
      <c r="W3" s="810">
        <v>40834</v>
      </c>
      <c r="X3" s="810">
        <v>40865</v>
      </c>
      <c r="Y3" s="811">
        <v>40895</v>
      </c>
      <c r="Z3" s="810">
        <v>40926</v>
      </c>
      <c r="AA3" s="811">
        <v>40957</v>
      </c>
      <c r="AB3" s="810">
        <v>40986</v>
      </c>
      <c r="AC3" s="810">
        <v>41017</v>
      </c>
      <c r="AD3" s="810">
        <v>41047</v>
      </c>
      <c r="AE3" s="810">
        <v>41078</v>
      </c>
      <c r="AF3" s="810">
        <v>41108</v>
      </c>
      <c r="AG3" s="810">
        <v>41139</v>
      </c>
      <c r="AH3" s="810">
        <v>41170</v>
      </c>
      <c r="AI3" s="810">
        <v>41200</v>
      </c>
      <c r="AJ3" s="810">
        <v>41231</v>
      </c>
      <c r="AK3" s="810">
        <v>41261</v>
      </c>
      <c r="AL3" s="810">
        <v>41292</v>
      </c>
      <c r="AM3" s="810">
        <v>41323</v>
      </c>
      <c r="AN3" s="812">
        <v>41351</v>
      </c>
      <c r="AO3" s="812">
        <v>41382</v>
      </c>
      <c r="AP3" s="812">
        <v>41412</v>
      </c>
      <c r="AQ3" s="812">
        <v>41443</v>
      </c>
      <c r="AR3" s="812">
        <v>41473</v>
      </c>
      <c r="AS3" s="812">
        <v>41504</v>
      </c>
      <c r="AT3" s="812">
        <v>41535</v>
      </c>
      <c r="AU3" s="812">
        <v>41565</v>
      </c>
      <c r="AV3" s="812">
        <v>41596</v>
      </c>
      <c r="AW3" s="812">
        <v>41626</v>
      </c>
      <c r="AX3" s="812">
        <v>41657</v>
      </c>
      <c r="AY3" s="812">
        <v>41688</v>
      </c>
      <c r="AZ3" s="812">
        <v>41716</v>
      </c>
      <c r="BA3" s="812">
        <v>41748</v>
      </c>
      <c r="BB3" s="812">
        <v>41780</v>
      </c>
      <c r="BC3" s="812">
        <v>41812</v>
      </c>
      <c r="BD3" s="812">
        <v>41842</v>
      </c>
      <c r="BE3" s="812">
        <v>41873</v>
      </c>
      <c r="BF3" s="812">
        <v>41904</v>
      </c>
      <c r="BG3" s="812">
        <v>41934</v>
      </c>
      <c r="BH3" s="812">
        <v>41966</v>
      </c>
      <c r="BI3" s="812">
        <v>41996</v>
      </c>
      <c r="BJ3" s="812">
        <v>42034</v>
      </c>
      <c r="BK3" s="812">
        <v>42062</v>
      </c>
      <c r="BL3" s="812">
        <v>42090</v>
      </c>
      <c r="BM3" s="812">
        <v>42121</v>
      </c>
      <c r="BN3" s="812">
        <v>42151</v>
      </c>
      <c r="BO3" s="812">
        <v>42182</v>
      </c>
      <c r="BP3" s="812">
        <v>42212</v>
      </c>
      <c r="BQ3" s="812">
        <v>42243</v>
      </c>
      <c r="BR3" s="812">
        <v>42274</v>
      </c>
      <c r="BS3" s="812">
        <v>42304</v>
      </c>
      <c r="BT3" s="812">
        <v>42335</v>
      </c>
      <c r="BU3" s="812">
        <v>42365</v>
      </c>
      <c r="BV3" s="812">
        <v>42396</v>
      </c>
      <c r="BW3" s="812">
        <v>42427</v>
      </c>
      <c r="BX3" s="812">
        <v>42456</v>
      </c>
      <c r="BY3" s="812">
        <v>42487</v>
      </c>
    </row>
    <row r="4" spans="1:80" ht="21" customHeight="1" thickTop="1" thickBot="1" x14ac:dyDescent="0.25">
      <c r="A4" s="814" t="s">
        <v>576</v>
      </c>
      <c r="B4" s="815"/>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80" ht="17.100000000000001" customHeight="1" thickTop="1" x14ac:dyDescent="0.2">
      <c r="A5" s="817"/>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Q5" s="818"/>
      <c r="BR5" s="818"/>
      <c r="BS5" s="818"/>
      <c r="BT5" s="818"/>
      <c r="BU5" s="818"/>
      <c r="BV5" s="818"/>
      <c r="BW5" s="818"/>
      <c r="BX5" s="818"/>
      <c r="BY5" s="818"/>
    </row>
    <row r="6" spans="1:80" ht="17.100000000000001" customHeight="1" x14ac:dyDescent="0.2">
      <c r="A6" s="819" t="s">
        <v>577</v>
      </c>
      <c r="B6" s="820">
        <v>16171.960026841443</v>
      </c>
      <c r="C6" s="820">
        <v>15979.918504390556</v>
      </c>
      <c r="D6" s="820">
        <v>15845.174678718537</v>
      </c>
      <c r="E6" s="820">
        <v>16036.327574022573</v>
      </c>
      <c r="F6" s="820">
        <v>16227.254416493004</v>
      </c>
      <c r="G6" s="820">
        <v>15904.557043885216</v>
      </c>
      <c r="H6" s="820">
        <v>16369.721227265134</v>
      </c>
      <c r="I6" s="820">
        <v>16281.24484228429</v>
      </c>
      <c r="J6" s="820">
        <v>16241.980758452173</v>
      </c>
      <c r="K6" s="820">
        <v>16473.996105313156</v>
      </c>
      <c r="L6" s="820">
        <v>16722.43897559122</v>
      </c>
      <c r="M6" s="820">
        <v>18975.006270668913</v>
      </c>
      <c r="N6" s="820">
        <v>18010.593082900665</v>
      </c>
      <c r="O6" s="820">
        <v>17749.329653375997</v>
      </c>
      <c r="P6" s="820">
        <v>17492.407133231845</v>
      </c>
      <c r="Q6" s="820">
        <v>17646.497592686108</v>
      </c>
      <c r="R6" s="820">
        <v>17594.772439179418</v>
      </c>
      <c r="S6" s="820">
        <v>17516.570954198032</v>
      </c>
      <c r="T6" s="820">
        <v>18045.280669068587</v>
      </c>
      <c r="U6" s="820">
        <v>18269.489570318754</v>
      </c>
      <c r="V6" s="820">
        <v>17957.873646394448</v>
      </c>
      <c r="W6" s="820">
        <v>18294.304306683174</v>
      </c>
      <c r="X6" s="820">
        <v>17891.407119467123</v>
      </c>
      <c r="Y6" s="820">
        <v>20307.786446312803</v>
      </c>
      <c r="Z6" s="820">
        <v>19209.573208944614</v>
      </c>
      <c r="AA6" s="820">
        <v>18923.022119759324</v>
      </c>
      <c r="AB6" s="820">
        <v>18978.695497382185</v>
      </c>
      <c r="AC6" s="820">
        <v>18961.549992068223</v>
      </c>
      <c r="AD6" s="820">
        <v>18678.032246711129</v>
      </c>
      <c r="AE6" s="820">
        <v>19013.633662171222</v>
      </c>
      <c r="AF6" s="820">
        <v>19228.031835841684</v>
      </c>
      <c r="AG6" s="820">
        <v>19287.1599017013</v>
      </c>
      <c r="AH6" s="820">
        <v>19233.798105900336</v>
      </c>
      <c r="AI6" s="820">
        <v>19257.554559318654</v>
      </c>
      <c r="AJ6" s="820">
        <v>19629.552590686864</v>
      </c>
      <c r="AK6" s="820">
        <v>22169.717386902448</v>
      </c>
      <c r="AL6" s="820">
        <v>20964.304899561892</v>
      </c>
      <c r="AM6" s="820">
        <v>20780.286985424955</v>
      </c>
      <c r="AN6" s="821">
        <v>20987.016268127656</v>
      </c>
      <c r="AO6" s="822">
        <v>20656.089712851328</v>
      </c>
      <c r="AP6" s="822">
        <v>20557.306859228109</v>
      </c>
      <c r="AQ6" s="822">
        <v>20523.48661882988</v>
      </c>
      <c r="AR6" s="822">
        <v>20820.159883091204</v>
      </c>
      <c r="AS6" s="822">
        <v>20987.512445111654</v>
      </c>
      <c r="AT6" s="822">
        <v>20664.185177378316</v>
      </c>
      <c r="AU6" s="822">
        <v>20702.891560809614</v>
      </c>
      <c r="AV6" s="822">
        <v>20888.105552438185</v>
      </c>
      <c r="AW6" s="822">
        <v>23316.684992015878</v>
      </c>
      <c r="AX6" s="822">
        <v>22265.883860057205</v>
      </c>
      <c r="AY6" s="822">
        <v>22077.566872167037</v>
      </c>
      <c r="AZ6" s="822">
        <v>22090.400144122301</v>
      </c>
      <c r="BA6" s="822">
        <v>21718.536421617555</v>
      </c>
      <c r="BB6" s="822">
        <v>21737.2264592838</v>
      </c>
      <c r="BC6" s="822">
        <v>21684.992832060678</v>
      </c>
      <c r="BD6" s="822">
        <v>22175.789473345048</v>
      </c>
      <c r="BE6" s="822">
        <v>22196.112731025903</v>
      </c>
      <c r="BF6" s="822">
        <v>21848.23998536943</v>
      </c>
      <c r="BG6" s="822">
        <v>22102.50724703589</v>
      </c>
      <c r="BH6" s="822">
        <v>22503.624769895934</v>
      </c>
      <c r="BI6" s="822">
        <v>25391.16857677501</v>
      </c>
      <c r="BJ6" s="822">
        <v>24029.803890028252</v>
      </c>
      <c r="BK6" s="822">
        <v>24013.562842210038</v>
      </c>
      <c r="BL6" s="822">
        <v>23784.870318967191</v>
      </c>
      <c r="BM6" s="822">
        <v>23912.218911613985</v>
      </c>
      <c r="BN6" s="822">
        <v>24220.596316528303</v>
      </c>
      <c r="BO6" s="822">
        <v>24017.50101763201</v>
      </c>
      <c r="BP6" s="822">
        <v>24588.241511306522</v>
      </c>
      <c r="BQ6" s="822">
        <v>24794.334919669374</v>
      </c>
      <c r="BR6" s="822">
        <v>24354.580198828076</v>
      </c>
      <c r="BS6" s="822">
        <v>24815.527936131883</v>
      </c>
      <c r="BT6" s="822">
        <v>25002.24008601328</v>
      </c>
      <c r="BU6" s="822">
        <v>27638</v>
      </c>
      <c r="BV6" s="822">
        <v>26531.097152112925</v>
      </c>
      <c r="BW6" s="822">
        <v>26526.899703812975</v>
      </c>
      <c r="BX6" s="822">
        <v>26183.738862633141</v>
      </c>
      <c r="BY6" s="822">
        <v>26254.514732054799</v>
      </c>
      <c r="BZ6" s="823"/>
      <c r="CA6" s="823"/>
      <c r="CB6" s="823"/>
    </row>
    <row r="7" spans="1:80" ht="17.100000000000001" customHeight="1" x14ac:dyDescent="0.2">
      <c r="A7" s="819" t="s">
        <v>578</v>
      </c>
      <c r="B7" s="820">
        <v>2780.4818602185578</v>
      </c>
      <c r="C7" s="820">
        <v>2661.1428895894414</v>
      </c>
      <c r="D7" s="820">
        <v>2898.1288821314602</v>
      </c>
      <c r="E7" s="820">
        <v>2715.3582111474238</v>
      </c>
      <c r="F7" s="820">
        <v>2684.0971327969955</v>
      </c>
      <c r="G7" s="820">
        <v>2744.9043118847831</v>
      </c>
      <c r="H7" s="820">
        <v>2589.750992474867</v>
      </c>
      <c r="I7" s="820">
        <v>2818.4901145357067</v>
      </c>
      <c r="J7" s="820">
        <v>2854.1944993078255</v>
      </c>
      <c r="K7" s="820">
        <v>2652.7364417868403</v>
      </c>
      <c r="L7" s="820">
        <v>2792.7197988087805</v>
      </c>
      <c r="M7" s="820">
        <v>3616.7552011710859</v>
      </c>
      <c r="N7" s="820">
        <v>3226.065290569335</v>
      </c>
      <c r="O7" s="820">
        <v>2789.5613597740057</v>
      </c>
      <c r="P7" s="820">
        <v>3064.4438332881532</v>
      </c>
      <c r="Q7" s="820">
        <v>2706.3366797338899</v>
      </c>
      <c r="R7" s="820">
        <v>3000.4766235805801</v>
      </c>
      <c r="S7" s="820">
        <v>2937.2266495119648</v>
      </c>
      <c r="T7" s="820">
        <v>2860.3833820514105</v>
      </c>
      <c r="U7" s="820">
        <v>3375.9320411612475</v>
      </c>
      <c r="V7" s="820">
        <v>3198.9278438555507</v>
      </c>
      <c r="W7" s="820">
        <v>3543.8328578868231</v>
      </c>
      <c r="X7" s="820">
        <v>3523.5380632228726</v>
      </c>
      <c r="Y7" s="820">
        <v>4161.9693968671954</v>
      </c>
      <c r="Z7" s="820">
        <v>3378.484805855383</v>
      </c>
      <c r="AA7" s="820">
        <v>3248.2380390606745</v>
      </c>
      <c r="AB7" s="820">
        <v>2883.3512458578157</v>
      </c>
      <c r="AC7" s="820">
        <v>2977.8079643617739</v>
      </c>
      <c r="AD7" s="820">
        <v>3403.9576576288719</v>
      </c>
      <c r="AE7" s="820">
        <v>2731.8580123987772</v>
      </c>
      <c r="AF7" s="820">
        <v>2921.5951604483175</v>
      </c>
      <c r="AG7" s="820">
        <v>3285.2655863486962</v>
      </c>
      <c r="AH7" s="820">
        <v>3218.9780038196668</v>
      </c>
      <c r="AI7" s="820">
        <v>3775.3428060113479</v>
      </c>
      <c r="AJ7" s="820">
        <v>3586.6000795631339</v>
      </c>
      <c r="AK7" s="820">
        <v>4791.5966149175529</v>
      </c>
      <c r="AL7" s="820">
        <v>4198.8004375281098</v>
      </c>
      <c r="AM7" s="820">
        <v>3718.4681231650479</v>
      </c>
      <c r="AN7" s="821">
        <v>3968.0071440123438</v>
      </c>
      <c r="AO7" s="822">
        <v>4263.4817446186689</v>
      </c>
      <c r="AP7" s="822">
        <v>4030.7237780018918</v>
      </c>
      <c r="AQ7" s="822">
        <v>3881.5519780801178</v>
      </c>
      <c r="AR7" s="822">
        <v>4400.6176584587956</v>
      </c>
      <c r="AS7" s="822">
        <v>4329.7500811983455</v>
      </c>
      <c r="AT7" s="822">
        <v>4242.0866869116808</v>
      </c>
      <c r="AU7" s="822">
        <v>4812.0552422003866</v>
      </c>
      <c r="AV7" s="822">
        <v>4467.8940639118146</v>
      </c>
      <c r="AW7" s="822">
        <v>6810.9656838341225</v>
      </c>
      <c r="AX7" s="822">
        <v>5069.9095430427915</v>
      </c>
      <c r="AY7" s="822">
        <v>4859.8693030329596</v>
      </c>
      <c r="AZ7" s="822">
        <v>4678.5999159676958</v>
      </c>
      <c r="BA7" s="822">
        <v>5002.6420686924439</v>
      </c>
      <c r="BB7" s="822">
        <v>4285.1118852461977</v>
      </c>
      <c r="BC7" s="822">
        <v>4659.9065244093199</v>
      </c>
      <c r="BD7" s="822">
        <v>5162.9735006449473</v>
      </c>
      <c r="BE7" s="822">
        <v>4784.119899514094</v>
      </c>
      <c r="BF7" s="822">
        <v>4722.670419430573</v>
      </c>
      <c r="BG7" s="822">
        <v>4493.5170977541047</v>
      </c>
      <c r="BH7" s="822">
        <v>4728.3325385640619</v>
      </c>
      <c r="BI7" s="822">
        <v>7139.7543311749869</v>
      </c>
      <c r="BJ7" s="822">
        <v>4663.7387838217473</v>
      </c>
      <c r="BK7" s="822">
        <v>4523.7478623699599</v>
      </c>
      <c r="BL7" s="822">
        <v>4450.9223558028089</v>
      </c>
      <c r="BM7" s="822">
        <v>4979.4203134760128</v>
      </c>
      <c r="BN7" s="822">
        <v>4161.0018502116955</v>
      </c>
      <c r="BO7" s="822">
        <v>4383.6580079079868</v>
      </c>
      <c r="BP7" s="822">
        <v>4496.3473000134763</v>
      </c>
      <c r="BQ7" s="822">
        <v>3994.4044263306255</v>
      </c>
      <c r="BR7" s="822">
        <v>4461.7785986819208</v>
      </c>
      <c r="BS7" s="822">
        <v>4318.628638748115</v>
      </c>
      <c r="BT7" s="822">
        <v>4136.1890971867178</v>
      </c>
      <c r="BU7" s="822">
        <v>5700</v>
      </c>
      <c r="BV7" s="822">
        <v>4639.9123097070715</v>
      </c>
      <c r="BW7" s="822">
        <v>4120.3852649670216</v>
      </c>
      <c r="BX7" s="822">
        <v>4559.5574301768565</v>
      </c>
      <c r="BY7" s="822">
        <v>4193.0783909652037</v>
      </c>
    </row>
    <row r="8" spans="1:80" ht="17.100000000000001" customHeight="1" x14ac:dyDescent="0.2">
      <c r="A8" s="819" t="s">
        <v>579</v>
      </c>
      <c r="B8" s="820">
        <v>13354.1369304</v>
      </c>
      <c r="C8" s="820">
        <v>15547.269751184082</v>
      </c>
      <c r="D8" s="820">
        <v>16275.622386438796</v>
      </c>
      <c r="E8" s="820">
        <v>15221.23032284</v>
      </c>
      <c r="F8" s="820">
        <v>16093.601333399249</v>
      </c>
      <c r="G8" s="820">
        <v>16999.361531195795</v>
      </c>
      <c r="H8" s="820">
        <v>19152.045058170501</v>
      </c>
      <c r="I8" s="820">
        <v>17322.563515917751</v>
      </c>
      <c r="J8" s="820">
        <v>17348.093718887878</v>
      </c>
      <c r="K8" s="820">
        <v>19741.48304675605</v>
      </c>
      <c r="L8" s="820">
        <v>20508.300298751532</v>
      </c>
      <c r="M8" s="820">
        <v>22343.765787940167</v>
      </c>
      <c r="N8" s="820">
        <v>22984.200542913426</v>
      </c>
      <c r="O8" s="820">
        <v>22919.075251580765</v>
      </c>
      <c r="P8" s="820">
        <v>22059.179417132509</v>
      </c>
      <c r="Q8" s="820">
        <v>23166.702863040875</v>
      </c>
      <c r="R8" s="820">
        <v>20938.908755252636</v>
      </c>
      <c r="S8" s="820">
        <v>21782.913917106107</v>
      </c>
      <c r="T8" s="820">
        <v>21168.268613999975</v>
      </c>
      <c r="U8" s="820">
        <v>22548.75644605832</v>
      </c>
      <c r="V8" s="820">
        <v>21135.314750968126</v>
      </c>
      <c r="W8" s="820">
        <v>20621.053342979791</v>
      </c>
      <c r="X8" s="820">
        <v>20552.26384958261</v>
      </c>
      <c r="Y8" s="820">
        <v>23811.115484457412</v>
      </c>
      <c r="Z8" s="820">
        <v>21262.747211979215</v>
      </c>
      <c r="AA8" s="820">
        <v>22729.78389618911</v>
      </c>
      <c r="AB8" s="820">
        <v>22777.196732427616</v>
      </c>
      <c r="AC8" s="820">
        <v>22587.705621703659</v>
      </c>
      <c r="AD8" s="820">
        <v>22581.00185845033</v>
      </c>
      <c r="AE8" s="820">
        <v>24165.476965627764</v>
      </c>
      <c r="AF8" s="820">
        <v>23900.002767059999</v>
      </c>
      <c r="AG8" s="820">
        <v>23612.924114190002</v>
      </c>
      <c r="AH8" s="820">
        <v>24815.184473119996</v>
      </c>
      <c r="AI8" s="820">
        <v>23406.22358813</v>
      </c>
      <c r="AJ8" s="820">
        <v>22282.956181639998</v>
      </c>
      <c r="AK8" s="820">
        <v>25661.61601234</v>
      </c>
      <c r="AL8" s="820">
        <v>24923.575304820002</v>
      </c>
      <c r="AM8" s="820">
        <v>27863.721685230001</v>
      </c>
      <c r="AN8" s="821">
        <v>27008.273728829998</v>
      </c>
      <c r="AO8" s="822">
        <v>23896.042957950001</v>
      </c>
      <c r="AP8" s="822">
        <v>28157.483017939998</v>
      </c>
      <c r="AQ8" s="822">
        <v>28688.974320559999</v>
      </c>
      <c r="AR8" s="822">
        <v>28935.587960119999</v>
      </c>
      <c r="AS8" s="822">
        <v>26134.653011400002</v>
      </c>
      <c r="AT8" s="822">
        <v>25278.962214350006</v>
      </c>
      <c r="AU8" s="822">
        <v>26462.917852329996</v>
      </c>
      <c r="AV8" s="822">
        <v>28401.248003600002</v>
      </c>
      <c r="AW8" s="822">
        <v>32222.361538929999</v>
      </c>
      <c r="AX8" s="822">
        <v>31332.858156099996</v>
      </c>
      <c r="AY8" s="822">
        <v>37154.273890489996</v>
      </c>
      <c r="AZ8" s="822">
        <v>35714.452707160002</v>
      </c>
      <c r="BA8" s="822">
        <v>35349.192402590001</v>
      </c>
      <c r="BB8" s="822">
        <v>36559.695734500005</v>
      </c>
      <c r="BC8" s="822">
        <v>35792.13994986</v>
      </c>
      <c r="BD8" s="822">
        <v>37463.480514460003</v>
      </c>
      <c r="BE8" s="822">
        <v>39541.545096289999</v>
      </c>
      <c r="BF8" s="822">
        <v>37218.004232480009</v>
      </c>
      <c r="BG8" s="822">
        <v>38604.992392180007</v>
      </c>
      <c r="BH8" s="822">
        <v>36126.117609040004</v>
      </c>
      <c r="BI8" s="822">
        <v>35402.665723730002</v>
      </c>
      <c r="BJ8" s="822">
        <v>40194.553121159995</v>
      </c>
      <c r="BK8" s="822">
        <v>41903.326050510004</v>
      </c>
      <c r="BL8" s="822">
        <v>45342.041259387093</v>
      </c>
      <c r="BM8" s="822">
        <v>46268.043769730008</v>
      </c>
      <c r="BN8" s="822">
        <v>42422.148787660008</v>
      </c>
      <c r="BO8" s="822">
        <v>43192.988507800001</v>
      </c>
      <c r="BP8" s="822">
        <v>39688.594744379996</v>
      </c>
      <c r="BQ8" s="822">
        <v>37781.122630039994</v>
      </c>
      <c r="BR8" s="822">
        <v>38130.92308647</v>
      </c>
      <c r="BS8" s="822">
        <v>42033.614138259996</v>
      </c>
      <c r="BT8" s="822">
        <v>41357.989154869996</v>
      </c>
      <c r="BU8" s="822">
        <v>40232</v>
      </c>
      <c r="BV8" s="822">
        <v>43327.37065099</v>
      </c>
      <c r="BW8" s="822">
        <v>42270.242217110004</v>
      </c>
      <c r="BX8" s="822">
        <v>38702.747159840001</v>
      </c>
      <c r="BY8" s="822">
        <v>36966.402783769998</v>
      </c>
    </row>
    <row r="9" spans="1:80" ht="17.100000000000001" customHeight="1" x14ac:dyDescent="0.2">
      <c r="A9" s="819" t="s">
        <v>580</v>
      </c>
      <c r="B9" s="820"/>
      <c r="C9" s="820"/>
      <c r="D9" s="820"/>
      <c r="E9" s="820"/>
      <c r="F9" s="820"/>
      <c r="G9" s="820"/>
      <c r="H9" s="820"/>
      <c r="I9" s="820"/>
      <c r="J9" s="820"/>
      <c r="K9" s="820"/>
      <c r="L9" s="820"/>
      <c r="M9" s="820"/>
      <c r="N9" s="820"/>
      <c r="O9" s="820"/>
      <c r="P9" s="820"/>
      <c r="Q9" s="820"/>
      <c r="R9" s="820"/>
      <c r="S9" s="820"/>
      <c r="T9" s="820"/>
      <c r="U9" s="820"/>
      <c r="V9" s="820"/>
      <c r="W9" s="820"/>
      <c r="X9" s="820"/>
      <c r="Y9" s="820"/>
      <c r="Z9" s="820"/>
      <c r="AA9" s="820"/>
      <c r="AB9" s="820"/>
      <c r="AC9" s="820"/>
      <c r="AD9" s="820"/>
      <c r="AE9" s="820"/>
      <c r="AF9" s="820"/>
      <c r="AG9" s="820"/>
      <c r="AH9" s="820"/>
      <c r="AI9" s="820"/>
      <c r="AJ9" s="820"/>
      <c r="AK9" s="820"/>
      <c r="AL9" s="820"/>
      <c r="AM9" s="820"/>
      <c r="AN9" s="821"/>
      <c r="AO9" s="822"/>
      <c r="AP9" s="822"/>
      <c r="AQ9" s="822"/>
      <c r="AR9" s="822"/>
      <c r="AS9" s="822"/>
      <c r="AT9" s="822"/>
      <c r="AU9" s="822"/>
      <c r="AV9" s="822"/>
      <c r="AW9" s="822"/>
      <c r="AX9" s="822"/>
      <c r="AY9" s="822"/>
      <c r="AZ9" s="822"/>
      <c r="BA9" s="822"/>
      <c r="BB9" s="822"/>
      <c r="BC9" s="822"/>
      <c r="BD9" s="822"/>
      <c r="BE9" s="822"/>
      <c r="BF9" s="822"/>
      <c r="BG9" s="822"/>
      <c r="BH9" s="822"/>
      <c r="BI9" s="822"/>
      <c r="BJ9" s="822"/>
      <c r="BK9" s="822"/>
      <c r="BL9" s="822"/>
      <c r="BM9" s="822"/>
      <c r="BN9" s="822"/>
      <c r="BO9" s="822"/>
      <c r="BP9" s="822"/>
      <c r="BQ9" s="822"/>
      <c r="BR9" s="822"/>
      <c r="BS9" s="822"/>
      <c r="BT9" s="822"/>
      <c r="BU9" s="822"/>
      <c r="BV9" s="822"/>
      <c r="BW9" s="822"/>
      <c r="BX9" s="822"/>
      <c r="BY9" s="822"/>
    </row>
    <row r="10" spans="1:80" s="803" customFormat="1" ht="17.100000000000001" customHeight="1" x14ac:dyDescent="0.2">
      <c r="A10" s="824" t="s">
        <v>581</v>
      </c>
      <c r="B10" s="825">
        <v>13180.361091909999</v>
      </c>
      <c r="C10" s="825">
        <v>15445.119449369999</v>
      </c>
      <c r="D10" s="825">
        <v>16168.046902009999</v>
      </c>
      <c r="E10" s="825">
        <v>15124.25977701</v>
      </c>
      <c r="F10" s="825">
        <v>16001.144004809998</v>
      </c>
      <c r="G10" s="825">
        <v>16558.544007380002</v>
      </c>
      <c r="H10" s="825">
        <v>19007.349950509997</v>
      </c>
      <c r="I10" s="825">
        <v>17182.945034510001</v>
      </c>
      <c r="J10" s="825">
        <v>17080.954378169998</v>
      </c>
      <c r="K10" s="825">
        <v>19601.086913409999</v>
      </c>
      <c r="L10" s="825">
        <v>20360.644917080001</v>
      </c>
      <c r="M10" s="825">
        <v>22187.582204819999</v>
      </c>
      <c r="N10" s="825">
        <v>22842.828379009999</v>
      </c>
      <c r="O10" s="825">
        <v>22753.930035100002</v>
      </c>
      <c r="P10" s="825">
        <v>21902.896262459999</v>
      </c>
      <c r="Q10" s="825">
        <v>22996.164349359999</v>
      </c>
      <c r="R10" s="825">
        <v>20819.986171249999</v>
      </c>
      <c r="S10" s="825">
        <v>21555.850004669999</v>
      </c>
      <c r="T10" s="825">
        <v>21020.661866890001</v>
      </c>
      <c r="U10" s="825">
        <v>22403.703741509999</v>
      </c>
      <c r="V10" s="825">
        <v>20956.707757559998</v>
      </c>
      <c r="W10" s="825">
        <v>20392.186258429996</v>
      </c>
      <c r="X10" s="825">
        <v>20406.316159820002</v>
      </c>
      <c r="Y10" s="825">
        <v>23666.373667289998</v>
      </c>
      <c r="Z10" s="825">
        <v>21128.55688815</v>
      </c>
      <c r="AA10" s="825">
        <v>22606.986195919999</v>
      </c>
      <c r="AB10" s="825">
        <v>22648.888231509998</v>
      </c>
      <c r="AC10" s="825">
        <v>22462.387835019999</v>
      </c>
      <c r="AD10" s="825">
        <v>22476.149191739998</v>
      </c>
      <c r="AE10" s="825">
        <v>23977.369481069996</v>
      </c>
      <c r="AF10" s="825">
        <v>23701.931139239998</v>
      </c>
      <c r="AG10" s="825">
        <v>23541.113787940001</v>
      </c>
      <c r="AH10" s="825">
        <v>24591.544820159997</v>
      </c>
      <c r="AI10" s="825">
        <v>23167.60481945</v>
      </c>
      <c r="AJ10" s="825">
        <v>22131.482146099999</v>
      </c>
      <c r="AK10" s="825">
        <v>25515.138641540001</v>
      </c>
      <c r="AL10" s="825">
        <v>24854.226564650002</v>
      </c>
      <c r="AM10" s="825">
        <v>27797.761466790002</v>
      </c>
      <c r="AN10" s="826">
        <v>26943.295328619999</v>
      </c>
      <c r="AO10" s="827">
        <v>23830.458748830002</v>
      </c>
      <c r="AP10" s="827">
        <v>28088.96964996</v>
      </c>
      <c r="AQ10" s="827">
        <v>28377.491470929999</v>
      </c>
      <c r="AR10" s="827">
        <v>28845.220740209999</v>
      </c>
      <c r="AS10" s="827">
        <v>26045.912519270001</v>
      </c>
      <c r="AT10" s="827">
        <v>25113.663529400004</v>
      </c>
      <c r="AU10" s="827">
        <v>26366.097784619997</v>
      </c>
      <c r="AV10" s="827">
        <v>28225.168882770002</v>
      </c>
      <c r="AW10" s="827">
        <v>31894.798558349998</v>
      </c>
      <c r="AX10" s="827">
        <v>31263.989790459997</v>
      </c>
      <c r="AY10" s="827">
        <v>37062.201626349997</v>
      </c>
      <c r="AZ10" s="827">
        <v>35626.74721275</v>
      </c>
      <c r="BA10" s="827">
        <v>35263.900715039999</v>
      </c>
      <c r="BB10" s="827">
        <v>36480.672927440006</v>
      </c>
      <c r="BC10" s="827">
        <v>35505.536266570001</v>
      </c>
      <c r="BD10" s="827">
        <v>37346.30601778</v>
      </c>
      <c r="BE10" s="827">
        <v>39447.964838309999</v>
      </c>
      <c r="BF10" s="827">
        <v>37043.045730330006</v>
      </c>
      <c r="BG10" s="827">
        <v>38406.794046370007</v>
      </c>
      <c r="BH10" s="827">
        <v>36009.536248050004</v>
      </c>
      <c r="BI10" s="827">
        <v>35269.696321449999</v>
      </c>
      <c r="BJ10" s="827">
        <v>40104.413002199995</v>
      </c>
      <c r="BK10" s="827">
        <v>41805.112039910004</v>
      </c>
      <c r="BL10" s="827">
        <v>45054.548004237091</v>
      </c>
      <c r="BM10" s="827">
        <v>46161.870899910005</v>
      </c>
      <c r="BN10" s="827">
        <v>42302.540231880004</v>
      </c>
      <c r="BO10" s="827">
        <v>42987.27696255</v>
      </c>
      <c r="BP10" s="827">
        <v>39385.219822699997</v>
      </c>
      <c r="BQ10" s="827">
        <v>36807.436373129996</v>
      </c>
      <c r="BR10" s="827">
        <v>37970.221436699998</v>
      </c>
      <c r="BS10" s="827">
        <v>41922.34927662</v>
      </c>
      <c r="BT10" s="827">
        <v>41263.81340811</v>
      </c>
      <c r="BU10" s="827">
        <v>39962</v>
      </c>
      <c r="BV10" s="827">
        <v>43239.512165820001</v>
      </c>
      <c r="BW10" s="827">
        <v>42176.046251020001</v>
      </c>
      <c r="BX10" s="827">
        <v>38608.694038940004</v>
      </c>
      <c r="BY10" s="827">
        <v>36805.113869389999</v>
      </c>
    </row>
    <row r="11" spans="1:80" s="803" customFormat="1" ht="17.100000000000001" customHeight="1" x14ac:dyDescent="0.2">
      <c r="A11" s="824" t="s">
        <v>283</v>
      </c>
      <c r="B11" s="825">
        <v>173.77583848999998</v>
      </c>
      <c r="C11" s="825">
        <v>102.15030181408299</v>
      </c>
      <c r="D11" s="825">
        <v>107.57548442879599</v>
      </c>
      <c r="E11" s="825">
        <v>96.970545829999992</v>
      </c>
      <c r="F11" s="825">
        <v>92.457328589252</v>
      </c>
      <c r="G11" s="825">
        <v>440.817523815794</v>
      </c>
      <c r="H11" s="825">
        <v>144.695107660503</v>
      </c>
      <c r="I11" s="825">
        <v>139.61848140775101</v>
      </c>
      <c r="J11" s="825">
        <v>267.13934071788196</v>
      </c>
      <c r="K11" s="825">
        <v>140.39613334605099</v>
      </c>
      <c r="L11" s="825">
        <v>147.65538167153198</v>
      </c>
      <c r="M11" s="825">
        <v>156.18358312016798</v>
      </c>
      <c r="N11" s="825">
        <v>141.37216390342701</v>
      </c>
      <c r="O11" s="825">
        <v>165.14521648076197</v>
      </c>
      <c r="P11" s="825">
        <v>156.283154672509</v>
      </c>
      <c r="Q11" s="825">
        <v>170.538513680878</v>
      </c>
      <c r="R11" s="825">
        <v>118.92258400263799</v>
      </c>
      <c r="S11" s="825">
        <v>227.06391243610898</v>
      </c>
      <c r="T11" s="825">
        <v>147.606747109975</v>
      </c>
      <c r="U11" s="825">
        <v>145.05270454831998</v>
      </c>
      <c r="V11" s="825">
        <v>178.60699340812801</v>
      </c>
      <c r="W11" s="825">
        <v>228.86708454979401</v>
      </c>
      <c r="X11" s="825">
        <v>145.94768976260698</v>
      </c>
      <c r="Y11" s="825">
        <v>144.74181716741302</v>
      </c>
      <c r="Z11" s="825">
        <v>134.190323829216</v>
      </c>
      <c r="AA11" s="825">
        <v>122.79770026911299</v>
      </c>
      <c r="AB11" s="825">
        <v>128.30850091761698</v>
      </c>
      <c r="AC11" s="825">
        <v>125.31778668365899</v>
      </c>
      <c r="AD11" s="825">
        <v>104.85266671033099</v>
      </c>
      <c r="AE11" s="825">
        <v>188.10748455776599</v>
      </c>
      <c r="AF11" s="825">
        <v>198.07162782</v>
      </c>
      <c r="AG11" s="825">
        <v>71.810326250000003</v>
      </c>
      <c r="AH11" s="825">
        <v>223.63965296000001</v>
      </c>
      <c r="AI11" s="825">
        <v>238.61876867999996</v>
      </c>
      <c r="AJ11" s="825">
        <v>151.47403553999999</v>
      </c>
      <c r="AK11" s="825">
        <v>146.47737080000002</v>
      </c>
      <c r="AL11" s="825">
        <v>69.348740169999985</v>
      </c>
      <c r="AM11" s="825">
        <v>65.960218440000006</v>
      </c>
      <c r="AN11" s="826">
        <v>64.97840020999999</v>
      </c>
      <c r="AO11" s="827">
        <v>65.584209119999997</v>
      </c>
      <c r="AP11" s="827">
        <v>68.513367979999998</v>
      </c>
      <c r="AQ11" s="827">
        <v>311.48284962999998</v>
      </c>
      <c r="AR11" s="827">
        <v>90.367219909999989</v>
      </c>
      <c r="AS11" s="827">
        <v>88.740492129999993</v>
      </c>
      <c r="AT11" s="827">
        <v>165.29868494999999</v>
      </c>
      <c r="AU11" s="827">
        <v>96.820067709999989</v>
      </c>
      <c r="AV11" s="827">
        <v>176.07912083000002</v>
      </c>
      <c r="AW11" s="827">
        <v>327.56298057999999</v>
      </c>
      <c r="AX11" s="827">
        <v>68.868365640000007</v>
      </c>
      <c r="AY11" s="827">
        <v>92.072264139999987</v>
      </c>
      <c r="AZ11" s="827">
        <v>87.70549441</v>
      </c>
      <c r="BA11" s="827">
        <v>85.291687549999992</v>
      </c>
      <c r="BB11" s="827">
        <v>79.022807060000005</v>
      </c>
      <c r="BC11" s="827">
        <v>286.60368328999999</v>
      </c>
      <c r="BD11" s="827">
        <v>117.17449668</v>
      </c>
      <c r="BE11" s="827">
        <v>93.580257980000013</v>
      </c>
      <c r="BF11" s="827">
        <v>174.95850214999999</v>
      </c>
      <c r="BG11" s="827">
        <v>198.19834580999998</v>
      </c>
      <c r="BH11" s="827">
        <v>116.58136098999999</v>
      </c>
      <c r="BI11" s="827">
        <v>132.96940228</v>
      </c>
      <c r="BJ11" s="827">
        <v>90.140118959999995</v>
      </c>
      <c r="BK11" s="827">
        <v>98.214010599999995</v>
      </c>
      <c r="BL11" s="827">
        <v>287.49325514999998</v>
      </c>
      <c r="BM11" s="827">
        <v>106.17286981999999</v>
      </c>
      <c r="BN11" s="827">
        <v>119.60855578000002</v>
      </c>
      <c r="BO11" s="827">
        <v>205.71154525</v>
      </c>
      <c r="BP11" s="827">
        <v>303.37492168</v>
      </c>
      <c r="BQ11" s="827">
        <v>973.68625691</v>
      </c>
      <c r="BR11" s="827">
        <v>160.70164977000002</v>
      </c>
      <c r="BS11" s="827">
        <v>111.26486164000001</v>
      </c>
      <c r="BT11" s="827">
        <v>94.175746759999996</v>
      </c>
      <c r="BU11" s="827">
        <v>269</v>
      </c>
      <c r="BV11" s="827">
        <v>87.858485169999994</v>
      </c>
      <c r="BW11" s="827">
        <v>94.195966089999999</v>
      </c>
      <c r="BX11" s="827">
        <v>94.053120899999996</v>
      </c>
      <c r="BY11" s="827">
        <v>161.28891437999999</v>
      </c>
    </row>
    <row r="12" spans="1:80" ht="17.100000000000001" customHeight="1" x14ac:dyDescent="0.2">
      <c r="A12" s="819"/>
      <c r="B12" s="820"/>
      <c r="C12" s="820"/>
      <c r="D12" s="820"/>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c r="AF12" s="820"/>
      <c r="AG12" s="820"/>
      <c r="AH12" s="820"/>
      <c r="AI12" s="820"/>
      <c r="AJ12" s="820"/>
      <c r="AK12" s="820"/>
      <c r="AL12" s="820"/>
      <c r="AM12" s="820"/>
      <c r="AN12" s="821"/>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822"/>
      <c r="BL12" s="822"/>
      <c r="BM12" s="822"/>
      <c r="BN12" s="822"/>
      <c r="BO12" s="822"/>
      <c r="BP12" s="822"/>
      <c r="BQ12" s="822"/>
      <c r="BR12" s="822"/>
      <c r="BS12" s="822"/>
      <c r="BT12" s="822"/>
      <c r="BU12" s="822"/>
      <c r="BV12" s="822"/>
      <c r="BW12" s="822"/>
      <c r="BX12" s="822"/>
      <c r="BY12" s="822"/>
    </row>
    <row r="13" spans="1:80" s="832" customFormat="1" ht="17.100000000000001" customHeight="1" x14ac:dyDescent="0.2">
      <c r="A13" s="828" t="s">
        <v>582</v>
      </c>
      <c r="B13" s="829">
        <v>32306.578817460002</v>
      </c>
      <c r="C13" s="829">
        <v>34188.331145164077</v>
      </c>
      <c r="D13" s="829">
        <v>35018.925947288793</v>
      </c>
      <c r="E13" s="829">
        <v>33972.916108009995</v>
      </c>
      <c r="F13" s="829">
        <v>35004.952882689249</v>
      </c>
      <c r="G13" s="829">
        <v>35648.822886965791</v>
      </c>
      <c r="H13" s="829">
        <v>38111.517277910505</v>
      </c>
      <c r="I13" s="829">
        <v>36422.298472737748</v>
      </c>
      <c r="J13" s="829">
        <v>36444.268976647872</v>
      </c>
      <c r="K13" s="829">
        <v>38868.215593856046</v>
      </c>
      <c r="L13" s="829">
        <v>40023.459073151535</v>
      </c>
      <c r="M13" s="829">
        <v>44935.527259780167</v>
      </c>
      <c r="N13" s="829">
        <v>44220.858916383426</v>
      </c>
      <c r="O13" s="829">
        <v>43457.96626473077</v>
      </c>
      <c r="P13" s="829">
        <v>42616.030383652513</v>
      </c>
      <c r="Q13" s="829">
        <v>43519.537135460872</v>
      </c>
      <c r="R13" s="829">
        <v>41534.157818012638</v>
      </c>
      <c r="S13" s="829">
        <v>42236.711520816105</v>
      </c>
      <c r="T13" s="829">
        <v>42073.932665119974</v>
      </c>
      <c r="U13" s="829">
        <v>44194.178057538316</v>
      </c>
      <c r="V13" s="829">
        <v>42292.116241218129</v>
      </c>
      <c r="W13" s="829">
        <v>42459.190507549793</v>
      </c>
      <c r="X13" s="829">
        <v>41967.209032272607</v>
      </c>
      <c r="Y13" s="829">
        <v>48280.871327637411</v>
      </c>
      <c r="Z13" s="829">
        <v>43850.805226779208</v>
      </c>
      <c r="AA13" s="829">
        <v>44901.044055009108</v>
      </c>
      <c r="AB13" s="829">
        <v>44639.243475667616</v>
      </c>
      <c r="AC13" s="829">
        <v>44527.06357813366</v>
      </c>
      <c r="AD13" s="829">
        <v>44662.991762790334</v>
      </c>
      <c r="AE13" s="829">
        <v>45910.968640197767</v>
      </c>
      <c r="AF13" s="829">
        <v>46049.62976335</v>
      </c>
      <c r="AG13" s="829">
        <v>46185.349602239992</v>
      </c>
      <c r="AH13" s="829">
        <v>47267.960582839994</v>
      </c>
      <c r="AI13" s="829">
        <v>46439.120953460006</v>
      </c>
      <c r="AJ13" s="829">
        <v>45499.108851889992</v>
      </c>
      <c r="AK13" s="829">
        <v>52622.930014159996</v>
      </c>
      <c r="AL13" s="829">
        <v>50086.680641910003</v>
      </c>
      <c r="AM13" s="829">
        <v>52362.476793820002</v>
      </c>
      <c r="AN13" s="830">
        <v>51963.297140969997</v>
      </c>
      <c r="AO13" s="831">
        <v>48815.614415420001</v>
      </c>
      <c r="AP13" s="831">
        <v>52745.513655169998</v>
      </c>
      <c r="AQ13" s="831">
        <v>53094.012917469998</v>
      </c>
      <c r="AR13" s="831">
        <v>54156.36550167</v>
      </c>
      <c r="AS13" s="831">
        <v>51451.915537709996</v>
      </c>
      <c r="AT13" s="831">
        <v>50185.234078640002</v>
      </c>
      <c r="AU13" s="831">
        <v>51977.864655339996</v>
      </c>
      <c r="AV13" s="831">
        <v>53757.247619950002</v>
      </c>
      <c r="AW13" s="831">
        <v>62350.012214779999</v>
      </c>
      <c r="AX13" s="831">
        <v>58668.651559199992</v>
      </c>
      <c r="AY13" s="831">
        <v>64091.710065689993</v>
      </c>
      <c r="AZ13" s="831">
        <v>62483.452767249997</v>
      </c>
      <c r="BA13" s="831">
        <v>62070.370892899999</v>
      </c>
      <c r="BB13" s="831">
        <v>62582.034079030003</v>
      </c>
      <c r="BC13" s="831">
        <v>62137.03930633</v>
      </c>
      <c r="BD13" s="831">
        <v>64802.243488449996</v>
      </c>
      <c r="BE13" s="831">
        <v>66521.777726829998</v>
      </c>
      <c r="BF13" s="831">
        <v>63788.91463728001</v>
      </c>
      <c r="BG13" s="831">
        <v>65201.016736970007</v>
      </c>
      <c r="BH13" s="831">
        <v>63358.074917500002</v>
      </c>
      <c r="BI13" s="831">
        <v>67933.588631680002</v>
      </c>
      <c r="BJ13" s="831">
        <v>68888.095795009998</v>
      </c>
      <c r="BK13" s="831">
        <v>70440.636755090003</v>
      </c>
      <c r="BL13" s="831">
        <v>73577.833934157097</v>
      </c>
      <c r="BM13" s="831">
        <v>75159.682994820003</v>
      </c>
      <c r="BN13" s="831">
        <v>70803.746954400005</v>
      </c>
      <c r="BO13" s="831">
        <v>71594.147533340001</v>
      </c>
      <c r="BP13" s="831">
        <v>68773.183555700001</v>
      </c>
      <c r="BQ13" s="831">
        <v>66569.861976039989</v>
      </c>
      <c r="BR13" s="831">
        <v>66947.281883980002</v>
      </c>
      <c r="BS13" s="831">
        <v>71167.770713139995</v>
      </c>
      <c r="BT13" s="831">
        <v>70496.418338069998</v>
      </c>
      <c r="BU13" s="831">
        <v>73569</v>
      </c>
      <c r="BV13" s="831">
        <v>74498.380112810002</v>
      </c>
      <c r="BW13" s="831">
        <v>72917.527185890009</v>
      </c>
      <c r="BX13" s="831">
        <v>69446.043452650003</v>
      </c>
      <c r="BY13" s="831">
        <v>67413.995906789991</v>
      </c>
    </row>
    <row r="14" spans="1:80" ht="17.100000000000001" customHeight="1" thickBot="1" x14ac:dyDescent="0.25">
      <c r="A14" s="833"/>
      <c r="B14" s="820"/>
      <c r="C14" s="820"/>
      <c r="D14" s="820"/>
      <c r="E14" s="820"/>
      <c r="F14" s="820"/>
      <c r="G14" s="820"/>
      <c r="H14" s="820"/>
      <c r="I14" s="820"/>
      <c r="J14" s="820"/>
      <c r="K14" s="820"/>
      <c r="L14" s="820"/>
      <c r="M14" s="820"/>
      <c r="N14" s="820"/>
      <c r="O14" s="820"/>
      <c r="P14" s="820"/>
      <c r="Q14" s="820"/>
      <c r="R14" s="820"/>
      <c r="S14" s="820"/>
      <c r="T14" s="820"/>
      <c r="U14" s="820"/>
      <c r="V14" s="820"/>
      <c r="W14" s="820"/>
      <c r="X14" s="820"/>
      <c r="Y14" s="820"/>
      <c r="Z14" s="820"/>
      <c r="AA14" s="820"/>
      <c r="AB14" s="820"/>
      <c r="AC14" s="820"/>
      <c r="AD14" s="820"/>
      <c r="AE14" s="820"/>
      <c r="AF14" s="820"/>
      <c r="AG14" s="820"/>
      <c r="AH14" s="820"/>
      <c r="AI14" s="820"/>
      <c r="AJ14" s="820"/>
      <c r="AK14" s="820"/>
      <c r="AL14" s="820"/>
      <c r="AM14" s="820"/>
      <c r="AN14" s="821"/>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c r="BQ14" s="822"/>
      <c r="BR14" s="822"/>
      <c r="BS14" s="822"/>
      <c r="BT14" s="822"/>
      <c r="BU14" s="822"/>
      <c r="BV14" s="822"/>
      <c r="BW14" s="822"/>
      <c r="BX14" s="822"/>
      <c r="BY14" s="822"/>
    </row>
    <row r="15" spans="1:80" ht="17.100000000000001" customHeight="1" thickTop="1" thickBot="1" x14ac:dyDescent="0.25">
      <c r="A15" s="814" t="s">
        <v>583</v>
      </c>
      <c r="B15" s="834"/>
      <c r="C15" s="834"/>
      <c r="D15" s="834"/>
      <c r="E15" s="834"/>
      <c r="F15" s="834"/>
      <c r="G15" s="834"/>
      <c r="H15" s="834"/>
      <c r="I15" s="834"/>
      <c r="J15" s="834"/>
      <c r="K15" s="834"/>
      <c r="L15" s="834"/>
      <c r="M15" s="834"/>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c r="AL15" s="834"/>
      <c r="AM15" s="834"/>
      <c r="AN15" s="835"/>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c r="BY15" s="836"/>
    </row>
    <row r="16" spans="1:80" ht="17.100000000000001" customHeight="1" thickTop="1" x14ac:dyDescent="0.2">
      <c r="A16" s="833"/>
      <c r="B16" s="820"/>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20"/>
      <c r="AA16" s="820"/>
      <c r="AB16" s="820"/>
      <c r="AC16" s="820"/>
      <c r="AD16" s="820"/>
      <c r="AE16" s="820"/>
      <c r="AF16" s="820"/>
      <c r="AG16" s="820"/>
      <c r="AH16" s="820"/>
      <c r="AI16" s="820"/>
      <c r="AJ16" s="820"/>
      <c r="AK16" s="820"/>
      <c r="AL16" s="820"/>
      <c r="AM16" s="820"/>
      <c r="AN16" s="821"/>
      <c r="AO16" s="822"/>
      <c r="AP16" s="822"/>
      <c r="AQ16" s="822"/>
      <c r="AR16" s="822"/>
      <c r="AS16" s="822"/>
      <c r="AT16" s="822"/>
      <c r="AU16" s="822"/>
      <c r="AV16" s="822"/>
      <c r="AW16" s="822"/>
      <c r="AX16" s="822"/>
      <c r="AY16" s="822"/>
      <c r="AZ16" s="822"/>
      <c r="BA16" s="822"/>
      <c r="BB16" s="822"/>
      <c r="BC16" s="822"/>
      <c r="BD16" s="822"/>
      <c r="BE16" s="822"/>
      <c r="BF16" s="822"/>
      <c r="BG16" s="822"/>
      <c r="BH16" s="822"/>
      <c r="BI16" s="822"/>
      <c r="BJ16" s="822"/>
      <c r="BK16" s="822"/>
      <c r="BL16" s="822"/>
      <c r="BM16" s="822"/>
      <c r="BN16" s="822"/>
      <c r="BO16" s="822"/>
      <c r="BP16" s="822"/>
      <c r="BQ16" s="822"/>
      <c r="BR16" s="822"/>
      <c r="BS16" s="822"/>
      <c r="BT16" s="822"/>
      <c r="BU16" s="822"/>
      <c r="BV16" s="822"/>
      <c r="BW16" s="822"/>
      <c r="BX16" s="822"/>
      <c r="BY16" s="822"/>
    </row>
    <row r="17" spans="1:77" ht="17.100000000000001" customHeight="1" x14ac:dyDescent="0.2">
      <c r="A17" s="819" t="s">
        <v>584</v>
      </c>
      <c r="B17" s="820">
        <v>66426.303235972882</v>
      </c>
      <c r="C17" s="820">
        <v>67813.347178623269</v>
      </c>
      <c r="D17" s="820">
        <v>67350.55298928589</v>
      </c>
      <c r="E17" s="820">
        <v>67898.424276395206</v>
      </c>
      <c r="F17" s="820">
        <v>70563.533940011592</v>
      </c>
      <c r="G17" s="820">
        <v>69029.206086238628</v>
      </c>
      <c r="H17" s="820">
        <v>69173.827566074178</v>
      </c>
      <c r="I17" s="820">
        <v>70109.753901685341</v>
      </c>
      <c r="J17" s="820">
        <v>73222.669057128718</v>
      </c>
      <c r="K17" s="820">
        <v>72628.910586909114</v>
      </c>
      <c r="L17" s="820">
        <v>74948.541309052278</v>
      </c>
      <c r="M17" s="820">
        <v>77907.26620021234</v>
      </c>
      <c r="N17" s="820">
        <v>74640.649942564065</v>
      </c>
      <c r="O17" s="820">
        <v>74618.615312754191</v>
      </c>
      <c r="P17" s="820">
        <v>76376.735414886105</v>
      </c>
      <c r="Q17" s="820">
        <v>75700.789623743025</v>
      </c>
      <c r="R17" s="820">
        <v>77269.692369705648</v>
      </c>
      <c r="S17" s="820">
        <v>79953.017943437662</v>
      </c>
      <c r="T17" s="820">
        <v>79074.75525046949</v>
      </c>
      <c r="U17" s="820">
        <v>79520.667822633579</v>
      </c>
      <c r="V17" s="820">
        <v>78671.260029511788</v>
      </c>
      <c r="W17" s="820">
        <v>81199.667306703283</v>
      </c>
      <c r="X17" s="820">
        <v>77556.049942866448</v>
      </c>
      <c r="Y17" s="820">
        <v>80100.875885288551</v>
      </c>
      <c r="Z17" s="820">
        <v>80040.746933815622</v>
      </c>
      <c r="AA17" s="820">
        <v>79939.581236785903</v>
      </c>
      <c r="AB17" s="820">
        <v>79411.668224062698</v>
      </c>
      <c r="AC17" s="820">
        <v>79032.748513622151</v>
      </c>
      <c r="AD17" s="820">
        <v>78098.527743300889</v>
      </c>
      <c r="AE17" s="820">
        <v>85159.248901662751</v>
      </c>
      <c r="AF17" s="820">
        <v>86394.874568552084</v>
      </c>
      <c r="AG17" s="820">
        <v>86880.112743733043</v>
      </c>
      <c r="AH17" s="820">
        <v>87928.224802783152</v>
      </c>
      <c r="AI17" s="820">
        <v>88106.871545446251</v>
      </c>
      <c r="AJ17" s="820">
        <v>90488.3945909303</v>
      </c>
      <c r="AK17" s="820">
        <v>91559.825805914632</v>
      </c>
      <c r="AL17" s="820">
        <v>94098.106945505308</v>
      </c>
      <c r="AM17" s="820">
        <v>93549.31388682939</v>
      </c>
      <c r="AN17" s="821">
        <v>96754.802980609718</v>
      </c>
      <c r="AO17" s="822">
        <v>95870.007278678371</v>
      </c>
      <c r="AP17" s="822">
        <v>104072.51915873688</v>
      </c>
      <c r="AQ17" s="822">
        <v>103579.9323233067</v>
      </c>
      <c r="AR17" s="822">
        <v>100694.20800170788</v>
      </c>
      <c r="AS17" s="822">
        <v>99291.769986535714</v>
      </c>
      <c r="AT17" s="822">
        <v>100933.44968334469</v>
      </c>
      <c r="AU17" s="822">
        <v>100229.18125081969</v>
      </c>
      <c r="AV17" s="822">
        <v>99261.274187500021</v>
      </c>
      <c r="AW17" s="822">
        <v>103497.94482550361</v>
      </c>
      <c r="AX17" s="822">
        <v>102921.43799632388</v>
      </c>
      <c r="AY17" s="822">
        <v>108544.33997084292</v>
      </c>
      <c r="AZ17" s="822">
        <v>110343.08859754098</v>
      </c>
      <c r="BA17" s="822">
        <v>114721.20755311572</v>
      </c>
      <c r="BB17" s="822">
        <v>117055.21513527753</v>
      </c>
      <c r="BC17" s="822">
        <v>119619.60702976644</v>
      </c>
      <c r="BD17" s="822">
        <v>121075.74227892855</v>
      </c>
      <c r="BE17" s="822">
        <v>123260.36938210644</v>
      </c>
      <c r="BF17" s="822">
        <v>120752.98616916555</v>
      </c>
      <c r="BG17" s="822">
        <v>119694.92564294937</v>
      </c>
      <c r="BH17" s="822">
        <v>117838.97237219621</v>
      </c>
      <c r="BI17" s="822">
        <v>122735.45625949455</v>
      </c>
      <c r="BJ17" s="822">
        <v>120049.19112513392</v>
      </c>
      <c r="BK17" s="822">
        <v>126047.57279302411</v>
      </c>
      <c r="BL17" s="822">
        <v>139062.48919025276</v>
      </c>
      <c r="BM17" s="822">
        <v>137586.09214340354</v>
      </c>
      <c r="BN17" s="822">
        <v>138175.21268258648</v>
      </c>
      <c r="BO17" s="822">
        <v>138628.47666558527</v>
      </c>
      <c r="BP17" s="822">
        <v>142104.72795610214</v>
      </c>
      <c r="BQ17" s="822">
        <v>142278.28919419972</v>
      </c>
      <c r="BR17" s="822">
        <v>144450.61180768846</v>
      </c>
      <c r="BS17" s="822">
        <v>148534.72719634642</v>
      </c>
      <c r="BT17" s="822">
        <v>150438.85095480151</v>
      </c>
      <c r="BU17" s="822">
        <v>151519.5</v>
      </c>
      <c r="BV17" s="822">
        <v>153595.05761268668</v>
      </c>
      <c r="BW17" s="822">
        <v>156324.69065769573</v>
      </c>
      <c r="BX17" s="822">
        <v>157406.6914241621</v>
      </c>
      <c r="BY17" s="822">
        <v>156600.80811839449</v>
      </c>
    </row>
    <row r="18" spans="1:77" ht="17.100000000000001" customHeight="1" x14ac:dyDescent="0.2">
      <c r="A18" s="819" t="s">
        <v>585</v>
      </c>
      <c r="B18" s="820">
        <v>-16094.591653099998</v>
      </c>
      <c r="C18" s="820">
        <v>-15133.990915980001</v>
      </c>
      <c r="D18" s="820">
        <v>-10574.257390679999</v>
      </c>
      <c r="E18" s="820">
        <v>-13160.13132181</v>
      </c>
      <c r="F18" s="820">
        <v>-13184.197336680001</v>
      </c>
      <c r="G18" s="820">
        <v>-12603.214470860001</v>
      </c>
      <c r="H18" s="820">
        <v>-12649.402737140001</v>
      </c>
      <c r="I18" s="820">
        <v>-13999.36386032</v>
      </c>
      <c r="J18" s="820">
        <v>-12309.791425859999</v>
      </c>
      <c r="K18" s="820">
        <v>-9506.4930552200003</v>
      </c>
      <c r="L18" s="820">
        <v>-11316.247423609999</v>
      </c>
      <c r="M18" s="820">
        <v>-9687.6799926800013</v>
      </c>
      <c r="N18" s="820">
        <v>-8384.2803368000004</v>
      </c>
      <c r="O18" s="820">
        <v>-7735.6408573600002</v>
      </c>
      <c r="P18" s="820">
        <v>-11176.693028849997</v>
      </c>
      <c r="Q18" s="820">
        <v>-9606.6951597400002</v>
      </c>
      <c r="R18" s="820">
        <v>-11320.184787369999</v>
      </c>
      <c r="S18" s="820">
        <v>-10168.74607549</v>
      </c>
      <c r="T18" s="820">
        <v>-11201.799995440004</v>
      </c>
      <c r="U18" s="820">
        <v>-8361.1217992800011</v>
      </c>
      <c r="V18" s="820">
        <v>-10561.849022570001</v>
      </c>
      <c r="W18" s="820">
        <v>-11253.339342660001</v>
      </c>
      <c r="X18" s="820">
        <v>-9436.6171233200002</v>
      </c>
      <c r="Y18" s="820">
        <v>-7837.3001372700001</v>
      </c>
      <c r="Z18" s="820">
        <v>-10079.960773000003</v>
      </c>
      <c r="AA18" s="820">
        <v>-8692.3302772299994</v>
      </c>
      <c r="AB18" s="820">
        <v>-9372.881900270002</v>
      </c>
      <c r="AC18" s="820">
        <v>-8880.1699302400029</v>
      </c>
      <c r="AD18" s="820">
        <v>-8780.1530179400033</v>
      </c>
      <c r="AE18" s="820">
        <v>-11179.910112040001</v>
      </c>
      <c r="AF18" s="820">
        <v>-11456.030725809998</v>
      </c>
      <c r="AG18" s="820">
        <v>-13179.341982179998</v>
      </c>
      <c r="AH18" s="820">
        <v>-11879.09227354</v>
      </c>
      <c r="AI18" s="820">
        <v>-13350.546611650003</v>
      </c>
      <c r="AJ18" s="820">
        <v>-16898.939951499997</v>
      </c>
      <c r="AK18" s="820">
        <v>-11466.967172649998</v>
      </c>
      <c r="AL18" s="820">
        <v>-13650.276193949998</v>
      </c>
      <c r="AM18" s="820">
        <v>-12018.874950829999</v>
      </c>
      <c r="AN18" s="821">
        <v>-12476.195903029999</v>
      </c>
      <c r="AO18" s="822">
        <v>-14313.36957282</v>
      </c>
      <c r="AP18" s="822">
        <v>-17374.062681929754</v>
      </c>
      <c r="AQ18" s="822">
        <v>-18112.053482993684</v>
      </c>
      <c r="AR18" s="822">
        <v>-14044.60487612374</v>
      </c>
      <c r="AS18" s="822">
        <v>-13816.06028582856</v>
      </c>
      <c r="AT18" s="822">
        <v>-17341.511666418828</v>
      </c>
      <c r="AU18" s="822">
        <v>-15217.901120033093</v>
      </c>
      <c r="AV18" s="822">
        <v>-13552.266238281474</v>
      </c>
      <c r="AW18" s="822">
        <v>-10932.694839660657</v>
      </c>
      <c r="AX18" s="822">
        <v>-13197.887711877294</v>
      </c>
      <c r="AY18" s="822">
        <v>-12463.583303451964</v>
      </c>
      <c r="AZ18" s="822">
        <v>-13387.690245879574</v>
      </c>
      <c r="BA18" s="822">
        <v>-17897.114501728862</v>
      </c>
      <c r="BB18" s="822">
        <v>-16472.475734490621</v>
      </c>
      <c r="BC18" s="822">
        <v>-18912.303265928196</v>
      </c>
      <c r="BD18" s="822">
        <v>-19181.228839505362</v>
      </c>
      <c r="BE18" s="822">
        <v>-20865.026249724659</v>
      </c>
      <c r="BF18" s="822">
        <v>-24581.233548614022</v>
      </c>
      <c r="BG18" s="822">
        <v>-22626.159615587952</v>
      </c>
      <c r="BH18" s="822">
        <v>-19870.683686191223</v>
      </c>
      <c r="BI18" s="822">
        <v>-20743.429970004472</v>
      </c>
      <c r="BJ18" s="822">
        <v>-19352.681883520723</v>
      </c>
      <c r="BK18" s="822">
        <v>-22349.474304150681</v>
      </c>
      <c r="BL18" s="822">
        <v>-23502.995871067244</v>
      </c>
      <c r="BM18" s="822">
        <v>-22661.474497705807</v>
      </c>
      <c r="BN18" s="822">
        <v>-22878.465939326445</v>
      </c>
      <c r="BO18" s="822">
        <v>-21714.827886328236</v>
      </c>
      <c r="BP18" s="822">
        <v>-26328.382232080454</v>
      </c>
      <c r="BQ18" s="822">
        <v>-25956.873075779848</v>
      </c>
      <c r="BR18" s="822">
        <v>-26828.959248950447</v>
      </c>
      <c r="BS18" s="822">
        <v>-25650.317494534476</v>
      </c>
      <c r="BT18" s="822">
        <v>-29430.173450514856</v>
      </c>
      <c r="BU18" s="822">
        <v>-28634.9</v>
      </c>
      <c r="BV18" s="822">
        <v>-26971.136303966399</v>
      </c>
      <c r="BW18" s="822">
        <v>-29312.760556908066</v>
      </c>
      <c r="BX18" s="822">
        <v>-31958.729724419147</v>
      </c>
      <c r="BY18" s="822">
        <v>-34518.630189887648</v>
      </c>
    </row>
    <row r="19" spans="1:77" ht="17.100000000000001" customHeight="1" x14ac:dyDescent="0.2">
      <c r="A19" s="819" t="s">
        <v>586</v>
      </c>
      <c r="B19" s="820">
        <v>416.39877228</v>
      </c>
      <c r="C19" s="820">
        <v>398.98351687999997</v>
      </c>
      <c r="D19" s="820">
        <v>464.59303090000003</v>
      </c>
      <c r="E19" s="820">
        <v>369.60301450999998</v>
      </c>
      <c r="F19" s="820">
        <v>408.48481404999995</v>
      </c>
      <c r="G19" s="820">
        <v>451.59551101999995</v>
      </c>
      <c r="H19" s="820">
        <v>445.53247376000002</v>
      </c>
      <c r="I19" s="820">
        <v>375.32156171000003</v>
      </c>
      <c r="J19" s="820">
        <v>729.0334312199999</v>
      </c>
      <c r="K19" s="820">
        <v>725.01450312999987</v>
      </c>
      <c r="L19" s="820">
        <v>1098.9094759899999</v>
      </c>
      <c r="M19" s="820">
        <v>992.11887309000008</v>
      </c>
      <c r="N19" s="820">
        <v>1201.4398751599999</v>
      </c>
      <c r="O19" s="820">
        <v>986.17518556999994</v>
      </c>
      <c r="P19" s="820">
        <v>242.02596110999997</v>
      </c>
      <c r="Q19" s="820">
        <v>265.07175250999995</v>
      </c>
      <c r="R19" s="820">
        <v>629.2786777099999</v>
      </c>
      <c r="S19" s="820">
        <v>246.32987396999999</v>
      </c>
      <c r="T19" s="820">
        <v>1772.48621953</v>
      </c>
      <c r="U19" s="820">
        <v>1112.8485640200001</v>
      </c>
      <c r="V19" s="820">
        <v>719.99327042000004</v>
      </c>
      <c r="W19" s="820">
        <v>955.00277437</v>
      </c>
      <c r="X19" s="820">
        <v>1127.9270470100003</v>
      </c>
      <c r="Y19" s="820">
        <v>1138.7372729100002</v>
      </c>
      <c r="Z19" s="820">
        <v>1211.1530704200002</v>
      </c>
      <c r="AA19" s="820">
        <v>1131.4411226499999</v>
      </c>
      <c r="AB19" s="820">
        <v>1179.4819348599999</v>
      </c>
      <c r="AC19" s="820">
        <v>1157.8965479799999</v>
      </c>
      <c r="AD19" s="820">
        <v>218.86825797</v>
      </c>
      <c r="AE19" s="820">
        <v>450.09873363999998</v>
      </c>
      <c r="AF19" s="820">
        <v>152.5676181</v>
      </c>
      <c r="AG19" s="820">
        <v>445.32254952000005</v>
      </c>
      <c r="AH19" s="820">
        <v>763.68187892000003</v>
      </c>
      <c r="AI19" s="820">
        <v>1163.6323081500002</v>
      </c>
      <c r="AJ19" s="820">
        <v>1325.8463739199999</v>
      </c>
      <c r="AK19" s="820">
        <v>1804.5649623700001</v>
      </c>
      <c r="AL19" s="820">
        <v>2146.9082228399998</v>
      </c>
      <c r="AM19" s="820">
        <v>2114.7532336799995</v>
      </c>
      <c r="AN19" s="821">
        <v>2108.0848065299997</v>
      </c>
      <c r="AO19" s="822">
        <v>2342.2126538799998</v>
      </c>
      <c r="AP19" s="822">
        <v>1233.3859579699999</v>
      </c>
      <c r="AQ19" s="822">
        <v>1546.1322582800001</v>
      </c>
      <c r="AR19" s="822">
        <v>1729.84466681</v>
      </c>
      <c r="AS19" s="822">
        <v>2100.3866184399999</v>
      </c>
      <c r="AT19" s="822">
        <v>2973.8737531799998</v>
      </c>
      <c r="AU19" s="822">
        <v>2466.6333634100001</v>
      </c>
      <c r="AV19" s="822">
        <v>2627.7498871299995</v>
      </c>
      <c r="AW19" s="822">
        <v>2715.6635386299995</v>
      </c>
      <c r="AX19" s="822">
        <v>3505.64319918</v>
      </c>
      <c r="AY19" s="822">
        <v>3459.2269215600004</v>
      </c>
      <c r="AZ19" s="822">
        <v>3529.4347085599993</v>
      </c>
      <c r="BA19" s="822">
        <v>3453.8968748400002</v>
      </c>
      <c r="BB19" s="822">
        <v>2412.4059201499999</v>
      </c>
      <c r="BC19" s="822">
        <v>2414.3403686699999</v>
      </c>
      <c r="BD19" s="822">
        <v>1784.51822917</v>
      </c>
      <c r="BE19" s="822">
        <v>2049.3917820399997</v>
      </c>
      <c r="BF19" s="822">
        <v>2089.3361430999998</v>
      </c>
      <c r="BG19" s="822">
        <v>2102.1365570700004</v>
      </c>
      <c r="BH19" s="822">
        <v>2294.0404291999994</v>
      </c>
      <c r="BI19" s="822">
        <v>2467.8894129999999</v>
      </c>
      <c r="BJ19" s="822">
        <v>2207.8287976499996</v>
      </c>
      <c r="BK19" s="822">
        <v>2382.2947444899996</v>
      </c>
      <c r="BL19" s="822">
        <v>2443.1738772899998</v>
      </c>
      <c r="BM19" s="822">
        <v>2611.5448260100006</v>
      </c>
      <c r="BN19" s="822">
        <v>2007.7485255200002</v>
      </c>
      <c r="BO19" s="822">
        <v>2027.59553033</v>
      </c>
      <c r="BP19" s="822">
        <v>1574.8875632300001</v>
      </c>
      <c r="BQ19" s="822">
        <v>1242.43514559</v>
      </c>
      <c r="BR19" s="822">
        <v>1307.1408722699998</v>
      </c>
      <c r="BS19" s="822">
        <v>1065.56092048</v>
      </c>
      <c r="BT19" s="822">
        <v>1057.6542133000003</v>
      </c>
      <c r="BU19" s="822">
        <v>1056.7</v>
      </c>
      <c r="BV19" s="822">
        <v>996.92193865999991</v>
      </c>
      <c r="BW19" s="822">
        <v>1008.8143971</v>
      </c>
      <c r="BX19" s="822">
        <v>1011.9442757100001</v>
      </c>
      <c r="BY19" s="822">
        <v>1066.7009175000001</v>
      </c>
    </row>
    <row r="20" spans="1:77" ht="17.100000000000001" customHeight="1" x14ac:dyDescent="0.2">
      <c r="A20" s="819" t="s">
        <v>587</v>
      </c>
      <c r="B20" s="820">
        <v>153.19780331999999</v>
      </c>
      <c r="C20" s="820">
        <v>154.31596911</v>
      </c>
      <c r="D20" s="820">
        <v>138.70587049999997</v>
      </c>
      <c r="E20" s="820">
        <v>145.20146566999998</v>
      </c>
      <c r="F20" s="820">
        <v>139.64907062999998</v>
      </c>
      <c r="G20" s="820">
        <v>144.54348844999998</v>
      </c>
      <c r="H20" s="820">
        <v>136.46690247999999</v>
      </c>
      <c r="I20" s="820">
        <v>137.70103456999999</v>
      </c>
      <c r="J20" s="820">
        <v>166.28222216</v>
      </c>
      <c r="K20" s="820">
        <v>164.10271523999998</v>
      </c>
      <c r="L20" s="820">
        <v>188.36966712999998</v>
      </c>
      <c r="M20" s="820">
        <v>289.10614802999993</v>
      </c>
      <c r="N20" s="820">
        <v>325.25928297999997</v>
      </c>
      <c r="O20" s="820">
        <v>266.26099159999995</v>
      </c>
      <c r="P20" s="820">
        <v>282.16233682000001</v>
      </c>
      <c r="Q20" s="820">
        <v>326.19289162000001</v>
      </c>
      <c r="R20" s="820">
        <v>355.96613649</v>
      </c>
      <c r="S20" s="820">
        <v>144.95301177000002</v>
      </c>
      <c r="T20" s="820">
        <v>145.04960496999999</v>
      </c>
      <c r="U20" s="820">
        <v>146.18456738</v>
      </c>
      <c r="V20" s="820">
        <v>147.98835771</v>
      </c>
      <c r="W20" s="820">
        <v>189.87692557</v>
      </c>
      <c r="X20" s="820">
        <v>188.68572480999998</v>
      </c>
      <c r="Y20" s="820">
        <v>187.66180904000001</v>
      </c>
      <c r="Z20" s="820">
        <v>184.76241243000001</v>
      </c>
      <c r="AA20" s="820">
        <v>235.96431477000002</v>
      </c>
      <c r="AB20" s="820">
        <v>228.80128807000003</v>
      </c>
      <c r="AC20" s="820">
        <v>202.30284356000001</v>
      </c>
      <c r="AD20" s="820">
        <v>207.31680611000002</v>
      </c>
      <c r="AE20" s="820">
        <v>142.31707372000002</v>
      </c>
      <c r="AF20" s="820">
        <v>246.29880878</v>
      </c>
      <c r="AG20" s="820">
        <v>157.61338316000001</v>
      </c>
      <c r="AH20" s="820">
        <v>186.53756657</v>
      </c>
      <c r="AI20" s="820">
        <v>186.00266166</v>
      </c>
      <c r="AJ20" s="820">
        <v>148.20166657000001</v>
      </c>
      <c r="AK20" s="820">
        <v>184.47326498999999</v>
      </c>
      <c r="AL20" s="820">
        <v>158.50110899000001</v>
      </c>
      <c r="AM20" s="820">
        <v>151.81138362999999</v>
      </c>
      <c r="AN20" s="821">
        <v>144.74117856000001</v>
      </c>
      <c r="AO20" s="822">
        <v>154.39851223000002</v>
      </c>
      <c r="AP20" s="822">
        <v>135.40763834000001</v>
      </c>
      <c r="AQ20" s="822">
        <v>198.07188681</v>
      </c>
      <c r="AR20" s="822">
        <v>126.59522910000001</v>
      </c>
      <c r="AS20" s="822">
        <v>150.84449430999999</v>
      </c>
      <c r="AT20" s="822">
        <v>162.74188365000003</v>
      </c>
      <c r="AU20" s="822">
        <v>164.49673319999999</v>
      </c>
      <c r="AV20" s="822">
        <v>163.62766462999997</v>
      </c>
      <c r="AW20" s="822">
        <v>172.66457023999999</v>
      </c>
      <c r="AX20" s="822">
        <v>134.78201322999996</v>
      </c>
      <c r="AY20" s="822">
        <v>146.16603488000001</v>
      </c>
      <c r="AZ20" s="822">
        <v>154.80724961999994</v>
      </c>
      <c r="BA20" s="822">
        <v>158.50427366000002</v>
      </c>
      <c r="BB20" s="822">
        <v>161.91662781999997</v>
      </c>
      <c r="BC20" s="822">
        <v>159.59387422</v>
      </c>
      <c r="BD20" s="822">
        <v>117.25199542000001</v>
      </c>
      <c r="BE20" s="822">
        <v>129.45984655000001</v>
      </c>
      <c r="BF20" s="822">
        <v>134.73078520999996</v>
      </c>
      <c r="BG20" s="822">
        <v>140.02408560999999</v>
      </c>
      <c r="BH20" s="822">
        <v>139.35857369000001</v>
      </c>
      <c r="BI20" s="822">
        <v>152.22108252999999</v>
      </c>
      <c r="BJ20" s="822">
        <v>115.15130846999999</v>
      </c>
      <c r="BK20" s="822">
        <v>126.01319054</v>
      </c>
      <c r="BL20" s="822">
        <v>127.1554088</v>
      </c>
      <c r="BM20" s="822">
        <v>371.52363643000001</v>
      </c>
      <c r="BN20" s="822">
        <v>379.96656151999991</v>
      </c>
      <c r="BO20" s="822">
        <v>3704.0103747000003</v>
      </c>
      <c r="BP20" s="822">
        <v>3664.27348949</v>
      </c>
      <c r="BQ20" s="822">
        <v>3670.1731644900001</v>
      </c>
      <c r="BR20" s="822">
        <v>3675.21057273</v>
      </c>
      <c r="BS20" s="822">
        <v>3683.2173269999998</v>
      </c>
      <c r="BT20" s="822">
        <v>3657.3844738899998</v>
      </c>
      <c r="BU20" s="822">
        <v>3668.5</v>
      </c>
      <c r="BV20" s="822">
        <v>3617.0592188099999</v>
      </c>
      <c r="BW20" s="822">
        <v>3626.6453938499999</v>
      </c>
      <c r="BX20" s="822">
        <v>3623.0380289999998</v>
      </c>
      <c r="BY20" s="822">
        <v>3622.9704508099999</v>
      </c>
    </row>
    <row r="21" spans="1:77" ht="17.100000000000001" customHeight="1" x14ac:dyDescent="0.2">
      <c r="A21" s="819" t="s">
        <v>588</v>
      </c>
      <c r="B21" s="820">
        <v>18594.729341072874</v>
      </c>
      <c r="C21" s="820">
        <v>19044.324603401274</v>
      </c>
      <c r="D21" s="820">
        <v>22360.668552649873</v>
      </c>
      <c r="E21" s="820">
        <v>21280.181327235212</v>
      </c>
      <c r="F21" s="820">
        <v>22922.517605351597</v>
      </c>
      <c r="G21" s="820">
        <v>21373.307422236627</v>
      </c>
      <c r="H21" s="820">
        <v>18994.907343880179</v>
      </c>
      <c r="I21" s="820">
        <v>20201.11458074515</v>
      </c>
      <c r="J21" s="820">
        <v>25363.924309142734</v>
      </c>
      <c r="K21" s="820">
        <v>25143.319156730104</v>
      </c>
      <c r="L21" s="820">
        <v>24896.11395498427</v>
      </c>
      <c r="M21" s="820">
        <v>24565.283968943342</v>
      </c>
      <c r="N21" s="820">
        <v>23562.209847259786</v>
      </c>
      <c r="O21" s="820">
        <v>24677.444186577806</v>
      </c>
      <c r="P21" s="820">
        <v>23108.200299823584</v>
      </c>
      <c r="Q21" s="820">
        <v>23165.82197285549</v>
      </c>
      <c r="R21" s="820">
        <v>25400.594578360418</v>
      </c>
      <c r="S21" s="820">
        <v>27938.843234947642</v>
      </c>
      <c r="T21" s="820">
        <v>27716.558216280049</v>
      </c>
      <c r="U21" s="820">
        <v>28224.401098000351</v>
      </c>
      <c r="V21" s="820">
        <v>26685.276395961795</v>
      </c>
      <c r="W21" s="820">
        <v>28632.017156241829</v>
      </c>
      <c r="X21" s="820">
        <v>27468.836560251591</v>
      </c>
      <c r="Y21" s="820">
        <v>25309.103500960551</v>
      </c>
      <c r="Z21" s="820">
        <v>27505.896416856463</v>
      </c>
      <c r="AA21" s="820">
        <v>27713.612342122353</v>
      </c>
      <c r="AB21" s="820">
        <v>26807.826071009738</v>
      </c>
      <c r="AC21" s="820">
        <v>26985.714396542317</v>
      </c>
      <c r="AD21" s="820">
        <v>25081.56802680812</v>
      </c>
      <c r="AE21" s="820">
        <v>28660.785956678155</v>
      </c>
      <c r="AF21" s="820">
        <v>29288.080506300139</v>
      </c>
      <c r="AG21" s="820">
        <v>28118.357092553313</v>
      </c>
      <c r="AH21" s="820">
        <v>29731.391392921221</v>
      </c>
      <c r="AI21" s="820">
        <v>29666.838950144462</v>
      </c>
      <c r="AJ21" s="820">
        <v>29564.39343112606</v>
      </c>
      <c r="AK21" s="820">
        <v>29458.966505068092</v>
      </c>
      <c r="AL21" s="820">
        <v>32666.559441311121</v>
      </c>
      <c r="AM21" s="820">
        <v>31434.526478312724</v>
      </c>
      <c r="AN21" s="821">
        <v>34568.136052714675</v>
      </c>
      <c r="AO21" s="822">
        <v>35237.634672762681</v>
      </c>
      <c r="AP21" s="822">
        <v>35321.736417755252</v>
      </c>
      <c r="AQ21" s="822">
        <v>34118.070068315443</v>
      </c>
      <c r="AR21" s="822">
        <v>34349.677520039455</v>
      </c>
      <c r="AS21" s="822">
        <v>36275.025275776556</v>
      </c>
      <c r="AT21" s="822">
        <v>36543.319575843278</v>
      </c>
      <c r="AU21" s="822">
        <v>35664.545571807263</v>
      </c>
      <c r="AV21" s="822">
        <v>34743.13788053047</v>
      </c>
      <c r="AW21" s="822">
        <v>33103.565879656737</v>
      </c>
      <c r="AX21" s="822">
        <v>34695.323937723748</v>
      </c>
      <c r="AY21" s="822">
        <v>35594.439558382459</v>
      </c>
      <c r="AZ21" s="822">
        <v>38156.187542883796</v>
      </c>
      <c r="BA21" s="822">
        <v>38366.123306714959</v>
      </c>
      <c r="BB21" s="822">
        <v>40575.027869459576</v>
      </c>
      <c r="BC21" s="822">
        <v>41144.198700293819</v>
      </c>
      <c r="BD21" s="822">
        <v>38994.040175877031</v>
      </c>
      <c r="BE21" s="822">
        <v>38052.417033983897</v>
      </c>
      <c r="BF21" s="822">
        <v>34606.904911888341</v>
      </c>
      <c r="BG21" s="822">
        <v>34109.909932740469</v>
      </c>
      <c r="BH21" s="822">
        <v>37043.612771806722</v>
      </c>
      <c r="BI21" s="822">
        <v>36678.548153023294</v>
      </c>
      <c r="BJ21" s="822">
        <v>34131.393553218462</v>
      </c>
      <c r="BK21" s="822">
        <v>35765.769668424458</v>
      </c>
      <c r="BL21" s="822">
        <v>44551.988671439511</v>
      </c>
      <c r="BM21" s="822">
        <v>42748.003113312807</v>
      </c>
      <c r="BN21" s="822">
        <v>46880.714875900085</v>
      </c>
      <c r="BO21" s="822">
        <v>51051.107150947049</v>
      </c>
      <c r="BP21" s="822">
        <v>52242.323221041683</v>
      </c>
      <c r="BQ21" s="822">
        <v>54664.162452459925</v>
      </c>
      <c r="BR21" s="822">
        <v>55656.722119757993</v>
      </c>
      <c r="BS21" s="822">
        <v>56465.417236151901</v>
      </c>
      <c r="BT21" s="822">
        <v>55227.297853406679</v>
      </c>
      <c r="BU21" s="822">
        <v>54040.800000000003</v>
      </c>
      <c r="BV21" s="822">
        <v>56739.522353380264</v>
      </c>
      <c r="BW21" s="822">
        <v>58729.86270584767</v>
      </c>
      <c r="BX21" s="822">
        <v>60636.900551802959</v>
      </c>
      <c r="BY21" s="822">
        <v>59357.853390026838</v>
      </c>
    </row>
    <row r="22" spans="1:77" ht="17.100000000000001" customHeight="1" x14ac:dyDescent="0.2">
      <c r="A22" s="819"/>
      <c r="B22" s="820"/>
      <c r="C22" s="820"/>
      <c r="D22" s="820"/>
      <c r="E22" s="820"/>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0"/>
      <c r="AN22" s="821"/>
      <c r="AO22" s="822"/>
      <c r="AP22" s="822"/>
      <c r="AQ22" s="822"/>
      <c r="AR22" s="822"/>
      <c r="AS22" s="822"/>
      <c r="AT22" s="822"/>
      <c r="AU22" s="822"/>
      <c r="AV22" s="822"/>
      <c r="AW22" s="822"/>
      <c r="AX22" s="822"/>
      <c r="AY22" s="822"/>
      <c r="AZ22" s="822"/>
      <c r="BA22" s="822"/>
      <c r="BB22" s="822"/>
      <c r="BC22" s="822"/>
      <c r="BD22" s="822"/>
      <c r="BE22" s="822"/>
      <c r="BF22" s="822"/>
      <c r="BG22" s="822"/>
      <c r="BH22" s="822"/>
      <c r="BI22" s="822"/>
      <c r="BJ22" s="822"/>
      <c r="BK22" s="822"/>
      <c r="BL22" s="822"/>
      <c r="BM22" s="822"/>
      <c r="BN22" s="822"/>
      <c r="BO22" s="822"/>
      <c r="BP22" s="822"/>
      <c r="BQ22" s="822"/>
      <c r="BR22" s="822"/>
      <c r="BS22" s="822"/>
      <c r="BT22" s="822"/>
      <c r="BU22" s="822"/>
      <c r="BV22" s="822"/>
      <c r="BW22" s="822"/>
      <c r="BX22" s="822"/>
      <c r="BY22" s="822"/>
    </row>
    <row r="23" spans="1:77" s="832" customFormat="1" ht="17.100000000000001" customHeight="1" x14ac:dyDescent="0.2">
      <c r="A23" s="828" t="s">
        <v>589</v>
      </c>
      <c r="B23" s="829">
        <v>32306.578817400012</v>
      </c>
      <c r="C23" s="829">
        <v>34188.33114523199</v>
      </c>
      <c r="D23" s="829">
        <v>35018.925947356023</v>
      </c>
      <c r="E23" s="829">
        <v>33972.916107529993</v>
      </c>
      <c r="F23" s="829">
        <v>35004.95288266</v>
      </c>
      <c r="G23" s="829">
        <v>35648.823192611999</v>
      </c>
      <c r="H23" s="829">
        <v>38111.516861294003</v>
      </c>
      <c r="I23" s="829">
        <v>36422.298056900181</v>
      </c>
      <c r="J23" s="829">
        <v>36444.268975505984</v>
      </c>
      <c r="K23" s="829">
        <v>38868.215593329005</v>
      </c>
      <c r="L23" s="829">
        <v>40023.459073578015</v>
      </c>
      <c r="M23" s="829">
        <v>44935.527259708993</v>
      </c>
      <c r="N23" s="829">
        <v>44220.858916644269</v>
      </c>
      <c r="O23" s="829">
        <v>43457.966445986371</v>
      </c>
      <c r="P23" s="829">
        <v>42616.030384142519</v>
      </c>
      <c r="Q23" s="829">
        <v>43519.537135277533</v>
      </c>
      <c r="R23" s="829">
        <v>41534.157818175219</v>
      </c>
      <c r="S23" s="829">
        <v>42236.711518740027</v>
      </c>
      <c r="T23" s="829">
        <v>42073.932863249436</v>
      </c>
      <c r="U23" s="829">
        <v>44194.178056753226</v>
      </c>
      <c r="V23" s="829">
        <v>42292.116239109986</v>
      </c>
      <c r="W23" s="829">
        <v>42459.190507741456</v>
      </c>
      <c r="X23" s="829">
        <v>41967.209031114857</v>
      </c>
      <c r="Y23" s="829">
        <v>48280.871329008005</v>
      </c>
      <c r="Z23" s="829">
        <v>43850.805226809163</v>
      </c>
      <c r="AA23" s="829">
        <v>44901.044054853548</v>
      </c>
      <c r="AB23" s="829">
        <v>44639.243475712952</v>
      </c>
      <c r="AC23" s="829">
        <v>44527.063578379821</v>
      </c>
      <c r="AD23" s="829">
        <v>44662.991762632766</v>
      </c>
      <c r="AE23" s="829">
        <v>45910.968640304593</v>
      </c>
      <c r="AF23" s="829">
        <v>46049.629763321958</v>
      </c>
      <c r="AG23" s="829">
        <v>46185.349601679744</v>
      </c>
      <c r="AH23" s="829">
        <v>47267.960581811938</v>
      </c>
      <c r="AI23" s="829">
        <v>46439.120953461781</v>
      </c>
      <c r="AJ23" s="829">
        <v>45499.109248794244</v>
      </c>
      <c r="AK23" s="829">
        <v>52622.930355556542</v>
      </c>
      <c r="AL23" s="829">
        <v>50086.680642074178</v>
      </c>
      <c r="AM23" s="829">
        <v>52362.47707499667</v>
      </c>
      <c r="AN23" s="830">
        <v>51963.297009955029</v>
      </c>
      <c r="AO23" s="831">
        <v>48815.61419920568</v>
      </c>
      <c r="AP23" s="831">
        <v>52745.513655361865</v>
      </c>
      <c r="AQ23" s="831">
        <v>53094.012917087573</v>
      </c>
      <c r="AR23" s="831">
        <v>54156.365501454675</v>
      </c>
      <c r="AS23" s="831">
        <v>51451.915537680601</v>
      </c>
      <c r="AT23" s="831">
        <v>50185.234077912588</v>
      </c>
      <c r="AU23" s="831">
        <v>51977.864655589321</v>
      </c>
      <c r="AV23" s="831">
        <v>53757.247620448077</v>
      </c>
      <c r="AW23" s="831">
        <v>62350.012215056217</v>
      </c>
      <c r="AX23" s="831">
        <v>58668.651559132835</v>
      </c>
      <c r="AY23" s="831">
        <v>64091.710065448504</v>
      </c>
      <c r="AZ23" s="831">
        <v>62483.452766957605</v>
      </c>
      <c r="BA23" s="831">
        <v>62070.370893171887</v>
      </c>
      <c r="BB23" s="831">
        <v>62582.034079297329</v>
      </c>
      <c r="BC23" s="831">
        <v>62137.039306434432</v>
      </c>
      <c r="BD23" s="831">
        <v>64802.243488136155</v>
      </c>
      <c r="BE23" s="831">
        <v>66521.777726987872</v>
      </c>
      <c r="BF23" s="831">
        <v>63788.91463697319</v>
      </c>
      <c r="BG23" s="831">
        <v>65201.016737300946</v>
      </c>
      <c r="BH23" s="831">
        <v>63358.07491708827</v>
      </c>
      <c r="BI23" s="831">
        <v>67933.588631996783</v>
      </c>
      <c r="BJ23" s="831">
        <v>68888.095794514724</v>
      </c>
      <c r="BK23" s="831">
        <v>70440.636755478976</v>
      </c>
      <c r="BL23" s="831">
        <v>73577.833933835995</v>
      </c>
      <c r="BM23" s="831">
        <v>75159.682994824921</v>
      </c>
      <c r="BN23" s="831">
        <v>70803.746954399961</v>
      </c>
      <c r="BO23" s="831">
        <v>71594.147533339987</v>
      </c>
      <c r="BP23" s="831">
        <v>68773.18355570003</v>
      </c>
      <c r="BQ23" s="831">
        <v>66569.861976039945</v>
      </c>
      <c r="BR23" s="831">
        <v>66947.281883980017</v>
      </c>
      <c r="BS23" s="831">
        <v>71167.770713140038</v>
      </c>
      <c r="BT23" s="831">
        <v>70496.418338069983</v>
      </c>
      <c r="BU23" s="831">
        <v>73569</v>
      </c>
      <c r="BV23" s="831">
        <v>74498.380112810017</v>
      </c>
      <c r="BW23" s="831">
        <v>72917.527185889994</v>
      </c>
      <c r="BX23" s="831">
        <v>69446.043452650003</v>
      </c>
      <c r="BY23" s="831">
        <v>67413.995906789991</v>
      </c>
    </row>
    <row r="24" spans="1:77" ht="15.6" customHeight="1" thickBot="1" x14ac:dyDescent="0.25">
      <c r="A24" s="837"/>
      <c r="B24" s="838"/>
      <c r="C24" s="838"/>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c r="AO24" s="838"/>
      <c r="AP24" s="838"/>
      <c r="AQ24" s="838"/>
      <c r="AR24" s="838"/>
      <c r="AS24" s="838"/>
      <c r="AT24" s="838"/>
      <c r="AU24" s="838"/>
      <c r="AV24" s="838"/>
      <c r="AW24" s="838"/>
      <c r="AX24" s="838"/>
      <c r="AY24" s="838"/>
      <c r="AZ24" s="838"/>
      <c r="BA24" s="838"/>
      <c r="BB24" s="838"/>
      <c r="BC24" s="838"/>
      <c r="BD24" s="838"/>
      <c r="BE24" s="838"/>
      <c r="BF24" s="838"/>
      <c r="BG24" s="838"/>
      <c r="BH24" s="838"/>
      <c r="BI24" s="838"/>
      <c r="BJ24" s="838"/>
      <c r="BK24" s="838"/>
      <c r="BL24" s="838"/>
      <c r="BM24" s="838"/>
      <c r="BN24" s="838"/>
      <c r="BO24" s="838"/>
      <c r="BP24" s="838"/>
      <c r="BQ24" s="838"/>
      <c r="BR24" s="838"/>
      <c r="BS24" s="838"/>
      <c r="BT24" s="838"/>
      <c r="BU24" s="838"/>
      <c r="BV24" s="838"/>
      <c r="BW24" s="838"/>
      <c r="BX24" s="838"/>
      <c r="BY24" s="838"/>
    </row>
    <row r="25" spans="1:77" ht="15.75" thickTop="1" x14ac:dyDescent="0.2">
      <c r="A25" s="808" t="s">
        <v>239</v>
      </c>
      <c r="B25" s="839"/>
      <c r="C25" s="839"/>
      <c r="D25" s="840"/>
      <c r="E25" s="840"/>
      <c r="F25" s="840"/>
      <c r="G25" s="840"/>
      <c r="H25" s="840"/>
      <c r="I25" s="840"/>
      <c r="J25" s="840"/>
      <c r="K25" s="840"/>
      <c r="L25" s="840"/>
      <c r="M25" s="840"/>
      <c r="N25" s="840"/>
      <c r="O25" s="840"/>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c r="AN25" s="840"/>
      <c r="AO25" s="840"/>
      <c r="AP25" s="840"/>
      <c r="AQ25" s="840"/>
      <c r="AR25" s="840"/>
      <c r="AS25" s="840"/>
      <c r="AT25" s="840"/>
      <c r="AU25" s="840"/>
      <c r="AV25" s="840"/>
    </row>
    <row r="26" spans="1:77" ht="15" x14ac:dyDescent="0.2">
      <c r="A26" s="808" t="s">
        <v>179</v>
      </c>
      <c r="B26" s="839"/>
      <c r="C26" s="839"/>
      <c r="D26" s="840"/>
      <c r="E26" s="840"/>
      <c r="F26" s="840"/>
      <c r="G26" s="840"/>
      <c r="H26" s="840"/>
      <c r="I26" s="840"/>
      <c r="J26" s="840"/>
      <c r="K26" s="840"/>
      <c r="L26" s="840"/>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0"/>
      <c r="AQ26" s="840"/>
      <c r="AR26" s="840"/>
      <c r="AS26" s="840"/>
      <c r="AT26" s="840"/>
      <c r="AU26" s="840"/>
      <c r="AV26" s="840"/>
    </row>
    <row r="27" spans="1:77" ht="15" x14ac:dyDescent="0.2">
      <c r="A27" s="840"/>
      <c r="B27" s="839"/>
      <c r="C27" s="839"/>
      <c r="D27" s="840"/>
      <c r="E27" s="840"/>
      <c r="F27" s="840"/>
      <c r="G27" s="840"/>
      <c r="H27" s="840"/>
      <c r="I27" s="840"/>
      <c r="J27" s="840"/>
      <c r="K27" s="840"/>
      <c r="L27" s="840"/>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840"/>
      <c r="AO27" s="840"/>
      <c r="AP27" s="840"/>
      <c r="AQ27" s="840"/>
      <c r="AR27" s="840"/>
      <c r="AS27" s="840"/>
      <c r="AT27" s="840"/>
      <c r="AU27" s="840"/>
      <c r="AV27" s="840"/>
    </row>
    <row r="28" spans="1:77" ht="25.5" customHeight="1" x14ac:dyDescent="0.2">
      <c r="A28" s="798" t="s">
        <v>590</v>
      </c>
      <c r="B28" s="823"/>
      <c r="C28" s="823"/>
      <c r="AQ28" s="798"/>
      <c r="AR28" s="823"/>
      <c r="AS28" s="823"/>
    </row>
    <row r="29" spans="1:77" ht="3.75" hidden="1" customHeight="1" x14ac:dyDescent="0.2">
      <c r="B29" s="823"/>
      <c r="C29" s="823"/>
    </row>
    <row r="30" spans="1:77" s="803" customFormat="1" ht="15.75" thickBot="1" x14ac:dyDescent="0.25">
      <c r="B30" s="804"/>
      <c r="C30" s="804"/>
      <c r="F30" s="804"/>
      <c r="U30" s="806"/>
      <c r="V30" s="806"/>
      <c r="AA30" s="803" t="s">
        <v>575</v>
      </c>
      <c r="AB30" s="806"/>
      <c r="AD30" s="806"/>
      <c r="AF30" s="806"/>
      <c r="AH30" s="806"/>
      <c r="AI30" s="806"/>
      <c r="AM30" s="806"/>
      <c r="AN30" s="806"/>
      <c r="AP30" s="806"/>
      <c r="AQ30" s="806"/>
      <c r="AR30" s="806"/>
      <c r="AU30" s="806"/>
      <c r="AV30" s="806"/>
      <c r="AX30" s="806"/>
      <c r="AY30" s="806"/>
      <c r="BB30" s="807"/>
      <c r="BC30" s="807"/>
      <c r="BD30" s="807"/>
      <c r="BE30" s="807"/>
      <c r="BF30" s="807"/>
      <c r="BW30" s="808"/>
      <c r="BX30" s="808"/>
      <c r="BY30" s="808" t="s">
        <v>73</v>
      </c>
    </row>
    <row r="31" spans="1:77" ht="18.75" thickTop="1" thickBot="1" x14ac:dyDescent="0.25">
      <c r="A31" s="841"/>
      <c r="B31" s="842">
        <f t="shared" ref="B31:J31" si="0">B3</f>
        <v>40193</v>
      </c>
      <c r="C31" s="842">
        <f t="shared" si="0"/>
        <v>40224</v>
      </c>
      <c r="D31" s="842">
        <f t="shared" si="0"/>
        <v>40252</v>
      </c>
      <c r="E31" s="842">
        <f t="shared" si="0"/>
        <v>40284</v>
      </c>
      <c r="F31" s="842">
        <f t="shared" si="0"/>
        <v>40316</v>
      </c>
      <c r="G31" s="842">
        <f t="shared" si="0"/>
        <v>40347</v>
      </c>
      <c r="H31" s="842">
        <f t="shared" si="0"/>
        <v>40377</v>
      </c>
      <c r="I31" s="842">
        <f t="shared" si="0"/>
        <v>40408</v>
      </c>
      <c r="J31" s="842">
        <f t="shared" si="0"/>
        <v>40439</v>
      </c>
      <c r="K31" s="842">
        <v>40452</v>
      </c>
      <c r="L31" s="842">
        <v>40483</v>
      </c>
      <c r="M31" s="843">
        <f t="shared" ref="M31:R31" si="1">M3</f>
        <v>40530</v>
      </c>
      <c r="N31" s="844">
        <f t="shared" si="1"/>
        <v>40561</v>
      </c>
      <c r="O31" s="844">
        <f t="shared" si="1"/>
        <v>40592</v>
      </c>
      <c r="P31" s="844">
        <f t="shared" si="1"/>
        <v>40620</v>
      </c>
      <c r="Q31" s="844">
        <f t="shared" si="1"/>
        <v>40651</v>
      </c>
      <c r="R31" s="844">
        <f t="shared" si="1"/>
        <v>40681</v>
      </c>
      <c r="S31" s="844">
        <f>S3</f>
        <v>40712</v>
      </c>
      <c r="T31" s="844">
        <f>T3</f>
        <v>40742</v>
      </c>
      <c r="U31" s="844">
        <f>U3</f>
        <v>40773</v>
      </c>
      <c r="V31" s="844">
        <f>V3</f>
        <v>40804</v>
      </c>
      <c r="W31" s="844">
        <f>W3</f>
        <v>40834</v>
      </c>
      <c r="X31" s="844">
        <v>40848</v>
      </c>
      <c r="Y31" s="844">
        <f t="shared" ref="Y31:AP31" si="2">Y3</f>
        <v>40895</v>
      </c>
      <c r="Z31" s="844">
        <f t="shared" si="2"/>
        <v>40926</v>
      </c>
      <c r="AA31" s="844">
        <f t="shared" si="2"/>
        <v>40957</v>
      </c>
      <c r="AB31" s="844">
        <f t="shared" si="2"/>
        <v>40986</v>
      </c>
      <c r="AC31" s="844">
        <f t="shared" si="2"/>
        <v>41017</v>
      </c>
      <c r="AD31" s="844">
        <f t="shared" si="2"/>
        <v>41047</v>
      </c>
      <c r="AE31" s="844">
        <f>AE3</f>
        <v>41078</v>
      </c>
      <c r="AF31" s="844">
        <f t="shared" si="2"/>
        <v>41108</v>
      </c>
      <c r="AG31" s="844">
        <f>AG3</f>
        <v>41139</v>
      </c>
      <c r="AH31" s="844">
        <f t="shared" si="2"/>
        <v>41170</v>
      </c>
      <c r="AI31" s="844">
        <f t="shared" si="2"/>
        <v>41200</v>
      </c>
      <c r="AJ31" s="844">
        <f t="shared" si="2"/>
        <v>41231</v>
      </c>
      <c r="AK31" s="844">
        <f t="shared" si="2"/>
        <v>41261</v>
      </c>
      <c r="AL31" s="844">
        <f t="shared" si="2"/>
        <v>41292</v>
      </c>
      <c r="AM31" s="844">
        <f t="shared" si="2"/>
        <v>41323</v>
      </c>
      <c r="AN31" s="844">
        <f t="shared" si="2"/>
        <v>41351</v>
      </c>
      <c r="AO31" s="812">
        <f>AO3</f>
        <v>41382</v>
      </c>
      <c r="AP31" s="812">
        <f t="shared" si="2"/>
        <v>41412</v>
      </c>
      <c r="AQ31" s="812">
        <f>AQ3</f>
        <v>41443</v>
      </c>
      <c r="AR31" s="812">
        <f>AR3</f>
        <v>41473</v>
      </c>
      <c r="AS31" s="812">
        <f>AS3</f>
        <v>41504</v>
      </c>
      <c r="AT31" s="812">
        <v>41535</v>
      </c>
      <c r="AU31" s="812">
        <f t="shared" ref="AU31:BY31" si="3">AU3</f>
        <v>41565</v>
      </c>
      <c r="AV31" s="812">
        <f t="shared" si="3"/>
        <v>41596</v>
      </c>
      <c r="AW31" s="812">
        <f t="shared" si="3"/>
        <v>41626</v>
      </c>
      <c r="AX31" s="812">
        <f t="shared" si="3"/>
        <v>41657</v>
      </c>
      <c r="AY31" s="812">
        <f t="shared" si="3"/>
        <v>41688</v>
      </c>
      <c r="AZ31" s="812">
        <f t="shared" si="3"/>
        <v>41716</v>
      </c>
      <c r="BA31" s="812">
        <f t="shared" si="3"/>
        <v>41748</v>
      </c>
      <c r="BB31" s="812">
        <f t="shared" si="3"/>
        <v>41780</v>
      </c>
      <c r="BC31" s="812">
        <f t="shared" si="3"/>
        <v>41812</v>
      </c>
      <c r="BD31" s="812">
        <f t="shared" si="3"/>
        <v>41842</v>
      </c>
      <c r="BE31" s="812">
        <f t="shared" si="3"/>
        <v>41873</v>
      </c>
      <c r="BF31" s="812">
        <f t="shared" si="3"/>
        <v>41904</v>
      </c>
      <c r="BG31" s="812">
        <f t="shared" si="3"/>
        <v>41934</v>
      </c>
      <c r="BH31" s="812">
        <f t="shared" si="3"/>
        <v>41966</v>
      </c>
      <c r="BI31" s="812">
        <f t="shared" si="3"/>
        <v>41996</v>
      </c>
      <c r="BJ31" s="812">
        <f t="shared" si="3"/>
        <v>42034</v>
      </c>
      <c r="BK31" s="812">
        <f t="shared" si="3"/>
        <v>42062</v>
      </c>
      <c r="BL31" s="812">
        <f t="shared" si="3"/>
        <v>42090</v>
      </c>
      <c r="BM31" s="812">
        <f t="shared" si="3"/>
        <v>42121</v>
      </c>
      <c r="BN31" s="812">
        <f t="shared" si="3"/>
        <v>42151</v>
      </c>
      <c r="BO31" s="812">
        <f t="shared" si="3"/>
        <v>42182</v>
      </c>
      <c r="BP31" s="812">
        <f t="shared" si="3"/>
        <v>42212</v>
      </c>
      <c r="BQ31" s="812">
        <f t="shared" si="3"/>
        <v>42243</v>
      </c>
      <c r="BR31" s="812">
        <f t="shared" si="3"/>
        <v>42274</v>
      </c>
      <c r="BS31" s="812">
        <f t="shared" si="3"/>
        <v>42304</v>
      </c>
      <c r="BT31" s="812">
        <f t="shared" si="3"/>
        <v>42335</v>
      </c>
      <c r="BU31" s="812">
        <f t="shared" si="3"/>
        <v>42365</v>
      </c>
      <c r="BV31" s="812">
        <f t="shared" si="3"/>
        <v>42396</v>
      </c>
      <c r="BW31" s="812">
        <f t="shared" si="3"/>
        <v>42427</v>
      </c>
      <c r="BX31" s="812">
        <f t="shared" si="3"/>
        <v>42456</v>
      </c>
      <c r="BY31" s="812">
        <f t="shared" si="3"/>
        <v>42487</v>
      </c>
    </row>
    <row r="32" spans="1:77" ht="18.75" thickTop="1" thickBot="1" x14ac:dyDescent="0.25">
      <c r="A32" s="814" t="s">
        <v>591</v>
      </c>
      <c r="B32" s="816"/>
      <c r="C32" s="816"/>
      <c r="D32" s="816"/>
      <c r="E32" s="816"/>
      <c r="F32" s="816"/>
      <c r="G32" s="816"/>
      <c r="H32" s="816"/>
      <c r="I32" s="816"/>
      <c r="J32" s="816"/>
      <c r="K32" s="816"/>
      <c r="L32" s="816"/>
      <c r="M32" s="816"/>
      <c r="N32" s="816"/>
      <c r="O32" s="816"/>
      <c r="P32" s="816"/>
      <c r="Q32" s="816"/>
      <c r="R32" s="816"/>
      <c r="S32" s="816"/>
      <c r="T32" s="816"/>
      <c r="U32" s="816"/>
      <c r="V32" s="816"/>
      <c r="W32" s="816"/>
      <c r="X32" s="816"/>
      <c r="Y32" s="816"/>
      <c r="Z32" s="816"/>
      <c r="AA32" s="816"/>
      <c r="AB32" s="816"/>
      <c r="AC32" s="816"/>
      <c r="AD32" s="816"/>
      <c r="AE32" s="816"/>
      <c r="AF32" s="816"/>
      <c r="AG32" s="816"/>
      <c r="AH32" s="816"/>
      <c r="AI32" s="816"/>
      <c r="AJ32" s="816"/>
      <c r="AK32" s="816"/>
      <c r="AL32" s="816"/>
      <c r="AM32" s="816"/>
      <c r="AN32" s="816"/>
      <c r="AO32" s="816"/>
      <c r="AP32" s="816"/>
      <c r="AQ32" s="816"/>
      <c r="AR32" s="816"/>
      <c r="AS32" s="816"/>
      <c r="AT32" s="816"/>
      <c r="AU32" s="816"/>
      <c r="AV32" s="816"/>
      <c r="AW32" s="816"/>
      <c r="AX32" s="816"/>
      <c r="AY32" s="816"/>
      <c r="AZ32" s="816"/>
      <c r="BA32" s="816"/>
      <c r="BB32" s="816"/>
      <c r="BC32" s="816"/>
      <c r="BD32" s="816"/>
      <c r="BE32" s="816"/>
      <c r="BF32" s="816"/>
      <c r="BG32" s="816"/>
      <c r="BH32" s="816"/>
      <c r="BI32" s="816"/>
      <c r="BJ32" s="816"/>
      <c r="BK32" s="816"/>
      <c r="BL32" s="816"/>
      <c r="BM32" s="816"/>
      <c r="BN32" s="816"/>
      <c r="BO32" s="816"/>
      <c r="BP32" s="816"/>
      <c r="BQ32" s="816"/>
      <c r="BR32" s="816"/>
      <c r="BS32" s="816"/>
      <c r="BT32" s="816"/>
      <c r="BU32" s="816"/>
      <c r="BV32" s="816"/>
      <c r="BW32" s="816"/>
      <c r="BX32" s="816"/>
      <c r="BY32" s="816"/>
    </row>
    <row r="33" spans="1:78" ht="17.100000000000001" customHeight="1" thickTop="1" x14ac:dyDescent="0.2">
      <c r="A33" s="817"/>
      <c r="B33" s="818"/>
      <c r="C33" s="818"/>
      <c r="D33" s="818"/>
      <c r="E33" s="818"/>
      <c r="F33" s="818"/>
      <c r="G33" s="818"/>
      <c r="H33" s="818"/>
      <c r="I33" s="818"/>
      <c r="J33" s="818"/>
      <c r="K33" s="818"/>
      <c r="L33" s="818"/>
      <c r="M33" s="818"/>
      <c r="N33" s="818"/>
      <c r="O33" s="818"/>
      <c r="P33" s="818"/>
      <c r="Q33" s="818"/>
      <c r="R33" s="818"/>
      <c r="S33" s="818"/>
      <c r="T33" s="818"/>
      <c r="U33" s="818"/>
      <c r="V33" s="818"/>
      <c r="W33" s="818"/>
      <c r="X33" s="845"/>
      <c r="Y33" s="845"/>
      <c r="Z33" s="845"/>
      <c r="AA33" s="845"/>
      <c r="AB33" s="845"/>
      <c r="AC33" s="845"/>
      <c r="AD33" s="845"/>
      <c r="AE33" s="845"/>
      <c r="AF33" s="845"/>
      <c r="AG33" s="845"/>
      <c r="AH33" s="845"/>
      <c r="AI33" s="845"/>
      <c r="AJ33" s="845"/>
      <c r="AK33" s="845"/>
      <c r="AL33" s="845"/>
      <c r="AM33" s="845"/>
      <c r="AN33" s="845"/>
      <c r="AO33" s="845"/>
      <c r="AP33" s="845"/>
      <c r="AQ33" s="845"/>
      <c r="AR33" s="845"/>
      <c r="AS33" s="845"/>
      <c r="AT33" s="845"/>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5"/>
    </row>
    <row r="34" spans="1:78" ht="17.100000000000001" customHeight="1" x14ac:dyDescent="0.2">
      <c r="A34" s="819" t="s">
        <v>577</v>
      </c>
      <c r="B34" s="846">
        <v>16171.960026841443</v>
      </c>
      <c r="C34" s="846">
        <v>15979.918504390556</v>
      </c>
      <c r="D34" s="846">
        <v>15845.174678718537</v>
      </c>
      <c r="E34" s="846">
        <v>16036.327574022573</v>
      </c>
      <c r="F34" s="846">
        <v>16227.254416493004</v>
      </c>
      <c r="G34" s="846">
        <v>15904.557043885216</v>
      </c>
      <c r="H34" s="846">
        <v>16369.721227265134</v>
      </c>
      <c r="I34" s="846">
        <v>16281.24484228429</v>
      </c>
      <c r="J34" s="846">
        <v>16241.980758452173</v>
      </c>
      <c r="K34" s="846">
        <v>16473.996105313156</v>
      </c>
      <c r="L34" s="846">
        <v>16722.43897559122</v>
      </c>
      <c r="M34" s="820">
        <v>18975.006270668913</v>
      </c>
      <c r="N34" s="820">
        <v>18010.593082900665</v>
      </c>
      <c r="O34" s="820">
        <v>17749.329653375997</v>
      </c>
      <c r="P34" s="820">
        <v>17492.407133231845</v>
      </c>
      <c r="Q34" s="820">
        <v>17646.497592686108</v>
      </c>
      <c r="R34" s="820">
        <v>17594.772439179418</v>
      </c>
      <c r="S34" s="820">
        <v>17516.570954198032</v>
      </c>
      <c r="T34" s="820">
        <v>18045.280669068587</v>
      </c>
      <c r="U34" s="820">
        <v>18269.489570318754</v>
      </c>
      <c r="V34" s="820">
        <v>17957.873646394448</v>
      </c>
      <c r="W34" s="820">
        <v>18294.304306683174</v>
      </c>
      <c r="X34" s="820">
        <v>17891.407119467123</v>
      </c>
      <c r="Y34" s="820">
        <v>20307.786446312803</v>
      </c>
      <c r="Z34" s="820">
        <v>19209.573208944614</v>
      </c>
      <c r="AA34" s="820">
        <v>18923.022119759324</v>
      </c>
      <c r="AB34" s="820">
        <v>18978.695497382185</v>
      </c>
      <c r="AC34" s="820">
        <v>18961.549992068223</v>
      </c>
      <c r="AD34" s="820">
        <v>18678.032246711129</v>
      </c>
      <c r="AE34" s="820">
        <v>19013.633662171222</v>
      </c>
      <c r="AF34" s="820">
        <v>19228.031835841684</v>
      </c>
      <c r="AG34" s="820">
        <v>19287.1599017013</v>
      </c>
      <c r="AH34" s="820">
        <v>19233.798105900336</v>
      </c>
      <c r="AI34" s="820">
        <v>19257.554559318654</v>
      </c>
      <c r="AJ34" s="820">
        <v>19629.552590686864</v>
      </c>
      <c r="AK34" s="820">
        <v>22169.717386902448</v>
      </c>
      <c r="AL34" s="820">
        <v>20964.304899561892</v>
      </c>
      <c r="AM34" s="820">
        <v>20780.286985424955</v>
      </c>
      <c r="AN34" s="821">
        <v>20987.016268127656</v>
      </c>
      <c r="AO34" s="822">
        <v>20656.089712851328</v>
      </c>
      <c r="AP34" s="822">
        <v>20557.306859228109</v>
      </c>
      <c r="AQ34" s="822">
        <v>20523.48661882988</v>
      </c>
      <c r="AR34" s="822">
        <v>20820.159883091204</v>
      </c>
      <c r="AS34" s="822">
        <v>20987.512445111654</v>
      </c>
      <c r="AT34" s="822">
        <v>20664.185177378316</v>
      </c>
      <c r="AU34" s="822">
        <v>20702.891560809614</v>
      </c>
      <c r="AV34" s="822">
        <v>20888.105552438185</v>
      </c>
      <c r="AW34" s="822">
        <v>23316.684992015878</v>
      </c>
      <c r="AX34" s="822">
        <v>22265.883860057205</v>
      </c>
      <c r="AY34" s="822">
        <v>22077.566872167037</v>
      </c>
      <c r="AZ34" s="822">
        <v>22090.400144122301</v>
      </c>
      <c r="BA34" s="822">
        <v>21718.536421617555</v>
      </c>
      <c r="BB34" s="822">
        <v>21737.2264592838</v>
      </c>
      <c r="BC34" s="822">
        <v>21684.992832060678</v>
      </c>
      <c r="BD34" s="822">
        <v>22175.789473345048</v>
      </c>
      <c r="BE34" s="822">
        <v>22196.112731025903</v>
      </c>
      <c r="BF34" s="822">
        <v>21848.23998536943</v>
      </c>
      <c r="BG34" s="822">
        <v>22102.50724703589</v>
      </c>
      <c r="BH34" s="822">
        <v>22503.624769895934</v>
      </c>
      <c r="BI34" s="822">
        <v>25391.16857677501</v>
      </c>
      <c r="BJ34" s="822">
        <v>24029.803890028252</v>
      </c>
      <c r="BK34" s="822">
        <v>24013.562842210038</v>
      </c>
      <c r="BL34" s="822">
        <v>23784.870318967191</v>
      </c>
      <c r="BM34" s="822">
        <v>23912.218911613985</v>
      </c>
      <c r="BN34" s="822">
        <v>24220.596316528303</v>
      </c>
      <c r="BO34" s="822">
        <v>24017.50101763201</v>
      </c>
      <c r="BP34" s="822">
        <v>24588.241511306522</v>
      </c>
      <c r="BQ34" s="822">
        <v>24794.334919669374</v>
      </c>
      <c r="BR34" s="822">
        <v>24354.580198828076</v>
      </c>
      <c r="BS34" s="822">
        <v>24815.527936131883</v>
      </c>
      <c r="BT34" s="822">
        <v>25002.24008601328</v>
      </c>
      <c r="BU34" s="822">
        <v>27638</v>
      </c>
      <c r="BV34" s="822">
        <v>26531.097152112925</v>
      </c>
      <c r="BW34" s="822">
        <v>26526.899703812975</v>
      </c>
      <c r="BX34" s="822">
        <v>26183.738862633141</v>
      </c>
      <c r="BY34" s="822">
        <v>26254.514732054799</v>
      </c>
    </row>
    <row r="35" spans="1:78" ht="17.100000000000001" customHeight="1" x14ac:dyDescent="0.2">
      <c r="A35" s="819" t="s">
        <v>592</v>
      </c>
      <c r="B35" s="820">
        <v>40778.275187430925</v>
      </c>
      <c r="C35" s="820">
        <v>41253.842961923954</v>
      </c>
      <c r="D35" s="820">
        <v>41718.903483492526</v>
      </c>
      <c r="E35" s="820">
        <v>40728.664471195079</v>
      </c>
      <c r="F35" s="820">
        <v>42338.899104886746</v>
      </c>
      <c r="G35" s="820">
        <v>42597.162427818723</v>
      </c>
      <c r="H35" s="820">
        <v>41525.17017672865</v>
      </c>
      <c r="I35" s="847">
        <v>39239.536296707149</v>
      </c>
      <c r="J35" s="820">
        <v>40109.351808269705</v>
      </c>
      <c r="K35" s="820">
        <v>39347.771079334299</v>
      </c>
      <c r="L35" s="820">
        <v>40898.313682190288</v>
      </c>
      <c r="M35" s="820">
        <v>43000.069884701174</v>
      </c>
      <c r="N35" s="820">
        <v>41841.148543764917</v>
      </c>
      <c r="O35" s="820">
        <v>41301.664667729528</v>
      </c>
      <c r="P35" s="820">
        <v>41296.012984383786</v>
      </c>
      <c r="Q35" s="820">
        <v>41679.869806559705</v>
      </c>
      <c r="R35" s="820">
        <v>41985.889497661832</v>
      </c>
      <c r="S35" s="820">
        <v>42755.141006629812</v>
      </c>
      <c r="T35" s="820">
        <v>42254.834489744389</v>
      </c>
      <c r="U35" s="820">
        <v>42980.805637260957</v>
      </c>
      <c r="V35" s="820">
        <v>44148.611416947999</v>
      </c>
      <c r="W35" s="820">
        <v>43832.130459692009</v>
      </c>
      <c r="X35" s="820">
        <v>44641.021211180429</v>
      </c>
      <c r="Y35" s="820">
        <v>46046.070744401644</v>
      </c>
      <c r="Z35" s="820">
        <v>45729.838909944905</v>
      </c>
      <c r="AA35" s="820">
        <v>44941.375797335313</v>
      </c>
      <c r="AB35" s="820">
        <v>44614.429885332036</v>
      </c>
      <c r="AC35" s="820">
        <v>45519.946839365526</v>
      </c>
      <c r="AD35" s="820">
        <v>45432.568413154608</v>
      </c>
      <c r="AE35" s="820">
        <v>46717.272459071974</v>
      </c>
      <c r="AF35" s="820">
        <v>46052.205065638824</v>
      </c>
      <c r="AG35" s="820">
        <v>46389.7022310256</v>
      </c>
      <c r="AH35" s="820">
        <v>47672.224048485099</v>
      </c>
      <c r="AI35" s="820">
        <v>47585.347023981885</v>
      </c>
      <c r="AJ35" s="820">
        <v>48727.457930327677</v>
      </c>
      <c r="AK35" s="820">
        <v>50420.556341701784</v>
      </c>
      <c r="AL35" s="820">
        <v>48297.992423417483</v>
      </c>
      <c r="AM35" s="820">
        <v>48361.353137456848</v>
      </c>
      <c r="AN35" s="821">
        <v>49236.471153001934</v>
      </c>
      <c r="AO35" s="822">
        <v>48632.236213688921</v>
      </c>
      <c r="AP35" s="822">
        <v>48083.418249956274</v>
      </c>
      <c r="AQ35" s="822">
        <v>49267.611315663285</v>
      </c>
      <c r="AR35" s="822">
        <v>50717.364258537877</v>
      </c>
      <c r="AS35" s="822">
        <v>50162.956167679818</v>
      </c>
      <c r="AT35" s="822">
        <v>50320.436850313919</v>
      </c>
      <c r="AU35" s="822">
        <v>49934.383856665176</v>
      </c>
      <c r="AV35" s="822">
        <v>51340.812181635367</v>
      </c>
      <c r="AW35" s="822">
        <v>53738.075257476179</v>
      </c>
      <c r="AX35" s="822">
        <v>54650.663169846477</v>
      </c>
      <c r="AY35" s="822">
        <v>55420.236272043381</v>
      </c>
      <c r="AZ35" s="822">
        <v>53032.526998978967</v>
      </c>
      <c r="BA35" s="822">
        <v>55480.542473895475</v>
      </c>
      <c r="BB35" s="822">
        <v>56140.632312318136</v>
      </c>
      <c r="BC35" s="822">
        <v>56163.12871379526</v>
      </c>
      <c r="BD35" s="822">
        <v>55051.642218966874</v>
      </c>
      <c r="BE35" s="822">
        <v>55279.861213140328</v>
      </c>
      <c r="BF35" s="822">
        <v>55235.812488913296</v>
      </c>
      <c r="BG35" s="822">
        <v>55555.455150838417</v>
      </c>
      <c r="BH35" s="822">
        <v>57597.984613287641</v>
      </c>
      <c r="BI35" s="822">
        <v>58188.143193219817</v>
      </c>
      <c r="BJ35" s="822">
        <v>57595.147695357453</v>
      </c>
      <c r="BK35" s="822">
        <v>57986.36209078753</v>
      </c>
      <c r="BL35" s="822">
        <v>59336.840310558429</v>
      </c>
      <c r="BM35" s="822">
        <v>61511.329603465965</v>
      </c>
      <c r="BN35" s="822">
        <v>63380.952621420227</v>
      </c>
      <c r="BO35" s="822">
        <v>62551.008656236438</v>
      </c>
      <c r="BP35" s="822">
        <v>62697.768711921519</v>
      </c>
      <c r="BQ35" s="822">
        <v>64060.926525966526</v>
      </c>
      <c r="BR35" s="822">
        <v>64510.236414228064</v>
      </c>
      <c r="BS35" s="822">
        <v>62416.697026102986</v>
      </c>
      <c r="BT35" s="822">
        <v>61479.989161557969</v>
      </c>
      <c r="BU35" s="822">
        <v>63761</v>
      </c>
      <c r="BV35" s="822">
        <v>63137.208082431578</v>
      </c>
      <c r="BW35" s="822">
        <v>63506.010250482621</v>
      </c>
      <c r="BX35" s="822">
        <v>64561.73649770279</v>
      </c>
      <c r="BY35" s="822">
        <v>65444.849449784233</v>
      </c>
    </row>
    <row r="36" spans="1:78" s="851" customFormat="1" ht="17.100000000000001" customHeight="1" x14ac:dyDescent="0.2">
      <c r="A36" s="828" t="s">
        <v>593</v>
      </c>
      <c r="B36" s="848">
        <v>56950.235214272368</v>
      </c>
      <c r="C36" s="848">
        <v>57233.761466314507</v>
      </c>
      <c r="D36" s="848">
        <v>57564.078162211066</v>
      </c>
      <c r="E36" s="848">
        <v>56764.992045217652</v>
      </c>
      <c r="F36" s="848">
        <v>58566.153521379747</v>
      </c>
      <c r="G36" s="848">
        <v>58501.719471703938</v>
      </c>
      <c r="H36" s="848">
        <v>57894.891403993781</v>
      </c>
      <c r="I36" s="848">
        <v>55520.781138991442</v>
      </c>
      <c r="J36" s="848">
        <v>56351.332566721874</v>
      </c>
      <c r="K36" s="848">
        <v>55821.767184647455</v>
      </c>
      <c r="L36" s="848">
        <v>57620.752657781508</v>
      </c>
      <c r="M36" s="848">
        <v>61975.076155370087</v>
      </c>
      <c r="N36" s="848">
        <v>59851.741626665578</v>
      </c>
      <c r="O36" s="848">
        <v>59050.994321105522</v>
      </c>
      <c r="P36" s="848">
        <v>58788.420117615635</v>
      </c>
      <c r="Q36" s="848">
        <v>59326.367399245813</v>
      </c>
      <c r="R36" s="848">
        <v>59580.66193684125</v>
      </c>
      <c r="S36" s="848">
        <v>60271.711960827844</v>
      </c>
      <c r="T36" s="848">
        <v>60300.115158812972</v>
      </c>
      <c r="U36" s="848">
        <v>61250.295207579707</v>
      </c>
      <c r="V36" s="848">
        <v>62106.48506334245</v>
      </c>
      <c r="W36" s="848">
        <v>62126.434766375183</v>
      </c>
      <c r="X36" s="848">
        <v>62532.428330647555</v>
      </c>
      <c r="Y36" s="848">
        <v>66353.857190714451</v>
      </c>
      <c r="Z36" s="848">
        <v>64939.412118889522</v>
      </c>
      <c r="AA36" s="848">
        <v>63864.39791709464</v>
      </c>
      <c r="AB36" s="848">
        <v>63593.125382714221</v>
      </c>
      <c r="AC36" s="848">
        <v>64481.496831433746</v>
      </c>
      <c r="AD36" s="848">
        <v>64110.60065986574</v>
      </c>
      <c r="AE36" s="848">
        <v>65730.906121243199</v>
      </c>
      <c r="AF36" s="848">
        <v>65280.236901480508</v>
      </c>
      <c r="AG36" s="848">
        <v>65676.862132726907</v>
      </c>
      <c r="AH36" s="848">
        <v>66906.022154385428</v>
      </c>
      <c r="AI36" s="848">
        <v>66842.90158330054</v>
      </c>
      <c r="AJ36" s="848">
        <v>68357.010521014541</v>
      </c>
      <c r="AK36" s="848">
        <v>72590.273728604225</v>
      </c>
      <c r="AL36" s="848">
        <v>69262.297322979372</v>
      </c>
      <c r="AM36" s="848">
        <v>69141.640122881799</v>
      </c>
      <c r="AN36" s="849">
        <v>70223.487421129597</v>
      </c>
      <c r="AO36" s="850">
        <v>69288.325926540245</v>
      </c>
      <c r="AP36" s="850">
        <v>68640.225109184379</v>
      </c>
      <c r="AQ36" s="850">
        <v>69791.097934493169</v>
      </c>
      <c r="AR36" s="850">
        <v>71537.524141629081</v>
      </c>
      <c r="AS36" s="850">
        <v>71150.468612791476</v>
      </c>
      <c r="AT36" s="850">
        <v>70983.622027692239</v>
      </c>
      <c r="AU36" s="850">
        <v>70637.275417474797</v>
      </c>
      <c r="AV36" s="850">
        <v>72228.917734073548</v>
      </c>
      <c r="AW36" s="850">
        <v>77054.760249492057</v>
      </c>
      <c r="AX36" s="850">
        <v>76916.547029903682</v>
      </c>
      <c r="AY36" s="850">
        <v>77497.803144210426</v>
      </c>
      <c r="AZ36" s="850">
        <v>75122.92714310126</v>
      </c>
      <c r="BA36" s="850">
        <v>77199.078895513027</v>
      </c>
      <c r="BB36" s="850">
        <v>77877.858771601939</v>
      </c>
      <c r="BC36" s="850">
        <v>77848.121545855945</v>
      </c>
      <c r="BD36" s="850">
        <v>77227.431692311919</v>
      </c>
      <c r="BE36" s="850">
        <v>77475.973944166239</v>
      </c>
      <c r="BF36" s="850">
        <v>77084.052474282726</v>
      </c>
      <c r="BG36" s="850">
        <v>77657.962397874304</v>
      </c>
      <c r="BH36" s="850">
        <v>80101.609383183575</v>
      </c>
      <c r="BI36" s="850">
        <v>83579.31176999482</v>
      </c>
      <c r="BJ36" s="850">
        <v>81624.951585385701</v>
      </c>
      <c r="BK36" s="850">
        <v>81999.924932997572</v>
      </c>
      <c r="BL36" s="850">
        <v>83121.710629525624</v>
      </c>
      <c r="BM36" s="850">
        <v>85423.54851507995</v>
      </c>
      <c r="BN36" s="850">
        <v>87601.548937948537</v>
      </c>
      <c r="BO36" s="850">
        <v>86568.509673868452</v>
      </c>
      <c r="BP36" s="850">
        <v>87286.010223228048</v>
      </c>
      <c r="BQ36" s="850">
        <v>88855.261445635901</v>
      </c>
      <c r="BR36" s="850">
        <v>88864.816613056144</v>
      </c>
      <c r="BS36" s="850">
        <v>87232.224962234875</v>
      </c>
      <c r="BT36" s="850">
        <v>86482.229247571246</v>
      </c>
      <c r="BU36" s="850">
        <v>91398</v>
      </c>
      <c r="BV36" s="850">
        <v>89668.305234544503</v>
      </c>
      <c r="BW36" s="850">
        <v>90032.909954295596</v>
      </c>
      <c r="BX36" s="850">
        <v>90745.475360335928</v>
      </c>
      <c r="BY36" s="850">
        <v>91699.364181839032</v>
      </c>
    </row>
    <row r="37" spans="1:78" ht="17.100000000000001" customHeight="1" x14ac:dyDescent="0.2">
      <c r="A37" s="819"/>
      <c r="B37" s="820"/>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c r="AK37" s="820"/>
      <c r="AL37" s="820"/>
      <c r="AM37" s="820"/>
      <c r="AN37" s="821"/>
      <c r="AO37" s="822"/>
      <c r="AP37" s="822"/>
      <c r="AQ37" s="822"/>
      <c r="AR37" s="822"/>
      <c r="AS37" s="822"/>
      <c r="AT37" s="822"/>
      <c r="AU37" s="822"/>
      <c r="AV37" s="822"/>
      <c r="AW37" s="822"/>
      <c r="AX37" s="822"/>
      <c r="AY37" s="822"/>
      <c r="AZ37" s="822"/>
      <c r="BA37" s="822"/>
      <c r="BB37" s="822"/>
      <c r="BC37" s="822"/>
      <c r="BD37" s="822"/>
      <c r="BE37" s="822"/>
      <c r="BF37" s="822"/>
      <c r="BG37" s="822"/>
      <c r="BH37" s="822"/>
      <c r="BI37" s="822"/>
      <c r="BJ37" s="822"/>
      <c r="BK37" s="822"/>
      <c r="BL37" s="822"/>
      <c r="BM37" s="822"/>
      <c r="BN37" s="822"/>
      <c r="BO37" s="822"/>
      <c r="BP37" s="822"/>
      <c r="BQ37" s="822"/>
      <c r="BR37" s="822"/>
      <c r="BS37" s="822"/>
      <c r="BT37" s="822"/>
      <c r="BU37" s="822"/>
      <c r="BV37" s="822"/>
      <c r="BW37" s="822"/>
      <c r="BX37" s="822"/>
      <c r="BY37" s="822"/>
    </row>
    <row r="38" spans="1:78" ht="17.100000000000001" customHeight="1" x14ac:dyDescent="0.2">
      <c r="A38" s="819" t="s">
        <v>594</v>
      </c>
      <c r="B38" s="820">
        <v>84708.888798928223</v>
      </c>
      <c r="C38" s="820">
        <v>85303.081961723554</v>
      </c>
      <c r="D38" s="820">
        <v>86183.41877644448</v>
      </c>
      <c r="E38" s="820">
        <v>87467.42655853185</v>
      </c>
      <c r="F38" s="820">
        <v>87622.204916083836</v>
      </c>
      <c r="G38" s="820">
        <v>87950.616967074457</v>
      </c>
      <c r="H38" s="820">
        <v>89338.366139071659</v>
      </c>
      <c r="I38" s="847">
        <v>92503.736026057421</v>
      </c>
      <c r="J38" s="820">
        <v>94237.955423521795</v>
      </c>
      <c r="K38" s="820">
        <v>95666.592606090897</v>
      </c>
      <c r="L38" s="820">
        <v>95411.557678932993</v>
      </c>
      <c r="M38" s="820">
        <v>100290.33233481737</v>
      </c>
      <c r="N38" s="820">
        <v>101885.82301106308</v>
      </c>
      <c r="O38" s="820">
        <v>104159.78080644018</v>
      </c>
      <c r="P38" s="820">
        <v>104357.01863046354</v>
      </c>
      <c r="Q38" s="820">
        <v>105855.28348435565</v>
      </c>
      <c r="R38" s="820">
        <v>104309.25120018126</v>
      </c>
      <c r="S38" s="820">
        <v>105302.14385852481</v>
      </c>
      <c r="T38" s="820">
        <v>105778.42652432683</v>
      </c>
      <c r="U38" s="820">
        <v>106245.4148441188</v>
      </c>
      <c r="V38" s="820">
        <v>105948.70098045115</v>
      </c>
      <c r="W38" s="820">
        <v>106885.05937539408</v>
      </c>
      <c r="X38" s="820">
        <v>107202.33582523318</v>
      </c>
      <c r="Y38" s="820">
        <v>111554.9212985452</v>
      </c>
      <c r="Z38" s="820">
        <v>111669.19068124476</v>
      </c>
      <c r="AA38" s="820">
        <v>114121.28884853281</v>
      </c>
      <c r="AB38" s="820">
        <v>115387.87684685792</v>
      </c>
      <c r="AC38" s="820">
        <v>113773.8850952483</v>
      </c>
      <c r="AD38" s="820">
        <v>113843.13760300442</v>
      </c>
      <c r="AE38" s="820">
        <v>115642.36013410815</v>
      </c>
      <c r="AF38" s="820">
        <v>115414.81193544043</v>
      </c>
      <c r="AG38" s="820">
        <v>114561.48606329848</v>
      </c>
      <c r="AH38" s="820">
        <v>115564.07278266887</v>
      </c>
      <c r="AI38" s="820">
        <v>115956.83600753456</v>
      </c>
      <c r="AJ38" s="820">
        <v>117732.53591192998</v>
      </c>
      <c r="AK38" s="820">
        <v>121520.62713277756</v>
      </c>
      <c r="AL38" s="820">
        <v>123525.81852772045</v>
      </c>
      <c r="AM38" s="820">
        <v>125146.59847238859</v>
      </c>
      <c r="AN38" s="821">
        <v>127760.77472187042</v>
      </c>
      <c r="AO38" s="822">
        <v>126985.0239905825</v>
      </c>
      <c r="AP38" s="822">
        <v>128207.22984370649</v>
      </c>
      <c r="AQ38" s="822">
        <v>129766.60506159849</v>
      </c>
      <c r="AR38" s="822">
        <v>130895.67001582403</v>
      </c>
      <c r="AS38" s="822">
        <v>129618.43657458531</v>
      </c>
      <c r="AT38" s="822">
        <v>129655.03571494574</v>
      </c>
      <c r="AU38" s="822">
        <v>129449.25741223895</v>
      </c>
      <c r="AV38" s="822">
        <v>130690.80930362914</v>
      </c>
      <c r="AW38" s="822">
        <v>134558.46119208238</v>
      </c>
      <c r="AX38" s="822">
        <v>136638.89372577387</v>
      </c>
      <c r="AY38" s="822">
        <v>138671.19852711965</v>
      </c>
      <c r="AZ38" s="822">
        <v>140679.7779494655</v>
      </c>
      <c r="BA38" s="822">
        <v>140050.51378952517</v>
      </c>
      <c r="BB38" s="822">
        <v>140202.23101607966</v>
      </c>
      <c r="BC38" s="822">
        <v>142458.85179460078</v>
      </c>
      <c r="BD38" s="822">
        <v>143594.87058278034</v>
      </c>
      <c r="BE38" s="822">
        <v>143891.78647452992</v>
      </c>
      <c r="BF38" s="822">
        <v>144488.71903875141</v>
      </c>
      <c r="BG38" s="822">
        <v>147990.55917330628</v>
      </c>
      <c r="BH38" s="822">
        <v>146905.55153480807</v>
      </c>
      <c r="BI38" s="822">
        <v>149119.6326576487</v>
      </c>
      <c r="BJ38" s="822">
        <v>153045.50749560175</v>
      </c>
      <c r="BK38" s="822">
        <v>154806.15350893335</v>
      </c>
      <c r="BL38" s="822">
        <v>154775.71427459977</v>
      </c>
      <c r="BM38" s="822">
        <v>155800.21960303094</v>
      </c>
      <c r="BN38" s="822">
        <v>156973.44222037366</v>
      </c>
      <c r="BO38" s="822">
        <v>159549.08694182345</v>
      </c>
      <c r="BP38" s="822">
        <v>160311.43540069033</v>
      </c>
      <c r="BQ38" s="822">
        <v>160408.5732496847</v>
      </c>
      <c r="BR38" s="822">
        <v>161037.44172920202</v>
      </c>
      <c r="BS38" s="822">
        <v>163336.05050511812</v>
      </c>
      <c r="BT38" s="822">
        <v>163398.46263205347</v>
      </c>
      <c r="BU38" s="822">
        <v>168427</v>
      </c>
      <c r="BV38" s="822">
        <v>171546.59901200276</v>
      </c>
      <c r="BW38" s="822">
        <v>173567.9779974967</v>
      </c>
      <c r="BX38" s="822">
        <v>174285.60457351391</v>
      </c>
      <c r="BY38" s="822">
        <v>175664.79156461899</v>
      </c>
    </row>
    <row r="39" spans="1:78" ht="17.100000000000001" customHeight="1" x14ac:dyDescent="0.2">
      <c r="A39" s="819" t="s">
        <v>595</v>
      </c>
      <c r="B39" s="820">
        <v>88033.919707852503</v>
      </c>
      <c r="C39" s="820">
        <v>87595.597272252911</v>
      </c>
      <c r="D39" s="820">
        <v>87094.575146037823</v>
      </c>
      <c r="E39" s="820">
        <v>87872.56928867074</v>
      </c>
      <c r="F39" s="820">
        <v>88604.328410649949</v>
      </c>
      <c r="G39" s="820">
        <v>89196.648900156899</v>
      </c>
      <c r="H39" s="820">
        <v>89163.007720999783</v>
      </c>
      <c r="I39" s="847">
        <v>87779.088912985782</v>
      </c>
      <c r="J39" s="820">
        <v>88659.528460428715</v>
      </c>
      <c r="K39" s="820">
        <v>89551.32666992642</v>
      </c>
      <c r="L39" s="820">
        <v>91012.691122724966</v>
      </c>
      <c r="M39" s="820">
        <v>90503.081980320552</v>
      </c>
      <c r="N39" s="820">
        <v>89169.964147685227</v>
      </c>
      <c r="O39" s="820">
        <v>88125.847609521763</v>
      </c>
      <c r="P39" s="820">
        <v>87777.048754055402</v>
      </c>
      <c r="Q39" s="820">
        <v>88198.588928961952</v>
      </c>
      <c r="R39" s="820">
        <v>88997.791558121171</v>
      </c>
      <c r="S39" s="820">
        <v>91228.686807754842</v>
      </c>
      <c r="T39" s="820">
        <v>91653.49063992119</v>
      </c>
      <c r="U39" s="820">
        <v>92535.865377640628</v>
      </c>
      <c r="V39" s="820">
        <v>93687.733545954165</v>
      </c>
      <c r="W39" s="820">
        <v>94068.676403494406</v>
      </c>
      <c r="X39" s="820">
        <v>94931.147408340825</v>
      </c>
      <c r="Y39" s="820">
        <v>94750.387628322438</v>
      </c>
      <c r="Z39" s="820">
        <v>93675.025632091143</v>
      </c>
      <c r="AA39" s="820">
        <v>92212.211434556506</v>
      </c>
      <c r="AB39" s="820">
        <v>94183.027712675277</v>
      </c>
      <c r="AC39" s="820">
        <v>94539.531721276056</v>
      </c>
      <c r="AD39" s="820">
        <v>96150.059688464884</v>
      </c>
      <c r="AE39" s="820">
        <v>95448.901969766099</v>
      </c>
      <c r="AF39" s="820">
        <v>97784.541182805726</v>
      </c>
      <c r="AG39" s="820">
        <v>99221.192270834857</v>
      </c>
      <c r="AH39" s="820">
        <v>99581.321830339715</v>
      </c>
      <c r="AI39" s="820">
        <v>102142.8821188071</v>
      </c>
      <c r="AJ39" s="820">
        <v>100385.83658792941</v>
      </c>
      <c r="AK39" s="820">
        <v>101759.47061146743</v>
      </c>
      <c r="AL39" s="820">
        <v>100351.94119757833</v>
      </c>
      <c r="AM39" s="820">
        <v>101899.09077410959</v>
      </c>
      <c r="AN39" s="821">
        <v>100349.11264163053</v>
      </c>
      <c r="AO39" s="822">
        <v>100008.29948157554</v>
      </c>
      <c r="AP39" s="822">
        <v>99526.974884931988</v>
      </c>
      <c r="AQ39" s="822">
        <v>100691.16624490175</v>
      </c>
      <c r="AR39" s="822">
        <v>99555.673894470136</v>
      </c>
      <c r="AS39" s="822">
        <v>99439.284949562032</v>
      </c>
      <c r="AT39" s="822">
        <v>98963.382581244732</v>
      </c>
      <c r="AU39" s="822">
        <v>101742.58586138851</v>
      </c>
      <c r="AV39" s="822">
        <v>102545.55073009052</v>
      </c>
      <c r="AW39" s="822">
        <v>103943.39869986512</v>
      </c>
      <c r="AX39" s="822">
        <v>102012.35656845158</v>
      </c>
      <c r="AY39" s="852">
        <v>102831.27191880395</v>
      </c>
      <c r="AZ39" s="852">
        <v>104062.41104694171</v>
      </c>
      <c r="BA39" s="852">
        <v>104079.78658560679</v>
      </c>
      <c r="BB39" s="852">
        <v>104499.25590228116</v>
      </c>
      <c r="BC39" s="852">
        <v>105404.2805823214</v>
      </c>
      <c r="BD39" s="852">
        <v>105048.02687074957</v>
      </c>
      <c r="BE39" s="852">
        <v>105788.12898468386</v>
      </c>
      <c r="BF39" s="852">
        <v>105063.92851762655</v>
      </c>
      <c r="BG39" s="852">
        <v>105649.24601873889</v>
      </c>
      <c r="BH39" s="852">
        <v>108091.50171863777</v>
      </c>
      <c r="BI39" s="852">
        <v>108620.59962002379</v>
      </c>
      <c r="BJ39" s="852">
        <v>106672.86041502735</v>
      </c>
      <c r="BK39" s="852">
        <v>106356.58866009863</v>
      </c>
      <c r="BL39" s="852">
        <v>107303.38032673991</v>
      </c>
      <c r="BM39" s="852">
        <v>106613.87545246216</v>
      </c>
      <c r="BN39" s="852">
        <v>106937.10054515886</v>
      </c>
      <c r="BO39" s="852">
        <v>109446.56165613355</v>
      </c>
      <c r="BP39" s="852">
        <v>108879.30204864839</v>
      </c>
      <c r="BQ39" s="852">
        <v>108635.22554202042</v>
      </c>
      <c r="BR39" s="852">
        <v>108403.13161186677</v>
      </c>
      <c r="BS39" s="852">
        <v>110603.13282284657</v>
      </c>
      <c r="BT39" s="852">
        <v>110069.40302072163</v>
      </c>
      <c r="BU39" s="852">
        <v>108194</v>
      </c>
      <c r="BV39" s="852">
        <v>109877.63847841533</v>
      </c>
      <c r="BW39" s="852">
        <v>107259.75037100294</v>
      </c>
      <c r="BX39" s="852">
        <v>106307.71617127048</v>
      </c>
      <c r="BY39" s="852">
        <v>107027.52585212034</v>
      </c>
    </row>
    <row r="40" spans="1:78" ht="17.100000000000001" customHeight="1" x14ac:dyDescent="0.2">
      <c r="A40" s="819" t="s">
        <v>596</v>
      </c>
      <c r="B40" s="820">
        <v>49258.417869002995</v>
      </c>
      <c r="C40" s="820">
        <v>49905.241202386365</v>
      </c>
      <c r="D40" s="820">
        <v>49779.150295192965</v>
      </c>
      <c r="E40" s="820">
        <v>49131.780081597477</v>
      </c>
      <c r="F40" s="820">
        <v>50539.372975817263</v>
      </c>
      <c r="G40" s="820">
        <v>50361.996650153487</v>
      </c>
      <c r="H40" s="820">
        <v>44743.141953190068</v>
      </c>
      <c r="I40" s="820">
        <v>45147.25922715092</v>
      </c>
      <c r="J40" s="820">
        <v>42969.561303465794</v>
      </c>
      <c r="K40" s="820">
        <v>45005.639883146825</v>
      </c>
      <c r="L40" s="820">
        <v>42706.567911581544</v>
      </c>
      <c r="M40" s="820">
        <v>46093.510639780267</v>
      </c>
      <c r="N40" s="820">
        <v>46222.822685739731</v>
      </c>
      <c r="O40" s="820">
        <v>45556.667818897025</v>
      </c>
      <c r="P40" s="820">
        <v>45602.971516696918</v>
      </c>
      <c r="Q40" s="820">
        <v>43989.544810661188</v>
      </c>
      <c r="R40" s="820">
        <v>44707.07878920075</v>
      </c>
      <c r="S40" s="820">
        <v>47361.864365966161</v>
      </c>
      <c r="T40" s="820">
        <v>45288.935946662117</v>
      </c>
      <c r="U40" s="820">
        <v>46432.023247352321</v>
      </c>
      <c r="V40" s="820">
        <v>45321.233268820164</v>
      </c>
      <c r="W40" s="820">
        <v>44389.668231614007</v>
      </c>
      <c r="X40" s="820">
        <v>46041.537606656202</v>
      </c>
      <c r="Y40" s="820">
        <v>44915.655954230228</v>
      </c>
      <c r="Z40" s="820">
        <v>45906.481258167805</v>
      </c>
      <c r="AA40" s="820">
        <v>46117.66667465643</v>
      </c>
      <c r="AB40" s="820">
        <v>45858.158939868867</v>
      </c>
      <c r="AC40" s="820">
        <v>46456.39775397937</v>
      </c>
      <c r="AD40" s="820">
        <v>48041.084759244921</v>
      </c>
      <c r="AE40" s="820">
        <v>49153.52088637487</v>
      </c>
      <c r="AF40" s="820">
        <v>48457.25725118519</v>
      </c>
      <c r="AG40" s="820">
        <v>47899.374725031601</v>
      </c>
      <c r="AH40" s="820">
        <v>47397.612288635704</v>
      </c>
      <c r="AI40" s="820">
        <v>47694.246768833138</v>
      </c>
      <c r="AJ40" s="820">
        <v>48291.393876379254</v>
      </c>
      <c r="AK40" s="820">
        <v>47772.507396118992</v>
      </c>
      <c r="AL40" s="820">
        <v>45506.419963024957</v>
      </c>
      <c r="AM40" s="820">
        <v>46287.896830036152</v>
      </c>
      <c r="AN40" s="821">
        <v>46463.585651167188</v>
      </c>
      <c r="AO40" s="822">
        <v>46539.872584008735</v>
      </c>
      <c r="AP40" s="822">
        <v>46337.875197026187</v>
      </c>
      <c r="AQ40" s="822">
        <v>47161.210554011886</v>
      </c>
      <c r="AR40" s="822">
        <v>47150.602516379113</v>
      </c>
      <c r="AS40" s="822">
        <v>47013.13650286763</v>
      </c>
      <c r="AT40" s="822">
        <v>47022.230253048561</v>
      </c>
      <c r="AU40" s="822">
        <v>44147.299385365928</v>
      </c>
      <c r="AV40" s="822">
        <v>45419.880797838174</v>
      </c>
      <c r="AW40" s="822">
        <v>46983.121383490296</v>
      </c>
      <c r="AX40" s="822">
        <v>46583.095612842248</v>
      </c>
      <c r="AY40" s="822">
        <v>47272.030599815611</v>
      </c>
      <c r="AZ40" s="822">
        <v>48999.81841010847</v>
      </c>
      <c r="BA40" s="822">
        <v>48506.955713392825</v>
      </c>
      <c r="BB40" s="822">
        <v>48613.576642963882</v>
      </c>
      <c r="BC40" s="822">
        <v>49517.590865498278</v>
      </c>
      <c r="BD40" s="822">
        <v>48593.612659323546</v>
      </c>
      <c r="BE40" s="822">
        <v>48862.575307526073</v>
      </c>
      <c r="BF40" s="822">
        <v>49737.102566827001</v>
      </c>
      <c r="BG40" s="822">
        <v>51543.349209919579</v>
      </c>
      <c r="BH40" s="822">
        <v>50893.556070995015</v>
      </c>
      <c r="BI40" s="822">
        <v>52879.024197810155</v>
      </c>
      <c r="BJ40" s="822">
        <v>54025.830503610283</v>
      </c>
      <c r="BK40" s="822">
        <v>56754.684369277653</v>
      </c>
      <c r="BL40" s="822">
        <v>61272.165307246447</v>
      </c>
      <c r="BM40" s="822">
        <v>58616.516263052945</v>
      </c>
      <c r="BN40" s="822">
        <v>56922.951205975849</v>
      </c>
      <c r="BO40" s="822">
        <v>59404.035274119953</v>
      </c>
      <c r="BP40" s="822">
        <v>60048.913520846174</v>
      </c>
      <c r="BQ40" s="822">
        <v>63559.385824792058</v>
      </c>
      <c r="BR40" s="822">
        <v>61256.341877577128</v>
      </c>
      <c r="BS40" s="822">
        <v>63100.217558366363</v>
      </c>
      <c r="BT40" s="822">
        <v>67366.730745677953</v>
      </c>
      <c r="BU40" s="822">
        <v>65451</v>
      </c>
      <c r="BV40" s="822">
        <v>66333.29447794889</v>
      </c>
      <c r="BW40" s="822">
        <v>66728.695133396541</v>
      </c>
      <c r="BX40" s="822">
        <v>65848.478075291554</v>
      </c>
      <c r="BY40" s="822">
        <v>67166.723577889585</v>
      </c>
    </row>
    <row r="41" spans="1:78" s="851" customFormat="1" ht="17.100000000000001" customHeight="1" x14ac:dyDescent="0.2">
      <c r="A41" s="828" t="s">
        <v>597</v>
      </c>
      <c r="B41" s="848">
        <v>222001.22637578371</v>
      </c>
      <c r="C41" s="848">
        <v>222803.92043636282</v>
      </c>
      <c r="D41" s="848">
        <v>223057.14421767526</v>
      </c>
      <c r="E41" s="848">
        <v>224471.77592880008</v>
      </c>
      <c r="F41" s="848">
        <v>226765.90630255107</v>
      </c>
      <c r="G41" s="848">
        <v>227509.26251738484</v>
      </c>
      <c r="H41" s="848">
        <v>223244.5158132615</v>
      </c>
      <c r="I41" s="848">
        <v>225430.08416619414</v>
      </c>
      <c r="J41" s="848">
        <v>225867.04518741631</v>
      </c>
      <c r="K41" s="848">
        <v>230223.55915916414</v>
      </c>
      <c r="L41" s="848">
        <v>229130.8167132395</v>
      </c>
      <c r="M41" s="848">
        <v>236886.92495491818</v>
      </c>
      <c r="N41" s="848">
        <v>237278.60984448803</v>
      </c>
      <c r="O41" s="848">
        <v>237842.29623485895</v>
      </c>
      <c r="P41" s="848">
        <v>237737.03890121586</v>
      </c>
      <c r="Q41" s="848">
        <v>238043.41722397879</v>
      </c>
      <c r="R41" s="848">
        <v>238014.12154750316</v>
      </c>
      <c r="S41" s="848">
        <v>243892.69503224583</v>
      </c>
      <c r="T41" s="848">
        <v>242720.85311091013</v>
      </c>
      <c r="U41" s="848">
        <v>245213.30346911174</v>
      </c>
      <c r="V41" s="848">
        <v>244957.66779522545</v>
      </c>
      <c r="W41" s="848">
        <v>245343.40401050251</v>
      </c>
      <c r="X41" s="848">
        <v>248175.02084023022</v>
      </c>
      <c r="Y41" s="848">
        <v>251220.96488109787</v>
      </c>
      <c r="Z41" s="848">
        <v>251250.6975715037</v>
      </c>
      <c r="AA41" s="848">
        <v>252451.16695774574</v>
      </c>
      <c r="AB41" s="848">
        <v>255429.06349940208</v>
      </c>
      <c r="AC41" s="848">
        <v>254769.81457050372</v>
      </c>
      <c r="AD41" s="848">
        <v>258034.28205071425</v>
      </c>
      <c r="AE41" s="848">
        <v>260244.78299024911</v>
      </c>
      <c r="AF41" s="848">
        <v>261656.61036943135</v>
      </c>
      <c r="AG41" s="848">
        <v>261682.05305916496</v>
      </c>
      <c r="AH41" s="848">
        <v>262543.00690164429</v>
      </c>
      <c r="AI41" s="848">
        <v>265793.96489517478</v>
      </c>
      <c r="AJ41" s="848">
        <v>266409.76637623867</v>
      </c>
      <c r="AK41" s="848">
        <v>271052.60514036397</v>
      </c>
      <c r="AL41" s="848">
        <v>269384.17968832375</v>
      </c>
      <c r="AM41" s="848">
        <v>273333.58607653429</v>
      </c>
      <c r="AN41" s="849">
        <v>274573.47301466815</v>
      </c>
      <c r="AO41" s="850">
        <v>273533.19605616678</v>
      </c>
      <c r="AP41" s="850">
        <v>274072.07992566464</v>
      </c>
      <c r="AQ41" s="850">
        <v>277618.98186051211</v>
      </c>
      <c r="AR41" s="850">
        <v>277601.94642667327</v>
      </c>
      <c r="AS41" s="850">
        <v>276070.858027015</v>
      </c>
      <c r="AT41" s="850">
        <v>275640.64854923903</v>
      </c>
      <c r="AU41" s="850">
        <v>275339.14265899337</v>
      </c>
      <c r="AV41" s="850">
        <v>278656.24083155784</v>
      </c>
      <c r="AW41" s="850">
        <v>285484.98127543781</v>
      </c>
      <c r="AX41" s="850">
        <v>285234.34590706771</v>
      </c>
      <c r="AY41" s="850">
        <v>288774.50104573922</v>
      </c>
      <c r="AZ41" s="850">
        <v>293742.00740651565</v>
      </c>
      <c r="BA41" s="850">
        <v>292637.25608852477</v>
      </c>
      <c r="BB41" s="850">
        <v>293315.06356132467</v>
      </c>
      <c r="BC41" s="850">
        <v>297380.72324242047</v>
      </c>
      <c r="BD41" s="850">
        <v>297236.51011285343</v>
      </c>
      <c r="BE41" s="850">
        <v>298542.49076673982</v>
      </c>
      <c r="BF41" s="850">
        <v>299289.75012320501</v>
      </c>
      <c r="BG41" s="850">
        <v>305183.15440196474</v>
      </c>
      <c r="BH41" s="850">
        <v>305890.60932444083</v>
      </c>
      <c r="BI41" s="850">
        <v>310619.25647548266</v>
      </c>
      <c r="BJ41" s="850">
        <v>313744.19841423933</v>
      </c>
      <c r="BK41" s="850">
        <v>317917.42653830966</v>
      </c>
      <c r="BL41" s="850">
        <v>323351.2599085861</v>
      </c>
      <c r="BM41" s="850">
        <v>321030.61131854606</v>
      </c>
      <c r="BN41" s="850">
        <v>320833.49397150835</v>
      </c>
      <c r="BO41" s="850">
        <v>328399.68387207692</v>
      </c>
      <c r="BP41" s="850">
        <v>329239.65097018488</v>
      </c>
      <c r="BQ41" s="850">
        <v>332603.18461649714</v>
      </c>
      <c r="BR41" s="850">
        <v>330696.91521864594</v>
      </c>
      <c r="BS41" s="850">
        <v>337039.40088633104</v>
      </c>
      <c r="BT41" s="850">
        <v>340834.59639845305</v>
      </c>
      <c r="BU41" s="850">
        <v>342073</v>
      </c>
      <c r="BV41" s="850">
        <v>347757.53196836694</v>
      </c>
      <c r="BW41" s="850">
        <v>347556.42350189621</v>
      </c>
      <c r="BX41" s="850">
        <v>346441.79882007593</v>
      </c>
      <c r="BY41" s="850">
        <v>349859.04099462891</v>
      </c>
      <c r="BZ41" s="853"/>
    </row>
    <row r="42" spans="1:78" ht="17.100000000000001" customHeight="1" x14ac:dyDescent="0.2">
      <c r="A42" s="833"/>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c r="AI42" s="820"/>
      <c r="AJ42" s="820"/>
      <c r="AK42" s="820"/>
      <c r="AL42" s="820"/>
      <c r="AM42" s="820"/>
      <c r="AN42" s="821"/>
      <c r="AO42" s="822"/>
      <c r="AP42" s="822"/>
      <c r="AQ42" s="822"/>
      <c r="AR42" s="822"/>
      <c r="AS42" s="822"/>
      <c r="AT42" s="822"/>
      <c r="AU42" s="822"/>
      <c r="AV42" s="822"/>
      <c r="AW42" s="822"/>
      <c r="AX42" s="822"/>
      <c r="AY42" s="822"/>
      <c r="AZ42" s="822"/>
      <c r="BA42" s="82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c r="BX42" s="822"/>
      <c r="BY42" s="822"/>
    </row>
    <row r="43" spans="1:78" s="851" customFormat="1" ht="17.100000000000001" customHeight="1" x14ac:dyDescent="0.2">
      <c r="A43" s="854" t="s">
        <v>598</v>
      </c>
      <c r="B43" s="848">
        <v>783.64372534999995</v>
      </c>
      <c r="C43" s="848">
        <v>795.03426162999995</v>
      </c>
      <c r="D43" s="848">
        <v>806.36142286999996</v>
      </c>
      <c r="E43" s="848">
        <v>817.11920386999998</v>
      </c>
      <c r="F43" s="848">
        <v>829.69099342999993</v>
      </c>
      <c r="G43" s="848">
        <v>841.75958768999999</v>
      </c>
      <c r="H43" s="848">
        <v>841.34192214999996</v>
      </c>
      <c r="I43" s="848">
        <v>1154.4623700399998</v>
      </c>
      <c r="J43" s="848">
        <v>1363.0654015</v>
      </c>
      <c r="K43" s="848">
        <v>1373.6286405800001</v>
      </c>
      <c r="L43" s="848">
        <v>1384.20574319</v>
      </c>
      <c r="M43" s="848">
        <v>1369.3863073</v>
      </c>
      <c r="N43" s="848">
        <v>1426.2743159300001</v>
      </c>
      <c r="O43" s="848">
        <v>1476.03948885</v>
      </c>
      <c r="P43" s="848">
        <v>1630.0385137999997</v>
      </c>
      <c r="Q43" s="848">
        <v>1689.9994090199998</v>
      </c>
      <c r="R43" s="848">
        <v>1899.85599727</v>
      </c>
      <c r="S43" s="848">
        <v>2063.3104229999999</v>
      </c>
      <c r="T43" s="848">
        <v>2372.3748750300001</v>
      </c>
      <c r="U43" s="848">
        <v>2306.47121625</v>
      </c>
      <c r="V43" s="848">
        <v>2056.6709448299998</v>
      </c>
      <c r="W43" s="848">
        <v>2116.2009389599998</v>
      </c>
      <c r="X43" s="848">
        <v>2051.2235128499997</v>
      </c>
      <c r="Y43" s="848">
        <v>1961.8478761899999</v>
      </c>
      <c r="Z43" s="848">
        <v>1984.6860037900001</v>
      </c>
      <c r="AA43" s="848">
        <v>1995.9486257499998</v>
      </c>
      <c r="AB43" s="848">
        <v>2005.9441404300003</v>
      </c>
      <c r="AC43" s="848">
        <v>1992.1532479099997</v>
      </c>
      <c r="AD43" s="848">
        <v>1849.5591248699998</v>
      </c>
      <c r="AE43" s="848">
        <v>1875.3351060299997</v>
      </c>
      <c r="AF43" s="848">
        <v>1936.5029719600002</v>
      </c>
      <c r="AG43" s="848">
        <v>1851.673110803793</v>
      </c>
      <c r="AH43" s="848">
        <v>1814.6462352099998</v>
      </c>
      <c r="AI43" s="848">
        <v>1721.5765366799997</v>
      </c>
      <c r="AJ43" s="848">
        <v>1805.74863611</v>
      </c>
      <c r="AK43" s="848">
        <v>1974.3166444399999</v>
      </c>
      <c r="AL43" s="848">
        <v>2262.4435178399999</v>
      </c>
      <c r="AM43" s="848">
        <v>2351.3082030999999</v>
      </c>
      <c r="AN43" s="849">
        <v>3448.7304686399993</v>
      </c>
      <c r="AO43" s="850">
        <v>3743.5864957599997</v>
      </c>
      <c r="AP43" s="850">
        <v>3999.3408676136651</v>
      </c>
      <c r="AQ43" s="850">
        <v>3965.7390630241857</v>
      </c>
      <c r="AR43" s="850">
        <v>3805.2291209016812</v>
      </c>
      <c r="AS43" s="850">
        <v>4196.5119901589333</v>
      </c>
      <c r="AT43" s="850">
        <v>3873.9655759735083</v>
      </c>
      <c r="AU43" s="850">
        <v>3834.4420223342331</v>
      </c>
      <c r="AV43" s="850">
        <v>3807.9246632170971</v>
      </c>
      <c r="AW43" s="850">
        <v>3068.9962040941982</v>
      </c>
      <c r="AX43" s="850">
        <v>2829.7994003941976</v>
      </c>
      <c r="AY43" s="850">
        <v>2794.3926927264838</v>
      </c>
      <c r="AZ43" s="850">
        <v>2913.4585715098992</v>
      </c>
      <c r="BA43" s="850">
        <v>2839.1386935717792</v>
      </c>
      <c r="BB43" s="850">
        <v>3255.5148564524297</v>
      </c>
      <c r="BC43" s="850">
        <v>3227.4135863002011</v>
      </c>
      <c r="BD43" s="850">
        <v>3261.284114974846</v>
      </c>
      <c r="BE43" s="850">
        <v>3183.1414728874179</v>
      </c>
      <c r="BF43" s="850">
        <v>3162.2660737335982</v>
      </c>
      <c r="BG43" s="850">
        <v>3168.5560858585532</v>
      </c>
      <c r="BH43" s="850">
        <v>3301.3535812006594</v>
      </c>
      <c r="BI43" s="850">
        <v>3357.9791846648477</v>
      </c>
      <c r="BJ43" s="850">
        <v>4496.627362015477</v>
      </c>
      <c r="BK43" s="850">
        <v>4535.0995045407535</v>
      </c>
      <c r="BL43" s="850">
        <v>4442.2773463772428</v>
      </c>
      <c r="BM43" s="850">
        <v>3612.6871511249556</v>
      </c>
      <c r="BN43" s="850">
        <v>3482.7200483611373</v>
      </c>
      <c r="BO43" s="850">
        <v>3433.9104956339547</v>
      </c>
      <c r="BP43" s="850">
        <v>3740.5348717135103</v>
      </c>
      <c r="BQ43" s="850">
        <v>4282.2870050452148</v>
      </c>
      <c r="BR43" s="850">
        <v>4240.0883480011971</v>
      </c>
      <c r="BS43" s="850">
        <v>4097.1532527337404</v>
      </c>
      <c r="BT43" s="850">
        <v>4311.319879260267</v>
      </c>
      <c r="BU43" s="850">
        <v>4528</v>
      </c>
      <c r="BV43" s="850">
        <v>4461.3404523252648</v>
      </c>
      <c r="BW43" s="850">
        <v>5017.5877982776055</v>
      </c>
      <c r="BX43" s="850">
        <v>5262.5803928261712</v>
      </c>
      <c r="BY43" s="850">
        <v>5353.4526379026456</v>
      </c>
    </row>
    <row r="44" spans="1:78" ht="17.100000000000001" customHeight="1" x14ac:dyDescent="0.2">
      <c r="A44" s="833"/>
      <c r="B44" s="820"/>
      <c r="C44" s="820"/>
      <c r="D44" s="820"/>
      <c r="E44" s="820"/>
      <c r="F44" s="820"/>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c r="AK44" s="820"/>
      <c r="AL44" s="820"/>
      <c r="AM44" s="820"/>
      <c r="AN44" s="821"/>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822"/>
      <c r="BK44" s="822"/>
      <c r="BL44" s="822"/>
      <c r="BM44" s="822"/>
      <c r="BN44" s="822"/>
      <c r="BO44" s="822"/>
      <c r="BP44" s="822"/>
      <c r="BQ44" s="822"/>
      <c r="BR44" s="822"/>
      <c r="BS44" s="822"/>
      <c r="BT44" s="822"/>
      <c r="BU44" s="822"/>
      <c r="BV44" s="822"/>
      <c r="BW44" s="822"/>
      <c r="BX44" s="822"/>
      <c r="BY44" s="822"/>
    </row>
    <row r="45" spans="1:78" ht="17.100000000000001" customHeight="1" x14ac:dyDescent="0.2">
      <c r="A45" s="828" t="s">
        <v>599</v>
      </c>
      <c r="B45" s="829">
        <v>279735.10531540605</v>
      </c>
      <c r="C45" s="829">
        <v>280832.71616430732</v>
      </c>
      <c r="D45" s="829">
        <v>281427.58380275633</v>
      </c>
      <c r="E45" s="829">
        <v>282053.88717788772</v>
      </c>
      <c r="F45" s="829">
        <v>286161.75081736082</v>
      </c>
      <c r="G45" s="829">
        <v>286852.74157677876</v>
      </c>
      <c r="H45" s="829">
        <v>281980.74913940526</v>
      </c>
      <c r="I45" s="829">
        <v>282105.32767522556</v>
      </c>
      <c r="J45" s="829">
        <v>283581.44315563818</v>
      </c>
      <c r="K45" s="829">
        <v>287418.95498439157</v>
      </c>
      <c r="L45" s="829">
        <v>288135.77511421102</v>
      </c>
      <c r="M45" s="829">
        <v>300231.38741758827</v>
      </c>
      <c r="N45" s="829">
        <v>298556.62578708358</v>
      </c>
      <c r="O45" s="829">
        <v>298369.33004481444</v>
      </c>
      <c r="P45" s="829">
        <v>298155.4975326315</v>
      </c>
      <c r="Q45" s="829">
        <v>299059.78403224458</v>
      </c>
      <c r="R45" s="829">
        <v>299494.6394816144</v>
      </c>
      <c r="S45" s="829">
        <v>306227.71741607366</v>
      </c>
      <c r="T45" s="829">
        <v>305393.34314475313</v>
      </c>
      <c r="U45" s="829">
        <v>308770.06989294139</v>
      </c>
      <c r="V45" s="829">
        <v>309120.82380339789</v>
      </c>
      <c r="W45" s="829">
        <v>309586.03971583769</v>
      </c>
      <c r="X45" s="829">
        <v>312758.67268372781</v>
      </c>
      <c r="Y45" s="829">
        <v>319536.66994800232</v>
      </c>
      <c r="Z45" s="829">
        <v>318174.79569418321</v>
      </c>
      <c r="AA45" s="829">
        <v>318311.5135005904</v>
      </c>
      <c r="AB45" s="829">
        <v>321028.1330225463</v>
      </c>
      <c r="AC45" s="829">
        <v>321243.46464984748</v>
      </c>
      <c r="AD45" s="829">
        <v>323994.44183545001</v>
      </c>
      <c r="AE45" s="829">
        <v>327851.0242175223</v>
      </c>
      <c r="AF45" s="829">
        <v>328873.35024287185</v>
      </c>
      <c r="AG45" s="829">
        <v>329210.58830269566</v>
      </c>
      <c r="AH45" s="829">
        <v>331263.67529123975</v>
      </c>
      <c r="AI45" s="829">
        <v>334358.44301515532</v>
      </c>
      <c r="AJ45" s="829">
        <v>336572.52553336322</v>
      </c>
      <c r="AK45" s="829">
        <v>345617.19551340822</v>
      </c>
      <c r="AL45" s="829">
        <v>340908.92052914313</v>
      </c>
      <c r="AM45" s="829">
        <v>344826.53440251609</v>
      </c>
      <c r="AN45" s="830">
        <v>348245.69090443774</v>
      </c>
      <c r="AO45" s="831">
        <v>346565.10847846704</v>
      </c>
      <c r="AP45" s="831">
        <v>346711.64590246271</v>
      </c>
      <c r="AQ45" s="831">
        <v>351375.81885802944</v>
      </c>
      <c r="AR45" s="831">
        <v>352944.69968920399</v>
      </c>
      <c r="AS45" s="831">
        <v>351417.83862996544</v>
      </c>
      <c r="AT45" s="831">
        <v>350499.23615290481</v>
      </c>
      <c r="AU45" s="831">
        <v>349810.86009880243</v>
      </c>
      <c r="AV45" s="831">
        <v>354693.08322884847</v>
      </c>
      <c r="AW45" s="831">
        <v>365608.73772902408</v>
      </c>
      <c r="AX45" s="831">
        <v>364980.69233736559</v>
      </c>
      <c r="AY45" s="831">
        <v>369066.6968826761</v>
      </c>
      <c r="AZ45" s="831">
        <v>371778.39312112681</v>
      </c>
      <c r="BA45" s="831">
        <v>372675.47367760958</v>
      </c>
      <c r="BB45" s="831">
        <v>374448.43718937901</v>
      </c>
      <c r="BC45" s="831">
        <v>378456.25837457663</v>
      </c>
      <c r="BD45" s="831">
        <v>377725.22592014022</v>
      </c>
      <c r="BE45" s="831">
        <v>379201.60618379345</v>
      </c>
      <c r="BF45" s="831">
        <v>379536.06867122138</v>
      </c>
      <c r="BG45" s="831">
        <v>386009.67288569763</v>
      </c>
      <c r="BH45" s="831">
        <v>389293.57228882506</v>
      </c>
      <c r="BI45" s="831">
        <v>397556.54743014235</v>
      </c>
      <c r="BJ45" s="831">
        <v>399865.77736164053</v>
      </c>
      <c r="BK45" s="831">
        <v>404452.45097584795</v>
      </c>
      <c r="BL45" s="831">
        <v>410915.24788448901</v>
      </c>
      <c r="BM45" s="831">
        <v>410066.84698475094</v>
      </c>
      <c r="BN45" s="831">
        <v>411917.76295781799</v>
      </c>
      <c r="BO45" s="831">
        <v>418402.1040415793</v>
      </c>
      <c r="BP45" s="831">
        <v>420266.19606512645</v>
      </c>
      <c r="BQ45" s="831">
        <v>425740.73306717828</v>
      </c>
      <c r="BR45" s="831">
        <v>423801.82017970324</v>
      </c>
      <c r="BS45" s="831">
        <v>428368.7791012997</v>
      </c>
      <c r="BT45" s="831">
        <v>431628.14552528458</v>
      </c>
      <c r="BU45" s="831">
        <v>437999</v>
      </c>
      <c r="BV45" s="831">
        <v>441887.17765523668</v>
      </c>
      <c r="BW45" s="831">
        <v>442606.92125446943</v>
      </c>
      <c r="BX45" s="831">
        <v>442449.854573238</v>
      </c>
      <c r="BY45" s="831">
        <v>446911.8578143706</v>
      </c>
    </row>
    <row r="46" spans="1:78" ht="17.100000000000001" customHeight="1" thickBot="1" x14ac:dyDescent="0.25">
      <c r="A46" s="833"/>
      <c r="B46" s="820"/>
      <c r="C46" s="820"/>
      <c r="D46" s="820"/>
      <c r="E46" s="820"/>
      <c r="F46" s="820"/>
      <c r="G46" s="820"/>
      <c r="H46" s="820"/>
      <c r="I46" s="820"/>
      <c r="J46" s="820"/>
      <c r="K46" s="820"/>
      <c r="L46" s="820"/>
      <c r="M46" s="820"/>
      <c r="N46" s="820"/>
      <c r="O46" s="820"/>
      <c r="P46" s="820"/>
      <c r="Q46" s="820"/>
      <c r="R46" s="820"/>
      <c r="S46" s="820"/>
      <c r="T46" s="820"/>
      <c r="U46" s="820"/>
      <c r="V46" s="820"/>
      <c r="W46" s="820"/>
      <c r="X46" s="818"/>
      <c r="Y46" s="818"/>
      <c r="Z46" s="818"/>
      <c r="AA46" s="818"/>
      <c r="AB46" s="818"/>
      <c r="AC46" s="818"/>
      <c r="AD46" s="818"/>
      <c r="AE46" s="818"/>
      <c r="AF46" s="818"/>
      <c r="AG46" s="818"/>
      <c r="AH46" s="818"/>
      <c r="AI46" s="818"/>
      <c r="AJ46" s="818"/>
      <c r="AK46" s="818"/>
      <c r="AL46" s="818"/>
      <c r="AM46" s="818"/>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row>
    <row r="47" spans="1:78" ht="17.100000000000001" customHeight="1" thickTop="1" thickBot="1" x14ac:dyDescent="0.25">
      <c r="A47" s="814" t="s">
        <v>600</v>
      </c>
      <c r="B47" s="834"/>
      <c r="C47" s="834"/>
      <c r="D47" s="834"/>
      <c r="E47" s="834"/>
      <c r="F47" s="834"/>
      <c r="G47" s="834"/>
      <c r="H47" s="834"/>
      <c r="I47" s="834"/>
      <c r="J47" s="834"/>
      <c r="K47" s="834"/>
      <c r="L47" s="834"/>
      <c r="M47" s="834"/>
      <c r="N47" s="834"/>
      <c r="O47" s="834"/>
      <c r="P47" s="834"/>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35"/>
      <c r="BQ47" s="835"/>
      <c r="BR47" s="835"/>
      <c r="BS47" s="835"/>
      <c r="BT47" s="835"/>
      <c r="BU47" s="835"/>
      <c r="BV47" s="835"/>
      <c r="BW47" s="835"/>
      <c r="BX47" s="835"/>
      <c r="BY47" s="835"/>
    </row>
    <row r="48" spans="1:78" ht="17.100000000000001" customHeight="1" thickTop="1" x14ac:dyDescent="0.2">
      <c r="A48" s="833"/>
      <c r="B48" s="820"/>
      <c r="C48" s="820"/>
      <c r="D48" s="820"/>
      <c r="E48" s="820"/>
      <c r="F48" s="820"/>
      <c r="G48" s="820"/>
      <c r="H48" s="820"/>
      <c r="I48" s="820"/>
      <c r="J48" s="820"/>
      <c r="K48" s="820"/>
      <c r="L48" s="820"/>
      <c r="M48" s="820"/>
      <c r="N48" s="820"/>
      <c r="O48" s="820"/>
      <c r="P48" s="820"/>
      <c r="Q48" s="820"/>
      <c r="R48" s="820"/>
      <c r="S48" s="820"/>
      <c r="T48" s="820"/>
      <c r="U48" s="820"/>
      <c r="V48" s="820"/>
      <c r="W48" s="820"/>
      <c r="X48" s="818"/>
      <c r="Y48" s="818"/>
      <c r="Z48" s="818"/>
      <c r="AA48" s="818"/>
      <c r="AB48" s="818"/>
      <c r="AC48" s="818"/>
      <c r="AD48" s="818"/>
      <c r="AE48" s="818"/>
      <c r="AF48" s="818"/>
      <c r="AG48" s="818"/>
      <c r="AH48" s="818"/>
      <c r="AI48" s="818"/>
      <c r="AJ48" s="818"/>
      <c r="AK48" s="818"/>
      <c r="AL48" s="818"/>
      <c r="AM48" s="818"/>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55"/>
      <c r="BQ48" s="855"/>
      <c r="BR48" s="855"/>
      <c r="BS48" s="855"/>
      <c r="BT48" s="855"/>
      <c r="BU48" s="855"/>
      <c r="BV48" s="855"/>
      <c r="BW48" s="855"/>
      <c r="BX48" s="855"/>
      <c r="BY48" s="855"/>
    </row>
    <row r="49" spans="1:77" s="832" customFormat="1" ht="17.100000000000001" customHeight="1" x14ac:dyDescent="0.2">
      <c r="A49" s="828" t="s">
        <v>601</v>
      </c>
      <c r="B49" s="829">
        <v>355837.03116140142</v>
      </c>
      <c r="C49" s="829">
        <v>360605.04953497002</v>
      </c>
      <c r="D49" s="829">
        <v>364782.59790840576</v>
      </c>
      <c r="E49" s="829">
        <v>347836.52930073522</v>
      </c>
      <c r="F49" s="829">
        <v>398474.36596555047</v>
      </c>
      <c r="G49" s="829">
        <v>389200.51288481901</v>
      </c>
      <c r="H49" s="829">
        <v>349996.3624868911</v>
      </c>
      <c r="I49" s="829">
        <v>374559.74357372645</v>
      </c>
      <c r="J49" s="829">
        <v>374311.56619276927</v>
      </c>
      <c r="K49" s="829">
        <v>375558.95299317496</v>
      </c>
      <c r="L49" s="829">
        <v>387400.46029459569</v>
      </c>
      <c r="M49" s="829">
        <v>396025.74941314518</v>
      </c>
      <c r="N49" s="829">
        <v>397868.12297975575</v>
      </c>
      <c r="O49" s="829">
        <v>391740.02392533398</v>
      </c>
      <c r="P49" s="829">
        <v>362731.64003700012</v>
      </c>
      <c r="Q49" s="829">
        <v>376961.4054074281</v>
      </c>
      <c r="R49" s="829">
        <v>368985.7930979958</v>
      </c>
      <c r="S49" s="829">
        <v>398640.04925210675</v>
      </c>
      <c r="T49" s="829">
        <v>384262.82808588771</v>
      </c>
      <c r="U49" s="829">
        <v>367127.2188200822</v>
      </c>
      <c r="V49" s="829">
        <v>372146.50669052522</v>
      </c>
      <c r="W49" s="829">
        <v>373804.4944400455</v>
      </c>
      <c r="X49" s="829">
        <v>424939.29194978258</v>
      </c>
      <c r="Y49" s="829">
        <v>370755.11539752875</v>
      </c>
      <c r="Z49" s="829">
        <v>348029.36244730791</v>
      </c>
      <c r="AA49" s="829">
        <v>354708.02445732517</v>
      </c>
      <c r="AB49" s="829">
        <v>400460.72834256146</v>
      </c>
      <c r="AC49" s="829">
        <v>400880.36506270594</v>
      </c>
      <c r="AD49" s="829">
        <v>418934.88927327795</v>
      </c>
      <c r="AE49" s="829">
        <v>358615.76786022121</v>
      </c>
      <c r="AF49" s="829">
        <v>391317.48373264499</v>
      </c>
      <c r="AG49" s="829">
        <v>349407.08494980849</v>
      </c>
      <c r="AH49" s="829">
        <v>374495.66562962084</v>
      </c>
      <c r="AI49" s="829">
        <v>394291.12349107303</v>
      </c>
      <c r="AJ49" s="829">
        <v>396660.75575007964</v>
      </c>
      <c r="AK49" s="829">
        <v>401320.90685726883</v>
      </c>
      <c r="AL49" s="829">
        <v>425209.26168858795</v>
      </c>
      <c r="AM49" s="829">
        <v>371958.7623117551</v>
      </c>
      <c r="AN49" s="830">
        <v>396287.8725248843</v>
      </c>
      <c r="AO49" s="831">
        <v>406538.14793432248</v>
      </c>
      <c r="AP49" s="831">
        <v>439271.34989535093</v>
      </c>
      <c r="AQ49" s="831">
        <v>394121.83621676941</v>
      </c>
      <c r="AR49" s="831">
        <v>408187.61987977172</v>
      </c>
      <c r="AS49" s="831">
        <v>388409.77044791594</v>
      </c>
      <c r="AT49" s="831">
        <v>381997.94592616044</v>
      </c>
      <c r="AU49" s="831">
        <v>372526.31475613813</v>
      </c>
      <c r="AV49" s="831">
        <v>375922.76888081006</v>
      </c>
      <c r="AW49" s="831">
        <v>396299.89658375003</v>
      </c>
      <c r="AX49" s="831">
        <v>371419.29907392239</v>
      </c>
      <c r="AY49" s="831">
        <v>374464.47402240866</v>
      </c>
      <c r="AZ49" s="831">
        <v>371676.94106507872</v>
      </c>
      <c r="BA49" s="831">
        <v>396120.44744818617</v>
      </c>
      <c r="BB49" s="831">
        <v>383220.66580576624</v>
      </c>
      <c r="BC49" s="831">
        <v>382241.50857958256</v>
      </c>
      <c r="BD49" s="831">
        <v>392334.94110129168</v>
      </c>
      <c r="BE49" s="831">
        <v>409256.21862257959</v>
      </c>
      <c r="BF49" s="831">
        <v>440686.40925503476</v>
      </c>
      <c r="BG49" s="831">
        <v>478691.88928722718</v>
      </c>
      <c r="BH49" s="831">
        <v>440194.91016732709</v>
      </c>
      <c r="BI49" s="831">
        <v>457823.19600778719</v>
      </c>
      <c r="BJ49" s="831">
        <v>476038.28698620782</v>
      </c>
      <c r="BK49" s="831">
        <v>485169.87018662738</v>
      </c>
      <c r="BL49" s="831">
        <v>557980.5835344377</v>
      </c>
      <c r="BM49" s="831">
        <v>567281.29490467894</v>
      </c>
      <c r="BN49" s="831">
        <v>533346.63558336219</v>
      </c>
      <c r="BO49" s="831">
        <v>519851.26260418026</v>
      </c>
      <c r="BP49" s="831">
        <v>529873.89145630517</v>
      </c>
      <c r="BQ49" s="831">
        <v>510245.61552506249</v>
      </c>
      <c r="BR49" s="831">
        <v>505829.92519510188</v>
      </c>
      <c r="BS49" s="831">
        <v>531278.38441134978</v>
      </c>
      <c r="BT49" s="831">
        <v>512635.67167410499</v>
      </c>
      <c r="BU49" s="831">
        <v>529026</v>
      </c>
      <c r="BV49" s="831">
        <v>537501.79617460479</v>
      </c>
      <c r="BW49" s="831">
        <v>535959.01879941381</v>
      </c>
      <c r="BX49" s="831">
        <v>507495.62778716208</v>
      </c>
      <c r="BY49" s="831">
        <v>525294.95739611925</v>
      </c>
    </row>
    <row r="50" spans="1:77" ht="17.100000000000001" customHeight="1" x14ac:dyDescent="0.2">
      <c r="A50" s="819" t="s">
        <v>602</v>
      </c>
      <c r="B50" s="820">
        <v>66426.303235972882</v>
      </c>
      <c r="C50" s="820">
        <v>67813.347178623269</v>
      </c>
      <c r="D50" s="820">
        <v>67350.55298928589</v>
      </c>
      <c r="E50" s="820">
        <v>67898.424276395206</v>
      </c>
      <c r="F50" s="820">
        <v>70563.533940011592</v>
      </c>
      <c r="G50" s="820">
        <v>69029.206086238628</v>
      </c>
      <c r="H50" s="820">
        <v>69173.827566074178</v>
      </c>
      <c r="I50" s="820">
        <v>70109.753901685341</v>
      </c>
      <c r="J50" s="820">
        <v>73222.669057128718</v>
      </c>
      <c r="K50" s="820">
        <v>72628.910586909114</v>
      </c>
      <c r="L50" s="820">
        <v>74948.541309052278</v>
      </c>
      <c r="M50" s="820">
        <v>77907.26620021234</v>
      </c>
      <c r="N50" s="820">
        <v>74640.649942564065</v>
      </c>
      <c r="O50" s="820">
        <v>74618.615312754191</v>
      </c>
      <c r="P50" s="820">
        <v>76376.735414886105</v>
      </c>
      <c r="Q50" s="820">
        <v>75700.789623743025</v>
      </c>
      <c r="R50" s="820">
        <v>77269.692369705648</v>
      </c>
      <c r="S50" s="820">
        <v>79953.017943437662</v>
      </c>
      <c r="T50" s="820">
        <v>79074.75525046949</v>
      </c>
      <c r="U50" s="820">
        <v>79520.667822633579</v>
      </c>
      <c r="V50" s="820">
        <v>78671.260029511788</v>
      </c>
      <c r="W50" s="820">
        <v>81199.667306703283</v>
      </c>
      <c r="X50" s="820">
        <v>77556.049942866448</v>
      </c>
      <c r="Y50" s="820">
        <v>80100.875885288551</v>
      </c>
      <c r="Z50" s="820">
        <v>80040.746933815622</v>
      </c>
      <c r="AA50" s="820">
        <v>79939.581236785903</v>
      </c>
      <c r="AB50" s="820">
        <v>79411.668224062698</v>
      </c>
      <c r="AC50" s="820">
        <v>79032.748513622151</v>
      </c>
      <c r="AD50" s="820">
        <v>78098.527743300889</v>
      </c>
      <c r="AE50" s="820">
        <v>85159.248901662751</v>
      </c>
      <c r="AF50" s="820">
        <v>86394.874568552084</v>
      </c>
      <c r="AG50" s="820">
        <v>86880.112743733043</v>
      </c>
      <c r="AH50" s="820">
        <v>87928.224802783152</v>
      </c>
      <c r="AI50" s="820">
        <v>88106.871545446251</v>
      </c>
      <c r="AJ50" s="820">
        <v>90488.3945909303</v>
      </c>
      <c r="AK50" s="820">
        <v>91559.825805914632</v>
      </c>
      <c r="AL50" s="820">
        <v>94098.106945505308</v>
      </c>
      <c r="AM50" s="820">
        <v>93549.31388682939</v>
      </c>
      <c r="AN50" s="821">
        <v>96754.802980609718</v>
      </c>
      <c r="AO50" s="822">
        <v>95870.007278678371</v>
      </c>
      <c r="AP50" s="822">
        <v>104072.51915873688</v>
      </c>
      <c r="AQ50" s="822">
        <v>103579.9323233067</v>
      </c>
      <c r="AR50" s="822">
        <v>100694.20800170788</v>
      </c>
      <c r="AS50" s="822">
        <v>99291.769986535714</v>
      </c>
      <c r="AT50" s="822">
        <v>100933.44968334469</v>
      </c>
      <c r="AU50" s="822">
        <v>100229.18125081969</v>
      </c>
      <c r="AV50" s="822">
        <v>99261.274187500021</v>
      </c>
      <c r="AW50" s="822">
        <v>103497.94482550361</v>
      </c>
      <c r="AX50" s="822">
        <v>102921.43799632388</v>
      </c>
      <c r="AY50" s="822">
        <v>108544.33997084292</v>
      </c>
      <c r="AZ50" s="822">
        <v>110343.08859754098</v>
      </c>
      <c r="BA50" s="822">
        <v>114721.20755311572</v>
      </c>
      <c r="BB50" s="822">
        <v>117055.21513527753</v>
      </c>
      <c r="BC50" s="822">
        <v>119619.60702976644</v>
      </c>
      <c r="BD50" s="822">
        <v>121075.74227892855</v>
      </c>
      <c r="BE50" s="822">
        <v>123260.36938210644</v>
      </c>
      <c r="BF50" s="822">
        <v>120752.98616916555</v>
      </c>
      <c r="BG50" s="822">
        <v>119694.92564294937</v>
      </c>
      <c r="BH50" s="822">
        <v>117838.97237219621</v>
      </c>
      <c r="BI50" s="822">
        <v>122735.45625949455</v>
      </c>
      <c r="BJ50" s="822">
        <v>120049.19112513392</v>
      </c>
      <c r="BK50" s="822">
        <v>126047.57279302411</v>
      </c>
      <c r="BL50" s="822">
        <v>139062.48919025276</v>
      </c>
      <c r="BM50" s="822">
        <v>137586.09214340354</v>
      </c>
      <c r="BN50" s="822">
        <v>138175.21268258648</v>
      </c>
      <c r="BO50" s="822">
        <v>138628.47666558527</v>
      </c>
      <c r="BP50" s="822">
        <v>142104.72795610214</v>
      </c>
      <c r="BQ50" s="822">
        <v>142278.28919419972</v>
      </c>
      <c r="BR50" s="822">
        <v>144450.61180768846</v>
      </c>
      <c r="BS50" s="822">
        <v>148534.72719634642</v>
      </c>
      <c r="BT50" s="822">
        <v>150438.85095480151</v>
      </c>
      <c r="BU50" s="822">
        <v>151519</v>
      </c>
      <c r="BV50" s="822">
        <v>153595.05761268668</v>
      </c>
      <c r="BW50" s="822">
        <v>156324.69065769573</v>
      </c>
      <c r="BX50" s="822">
        <v>157406.6914241621</v>
      </c>
      <c r="BY50" s="822">
        <v>156600.80811839449</v>
      </c>
    </row>
    <row r="51" spans="1:77" ht="17.100000000000001" customHeight="1" x14ac:dyDescent="0.2">
      <c r="A51" s="819" t="s">
        <v>603</v>
      </c>
      <c r="B51" s="820">
        <v>289410.72792542854</v>
      </c>
      <c r="C51" s="820">
        <v>292791.70235634677</v>
      </c>
      <c r="D51" s="820">
        <v>297432.04491911986</v>
      </c>
      <c r="E51" s="820">
        <v>279938.10502433998</v>
      </c>
      <c r="F51" s="820">
        <v>327910.8320255389</v>
      </c>
      <c r="G51" s="820">
        <v>320171.30679858039</v>
      </c>
      <c r="H51" s="820">
        <v>280822.53492081689</v>
      </c>
      <c r="I51" s="820">
        <v>304449.98967204109</v>
      </c>
      <c r="J51" s="820">
        <v>301088.89713564055</v>
      </c>
      <c r="K51" s="820">
        <v>302930.04240626586</v>
      </c>
      <c r="L51" s="820">
        <v>312451.91898554342</v>
      </c>
      <c r="M51" s="820">
        <v>318118.48321293283</v>
      </c>
      <c r="N51" s="820">
        <v>323227.47303719167</v>
      </c>
      <c r="O51" s="820">
        <v>317121.40861257981</v>
      </c>
      <c r="P51" s="820">
        <v>286354.90462211403</v>
      </c>
      <c r="Q51" s="820">
        <v>301260.61578368506</v>
      </c>
      <c r="R51" s="820">
        <v>291716.10072829016</v>
      </c>
      <c r="S51" s="820">
        <v>318687.03130866907</v>
      </c>
      <c r="T51" s="820">
        <v>305188.07283541822</v>
      </c>
      <c r="U51" s="820">
        <v>287606.55099744862</v>
      </c>
      <c r="V51" s="820">
        <v>293475.2466610134</v>
      </c>
      <c r="W51" s="820">
        <v>292604.82713334222</v>
      </c>
      <c r="X51" s="820">
        <v>347383.24200691615</v>
      </c>
      <c r="Y51" s="820">
        <v>290654.23951224022</v>
      </c>
      <c r="Z51" s="820">
        <v>267988.61551349226</v>
      </c>
      <c r="AA51" s="820">
        <v>274768.44322053925</v>
      </c>
      <c r="AB51" s="820">
        <v>321049.06011849875</v>
      </c>
      <c r="AC51" s="820">
        <v>321847.61654908379</v>
      </c>
      <c r="AD51" s="820">
        <v>340836.36152997706</v>
      </c>
      <c r="AE51" s="820">
        <v>273456.51895855844</v>
      </c>
      <c r="AF51" s="820">
        <v>304922.60916409292</v>
      </c>
      <c r="AG51" s="820">
        <v>262526.97220607544</v>
      </c>
      <c r="AH51" s="820">
        <v>286567.44082683767</v>
      </c>
      <c r="AI51" s="820">
        <v>306184.25194562681</v>
      </c>
      <c r="AJ51" s="820">
        <v>306172.36115914932</v>
      </c>
      <c r="AK51" s="820">
        <v>309761.08105135418</v>
      </c>
      <c r="AL51" s="820">
        <v>331111.15474308265</v>
      </c>
      <c r="AM51" s="820">
        <v>278409.44842492574</v>
      </c>
      <c r="AN51" s="821">
        <v>299533.06954427459</v>
      </c>
      <c r="AO51" s="822">
        <v>310668.14065564412</v>
      </c>
      <c r="AP51" s="822">
        <v>335198.83073661407</v>
      </c>
      <c r="AQ51" s="822">
        <v>290541.90389346273</v>
      </c>
      <c r="AR51" s="822">
        <v>307493.41187806381</v>
      </c>
      <c r="AS51" s="822">
        <v>289118.00046138023</v>
      </c>
      <c r="AT51" s="822">
        <v>281064.49624281575</v>
      </c>
      <c r="AU51" s="822">
        <v>272297.13350531843</v>
      </c>
      <c r="AV51" s="822">
        <v>276661.49469331006</v>
      </c>
      <c r="AW51" s="822">
        <v>292801.9517582464</v>
      </c>
      <c r="AX51" s="822">
        <v>268497.86107759853</v>
      </c>
      <c r="AY51" s="822">
        <v>265920.13405156572</v>
      </c>
      <c r="AZ51" s="822">
        <v>261333.85246753774</v>
      </c>
      <c r="BA51" s="822">
        <v>281399.23989507044</v>
      </c>
      <c r="BB51" s="822">
        <v>266165.4506704887</v>
      </c>
      <c r="BC51" s="822">
        <v>262621.90154981613</v>
      </c>
      <c r="BD51" s="822">
        <v>271259.19882236311</v>
      </c>
      <c r="BE51" s="822">
        <v>285995.84924047318</v>
      </c>
      <c r="BF51" s="822">
        <v>319933.42308586923</v>
      </c>
      <c r="BG51" s="822">
        <v>358996.96364427783</v>
      </c>
      <c r="BH51" s="822">
        <v>322355.93779513089</v>
      </c>
      <c r="BI51" s="822">
        <v>335087.73974829266</v>
      </c>
      <c r="BJ51" s="822">
        <v>355989.09586107393</v>
      </c>
      <c r="BK51" s="822">
        <v>359122.29739360325</v>
      </c>
      <c r="BL51" s="822">
        <v>418918.09434418491</v>
      </c>
      <c r="BM51" s="822">
        <v>429695.2027612754</v>
      </c>
      <c r="BN51" s="822">
        <v>395171.42290077568</v>
      </c>
      <c r="BO51" s="822">
        <v>381222.78593859496</v>
      </c>
      <c r="BP51" s="822">
        <v>387769.16350020299</v>
      </c>
      <c r="BQ51" s="822">
        <v>367967.32633086276</v>
      </c>
      <c r="BR51" s="822">
        <v>361379.31338741345</v>
      </c>
      <c r="BS51" s="822">
        <v>382743.65721500339</v>
      </c>
      <c r="BT51" s="822">
        <v>362196.82071930351</v>
      </c>
      <c r="BU51" s="822">
        <v>377506</v>
      </c>
      <c r="BV51" s="822">
        <v>383906.73856191809</v>
      </c>
      <c r="BW51" s="822">
        <v>379634.32814171806</v>
      </c>
      <c r="BX51" s="822">
        <v>350088.93636299996</v>
      </c>
      <c r="BY51" s="822">
        <v>368694.14927772473</v>
      </c>
    </row>
    <row r="52" spans="1:77" s="851" customFormat="1" ht="17.100000000000001" customHeight="1" x14ac:dyDescent="0.2">
      <c r="A52" s="854" t="s">
        <v>604</v>
      </c>
      <c r="B52" s="848">
        <v>30107.789499937426</v>
      </c>
      <c r="C52" s="848">
        <v>31094.415139565433</v>
      </c>
      <c r="D52" s="848">
        <v>30962.734737710922</v>
      </c>
      <c r="E52" s="848">
        <v>31722.669563358049</v>
      </c>
      <c r="F52" s="848">
        <v>32291.245409282688</v>
      </c>
      <c r="G52" s="848">
        <v>32190.982644318014</v>
      </c>
      <c r="H52" s="848">
        <v>30094.231303218694</v>
      </c>
      <c r="I52" s="848">
        <v>28685.302738552557</v>
      </c>
      <c r="J52" s="848">
        <v>27202.292881792404</v>
      </c>
      <c r="K52" s="848">
        <v>28366.741870910635</v>
      </c>
      <c r="L52" s="848">
        <v>26731.42360877612</v>
      </c>
      <c r="M52" s="848">
        <v>29842.888080704441</v>
      </c>
      <c r="N52" s="848">
        <v>29586.633266821053</v>
      </c>
      <c r="O52" s="848">
        <v>29891.802077865294</v>
      </c>
      <c r="P52" s="848">
        <v>25947.623236333402</v>
      </c>
      <c r="Q52" s="848">
        <v>27891.315556650738</v>
      </c>
      <c r="R52" s="848">
        <v>27836.31586989648</v>
      </c>
      <c r="S52" s="848">
        <v>29550.652640857741</v>
      </c>
      <c r="T52" s="848">
        <v>28814.146909541629</v>
      </c>
      <c r="U52" s="848">
        <v>29743.461993769037</v>
      </c>
      <c r="V52" s="848">
        <v>28007.929026793463</v>
      </c>
      <c r="W52" s="848">
        <v>27848.917471561232</v>
      </c>
      <c r="X52" s="848">
        <v>30798.47857303136</v>
      </c>
      <c r="Y52" s="848">
        <v>30173.425683765054</v>
      </c>
      <c r="Z52" s="848">
        <v>27635.564013278305</v>
      </c>
      <c r="AA52" s="848">
        <v>28505.675546840474</v>
      </c>
      <c r="AB52" s="848">
        <v>30015.249470331852</v>
      </c>
      <c r="AC52" s="848">
        <v>28849.601820639546</v>
      </c>
      <c r="AD52" s="848">
        <v>29685.935308031254</v>
      </c>
      <c r="AE52" s="848">
        <v>27434.626315896196</v>
      </c>
      <c r="AF52" s="848">
        <v>24564.372512824601</v>
      </c>
      <c r="AG52" s="848">
        <v>24843.929419416803</v>
      </c>
      <c r="AH52" s="848">
        <v>26903.079659206087</v>
      </c>
      <c r="AI52" s="848">
        <v>26692.130185590468</v>
      </c>
      <c r="AJ52" s="848">
        <v>23489.867346898696</v>
      </c>
      <c r="AK52" s="848">
        <v>26748.267328989143</v>
      </c>
      <c r="AL52" s="848">
        <v>24970.557388426176</v>
      </c>
      <c r="AM52" s="848">
        <v>27360.034197333964</v>
      </c>
      <c r="AN52" s="849">
        <v>28048.947249844314</v>
      </c>
      <c r="AO52" s="850">
        <v>27103.250200486156</v>
      </c>
      <c r="AP52" s="850">
        <v>23704.250976455434</v>
      </c>
      <c r="AQ52" s="850">
        <v>24490.234397729695</v>
      </c>
      <c r="AR52" s="850">
        <v>29194.044954404722</v>
      </c>
      <c r="AS52" s="850">
        <v>31589.148616054383</v>
      </c>
      <c r="AT52" s="850">
        <v>28878.627380932823</v>
      </c>
      <c r="AU52" s="850">
        <v>29438.984456836901</v>
      </c>
      <c r="AV52" s="850">
        <v>32222.328507304621</v>
      </c>
      <c r="AW52" s="850">
        <v>34759.046630821162</v>
      </c>
      <c r="AX52" s="850">
        <v>34060.323408110286</v>
      </c>
      <c r="AY52" s="850">
        <v>34817.59427536845</v>
      </c>
      <c r="AZ52" s="850">
        <v>35853.595180281867</v>
      </c>
      <c r="BA52" s="850">
        <v>32821.366597128304</v>
      </c>
      <c r="BB52" s="850">
        <v>35817.305316602025</v>
      </c>
      <c r="BC52" s="850">
        <v>34503.982019541341</v>
      </c>
      <c r="BD52" s="850">
        <v>34366.650950250732</v>
      </c>
      <c r="BE52" s="850">
        <v>33649.017850934637</v>
      </c>
      <c r="BF52" s="850">
        <v>34106.491150883034</v>
      </c>
      <c r="BG52" s="850">
        <v>38799.4385675999</v>
      </c>
      <c r="BH52" s="850">
        <v>42147.93707209549</v>
      </c>
      <c r="BI52" s="850">
        <v>44771.48306422789</v>
      </c>
      <c r="BJ52" s="850">
        <v>45036.202349362306</v>
      </c>
      <c r="BK52" s="850">
        <v>46331.067374710321</v>
      </c>
      <c r="BL52" s="850">
        <v>41183.321744285538</v>
      </c>
      <c r="BM52" s="850">
        <v>43101.216780224531</v>
      </c>
      <c r="BN52" s="850">
        <v>45620.751845429142</v>
      </c>
      <c r="BO52" s="850">
        <v>46467.822872853139</v>
      </c>
      <c r="BP52" s="850">
        <v>41800.329991954648</v>
      </c>
      <c r="BQ52" s="850">
        <v>43686.775365199937</v>
      </c>
      <c r="BR52" s="850">
        <v>43681.973409324011</v>
      </c>
      <c r="BS52" s="850">
        <v>44899.085888896501</v>
      </c>
      <c r="BT52" s="850">
        <v>43210.837423796293</v>
      </c>
      <c r="BU52" s="850">
        <v>41980</v>
      </c>
      <c r="BV52" s="850">
        <v>45398.624617775524</v>
      </c>
      <c r="BW52" s="850">
        <v>45850.184701248843</v>
      </c>
      <c r="BX52" s="850">
        <v>47471.770916704685</v>
      </c>
      <c r="BY52" s="850">
        <v>48841.163122945531</v>
      </c>
    </row>
    <row r="53" spans="1:77" ht="17.100000000000001" customHeight="1" x14ac:dyDescent="0.2">
      <c r="A53" s="819" t="s">
        <v>602</v>
      </c>
      <c r="B53" s="820">
        <v>-16094.591653099998</v>
      </c>
      <c r="C53" s="820">
        <v>-15133.990915980001</v>
      </c>
      <c r="D53" s="820">
        <v>-10574.257390679999</v>
      </c>
      <c r="E53" s="820">
        <v>-13160.13132181</v>
      </c>
      <c r="F53" s="820">
        <v>-13184.197336680001</v>
      </c>
      <c r="G53" s="820">
        <v>-12603.214470860001</v>
      </c>
      <c r="H53" s="820">
        <v>-12649.402737140001</v>
      </c>
      <c r="I53" s="820">
        <v>-13999.36386032</v>
      </c>
      <c r="J53" s="820">
        <v>-12309.791425859999</v>
      </c>
      <c r="K53" s="820">
        <v>-9506.4930552200003</v>
      </c>
      <c r="L53" s="820">
        <v>-11316.247423609999</v>
      </c>
      <c r="M53" s="820">
        <v>-9687.6799926800013</v>
      </c>
      <c r="N53" s="820">
        <v>-8384.2803368000004</v>
      </c>
      <c r="O53" s="820">
        <v>-7735.6408573600002</v>
      </c>
      <c r="P53" s="820">
        <v>-11176.693028849997</v>
      </c>
      <c r="Q53" s="820">
        <v>-9606.6951597400002</v>
      </c>
      <c r="R53" s="820">
        <v>-11320.184787369999</v>
      </c>
      <c r="S53" s="820">
        <v>-10168.74607549</v>
      </c>
      <c r="T53" s="820">
        <v>-11201.799995440004</v>
      </c>
      <c r="U53" s="820">
        <v>-8361.1217992800011</v>
      </c>
      <c r="V53" s="820">
        <v>-10561.849022570001</v>
      </c>
      <c r="W53" s="820">
        <v>-11253.339342660001</v>
      </c>
      <c r="X53" s="820">
        <v>-9436.6171233200002</v>
      </c>
      <c r="Y53" s="820">
        <v>-7837.3001372700001</v>
      </c>
      <c r="Z53" s="820">
        <v>-10079.960773000003</v>
      </c>
      <c r="AA53" s="820">
        <v>-8692.3302772299994</v>
      </c>
      <c r="AB53" s="820">
        <v>-9372.881900270002</v>
      </c>
      <c r="AC53" s="820">
        <v>-8880.1699302400029</v>
      </c>
      <c r="AD53" s="820">
        <v>-8780.1530179400033</v>
      </c>
      <c r="AE53" s="820">
        <v>-11179.910112040001</v>
      </c>
      <c r="AF53" s="820">
        <v>-11456.030725809998</v>
      </c>
      <c r="AG53" s="820">
        <v>-13179.341982179998</v>
      </c>
      <c r="AH53" s="820">
        <v>-11879.09227354</v>
      </c>
      <c r="AI53" s="820">
        <v>-13350.546611650003</v>
      </c>
      <c r="AJ53" s="820">
        <v>-16898.939951499997</v>
      </c>
      <c r="AK53" s="820">
        <v>-11466.967172649998</v>
      </c>
      <c r="AL53" s="820">
        <v>-13650.276193949998</v>
      </c>
      <c r="AM53" s="820">
        <v>-12018.874950829999</v>
      </c>
      <c r="AN53" s="821">
        <v>-12476.195903029999</v>
      </c>
      <c r="AO53" s="822">
        <v>-14313.36957282</v>
      </c>
      <c r="AP53" s="822">
        <v>-17374.062681929754</v>
      </c>
      <c r="AQ53" s="822">
        <v>-18112.053482993684</v>
      </c>
      <c r="AR53" s="822">
        <v>-14044.60487612374</v>
      </c>
      <c r="AS53" s="822">
        <v>-13816.06028582856</v>
      </c>
      <c r="AT53" s="822">
        <v>-17341.511666418828</v>
      </c>
      <c r="AU53" s="822">
        <v>-15217.901120033093</v>
      </c>
      <c r="AV53" s="822">
        <v>-13552.266238281474</v>
      </c>
      <c r="AW53" s="822">
        <v>-10932.694839660657</v>
      </c>
      <c r="AX53" s="822">
        <v>-13197.887711877294</v>
      </c>
      <c r="AY53" s="822">
        <v>-12463.583303451964</v>
      </c>
      <c r="AZ53" s="822">
        <v>-13387.690245879574</v>
      </c>
      <c r="BA53" s="822">
        <v>-17897.114501728862</v>
      </c>
      <c r="BB53" s="822">
        <v>-16472.475734490621</v>
      </c>
      <c r="BC53" s="822">
        <v>-18912.303265928196</v>
      </c>
      <c r="BD53" s="822">
        <v>-19181.228839505362</v>
      </c>
      <c r="BE53" s="822">
        <v>-20865.026249724659</v>
      </c>
      <c r="BF53" s="822">
        <v>-24581.233548614022</v>
      </c>
      <c r="BG53" s="822">
        <v>-22626.159615587952</v>
      </c>
      <c r="BH53" s="822">
        <v>-19870.683686191223</v>
      </c>
      <c r="BI53" s="822">
        <v>-20743.429970004472</v>
      </c>
      <c r="BJ53" s="822">
        <v>-19352.681883520723</v>
      </c>
      <c r="BK53" s="822">
        <v>-22349.474304150681</v>
      </c>
      <c r="BL53" s="822">
        <v>-23502.995871067244</v>
      </c>
      <c r="BM53" s="822">
        <v>-22661.474497705807</v>
      </c>
      <c r="BN53" s="822">
        <v>-22878.465939326445</v>
      </c>
      <c r="BO53" s="822">
        <v>-21714.827886328236</v>
      </c>
      <c r="BP53" s="822">
        <v>-26328.382232080454</v>
      </c>
      <c r="BQ53" s="822">
        <v>-25956.873075779848</v>
      </c>
      <c r="BR53" s="822">
        <v>-26828.959248950447</v>
      </c>
      <c r="BS53" s="822">
        <v>-25650.317494534476</v>
      </c>
      <c r="BT53" s="822">
        <v>-29430.173450514856</v>
      </c>
      <c r="BU53" s="822">
        <v>-28635</v>
      </c>
      <c r="BV53" s="822">
        <v>-26971.136303966399</v>
      </c>
      <c r="BW53" s="822">
        <v>-29312.760556908066</v>
      </c>
      <c r="BX53" s="822">
        <v>-31958.729724419147</v>
      </c>
      <c r="BY53" s="822">
        <v>-34518.630189887648</v>
      </c>
    </row>
    <row r="54" spans="1:77" ht="17.100000000000001" customHeight="1" x14ac:dyDescent="0.2">
      <c r="A54" s="819" t="s">
        <v>603</v>
      </c>
      <c r="B54" s="820">
        <v>46202.381153037422</v>
      </c>
      <c r="C54" s="820">
        <v>46228.406055545434</v>
      </c>
      <c r="D54" s="820">
        <v>41536.992128390921</v>
      </c>
      <c r="E54" s="820">
        <v>44882.80088516805</v>
      </c>
      <c r="F54" s="820">
        <v>45475.44274596269</v>
      </c>
      <c r="G54" s="820">
        <v>44794.197115178016</v>
      </c>
      <c r="H54" s="820">
        <v>42743.634040358695</v>
      </c>
      <c r="I54" s="820">
        <v>42684.666598872558</v>
      </c>
      <c r="J54" s="820">
        <v>39512.084307652403</v>
      </c>
      <c r="K54" s="820">
        <v>37873.234926130637</v>
      </c>
      <c r="L54" s="820">
        <v>38047.671032386119</v>
      </c>
      <c r="M54" s="820">
        <v>39530.568073384442</v>
      </c>
      <c r="N54" s="820">
        <v>37970.913603621055</v>
      </c>
      <c r="O54" s="820">
        <v>37627.442935225292</v>
      </c>
      <c r="P54" s="820">
        <v>37124.316265183399</v>
      </c>
      <c r="Q54" s="820">
        <v>37498.010716390738</v>
      </c>
      <c r="R54" s="820">
        <v>39156.500657266479</v>
      </c>
      <c r="S54" s="820">
        <v>39719.398716347743</v>
      </c>
      <c r="T54" s="820">
        <v>40015.946904981633</v>
      </c>
      <c r="U54" s="820">
        <v>38104.583793049038</v>
      </c>
      <c r="V54" s="820">
        <v>38569.778049363464</v>
      </c>
      <c r="W54" s="820">
        <v>39102.256814221233</v>
      </c>
      <c r="X54" s="820">
        <v>40235.09569635136</v>
      </c>
      <c r="Y54" s="820">
        <v>38010.725821035056</v>
      </c>
      <c r="Z54" s="820">
        <v>37715.524786278307</v>
      </c>
      <c r="AA54" s="820">
        <v>37198.005824070475</v>
      </c>
      <c r="AB54" s="820">
        <v>39388.131370601855</v>
      </c>
      <c r="AC54" s="820">
        <v>37729.771750879547</v>
      </c>
      <c r="AD54" s="820">
        <v>38466.088325971257</v>
      </c>
      <c r="AE54" s="820">
        <v>38614.536427936197</v>
      </c>
      <c r="AF54" s="820">
        <v>36020.403238634601</v>
      </c>
      <c r="AG54" s="820">
        <v>38023.271401596801</v>
      </c>
      <c r="AH54" s="820">
        <v>38782.171932746089</v>
      </c>
      <c r="AI54" s="820">
        <v>40042.67679724047</v>
      </c>
      <c r="AJ54" s="820">
        <v>40388.807298398693</v>
      </c>
      <c r="AK54" s="820">
        <v>38215.234501639141</v>
      </c>
      <c r="AL54" s="820">
        <v>38620.833582376174</v>
      </c>
      <c r="AM54" s="820">
        <v>39378.909148163963</v>
      </c>
      <c r="AN54" s="821">
        <v>40525.143152874312</v>
      </c>
      <c r="AO54" s="822">
        <v>41416.619773306156</v>
      </c>
      <c r="AP54" s="822">
        <v>41078.313658385188</v>
      </c>
      <c r="AQ54" s="822">
        <v>42602.287880723379</v>
      </c>
      <c r="AR54" s="822">
        <v>43238.649830528462</v>
      </c>
      <c r="AS54" s="822">
        <v>45405.208901882943</v>
      </c>
      <c r="AT54" s="822">
        <v>46220.139047351651</v>
      </c>
      <c r="AU54" s="822">
        <v>44656.885576869994</v>
      </c>
      <c r="AV54" s="822">
        <v>45774.594745586095</v>
      </c>
      <c r="AW54" s="822">
        <v>45691.741470481815</v>
      </c>
      <c r="AX54" s="822">
        <v>47258.21111998758</v>
      </c>
      <c r="AY54" s="822">
        <v>47281.17757882041</v>
      </c>
      <c r="AZ54" s="822">
        <v>49241.285426161441</v>
      </c>
      <c r="BA54" s="822">
        <v>50718.48109885717</v>
      </c>
      <c r="BB54" s="822">
        <v>52289.78105109265</v>
      </c>
      <c r="BC54" s="822">
        <v>53416.285285469537</v>
      </c>
      <c r="BD54" s="822">
        <v>53547.879789756094</v>
      </c>
      <c r="BE54" s="822">
        <v>54514.044100659296</v>
      </c>
      <c r="BF54" s="822">
        <v>58687.724699497056</v>
      </c>
      <c r="BG54" s="822">
        <v>61425.598183187853</v>
      </c>
      <c r="BH54" s="822">
        <v>62018.620758286714</v>
      </c>
      <c r="BI54" s="822">
        <v>65514.913034232362</v>
      </c>
      <c r="BJ54" s="822">
        <v>64388.884232883029</v>
      </c>
      <c r="BK54" s="822">
        <v>68680.541678861002</v>
      </c>
      <c r="BL54" s="822">
        <v>64686.317615352782</v>
      </c>
      <c r="BM54" s="822">
        <v>65762.691277930338</v>
      </c>
      <c r="BN54" s="822">
        <v>68499.217784755587</v>
      </c>
      <c r="BO54" s="822">
        <v>68182.650759181372</v>
      </c>
      <c r="BP54" s="822">
        <v>68128.712224035102</v>
      </c>
      <c r="BQ54" s="822">
        <v>69643.648440979785</v>
      </c>
      <c r="BR54" s="822">
        <v>70510.932658274454</v>
      </c>
      <c r="BS54" s="822">
        <v>70549.403383430981</v>
      </c>
      <c r="BT54" s="822">
        <v>72641.010874311149</v>
      </c>
      <c r="BU54" s="822">
        <v>70615</v>
      </c>
      <c r="BV54" s="822">
        <v>72369.760921741923</v>
      </c>
      <c r="BW54" s="822">
        <v>75162.945258156906</v>
      </c>
      <c r="BX54" s="822">
        <v>79430.500641123828</v>
      </c>
      <c r="BY54" s="822">
        <v>83359.793312833179</v>
      </c>
    </row>
    <row r="55" spans="1:77" s="851" customFormat="1" ht="17.100000000000001" customHeight="1" x14ac:dyDescent="0.2">
      <c r="A55" s="854" t="s">
        <v>605</v>
      </c>
      <c r="B55" s="848">
        <v>249049.6457634767</v>
      </c>
      <c r="C55" s="848">
        <v>248807.77216519354</v>
      </c>
      <c r="D55" s="848">
        <v>251216.34014935835</v>
      </c>
      <c r="E55" s="848">
        <v>252571.14770766051</v>
      </c>
      <c r="F55" s="848">
        <v>263772.26442897564</v>
      </c>
      <c r="G55" s="848">
        <v>267573.77706727927</v>
      </c>
      <c r="H55" s="848">
        <v>266546.19427709124</v>
      </c>
      <c r="I55" s="848">
        <v>271927.19652940845</v>
      </c>
      <c r="J55" s="848">
        <v>272605.20555799588</v>
      </c>
      <c r="K55" s="848">
        <v>274950.37682160974</v>
      </c>
      <c r="L55" s="848">
        <v>276946.48094082711</v>
      </c>
      <c r="M55" s="848">
        <v>279011.9005774298</v>
      </c>
      <c r="N55" s="848">
        <v>278925.50306887995</v>
      </c>
      <c r="O55" s="848">
        <v>281794.30187684559</v>
      </c>
      <c r="P55" s="848">
        <v>282552.45791129809</v>
      </c>
      <c r="Q55" s="848">
        <v>286531.20071991388</v>
      </c>
      <c r="R55" s="848">
        <v>288418.86245035374</v>
      </c>
      <c r="S55" s="848">
        <v>292124.32001176995</v>
      </c>
      <c r="T55" s="848">
        <v>295910.29042288021</v>
      </c>
      <c r="U55" s="848">
        <v>298869.28538751893</v>
      </c>
      <c r="V55" s="848">
        <v>304317.74497532001</v>
      </c>
      <c r="W55" s="848">
        <v>313019.72673447238</v>
      </c>
      <c r="X55" s="848">
        <v>311448.56077553553</v>
      </c>
      <c r="Y55" s="848">
        <v>311128.60589472816</v>
      </c>
      <c r="Z55" s="848">
        <v>311614.96213569335</v>
      </c>
      <c r="AA55" s="848">
        <v>312053.74452528806</v>
      </c>
      <c r="AB55" s="848">
        <v>316252.63222865068</v>
      </c>
      <c r="AC55" s="848">
        <v>322237.36142590013</v>
      </c>
      <c r="AD55" s="848">
        <v>328425.03858686506</v>
      </c>
      <c r="AE55" s="848">
        <v>339992.21987458708</v>
      </c>
      <c r="AF55" s="848">
        <v>344302.14351216564</v>
      </c>
      <c r="AG55" s="848">
        <v>346757.92890193785</v>
      </c>
      <c r="AH55" s="848">
        <v>349337.30424399534</v>
      </c>
      <c r="AI55" s="848">
        <v>353848.92335604446</v>
      </c>
      <c r="AJ55" s="848">
        <v>357405.85055804724</v>
      </c>
      <c r="AK55" s="848">
        <v>364273.63872408587</v>
      </c>
      <c r="AL55" s="848">
        <v>365700.0106858334</v>
      </c>
      <c r="AM55" s="848">
        <v>372023.55270095076</v>
      </c>
      <c r="AN55" s="849">
        <v>369763.25433820783</v>
      </c>
      <c r="AO55" s="850">
        <v>373549.03799787484</v>
      </c>
      <c r="AP55" s="850">
        <v>371865.91460924764</v>
      </c>
      <c r="AQ55" s="850">
        <v>371452.23091788462</v>
      </c>
      <c r="AR55" s="850">
        <v>381516.64452129649</v>
      </c>
      <c r="AS55" s="850">
        <v>403214.62648758269</v>
      </c>
      <c r="AT55" s="850">
        <v>409852.99746432231</v>
      </c>
      <c r="AU55" s="850">
        <v>403332.10506721033</v>
      </c>
      <c r="AV55" s="850">
        <v>406428.21979282878</v>
      </c>
      <c r="AW55" s="850">
        <v>413415.51091962057</v>
      </c>
      <c r="AX55" s="850">
        <v>398598.84518461517</v>
      </c>
      <c r="AY55" s="850">
        <v>401054.46897641121</v>
      </c>
      <c r="AZ55" s="850">
        <v>402940.77149325603</v>
      </c>
      <c r="BA55" s="850">
        <v>403970.49852973624</v>
      </c>
      <c r="BB55" s="850">
        <v>398087.2159975979</v>
      </c>
      <c r="BC55" s="850">
        <v>391977.25670871098</v>
      </c>
      <c r="BD55" s="850">
        <v>390386.78573823883</v>
      </c>
      <c r="BE55" s="850">
        <v>389133.07236688567</v>
      </c>
      <c r="BF55" s="850">
        <v>390326.26670956856</v>
      </c>
      <c r="BG55" s="850">
        <v>394713.68888715311</v>
      </c>
      <c r="BH55" s="850">
        <v>403626.6251230645</v>
      </c>
      <c r="BI55" s="850">
        <v>402034.57576756674</v>
      </c>
      <c r="BJ55" s="850">
        <v>403049.78413234965</v>
      </c>
      <c r="BK55" s="850">
        <v>406708.58711020421</v>
      </c>
      <c r="BL55" s="850">
        <v>420833.52840106795</v>
      </c>
      <c r="BM55" s="850">
        <v>409999.09764211474</v>
      </c>
      <c r="BN55" s="850">
        <v>410049.14788507775</v>
      </c>
      <c r="BO55" s="850">
        <v>414496.77065093926</v>
      </c>
      <c r="BP55" s="850">
        <v>415860.11372209055</v>
      </c>
      <c r="BQ55" s="850">
        <v>424519.53156377701</v>
      </c>
      <c r="BR55" s="850">
        <v>426617.64876020927</v>
      </c>
      <c r="BS55" s="850">
        <v>427637.71890229994</v>
      </c>
      <c r="BT55" s="850">
        <v>430810.36150097579</v>
      </c>
      <c r="BU55" s="850">
        <v>434672</v>
      </c>
      <c r="BV55" s="850">
        <v>439203.52930083545</v>
      </c>
      <c r="BW55" s="850">
        <v>439359.98284018214</v>
      </c>
      <c r="BX55" s="850">
        <v>435001.29686293373</v>
      </c>
      <c r="BY55" s="850">
        <v>431098.67933808913</v>
      </c>
    </row>
    <row r="56" spans="1:77" ht="17.100000000000001" customHeight="1" x14ac:dyDescent="0.2">
      <c r="A56" s="819" t="s">
        <v>602</v>
      </c>
      <c r="B56" s="820">
        <v>153.19780331999999</v>
      </c>
      <c r="C56" s="820">
        <v>154.31596911</v>
      </c>
      <c r="D56" s="820">
        <v>138.70587049999997</v>
      </c>
      <c r="E56" s="820">
        <v>145.20146566999998</v>
      </c>
      <c r="F56" s="820">
        <v>139.64907062999998</v>
      </c>
      <c r="G56" s="820">
        <v>144.54348844999998</v>
      </c>
      <c r="H56" s="820">
        <v>136.46690247999999</v>
      </c>
      <c r="I56" s="820">
        <v>137.70103456999999</v>
      </c>
      <c r="J56" s="820">
        <v>166.28222216</v>
      </c>
      <c r="K56" s="820">
        <v>164.10271523999998</v>
      </c>
      <c r="L56" s="820">
        <v>188.36966712999998</v>
      </c>
      <c r="M56" s="820">
        <v>289.10614802999993</v>
      </c>
      <c r="N56" s="820">
        <v>325.25928297999997</v>
      </c>
      <c r="O56" s="820">
        <v>266.26099159999995</v>
      </c>
      <c r="P56" s="820">
        <v>282.16233682000001</v>
      </c>
      <c r="Q56" s="820">
        <v>326.19289162000001</v>
      </c>
      <c r="R56" s="820">
        <v>355.96613649</v>
      </c>
      <c r="S56" s="820">
        <v>144.95301177000002</v>
      </c>
      <c r="T56" s="820">
        <v>145.04960496999999</v>
      </c>
      <c r="U56" s="820">
        <v>146.18456738</v>
      </c>
      <c r="V56" s="820">
        <v>147.98835771</v>
      </c>
      <c r="W56" s="820">
        <v>189.87692557</v>
      </c>
      <c r="X56" s="820">
        <v>188.68572480999998</v>
      </c>
      <c r="Y56" s="820">
        <v>187.66180904000001</v>
      </c>
      <c r="Z56" s="820">
        <v>184.76241243000001</v>
      </c>
      <c r="AA56" s="820">
        <v>235.96431477000002</v>
      </c>
      <c r="AB56" s="820">
        <v>228.80128807000003</v>
      </c>
      <c r="AC56" s="820">
        <v>202.30284356000001</v>
      </c>
      <c r="AD56" s="820">
        <v>207.31680611000002</v>
      </c>
      <c r="AE56" s="820">
        <v>142.31707372000002</v>
      </c>
      <c r="AF56" s="820">
        <v>246.29880878</v>
      </c>
      <c r="AG56" s="820">
        <v>157.61338316000001</v>
      </c>
      <c r="AH56" s="820">
        <v>186.53756657</v>
      </c>
      <c r="AI56" s="820">
        <v>186.00266166</v>
      </c>
      <c r="AJ56" s="820">
        <v>148.20166657000001</v>
      </c>
      <c r="AK56" s="820">
        <v>184.47326498999999</v>
      </c>
      <c r="AL56" s="820">
        <v>158.50110899000001</v>
      </c>
      <c r="AM56" s="820">
        <v>151.81138362999999</v>
      </c>
      <c r="AN56" s="821">
        <v>144.74117856000001</v>
      </c>
      <c r="AO56" s="822">
        <v>154.39851223000002</v>
      </c>
      <c r="AP56" s="822">
        <v>135.40763834000001</v>
      </c>
      <c r="AQ56" s="822">
        <v>198.07188681</v>
      </c>
      <c r="AR56" s="822">
        <v>126.59522910000001</v>
      </c>
      <c r="AS56" s="822">
        <v>150.84449430999999</v>
      </c>
      <c r="AT56" s="822">
        <v>162.74188365000003</v>
      </c>
      <c r="AU56" s="822">
        <v>164.49673319999999</v>
      </c>
      <c r="AV56" s="822">
        <v>163.62766462999997</v>
      </c>
      <c r="AW56" s="822">
        <v>172.66457023999999</v>
      </c>
      <c r="AX56" s="822">
        <v>134.78201322999996</v>
      </c>
      <c r="AY56" s="822">
        <v>146.16603488000001</v>
      </c>
      <c r="AZ56" s="822">
        <v>154.80724961999994</v>
      </c>
      <c r="BA56" s="822">
        <v>158.50427366000002</v>
      </c>
      <c r="BB56" s="822">
        <v>161.91662781999997</v>
      </c>
      <c r="BC56" s="822">
        <v>159.59387422</v>
      </c>
      <c r="BD56" s="822">
        <v>117.25199542000001</v>
      </c>
      <c r="BE56" s="822">
        <v>129.45984655000001</v>
      </c>
      <c r="BF56" s="822">
        <v>134.73078520999996</v>
      </c>
      <c r="BG56" s="822">
        <v>140.02408560999999</v>
      </c>
      <c r="BH56" s="822">
        <v>139.35857369000001</v>
      </c>
      <c r="BI56" s="822">
        <v>152.22108252999999</v>
      </c>
      <c r="BJ56" s="822">
        <v>115.15130846999999</v>
      </c>
      <c r="BK56" s="822">
        <v>126.01319054</v>
      </c>
      <c r="BL56" s="822">
        <v>127.1554088</v>
      </c>
      <c r="BM56" s="822">
        <v>371.52363643000001</v>
      </c>
      <c r="BN56" s="822">
        <v>379.96656151999991</v>
      </c>
      <c r="BO56" s="822">
        <v>3704.0103747000003</v>
      </c>
      <c r="BP56" s="822">
        <v>3664.27348949</v>
      </c>
      <c r="BQ56" s="822">
        <v>3670.1731644900001</v>
      </c>
      <c r="BR56" s="822">
        <v>3675.21057273</v>
      </c>
      <c r="BS56" s="822">
        <v>3683.2173269999998</v>
      </c>
      <c r="BT56" s="822">
        <v>3657.3844738899998</v>
      </c>
      <c r="BU56" s="822">
        <v>3669</v>
      </c>
      <c r="BV56" s="822">
        <v>3617.0592188099999</v>
      </c>
      <c r="BW56" s="822">
        <v>3626.6453938499999</v>
      </c>
      <c r="BX56" s="822">
        <v>3623.0380289999998</v>
      </c>
      <c r="BY56" s="822">
        <v>3622.9704508099999</v>
      </c>
    </row>
    <row r="57" spans="1:77" ht="17.100000000000001" customHeight="1" x14ac:dyDescent="0.2">
      <c r="A57" s="819" t="s">
        <v>606</v>
      </c>
      <c r="B57" s="820">
        <v>248896.44796015669</v>
      </c>
      <c r="C57" s="820">
        <v>248653.45619608354</v>
      </c>
      <c r="D57" s="820">
        <v>251077.63427885834</v>
      </c>
      <c r="E57" s="820">
        <v>252425.94624199052</v>
      </c>
      <c r="F57" s="820">
        <v>263632.61535834562</v>
      </c>
      <c r="G57" s="820">
        <v>267429.23357882927</v>
      </c>
      <c r="H57" s="820">
        <v>266409.72737461125</v>
      </c>
      <c r="I57" s="820">
        <v>271789.49549483845</v>
      </c>
      <c r="J57" s="820">
        <v>272438.92333583586</v>
      </c>
      <c r="K57" s="820">
        <v>274786.27410636976</v>
      </c>
      <c r="L57" s="820">
        <v>276758.11127369711</v>
      </c>
      <c r="M57" s="820">
        <v>278722.79442939977</v>
      </c>
      <c r="N57" s="820">
        <v>278600.24378589995</v>
      </c>
      <c r="O57" s="820">
        <v>281528.0408852456</v>
      </c>
      <c r="P57" s="820">
        <v>282270.29557447811</v>
      </c>
      <c r="Q57" s="820">
        <v>286205.00782829389</v>
      </c>
      <c r="R57" s="820">
        <v>288062.89631386375</v>
      </c>
      <c r="S57" s="820">
        <v>291979.36699999997</v>
      </c>
      <c r="T57" s="820">
        <v>295765.24081791023</v>
      </c>
      <c r="U57" s="820">
        <v>298723.10082013893</v>
      </c>
      <c r="V57" s="820">
        <v>304169.75661760999</v>
      </c>
      <c r="W57" s="820">
        <v>312829.84980890236</v>
      </c>
      <c r="X57" s="820">
        <v>311259.87505072553</v>
      </c>
      <c r="Y57" s="820">
        <v>310940.94408568816</v>
      </c>
      <c r="Z57" s="820">
        <v>311430.19972326333</v>
      </c>
      <c r="AA57" s="820">
        <v>311817.78021051805</v>
      </c>
      <c r="AB57" s="820">
        <v>316023.83094058069</v>
      </c>
      <c r="AC57" s="820">
        <v>322035.05858234013</v>
      </c>
      <c r="AD57" s="820">
        <v>328217.72178075509</v>
      </c>
      <c r="AE57" s="820">
        <v>339849.9028008671</v>
      </c>
      <c r="AF57" s="820">
        <v>344055.84470338566</v>
      </c>
      <c r="AG57" s="820">
        <v>346600.31551877788</v>
      </c>
      <c r="AH57" s="820">
        <v>349150.76667742536</v>
      </c>
      <c r="AI57" s="820">
        <v>353662.92069438443</v>
      </c>
      <c r="AJ57" s="820">
        <v>357257.64889147726</v>
      </c>
      <c r="AK57" s="820">
        <v>364089.16545909585</v>
      </c>
      <c r="AL57" s="820">
        <v>365541.50957684341</v>
      </c>
      <c r="AM57" s="820">
        <v>371871.74131732079</v>
      </c>
      <c r="AN57" s="821">
        <v>369618.51315964782</v>
      </c>
      <c r="AO57" s="822">
        <v>373394.63948564482</v>
      </c>
      <c r="AP57" s="822">
        <v>371730.50697090762</v>
      </c>
      <c r="AQ57" s="822">
        <v>371254.15903107461</v>
      </c>
      <c r="AR57" s="822">
        <v>381390.04929219646</v>
      </c>
      <c r="AS57" s="822">
        <v>403063.78199327271</v>
      </c>
      <c r="AT57" s="822">
        <v>409690.2555806723</v>
      </c>
      <c r="AU57" s="822">
        <v>403167.60833401035</v>
      </c>
      <c r="AV57" s="822">
        <v>406264.59212819877</v>
      </c>
      <c r="AW57" s="822">
        <v>413242.84634938056</v>
      </c>
      <c r="AX57" s="822">
        <v>398464.06317138515</v>
      </c>
      <c r="AY57" s="822">
        <v>400908.30294153123</v>
      </c>
      <c r="AZ57" s="822">
        <v>402785.96424363606</v>
      </c>
      <c r="BA57" s="822">
        <v>403811.99425607623</v>
      </c>
      <c r="BB57" s="822">
        <v>397925.2993697779</v>
      </c>
      <c r="BC57" s="822">
        <v>391817.662834491</v>
      </c>
      <c r="BD57" s="822">
        <v>390269.53374281881</v>
      </c>
      <c r="BE57" s="822">
        <v>389003.61252033565</v>
      </c>
      <c r="BF57" s="822">
        <v>390191.53592435858</v>
      </c>
      <c r="BG57" s="822">
        <v>394573.66480154311</v>
      </c>
      <c r="BH57" s="822">
        <v>403487.2665493745</v>
      </c>
      <c r="BI57" s="822">
        <v>401882.35468503676</v>
      </c>
      <c r="BJ57" s="822">
        <v>402934.63282387966</v>
      </c>
      <c r="BK57" s="822">
        <v>406582.5739196642</v>
      </c>
      <c r="BL57" s="822">
        <v>420706.37299226795</v>
      </c>
      <c r="BM57" s="822">
        <v>409627.57400568476</v>
      </c>
      <c r="BN57" s="822">
        <v>409669.18132355774</v>
      </c>
      <c r="BO57" s="822">
        <v>410792.76027623925</v>
      </c>
      <c r="BP57" s="822">
        <v>412195.84023260057</v>
      </c>
      <c r="BQ57" s="822">
        <v>420849.35839928698</v>
      </c>
      <c r="BR57" s="822">
        <v>422942.43818747927</v>
      </c>
      <c r="BS57" s="822">
        <v>423954.50157529995</v>
      </c>
      <c r="BT57" s="822">
        <v>427152.97702708578</v>
      </c>
      <c r="BU57" s="822">
        <v>431004</v>
      </c>
      <c r="BV57" s="822">
        <v>435586.47008202545</v>
      </c>
      <c r="BW57" s="822">
        <v>435733.33744633215</v>
      </c>
      <c r="BX57" s="822">
        <v>431378.25883393374</v>
      </c>
      <c r="BY57" s="822">
        <v>427475.70888727915</v>
      </c>
    </row>
    <row r="58" spans="1:77" s="832" customFormat="1" ht="17.100000000000001" customHeight="1" x14ac:dyDescent="0.2">
      <c r="A58" s="828" t="s">
        <v>607</v>
      </c>
      <c r="B58" s="829">
        <v>279157.43526341411</v>
      </c>
      <c r="C58" s="829">
        <v>279902.18730475899</v>
      </c>
      <c r="D58" s="829">
        <v>282179.07488706929</v>
      </c>
      <c r="E58" s="829">
        <v>284293.81727101858</v>
      </c>
      <c r="F58" s="829">
        <v>296063.50983825832</v>
      </c>
      <c r="G58" s="829">
        <v>299764.75971159729</v>
      </c>
      <c r="H58" s="829">
        <v>296640.42558030994</v>
      </c>
      <c r="I58" s="829">
        <v>300612.49926796101</v>
      </c>
      <c r="J58" s="829">
        <v>299807.49843978829</v>
      </c>
      <c r="K58" s="829">
        <v>303317.11869252037</v>
      </c>
      <c r="L58" s="829">
        <v>303677.90454960323</v>
      </c>
      <c r="M58" s="829">
        <v>308854.78865813423</v>
      </c>
      <c r="N58" s="829">
        <v>308512.13633570098</v>
      </c>
      <c r="O58" s="829">
        <v>311686.10395471088</v>
      </c>
      <c r="P58" s="829">
        <v>308500.08114763151</v>
      </c>
      <c r="Q58" s="829">
        <v>314422.51627656462</v>
      </c>
      <c r="R58" s="829">
        <v>316255.17832025024</v>
      </c>
      <c r="S58" s="829">
        <v>321674.97265262768</v>
      </c>
      <c r="T58" s="829">
        <v>324724.43733242183</v>
      </c>
      <c r="U58" s="829">
        <v>328612.74738128798</v>
      </c>
      <c r="V58" s="829">
        <v>332325.67400211346</v>
      </c>
      <c r="W58" s="829">
        <v>340868.64420603361</v>
      </c>
      <c r="X58" s="829">
        <v>342247.0393485669</v>
      </c>
      <c r="Y58" s="829">
        <v>341302.03157849319</v>
      </c>
      <c r="Z58" s="829">
        <v>339250.52614897164</v>
      </c>
      <c r="AA58" s="829">
        <v>340559.42007212853</v>
      </c>
      <c r="AB58" s="829">
        <v>346267.88169898256</v>
      </c>
      <c r="AC58" s="829">
        <v>351086.9632465397</v>
      </c>
      <c r="AD58" s="829">
        <v>358110.97389489633</v>
      </c>
      <c r="AE58" s="829">
        <v>367426.84619048331</v>
      </c>
      <c r="AF58" s="829">
        <v>368866.51602499024</v>
      </c>
      <c r="AG58" s="829">
        <v>371601.85832135467</v>
      </c>
      <c r="AH58" s="829">
        <v>376240.38390320144</v>
      </c>
      <c r="AI58" s="829">
        <v>380541.05354163493</v>
      </c>
      <c r="AJ58" s="829">
        <v>380895.71790494595</v>
      </c>
      <c r="AK58" s="829">
        <v>391021.90605307504</v>
      </c>
      <c r="AL58" s="829">
        <v>390670.56807425956</v>
      </c>
      <c r="AM58" s="829">
        <v>399383.58689828473</v>
      </c>
      <c r="AN58" s="830">
        <v>397812.20158805215</v>
      </c>
      <c r="AO58" s="831">
        <v>400652.288198361</v>
      </c>
      <c r="AP58" s="831">
        <v>395570.1655857031</v>
      </c>
      <c r="AQ58" s="831">
        <v>395942.4653156143</v>
      </c>
      <c r="AR58" s="831">
        <v>410710.68947570119</v>
      </c>
      <c r="AS58" s="831">
        <v>434803.77510363708</v>
      </c>
      <c r="AT58" s="831">
        <v>438731.62484525511</v>
      </c>
      <c r="AU58" s="831">
        <v>432771.08952404722</v>
      </c>
      <c r="AV58" s="831">
        <v>438650.54830013338</v>
      </c>
      <c r="AW58" s="831">
        <v>448174.55755044171</v>
      </c>
      <c r="AX58" s="831">
        <v>432659.16859272547</v>
      </c>
      <c r="AY58" s="831">
        <v>435872.06325177965</v>
      </c>
      <c r="AZ58" s="831">
        <v>438794.36667353788</v>
      </c>
      <c r="BA58" s="831">
        <v>436791.86512686452</v>
      </c>
      <c r="BB58" s="831">
        <v>433904.5213141999</v>
      </c>
      <c r="BC58" s="831">
        <v>426481.2387282523</v>
      </c>
      <c r="BD58" s="831">
        <v>424753.43668848957</v>
      </c>
      <c r="BE58" s="831">
        <v>422782.09021782031</v>
      </c>
      <c r="BF58" s="831">
        <v>424432.75786045159</v>
      </c>
      <c r="BG58" s="831">
        <v>433513.12745475303</v>
      </c>
      <c r="BH58" s="831">
        <v>445774.56219515996</v>
      </c>
      <c r="BI58" s="831">
        <v>446806.05883179465</v>
      </c>
      <c r="BJ58" s="831">
        <v>448085.98648171197</v>
      </c>
      <c r="BK58" s="831">
        <v>453039.65448491456</v>
      </c>
      <c r="BL58" s="831">
        <v>462016.85014535347</v>
      </c>
      <c r="BM58" s="831">
        <v>453100.31442233926</v>
      </c>
      <c r="BN58" s="831">
        <v>455669.89973050688</v>
      </c>
      <c r="BO58" s="831">
        <v>460964.5935237924</v>
      </c>
      <c r="BP58" s="831">
        <v>457660.44371404522</v>
      </c>
      <c r="BQ58" s="831">
        <v>468206.30692897696</v>
      </c>
      <c r="BR58" s="831">
        <v>470299.62216953328</v>
      </c>
      <c r="BS58" s="831">
        <v>472536.80479119642</v>
      </c>
      <c r="BT58" s="831">
        <v>474021.19892477209</v>
      </c>
      <c r="BU58" s="831">
        <v>476653</v>
      </c>
      <c r="BV58" s="831">
        <v>484602.153918611</v>
      </c>
      <c r="BW58" s="831">
        <v>485210.16754143097</v>
      </c>
      <c r="BX58" s="831">
        <v>482473.0677796384</v>
      </c>
      <c r="BY58" s="831">
        <v>479939.84246103466</v>
      </c>
    </row>
    <row r="59" spans="1:77" s="832" customFormat="1" ht="17.100000000000001" customHeight="1" x14ac:dyDescent="0.2">
      <c r="A59" s="828" t="s">
        <v>608</v>
      </c>
      <c r="B59" s="829">
        <v>355259.36110940948</v>
      </c>
      <c r="C59" s="829">
        <v>359674.52067542169</v>
      </c>
      <c r="D59" s="829">
        <v>365534.08899271872</v>
      </c>
      <c r="E59" s="829">
        <v>350076.45939386607</v>
      </c>
      <c r="F59" s="829">
        <v>408376.12498644798</v>
      </c>
      <c r="G59" s="829">
        <v>402112.53101963754</v>
      </c>
      <c r="H59" s="829">
        <v>364656.03892779577</v>
      </c>
      <c r="I59" s="829">
        <v>393066.9151664619</v>
      </c>
      <c r="J59" s="829">
        <v>390537.62147691939</v>
      </c>
      <c r="K59" s="829">
        <v>391457.11670130375</v>
      </c>
      <c r="L59" s="829">
        <v>402942.5897299879</v>
      </c>
      <c r="M59" s="829">
        <v>404649.15065369115</v>
      </c>
      <c r="N59" s="829">
        <v>407823.63352837315</v>
      </c>
      <c r="O59" s="829">
        <v>405056.79783523042</v>
      </c>
      <c r="P59" s="829">
        <v>373076.22365200013</v>
      </c>
      <c r="Q59" s="829">
        <v>392324.13765174814</v>
      </c>
      <c r="R59" s="829">
        <v>385746.33193663164</v>
      </c>
      <c r="S59" s="829">
        <v>414087.30448866077</v>
      </c>
      <c r="T59" s="829">
        <v>403593.92227355641</v>
      </c>
      <c r="U59" s="829">
        <v>386969.89630842878</v>
      </c>
      <c r="V59" s="829">
        <v>395351.35688924079</v>
      </c>
      <c r="W59" s="829">
        <v>405087.09893024142</v>
      </c>
      <c r="X59" s="829">
        <v>454427.65861462167</v>
      </c>
      <c r="Y59" s="829">
        <v>392520.47702801961</v>
      </c>
      <c r="Z59" s="829">
        <v>369105.09290209634</v>
      </c>
      <c r="AA59" s="829">
        <v>376955.9310288633</v>
      </c>
      <c r="AB59" s="829">
        <v>425700.47701899771</v>
      </c>
      <c r="AC59" s="829">
        <v>430723.86365939816</v>
      </c>
      <c r="AD59" s="829">
        <v>453051.42133272428</v>
      </c>
      <c r="AE59" s="829">
        <v>398191.58983318222</v>
      </c>
      <c r="AF59" s="829">
        <v>431310.64951476338</v>
      </c>
      <c r="AG59" s="829">
        <v>391798.35496846749</v>
      </c>
      <c r="AH59" s="829">
        <v>419472.37424158253</v>
      </c>
      <c r="AI59" s="829">
        <v>440473.73401755263</v>
      </c>
      <c r="AJ59" s="829">
        <v>440983.94812166237</v>
      </c>
      <c r="AK59" s="829">
        <v>446725.61739693565</v>
      </c>
      <c r="AL59" s="829">
        <v>474970.90923370438</v>
      </c>
      <c r="AM59" s="829">
        <v>426515.81480752374</v>
      </c>
      <c r="AN59" s="830">
        <v>445854.38320849871</v>
      </c>
      <c r="AO59" s="831">
        <v>460625.32765421644</v>
      </c>
      <c r="AP59" s="831">
        <v>488129.86957859132</v>
      </c>
      <c r="AQ59" s="831">
        <v>438688.48267435428</v>
      </c>
      <c r="AR59" s="831">
        <v>465953.60966626892</v>
      </c>
      <c r="AS59" s="831">
        <v>471795.70692158758</v>
      </c>
      <c r="AT59" s="831">
        <v>470230.33461851074</v>
      </c>
      <c r="AU59" s="831">
        <v>455486.54418138292</v>
      </c>
      <c r="AV59" s="831">
        <v>459880.23395209498</v>
      </c>
      <c r="AW59" s="831">
        <v>478865.71640516765</v>
      </c>
      <c r="AX59" s="831">
        <v>439097.77532928227</v>
      </c>
      <c r="AY59" s="831">
        <v>441269.8403915122</v>
      </c>
      <c r="AZ59" s="831">
        <v>438692.91461748979</v>
      </c>
      <c r="BA59" s="831">
        <v>460236.83889744111</v>
      </c>
      <c r="BB59" s="831">
        <v>442676.74993058713</v>
      </c>
      <c r="BC59" s="831">
        <v>430266.48893325822</v>
      </c>
      <c r="BD59" s="831">
        <v>439363.15186964103</v>
      </c>
      <c r="BE59" s="831">
        <v>452836.70265660645</v>
      </c>
      <c r="BF59" s="831">
        <v>485583.09844426496</v>
      </c>
      <c r="BG59" s="831">
        <v>526195.34385628253</v>
      </c>
      <c r="BH59" s="831">
        <v>496675.90007366199</v>
      </c>
      <c r="BI59" s="831">
        <v>507072.70740943949</v>
      </c>
      <c r="BJ59" s="831">
        <v>524258.49610627926</v>
      </c>
      <c r="BK59" s="831">
        <v>533757.07369569398</v>
      </c>
      <c r="BL59" s="831">
        <v>609082.18579530215</v>
      </c>
      <c r="BM59" s="831">
        <v>610314.7623422672</v>
      </c>
      <c r="BN59" s="831">
        <v>577098.77235605102</v>
      </c>
      <c r="BO59" s="831">
        <v>562413.7520863933</v>
      </c>
      <c r="BP59" s="831">
        <v>567268.13910522393</v>
      </c>
      <c r="BQ59" s="831">
        <v>552711.18938686117</v>
      </c>
      <c r="BR59" s="831">
        <v>552327.72718493198</v>
      </c>
      <c r="BS59" s="831">
        <v>575446.41010124655</v>
      </c>
      <c r="BT59" s="831">
        <v>555028.7250735925</v>
      </c>
      <c r="BU59" s="831">
        <v>567680</v>
      </c>
      <c r="BV59" s="831">
        <v>580216.77243797912</v>
      </c>
      <c r="BW59" s="831">
        <v>578562.26508637541</v>
      </c>
      <c r="BX59" s="831">
        <v>547518.84099356248</v>
      </c>
      <c r="BY59" s="831">
        <v>558322.94204278337</v>
      </c>
    </row>
    <row r="60" spans="1:77" ht="17.100000000000001" customHeight="1" x14ac:dyDescent="0.2">
      <c r="A60" s="819"/>
      <c r="B60" s="820"/>
      <c r="C60" s="820"/>
      <c r="D60" s="820"/>
      <c r="E60" s="820"/>
      <c r="F60" s="820"/>
      <c r="G60" s="820"/>
      <c r="H60" s="820"/>
      <c r="I60" s="820"/>
      <c r="J60" s="820"/>
      <c r="K60" s="820"/>
      <c r="L60" s="820"/>
      <c r="M60" s="820"/>
      <c r="N60" s="820"/>
      <c r="O60" s="820"/>
      <c r="P60" s="820"/>
      <c r="Q60" s="820"/>
      <c r="R60" s="820"/>
      <c r="S60" s="820"/>
      <c r="T60" s="820"/>
      <c r="U60" s="820"/>
      <c r="V60" s="820"/>
      <c r="W60" s="820"/>
      <c r="X60" s="820"/>
      <c r="Y60" s="820"/>
      <c r="Z60" s="820"/>
      <c r="AA60" s="820"/>
      <c r="AB60" s="820"/>
      <c r="AC60" s="820"/>
      <c r="AD60" s="820"/>
      <c r="AE60" s="820"/>
      <c r="AF60" s="820"/>
      <c r="AG60" s="820"/>
      <c r="AH60" s="820"/>
      <c r="AI60" s="820"/>
      <c r="AJ60" s="820"/>
      <c r="AK60" s="820"/>
      <c r="AL60" s="820"/>
      <c r="AM60" s="820"/>
      <c r="AN60" s="821"/>
      <c r="AO60" s="822"/>
      <c r="AP60" s="822"/>
      <c r="AQ60" s="822"/>
      <c r="AR60" s="822"/>
      <c r="AS60" s="822"/>
      <c r="AT60" s="822"/>
      <c r="AU60" s="822"/>
      <c r="AV60" s="822"/>
      <c r="AW60" s="822"/>
      <c r="AX60" s="822"/>
      <c r="AY60" s="822"/>
      <c r="AZ60" s="822"/>
      <c r="BA60" s="822"/>
      <c r="BB60" s="822"/>
      <c r="BC60" s="822"/>
      <c r="BD60" s="822"/>
      <c r="BE60" s="822"/>
      <c r="BF60" s="822"/>
      <c r="BG60" s="822"/>
      <c r="BH60" s="822"/>
      <c r="BI60" s="822"/>
      <c r="BJ60" s="822"/>
      <c r="BK60" s="822"/>
      <c r="BL60" s="822"/>
      <c r="BM60" s="822"/>
      <c r="BN60" s="822"/>
      <c r="BO60" s="822"/>
      <c r="BP60" s="822"/>
      <c r="BQ60" s="822"/>
      <c r="BR60" s="822"/>
      <c r="BS60" s="822"/>
      <c r="BT60" s="822"/>
      <c r="BU60" s="822"/>
      <c r="BV60" s="822"/>
      <c r="BW60" s="822"/>
      <c r="BX60" s="822"/>
      <c r="BY60" s="822"/>
    </row>
    <row r="61" spans="1:77" ht="17.100000000000001" customHeight="1" x14ac:dyDescent="0.2">
      <c r="A61" s="828" t="s">
        <v>609</v>
      </c>
      <c r="B61" s="829">
        <v>279735.10531540611</v>
      </c>
      <c r="C61" s="829">
        <v>280832.71616430732</v>
      </c>
      <c r="D61" s="829">
        <v>281427.58380275627</v>
      </c>
      <c r="E61" s="829">
        <v>282053.88717788766</v>
      </c>
      <c r="F61" s="829">
        <v>286161.75081736082</v>
      </c>
      <c r="G61" s="829">
        <v>286852.74157677876</v>
      </c>
      <c r="H61" s="829">
        <v>281980.74913940526</v>
      </c>
      <c r="I61" s="829">
        <v>282105.32767522562</v>
      </c>
      <c r="J61" s="829">
        <v>283581.44315563818</v>
      </c>
      <c r="K61" s="829">
        <v>287418.95498439157</v>
      </c>
      <c r="L61" s="829">
        <v>288135.77511421102</v>
      </c>
      <c r="M61" s="829">
        <v>300231.38741758827</v>
      </c>
      <c r="N61" s="829">
        <v>298556.62578708358</v>
      </c>
      <c r="O61" s="829">
        <v>298369.33004481444</v>
      </c>
      <c r="P61" s="829">
        <v>298155.49753263145</v>
      </c>
      <c r="Q61" s="829">
        <v>299059.78403224458</v>
      </c>
      <c r="R61" s="829">
        <v>299494.6394816144</v>
      </c>
      <c r="S61" s="829">
        <v>306227.71741607366</v>
      </c>
      <c r="T61" s="829">
        <v>305393.34314475307</v>
      </c>
      <c r="U61" s="829">
        <v>308770.06989294133</v>
      </c>
      <c r="V61" s="829">
        <v>309120.82380339794</v>
      </c>
      <c r="W61" s="829">
        <v>309586.03971583769</v>
      </c>
      <c r="X61" s="829">
        <v>312758.67268372775</v>
      </c>
      <c r="Y61" s="829">
        <v>319536.66994800232</v>
      </c>
      <c r="Z61" s="829">
        <v>318174.79569418321</v>
      </c>
      <c r="AA61" s="829">
        <v>318311.51350059046</v>
      </c>
      <c r="AB61" s="829">
        <v>321028.13302254636</v>
      </c>
      <c r="AC61" s="829">
        <v>321243.46464984748</v>
      </c>
      <c r="AD61" s="829">
        <v>323994.44183545001</v>
      </c>
      <c r="AE61" s="829">
        <v>327851.0242175223</v>
      </c>
      <c r="AF61" s="829">
        <v>328873.35024287179</v>
      </c>
      <c r="AG61" s="829">
        <v>329210.58830269566</v>
      </c>
      <c r="AH61" s="829">
        <v>331263.67529123981</v>
      </c>
      <c r="AI61" s="829">
        <v>334358.44301515532</v>
      </c>
      <c r="AJ61" s="829">
        <v>336572.52553336322</v>
      </c>
      <c r="AK61" s="829">
        <v>345617.19551340822</v>
      </c>
      <c r="AL61" s="829">
        <v>340908.92052914313</v>
      </c>
      <c r="AM61" s="829">
        <v>344826.53440251609</v>
      </c>
      <c r="AN61" s="830">
        <v>348245.69090443768</v>
      </c>
      <c r="AO61" s="831">
        <v>346565.10847846698</v>
      </c>
      <c r="AP61" s="831">
        <v>346711.64590246277</v>
      </c>
      <c r="AQ61" s="831">
        <v>351375.8188580295</v>
      </c>
      <c r="AR61" s="831">
        <v>352944.69968920399</v>
      </c>
      <c r="AS61" s="831">
        <v>351417.83862996544</v>
      </c>
      <c r="AT61" s="831">
        <v>350499.23615290475</v>
      </c>
      <c r="AU61" s="831">
        <v>349810.86009880243</v>
      </c>
      <c r="AV61" s="831">
        <v>354693.08322884847</v>
      </c>
      <c r="AW61" s="831">
        <v>365608.73772902408</v>
      </c>
      <c r="AX61" s="831">
        <v>364980.69233736559</v>
      </c>
      <c r="AY61" s="831">
        <v>369066.69688267616</v>
      </c>
      <c r="AZ61" s="831">
        <v>371778.39312112681</v>
      </c>
      <c r="BA61" s="831">
        <v>372675.47367760952</v>
      </c>
      <c r="BB61" s="831">
        <v>374448.43718937901</v>
      </c>
      <c r="BC61" s="831">
        <v>378456.25837457669</v>
      </c>
      <c r="BD61" s="831">
        <v>377725.22592014016</v>
      </c>
      <c r="BE61" s="831">
        <v>379201.6061837934</v>
      </c>
      <c r="BF61" s="831">
        <v>379536.06867122138</v>
      </c>
      <c r="BG61" s="831">
        <v>386009.67288569768</v>
      </c>
      <c r="BH61" s="831">
        <v>389293.57228882512</v>
      </c>
      <c r="BI61" s="831">
        <v>397556.54743014241</v>
      </c>
      <c r="BJ61" s="831">
        <v>399865.77736164053</v>
      </c>
      <c r="BK61" s="831">
        <v>404452.45097584801</v>
      </c>
      <c r="BL61" s="831">
        <v>410915.24788448901</v>
      </c>
      <c r="BM61" s="831">
        <v>410066.84698475106</v>
      </c>
      <c r="BN61" s="831">
        <v>411917.76295781811</v>
      </c>
      <c r="BO61" s="831">
        <v>418402.10404157941</v>
      </c>
      <c r="BP61" s="831">
        <v>420266.19606512645</v>
      </c>
      <c r="BQ61" s="831">
        <v>425740.73306717828</v>
      </c>
      <c r="BR61" s="831">
        <v>423801.82017970318</v>
      </c>
      <c r="BS61" s="831">
        <v>428368.77910129959</v>
      </c>
      <c r="BT61" s="831">
        <v>431628.14552528458</v>
      </c>
      <c r="BU61" s="831">
        <v>437999</v>
      </c>
      <c r="BV61" s="831">
        <v>441887.17765523668</v>
      </c>
      <c r="BW61" s="831">
        <v>442606.92125446931</v>
      </c>
      <c r="BX61" s="831">
        <v>442449.85457323794</v>
      </c>
      <c r="BY61" s="831">
        <v>446911.85781437054</v>
      </c>
    </row>
    <row r="62" spans="1:77" ht="17.100000000000001" customHeight="1" thickBot="1" x14ac:dyDescent="0.25">
      <c r="A62" s="837"/>
      <c r="B62" s="838"/>
      <c r="C62" s="838"/>
      <c r="D62" s="838"/>
      <c r="E62" s="838"/>
      <c r="F62" s="838"/>
      <c r="G62" s="838"/>
      <c r="H62" s="838"/>
      <c r="I62" s="838"/>
      <c r="J62" s="838"/>
      <c r="K62" s="838"/>
      <c r="L62" s="838"/>
      <c r="M62" s="838"/>
      <c r="N62" s="838"/>
      <c r="O62" s="838"/>
      <c r="P62" s="838"/>
      <c r="Q62" s="838"/>
      <c r="R62" s="838"/>
      <c r="S62" s="838"/>
      <c r="T62" s="838"/>
      <c r="U62" s="838"/>
      <c r="V62" s="838"/>
      <c r="W62" s="838"/>
      <c r="X62" s="856"/>
      <c r="Y62" s="856"/>
      <c r="Z62" s="856"/>
      <c r="AA62" s="856"/>
      <c r="AB62" s="856"/>
      <c r="AC62" s="856"/>
      <c r="AD62" s="856"/>
      <c r="AE62" s="856"/>
      <c r="AF62" s="856"/>
      <c r="AG62" s="856"/>
      <c r="AH62" s="856"/>
      <c r="AI62" s="856"/>
      <c r="AJ62" s="856"/>
      <c r="AK62" s="856"/>
      <c r="AL62" s="856"/>
      <c r="AM62" s="856"/>
      <c r="AN62" s="856"/>
      <c r="AO62" s="856"/>
      <c r="AP62" s="856"/>
      <c r="AQ62" s="856"/>
      <c r="AR62" s="856"/>
      <c r="AS62" s="856"/>
      <c r="AT62" s="856"/>
      <c r="AU62" s="856"/>
      <c r="AV62" s="856"/>
      <c r="AW62" s="856"/>
      <c r="AX62" s="856"/>
      <c r="AY62" s="856"/>
      <c r="AZ62" s="856"/>
      <c r="BA62" s="856"/>
      <c r="BB62" s="856"/>
      <c r="BC62" s="856"/>
      <c r="BD62" s="856"/>
      <c r="BE62" s="856"/>
      <c r="BF62" s="856"/>
      <c r="BG62" s="856"/>
      <c r="BH62" s="856"/>
      <c r="BI62" s="856"/>
      <c r="BJ62" s="856"/>
      <c r="BK62" s="856"/>
      <c r="BL62" s="856"/>
      <c r="BM62" s="856"/>
      <c r="BN62" s="856"/>
      <c r="BO62" s="856"/>
      <c r="BP62" s="856"/>
      <c r="BQ62" s="856"/>
      <c r="BR62" s="856"/>
      <c r="BS62" s="856"/>
      <c r="BT62" s="856"/>
      <c r="BU62" s="856"/>
      <c r="BV62" s="856"/>
      <c r="BW62" s="856"/>
      <c r="BX62" s="856"/>
      <c r="BY62" s="856"/>
    </row>
    <row r="63" spans="1:77" ht="15.75" thickTop="1" x14ac:dyDescent="0.2">
      <c r="A63" s="808" t="s">
        <v>239</v>
      </c>
      <c r="B63" s="840"/>
      <c r="C63" s="840"/>
      <c r="D63" s="840"/>
      <c r="E63" s="840"/>
      <c r="F63" s="840"/>
      <c r="G63" s="840"/>
      <c r="H63" s="840"/>
      <c r="I63" s="840"/>
      <c r="J63" s="840"/>
      <c r="K63" s="840"/>
      <c r="L63" s="840"/>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c r="AN63" s="840"/>
      <c r="AO63" s="840"/>
      <c r="AP63" s="840"/>
      <c r="AQ63" s="840"/>
      <c r="AR63" s="840"/>
      <c r="AS63" s="840"/>
      <c r="AT63" s="840"/>
      <c r="AU63" s="840"/>
      <c r="AV63" s="840"/>
    </row>
    <row r="64" spans="1:77" ht="18" x14ac:dyDescent="0.2">
      <c r="A64" s="808" t="s">
        <v>610</v>
      </c>
      <c r="B64" s="840"/>
      <c r="C64" s="840"/>
      <c r="D64" s="840"/>
      <c r="E64" s="840"/>
      <c r="F64" s="840"/>
      <c r="G64" s="840"/>
      <c r="H64" s="839"/>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0"/>
      <c r="AO64" s="840"/>
      <c r="AP64" s="840"/>
      <c r="AQ64" s="840"/>
      <c r="AR64" s="840"/>
      <c r="AS64" s="840"/>
      <c r="AT64" s="840"/>
      <c r="AU64" s="840"/>
      <c r="AV64" s="840"/>
    </row>
    <row r="65" spans="1:52" ht="18" x14ac:dyDescent="0.25">
      <c r="A65" s="857" t="s">
        <v>611</v>
      </c>
      <c r="B65" s="858"/>
      <c r="C65" s="859"/>
      <c r="D65" s="859"/>
      <c r="E65" s="859"/>
      <c r="F65" s="859"/>
      <c r="G65" s="859"/>
      <c r="H65" s="859"/>
      <c r="I65" s="859"/>
      <c r="J65" s="859"/>
      <c r="K65" s="859"/>
      <c r="L65" s="859"/>
      <c r="M65" s="859"/>
      <c r="N65" s="859"/>
      <c r="O65" s="859"/>
      <c r="P65" s="859"/>
      <c r="Q65" s="859"/>
      <c r="R65" s="859"/>
      <c r="S65" s="859"/>
      <c r="T65" s="859"/>
      <c r="U65" s="859"/>
      <c r="V65" s="859"/>
      <c r="W65" s="859"/>
      <c r="X65" s="859"/>
      <c r="Y65" s="859"/>
      <c r="Z65" s="859"/>
      <c r="AA65" s="839"/>
      <c r="AB65" s="839"/>
      <c r="AC65" s="839"/>
      <c r="AD65" s="839"/>
      <c r="AE65" s="840"/>
      <c r="AF65" s="840"/>
      <c r="AG65" s="840"/>
      <c r="AH65" s="840"/>
      <c r="AI65" s="840"/>
      <c r="AJ65" s="840"/>
      <c r="AK65" s="840"/>
      <c r="AL65" s="840"/>
      <c r="AM65" s="840"/>
      <c r="AN65" s="840"/>
      <c r="AO65" s="840"/>
      <c r="AP65" s="840"/>
      <c r="AQ65" s="840"/>
      <c r="AR65" s="840"/>
      <c r="AS65" s="840"/>
      <c r="AT65" s="840"/>
      <c r="AU65" s="840"/>
      <c r="AV65" s="840"/>
    </row>
    <row r="66" spans="1:52" ht="15" x14ac:dyDescent="0.25">
      <c r="A66" s="857" t="s">
        <v>544</v>
      </c>
      <c r="B66" s="858"/>
      <c r="C66" s="859"/>
      <c r="D66" s="859"/>
      <c r="E66" s="859"/>
      <c r="F66" s="859"/>
      <c r="G66" s="859"/>
      <c r="H66" s="859"/>
      <c r="I66" s="859"/>
      <c r="J66" s="859"/>
      <c r="K66" s="859"/>
      <c r="L66" s="859"/>
      <c r="M66" s="859"/>
      <c r="N66" s="859"/>
      <c r="O66" s="859"/>
      <c r="P66" s="859"/>
      <c r="Q66" s="859"/>
      <c r="R66" s="859"/>
      <c r="S66" s="859"/>
      <c r="T66" s="859"/>
      <c r="U66" s="859"/>
      <c r="V66" s="859"/>
      <c r="W66" s="859"/>
      <c r="X66" s="859"/>
      <c r="Y66" s="859"/>
      <c r="Z66" s="859"/>
      <c r="AA66" s="839"/>
      <c r="AB66" s="839"/>
      <c r="AC66" s="839"/>
      <c r="AD66" s="839"/>
      <c r="AE66" s="840"/>
      <c r="AF66" s="840"/>
      <c r="AG66" s="840"/>
      <c r="AH66" s="840"/>
      <c r="AI66" s="840"/>
      <c r="AJ66" s="840"/>
      <c r="AK66" s="840"/>
      <c r="AL66" s="840"/>
      <c r="AM66" s="840"/>
      <c r="AN66" s="840"/>
      <c r="AO66" s="840"/>
      <c r="AP66" s="840"/>
      <c r="AQ66" s="840"/>
      <c r="AR66" s="840"/>
      <c r="AS66" s="840"/>
      <c r="AT66" s="840"/>
      <c r="AU66" s="840"/>
      <c r="AV66" s="840"/>
    </row>
    <row r="67" spans="1:52" ht="15" x14ac:dyDescent="0.2">
      <c r="A67" s="808" t="s">
        <v>179</v>
      </c>
      <c r="B67" s="840"/>
      <c r="C67" s="840"/>
      <c r="D67" s="840"/>
      <c r="E67" s="839"/>
      <c r="F67" s="839"/>
      <c r="G67" s="839"/>
      <c r="H67" s="839"/>
      <c r="I67" s="839"/>
      <c r="J67" s="839"/>
      <c r="K67" s="839"/>
      <c r="L67" s="840"/>
      <c r="M67" s="840"/>
      <c r="N67" s="840"/>
      <c r="O67" s="840"/>
      <c r="P67" s="840"/>
      <c r="Q67" s="840"/>
      <c r="R67" s="840"/>
      <c r="S67" s="840"/>
      <c r="T67" s="840"/>
      <c r="U67" s="840"/>
      <c r="V67" s="840"/>
      <c r="W67" s="840"/>
      <c r="X67" s="840"/>
      <c r="Y67" s="840"/>
      <c r="Z67" s="840"/>
      <c r="AA67" s="840"/>
      <c r="AB67" s="840"/>
      <c r="AC67" s="840"/>
      <c r="AD67" s="840"/>
      <c r="AE67" s="840"/>
      <c r="AF67" s="840"/>
      <c r="AG67" s="840"/>
      <c r="AH67" s="840"/>
      <c r="AI67" s="840"/>
      <c r="AJ67" s="840"/>
      <c r="AK67" s="840"/>
      <c r="AL67" s="840"/>
      <c r="AM67" s="840"/>
      <c r="AN67" s="840"/>
      <c r="AO67" s="840"/>
      <c r="AP67" s="840"/>
      <c r="AQ67" s="840"/>
      <c r="AR67" s="840"/>
      <c r="AS67" s="840"/>
      <c r="AT67" s="840"/>
      <c r="AU67" s="840"/>
      <c r="AV67" s="840"/>
    </row>
    <row r="68" spans="1:52" ht="15" x14ac:dyDescent="0.2">
      <c r="A68" s="840"/>
      <c r="B68" s="840"/>
      <c r="C68" s="840"/>
      <c r="D68" s="840"/>
      <c r="E68" s="840"/>
      <c r="F68" s="840"/>
      <c r="G68" s="840"/>
      <c r="H68" s="840"/>
      <c r="I68" s="840"/>
      <c r="J68" s="840"/>
      <c r="K68" s="840"/>
      <c r="L68" s="840"/>
      <c r="M68" s="840"/>
      <c r="N68" s="840"/>
      <c r="O68" s="840"/>
      <c r="P68" s="840"/>
      <c r="Q68" s="840"/>
      <c r="R68" s="840"/>
      <c r="S68" s="840"/>
      <c r="T68" s="840"/>
      <c r="U68" s="840"/>
      <c r="V68" s="840"/>
      <c r="W68" s="840"/>
      <c r="X68" s="840"/>
      <c r="Y68" s="840"/>
      <c r="Z68" s="840"/>
      <c r="AA68" s="840"/>
      <c r="AB68" s="840"/>
      <c r="AC68" s="840"/>
      <c r="AD68" s="840"/>
      <c r="AE68" s="840"/>
      <c r="AF68" s="840"/>
      <c r="AG68" s="840"/>
      <c r="AH68" s="840"/>
      <c r="AI68" s="840"/>
      <c r="AJ68" s="840"/>
      <c r="AK68" s="840"/>
      <c r="AL68" s="840"/>
      <c r="AM68" s="840"/>
      <c r="AN68" s="840"/>
      <c r="AO68" s="840"/>
      <c r="AP68" s="840"/>
      <c r="AQ68" s="840"/>
      <c r="AR68" s="840"/>
      <c r="AS68" s="840"/>
      <c r="AT68" s="840"/>
      <c r="AU68" s="840"/>
      <c r="AV68" s="840"/>
    </row>
    <row r="69" spans="1:52" ht="13.5" x14ac:dyDescent="0.2">
      <c r="A69" s="860"/>
    </row>
    <row r="70" spans="1:52" x14ac:dyDescent="0.2">
      <c r="B70" s="823"/>
      <c r="C70" s="823"/>
      <c r="D70" s="823"/>
      <c r="E70" s="823"/>
      <c r="F70" s="823"/>
      <c r="G70" s="823"/>
      <c r="H70" s="823"/>
      <c r="I70" s="823"/>
      <c r="J70" s="823"/>
      <c r="K70" s="823"/>
      <c r="L70" s="823"/>
      <c r="M70" s="823"/>
      <c r="N70" s="823"/>
      <c r="O70" s="823"/>
      <c r="P70" s="823"/>
      <c r="Q70" s="823"/>
      <c r="R70" s="823"/>
      <c r="S70" s="823"/>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c r="AS70" s="823"/>
      <c r="AT70" s="823"/>
      <c r="AU70" s="823"/>
      <c r="AV70" s="823"/>
      <c r="AW70" s="823"/>
      <c r="AX70" s="823"/>
      <c r="AY70" s="823"/>
      <c r="AZ70" s="823"/>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7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AC1516"/>
  <sheetViews>
    <sheetView zoomScale="80" zoomScaleNormal="80" workbookViewId="0">
      <pane ySplit="5" topLeftCell="A6" activePane="bottomLeft" state="frozen"/>
      <selection pane="bottomLeft" sqref="A1:Z116"/>
    </sheetView>
  </sheetViews>
  <sheetFormatPr defaultRowHeight="15" x14ac:dyDescent="0.2"/>
  <cols>
    <col min="1" max="1" width="8.42578125" style="869" customWidth="1"/>
    <col min="2" max="2" width="14.28515625" style="869" customWidth="1"/>
    <col min="3" max="3" width="7.140625" style="869" bestFit="1" customWidth="1"/>
    <col min="4" max="4" width="7.7109375" style="869" bestFit="1" customWidth="1"/>
    <col min="5" max="5" width="8.5703125" style="869" bestFit="1" customWidth="1"/>
    <col min="6" max="6" width="9.5703125" style="869" bestFit="1" customWidth="1"/>
    <col min="7" max="7" width="10.140625" style="869" bestFit="1" customWidth="1"/>
    <col min="8" max="8" width="11" style="869" customWidth="1"/>
    <col min="9" max="9" width="9.42578125" style="869" bestFit="1" customWidth="1"/>
    <col min="10" max="10" width="12" style="869" customWidth="1"/>
    <col min="11" max="11" width="12.5703125" style="869" customWidth="1"/>
    <col min="12" max="13" width="9" style="869" bestFit="1" customWidth="1"/>
    <col min="14" max="14" width="9.42578125" style="945" customWidth="1"/>
    <col min="15" max="23" width="8.28515625" style="869" customWidth="1"/>
    <col min="24" max="24" width="10" style="951" customWidth="1"/>
    <col min="25" max="25" width="11.7109375" style="869" customWidth="1"/>
    <col min="26" max="26" width="9.140625" style="869"/>
    <col min="27" max="27" width="19.42578125" style="869" customWidth="1"/>
    <col min="28" max="28" width="16.42578125" style="869" bestFit="1" customWidth="1"/>
    <col min="29" max="256" width="9.140625" style="869"/>
    <col min="257" max="257" width="7.42578125" style="869" customWidth="1"/>
    <col min="258" max="258" width="11.140625" style="869" customWidth="1"/>
    <col min="259" max="259" width="7" style="869" bestFit="1" customWidth="1"/>
    <col min="260" max="260" width="7.5703125" style="869" bestFit="1" customWidth="1"/>
    <col min="261" max="261" width="7.7109375" style="869" bestFit="1" customWidth="1"/>
    <col min="262" max="262" width="9.42578125" style="869" bestFit="1" customWidth="1"/>
    <col min="263" max="263" width="10" style="869" bestFit="1" customWidth="1"/>
    <col min="264" max="264" width="8.28515625" style="869" customWidth="1"/>
    <col min="265" max="265" width="7.140625" style="869" customWidth="1"/>
    <col min="266" max="266" width="10.7109375" style="869" customWidth="1"/>
    <col min="267" max="267" width="8.5703125" style="869" customWidth="1"/>
    <col min="268" max="269" width="8.85546875" style="869" bestFit="1" customWidth="1"/>
    <col min="270" max="270" width="9.42578125" style="869" customWidth="1"/>
    <col min="271" max="279" width="8.28515625" style="869" customWidth="1"/>
    <col min="280" max="280" width="8.140625" style="869" customWidth="1"/>
    <col min="281" max="281" width="10.42578125" style="869" customWidth="1"/>
    <col min="282" max="282" width="9.140625" style="869"/>
    <col min="283" max="283" width="19.42578125" style="869" customWidth="1"/>
    <col min="284" max="284" width="16.42578125" style="869" bestFit="1" customWidth="1"/>
    <col min="285" max="512" width="9.140625" style="869"/>
    <col min="513" max="513" width="7.42578125" style="869" customWidth="1"/>
    <col min="514" max="514" width="11.140625" style="869" customWidth="1"/>
    <col min="515" max="515" width="7" style="869" bestFit="1" customWidth="1"/>
    <col min="516" max="516" width="7.5703125" style="869" bestFit="1" customWidth="1"/>
    <col min="517" max="517" width="7.7109375" style="869" bestFit="1" customWidth="1"/>
    <col min="518" max="518" width="9.42578125" style="869" bestFit="1" customWidth="1"/>
    <col min="519" max="519" width="10" style="869" bestFit="1" customWidth="1"/>
    <col min="520" max="520" width="8.28515625" style="869" customWidth="1"/>
    <col min="521" max="521" width="7.140625" style="869" customWidth="1"/>
    <col min="522" max="522" width="10.7109375" style="869" customWidth="1"/>
    <col min="523" max="523" width="8.5703125" style="869" customWidth="1"/>
    <col min="524" max="525" width="8.85546875" style="869" bestFit="1" customWidth="1"/>
    <col min="526" max="526" width="9.42578125" style="869" customWidth="1"/>
    <col min="527" max="535" width="8.28515625" style="869" customWidth="1"/>
    <col min="536" max="536" width="8.140625" style="869" customWidth="1"/>
    <col min="537" max="537" width="10.42578125" style="869" customWidth="1"/>
    <col min="538" max="538" width="9.140625" style="869"/>
    <col min="539" max="539" width="19.42578125" style="869" customWidth="1"/>
    <col min="540" max="540" width="16.42578125" style="869" bestFit="1" customWidth="1"/>
    <col min="541" max="768" width="9.140625" style="869"/>
    <col min="769" max="769" width="7.42578125" style="869" customWidth="1"/>
    <col min="770" max="770" width="11.140625" style="869" customWidth="1"/>
    <col min="771" max="771" width="7" style="869" bestFit="1" customWidth="1"/>
    <col min="772" max="772" width="7.5703125" style="869" bestFit="1" customWidth="1"/>
    <col min="773" max="773" width="7.7109375" style="869" bestFit="1" customWidth="1"/>
    <col min="774" max="774" width="9.42578125" style="869" bestFit="1" customWidth="1"/>
    <col min="775" max="775" width="10" style="869" bestFit="1" customWidth="1"/>
    <col min="776" max="776" width="8.28515625" style="869" customWidth="1"/>
    <col min="777" max="777" width="7.140625" style="869" customWidth="1"/>
    <col min="778" max="778" width="10.7109375" style="869" customWidth="1"/>
    <col min="779" max="779" width="8.5703125" style="869" customWidth="1"/>
    <col min="780" max="781" width="8.85546875" style="869" bestFit="1" customWidth="1"/>
    <col min="782" max="782" width="9.42578125" style="869" customWidth="1"/>
    <col min="783" max="791" width="8.28515625" style="869" customWidth="1"/>
    <col min="792" max="792" width="8.140625" style="869" customWidth="1"/>
    <col min="793" max="793" width="10.42578125" style="869" customWidth="1"/>
    <col min="794" max="794" width="9.140625" style="869"/>
    <col min="795" max="795" width="19.42578125" style="869" customWidth="1"/>
    <col min="796" max="796" width="16.42578125" style="869" bestFit="1" customWidth="1"/>
    <col min="797" max="1024" width="9.140625" style="869"/>
    <col min="1025" max="1025" width="7.42578125" style="869" customWidth="1"/>
    <col min="1026" max="1026" width="11.140625" style="869" customWidth="1"/>
    <col min="1027" max="1027" width="7" style="869" bestFit="1" customWidth="1"/>
    <col min="1028" max="1028" width="7.5703125" style="869" bestFit="1" customWidth="1"/>
    <col min="1029" max="1029" width="7.7109375" style="869" bestFit="1" customWidth="1"/>
    <col min="1030" max="1030" width="9.42578125" style="869" bestFit="1" customWidth="1"/>
    <col min="1031" max="1031" width="10" style="869" bestFit="1" customWidth="1"/>
    <col min="1032" max="1032" width="8.28515625" style="869" customWidth="1"/>
    <col min="1033" max="1033" width="7.140625" style="869" customWidth="1"/>
    <col min="1034" max="1034" width="10.7109375" style="869" customWidth="1"/>
    <col min="1035" max="1035" width="8.5703125" style="869" customWidth="1"/>
    <col min="1036" max="1037" width="8.85546875" style="869" bestFit="1" customWidth="1"/>
    <col min="1038" max="1038" width="9.42578125" style="869" customWidth="1"/>
    <col min="1039" max="1047" width="8.28515625" style="869" customWidth="1"/>
    <col min="1048" max="1048" width="8.140625" style="869" customWidth="1"/>
    <col min="1049" max="1049" width="10.42578125" style="869" customWidth="1"/>
    <col min="1050" max="1050" width="9.140625" style="869"/>
    <col min="1051" max="1051" width="19.42578125" style="869" customWidth="1"/>
    <col min="1052" max="1052" width="16.42578125" style="869" bestFit="1" customWidth="1"/>
    <col min="1053" max="1280" width="9.140625" style="869"/>
    <col min="1281" max="1281" width="7.42578125" style="869" customWidth="1"/>
    <col min="1282" max="1282" width="11.140625" style="869" customWidth="1"/>
    <col min="1283" max="1283" width="7" style="869" bestFit="1" customWidth="1"/>
    <col min="1284" max="1284" width="7.5703125" style="869" bestFit="1" customWidth="1"/>
    <col min="1285" max="1285" width="7.7109375" style="869" bestFit="1" customWidth="1"/>
    <col min="1286" max="1286" width="9.42578125" style="869" bestFit="1" customWidth="1"/>
    <col min="1287" max="1287" width="10" style="869" bestFit="1" customWidth="1"/>
    <col min="1288" max="1288" width="8.28515625" style="869" customWidth="1"/>
    <col min="1289" max="1289" width="7.140625" style="869" customWidth="1"/>
    <col min="1290" max="1290" width="10.7109375" style="869" customWidth="1"/>
    <col min="1291" max="1291" width="8.5703125" style="869" customWidth="1"/>
    <col min="1292" max="1293" width="8.85546875" style="869" bestFit="1" customWidth="1"/>
    <col min="1294" max="1294" width="9.42578125" style="869" customWidth="1"/>
    <col min="1295" max="1303" width="8.28515625" style="869" customWidth="1"/>
    <col min="1304" max="1304" width="8.140625" style="869" customWidth="1"/>
    <col min="1305" max="1305" width="10.42578125" style="869" customWidth="1"/>
    <col min="1306" max="1306" width="9.140625" style="869"/>
    <col min="1307" max="1307" width="19.42578125" style="869" customWidth="1"/>
    <col min="1308" max="1308" width="16.42578125" style="869" bestFit="1" customWidth="1"/>
    <col min="1309" max="1536" width="9.140625" style="869"/>
    <col min="1537" max="1537" width="7.42578125" style="869" customWidth="1"/>
    <col min="1538" max="1538" width="11.140625" style="869" customWidth="1"/>
    <col min="1539" max="1539" width="7" style="869" bestFit="1" customWidth="1"/>
    <col min="1540" max="1540" width="7.5703125" style="869" bestFit="1" customWidth="1"/>
    <col min="1541" max="1541" width="7.7109375" style="869" bestFit="1" customWidth="1"/>
    <col min="1542" max="1542" width="9.42578125" style="869" bestFit="1" customWidth="1"/>
    <col min="1543" max="1543" width="10" style="869" bestFit="1" customWidth="1"/>
    <col min="1544" max="1544" width="8.28515625" style="869" customWidth="1"/>
    <col min="1545" max="1545" width="7.140625" style="869" customWidth="1"/>
    <col min="1546" max="1546" width="10.7109375" style="869" customWidth="1"/>
    <col min="1547" max="1547" width="8.5703125" style="869" customWidth="1"/>
    <col min="1548" max="1549" width="8.85546875" style="869" bestFit="1" customWidth="1"/>
    <col min="1550" max="1550" width="9.42578125" style="869" customWidth="1"/>
    <col min="1551" max="1559" width="8.28515625" style="869" customWidth="1"/>
    <col min="1560" max="1560" width="8.140625" style="869" customWidth="1"/>
    <col min="1561" max="1561" width="10.42578125" style="869" customWidth="1"/>
    <col min="1562" max="1562" width="9.140625" style="869"/>
    <col min="1563" max="1563" width="19.42578125" style="869" customWidth="1"/>
    <col min="1564" max="1564" width="16.42578125" style="869" bestFit="1" customWidth="1"/>
    <col min="1565" max="1792" width="9.140625" style="869"/>
    <col min="1793" max="1793" width="7.42578125" style="869" customWidth="1"/>
    <col min="1794" max="1794" width="11.140625" style="869" customWidth="1"/>
    <col min="1795" max="1795" width="7" style="869" bestFit="1" customWidth="1"/>
    <col min="1796" max="1796" width="7.5703125" style="869" bestFit="1" customWidth="1"/>
    <col min="1797" max="1797" width="7.7109375" style="869" bestFit="1" customWidth="1"/>
    <col min="1798" max="1798" width="9.42578125" style="869" bestFit="1" customWidth="1"/>
    <col min="1799" max="1799" width="10" style="869" bestFit="1" customWidth="1"/>
    <col min="1800" max="1800" width="8.28515625" style="869" customWidth="1"/>
    <col min="1801" max="1801" width="7.140625" style="869" customWidth="1"/>
    <col min="1802" max="1802" width="10.7109375" style="869" customWidth="1"/>
    <col min="1803" max="1803" width="8.5703125" style="869" customWidth="1"/>
    <col min="1804" max="1805" width="8.85546875" style="869" bestFit="1" customWidth="1"/>
    <col min="1806" max="1806" width="9.42578125" style="869" customWidth="1"/>
    <col min="1807" max="1815" width="8.28515625" style="869" customWidth="1"/>
    <col min="1816" max="1816" width="8.140625" style="869" customWidth="1"/>
    <col min="1817" max="1817" width="10.42578125" style="869" customWidth="1"/>
    <col min="1818" max="1818" width="9.140625" style="869"/>
    <col min="1819" max="1819" width="19.42578125" style="869" customWidth="1"/>
    <col min="1820" max="1820" width="16.42578125" style="869" bestFit="1" customWidth="1"/>
    <col min="1821" max="2048" width="9.140625" style="869"/>
    <col min="2049" max="2049" width="7.42578125" style="869" customWidth="1"/>
    <col min="2050" max="2050" width="11.140625" style="869" customWidth="1"/>
    <col min="2051" max="2051" width="7" style="869" bestFit="1" customWidth="1"/>
    <col min="2052" max="2052" width="7.5703125" style="869" bestFit="1" customWidth="1"/>
    <col min="2053" max="2053" width="7.7109375" style="869" bestFit="1" customWidth="1"/>
    <col min="2054" max="2054" width="9.42578125" style="869" bestFit="1" customWidth="1"/>
    <col min="2055" max="2055" width="10" style="869" bestFit="1" customWidth="1"/>
    <col min="2056" max="2056" width="8.28515625" style="869" customWidth="1"/>
    <col min="2057" max="2057" width="7.140625" style="869" customWidth="1"/>
    <col min="2058" max="2058" width="10.7109375" style="869" customWidth="1"/>
    <col min="2059" max="2059" width="8.5703125" style="869" customWidth="1"/>
    <col min="2060" max="2061" width="8.85546875" style="869" bestFit="1" customWidth="1"/>
    <col min="2062" max="2062" width="9.42578125" style="869" customWidth="1"/>
    <col min="2063" max="2071" width="8.28515625" style="869" customWidth="1"/>
    <col min="2072" max="2072" width="8.140625" style="869" customWidth="1"/>
    <col min="2073" max="2073" width="10.42578125" style="869" customWidth="1"/>
    <col min="2074" max="2074" width="9.140625" style="869"/>
    <col min="2075" max="2075" width="19.42578125" style="869" customWidth="1"/>
    <col min="2076" max="2076" width="16.42578125" style="869" bestFit="1" customWidth="1"/>
    <col min="2077" max="2304" width="9.140625" style="869"/>
    <col min="2305" max="2305" width="7.42578125" style="869" customWidth="1"/>
    <col min="2306" max="2306" width="11.140625" style="869" customWidth="1"/>
    <col min="2307" max="2307" width="7" style="869" bestFit="1" customWidth="1"/>
    <col min="2308" max="2308" width="7.5703125" style="869" bestFit="1" customWidth="1"/>
    <col min="2309" max="2309" width="7.7109375" style="869" bestFit="1" customWidth="1"/>
    <col min="2310" max="2310" width="9.42578125" style="869" bestFit="1" customWidth="1"/>
    <col min="2311" max="2311" width="10" style="869" bestFit="1" customWidth="1"/>
    <col min="2312" max="2312" width="8.28515625" style="869" customWidth="1"/>
    <col min="2313" max="2313" width="7.140625" style="869" customWidth="1"/>
    <col min="2314" max="2314" width="10.7109375" style="869" customWidth="1"/>
    <col min="2315" max="2315" width="8.5703125" style="869" customWidth="1"/>
    <col min="2316" max="2317" width="8.85546875" style="869" bestFit="1" customWidth="1"/>
    <col min="2318" max="2318" width="9.42578125" style="869" customWidth="1"/>
    <col min="2319" max="2327" width="8.28515625" style="869" customWidth="1"/>
    <col min="2328" max="2328" width="8.140625" style="869" customWidth="1"/>
    <col min="2329" max="2329" width="10.42578125" style="869" customWidth="1"/>
    <col min="2330" max="2330" width="9.140625" style="869"/>
    <col min="2331" max="2331" width="19.42578125" style="869" customWidth="1"/>
    <col min="2332" max="2332" width="16.42578125" style="869" bestFit="1" customWidth="1"/>
    <col min="2333" max="2560" width="9.140625" style="869"/>
    <col min="2561" max="2561" width="7.42578125" style="869" customWidth="1"/>
    <col min="2562" max="2562" width="11.140625" style="869" customWidth="1"/>
    <col min="2563" max="2563" width="7" style="869" bestFit="1" customWidth="1"/>
    <col min="2564" max="2564" width="7.5703125" style="869" bestFit="1" customWidth="1"/>
    <col min="2565" max="2565" width="7.7109375" style="869" bestFit="1" customWidth="1"/>
    <col min="2566" max="2566" width="9.42578125" style="869" bestFit="1" customWidth="1"/>
    <col min="2567" max="2567" width="10" style="869" bestFit="1" customWidth="1"/>
    <col min="2568" max="2568" width="8.28515625" style="869" customWidth="1"/>
    <col min="2569" max="2569" width="7.140625" style="869" customWidth="1"/>
    <col min="2570" max="2570" width="10.7109375" style="869" customWidth="1"/>
    <col min="2571" max="2571" width="8.5703125" style="869" customWidth="1"/>
    <col min="2572" max="2573" width="8.85546875" style="869" bestFit="1" customWidth="1"/>
    <col min="2574" max="2574" width="9.42578125" style="869" customWidth="1"/>
    <col min="2575" max="2583" width="8.28515625" style="869" customWidth="1"/>
    <col min="2584" max="2584" width="8.140625" style="869" customWidth="1"/>
    <col min="2585" max="2585" width="10.42578125" style="869" customWidth="1"/>
    <col min="2586" max="2586" width="9.140625" style="869"/>
    <col min="2587" max="2587" width="19.42578125" style="869" customWidth="1"/>
    <col min="2588" max="2588" width="16.42578125" style="869" bestFit="1" customWidth="1"/>
    <col min="2589" max="2816" width="9.140625" style="869"/>
    <col min="2817" max="2817" width="7.42578125" style="869" customWidth="1"/>
    <col min="2818" max="2818" width="11.140625" style="869" customWidth="1"/>
    <col min="2819" max="2819" width="7" style="869" bestFit="1" customWidth="1"/>
    <col min="2820" max="2820" width="7.5703125" style="869" bestFit="1" customWidth="1"/>
    <col min="2821" max="2821" width="7.7109375" style="869" bestFit="1" customWidth="1"/>
    <col min="2822" max="2822" width="9.42578125" style="869" bestFit="1" customWidth="1"/>
    <col min="2823" max="2823" width="10" style="869" bestFit="1" customWidth="1"/>
    <col min="2824" max="2824" width="8.28515625" style="869" customWidth="1"/>
    <col min="2825" max="2825" width="7.140625" style="869" customWidth="1"/>
    <col min="2826" max="2826" width="10.7109375" style="869" customWidth="1"/>
    <col min="2827" max="2827" width="8.5703125" style="869" customWidth="1"/>
    <col min="2828" max="2829" width="8.85546875" style="869" bestFit="1" customWidth="1"/>
    <col min="2830" max="2830" width="9.42578125" style="869" customWidth="1"/>
    <col min="2831" max="2839" width="8.28515625" style="869" customWidth="1"/>
    <col min="2840" max="2840" width="8.140625" style="869" customWidth="1"/>
    <col min="2841" max="2841" width="10.42578125" style="869" customWidth="1"/>
    <col min="2842" max="2842" width="9.140625" style="869"/>
    <col min="2843" max="2843" width="19.42578125" style="869" customWidth="1"/>
    <col min="2844" max="2844" width="16.42578125" style="869" bestFit="1" customWidth="1"/>
    <col min="2845" max="3072" width="9.140625" style="869"/>
    <col min="3073" max="3073" width="7.42578125" style="869" customWidth="1"/>
    <col min="3074" max="3074" width="11.140625" style="869" customWidth="1"/>
    <col min="3075" max="3075" width="7" style="869" bestFit="1" customWidth="1"/>
    <col min="3076" max="3076" width="7.5703125" style="869" bestFit="1" customWidth="1"/>
    <col min="3077" max="3077" width="7.7109375" style="869" bestFit="1" customWidth="1"/>
    <col min="3078" max="3078" width="9.42578125" style="869" bestFit="1" customWidth="1"/>
    <col min="3079" max="3079" width="10" style="869" bestFit="1" customWidth="1"/>
    <col min="3080" max="3080" width="8.28515625" style="869" customWidth="1"/>
    <col min="3081" max="3081" width="7.140625" style="869" customWidth="1"/>
    <col min="3082" max="3082" width="10.7109375" style="869" customWidth="1"/>
    <col min="3083" max="3083" width="8.5703125" style="869" customWidth="1"/>
    <col min="3084" max="3085" width="8.85546875" style="869" bestFit="1" customWidth="1"/>
    <col min="3086" max="3086" width="9.42578125" style="869" customWidth="1"/>
    <col min="3087" max="3095" width="8.28515625" style="869" customWidth="1"/>
    <col min="3096" max="3096" width="8.140625" style="869" customWidth="1"/>
    <col min="3097" max="3097" width="10.42578125" style="869" customWidth="1"/>
    <col min="3098" max="3098" width="9.140625" style="869"/>
    <col min="3099" max="3099" width="19.42578125" style="869" customWidth="1"/>
    <col min="3100" max="3100" width="16.42578125" style="869" bestFit="1" customWidth="1"/>
    <col min="3101" max="3328" width="9.140625" style="869"/>
    <col min="3329" max="3329" width="7.42578125" style="869" customWidth="1"/>
    <col min="3330" max="3330" width="11.140625" style="869" customWidth="1"/>
    <col min="3331" max="3331" width="7" style="869" bestFit="1" customWidth="1"/>
    <col min="3332" max="3332" width="7.5703125" style="869" bestFit="1" customWidth="1"/>
    <col min="3333" max="3333" width="7.7109375" style="869" bestFit="1" customWidth="1"/>
    <col min="3334" max="3334" width="9.42578125" style="869" bestFit="1" customWidth="1"/>
    <col min="3335" max="3335" width="10" style="869" bestFit="1" customWidth="1"/>
    <col min="3336" max="3336" width="8.28515625" style="869" customWidth="1"/>
    <col min="3337" max="3337" width="7.140625" style="869" customWidth="1"/>
    <col min="3338" max="3338" width="10.7109375" style="869" customWidth="1"/>
    <col min="3339" max="3339" width="8.5703125" style="869" customWidth="1"/>
    <col min="3340" max="3341" width="8.85546875" style="869" bestFit="1" customWidth="1"/>
    <col min="3342" max="3342" width="9.42578125" style="869" customWidth="1"/>
    <col min="3343" max="3351" width="8.28515625" style="869" customWidth="1"/>
    <col min="3352" max="3352" width="8.140625" style="869" customWidth="1"/>
    <col min="3353" max="3353" width="10.42578125" style="869" customWidth="1"/>
    <col min="3354" max="3354" width="9.140625" style="869"/>
    <col min="3355" max="3355" width="19.42578125" style="869" customWidth="1"/>
    <col min="3356" max="3356" width="16.42578125" style="869" bestFit="1" customWidth="1"/>
    <col min="3357" max="3584" width="9.140625" style="869"/>
    <col min="3585" max="3585" width="7.42578125" style="869" customWidth="1"/>
    <col min="3586" max="3586" width="11.140625" style="869" customWidth="1"/>
    <col min="3587" max="3587" width="7" style="869" bestFit="1" customWidth="1"/>
    <col min="3588" max="3588" width="7.5703125" style="869" bestFit="1" customWidth="1"/>
    <col min="3589" max="3589" width="7.7109375" style="869" bestFit="1" customWidth="1"/>
    <col min="3590" max="3590" width="9.42578125" style="869" bestFit="1" customWidth="1"/>
    <col min="3591" max="3591" width="10" style="869" bestFit="1" customWidth="1"/>
    <col min="3592" max="3592" width="8.28515625" style="869" customWidth="1"/>
    <col min="3593" max="3593" width="7.140625" style="869" customWidth="1"/>
    <col min="3594" max="3594" width="10.7109375" style="869" customWidth="1"/>
    <col min="3595" max="3595" width="8.5703125" style="869" customWidth="1"/>
    <col min="3596" max="3597" width="8.85546875" style="869" bestFit="1" customWidth="1"/>
    <col min="3598" max="3598" width="9.42578125" style="869" customWidth="1"/>
    <col min="3599" max="3607" width="8.28515625" style="869" customWidth="1"/>
    <col min="3608" max="3608" width="8.140625" style="869" customWidth="1"/>
    <col min="3609" max="3609" width="10.42578125" style="869" customWidth="1"/>
    <col min="3610" max="3610" width="9.140625" style="869"/>
    <col min="3611" max="3611" width="19.42578125" style="869" customWidth="1"/>
    <col min="3612" max="3612" width="16.42578125" style="869" bestFit="1" customWidth="1"/>
    <col min="3613" max="3840" width="9.140625" style="869"/>
    <col min="3841" max="3841" width="7.42578125" style="869" customWidth="1"/>
    <col min="3842" max="3842" width="11.140625" style="869" customWidth="1"/>
    <col min="3843" max="3843" width="7" style="869" bestFit="1" customWidth="1"/>
    <col min="3844" max="3844" width="7.5703125" style="869" bestFit="1" customWidth="1"/>
    <col min="3845" max="3845" width="7.7109375" style="869" bestFit="1" customWidth="1"/>
    <col min="3846" max="3846" width="9.42578125" style="869" bestFit="1" customWidth="1"/>
    <col min="3847" max="3847" width="10" style="869" bestFit="1" customWidth="1"/>
    <col min="3848" max="3848" width="8.28515625" style="869" customWidth="1"/>
    <col min="3849" max="3849" width="7.140625" style="869" customWidth="1"/>
    <col min="3850" max="3850" width="10.7109375" style="869" customWidth="1"/>
    <col min="3851" max="3851" width="8.5703125" style="869" customWidth="1"/>
    <col min="3852" max="3853" width="8.85546875" style="869" bestFit="1" customWidth="1"/>
    <col min="3854" max="3854" width="9.42578125" style="869" customWidth="1"/>
    <col min="3855" max="3863" width="8.28515625" style="869" customWidth="1"/>
    <col min="3864" max="3864" width="8.140625" style="869" customWidth="1"/>
    <col min="3865" max="3865" width="10.42578125" style="869" customWidth="1"/>
    <col min="3866" max="3866" width="9.140625" style="869"/>
    <col min="3867" max="3867" width="19.42578125" style="869" customWidth="1"/>
    <col min="3868" max="3868" width="16.42578125" style="869" bestFit="1" customWidth="1"/>
    <col min="3869" max="4096" width="9.140625" style="869"/>
    <col min="4097" max="4097" width="7.42578125" style="869" customWidth="1"/>
    <col min="4098" max="4098" width="11.140625" style="869" customWidth="1"/>
    <col min="4099" max="4099" width="7" style="869" bestFit="1" customWidth="1"/>
    <col min="4100" max="4100" width="7.5703125" style="869" bestFit="1" customWidth="1"/>
    <col min="4101" max="4101" width="7.7109375" style="869" bestFit="1" customWidth="1"/>
    <col min="4102" max="4102" width="9.42578125" style="869" bestFit="1" customWidth="1"/>
    <col min="4103" max="4103" width="10" style="869" bestFit="1" customWidth="1"/>
    <col min="4104" max="4104" width="8.28515625" style="869" customWidth="1"/>
    <col min="4105" max="4105" width="7.140625" style="869" customWidth="1"/>
    <col min="4106" max="4106" width="10.7109375" style="869" customWidth="1"/>
    <col min="4107" max="4107" width="8.5703125" style="869" customWidth="1"/>
    <col min="4108" max="4109" width="8.85546875" style="869" bestFit="1" customWidth="1"/>
    <col min="4110" max="4110" width="9.42578125" style="869" customWidth="1"/>
    <col min="4111" max="4119" width="8.28515625" style="869" customWidth="1"/>
    <col min="4120" max="4120" width="8.140625" style="869" customWidth="1"/>
    <col min="4121" max="4121" width="10.42578125" style="869" customWidth="1"/>
    <col min="4122" max="4122" width="9.140625" style="869"/>
    <col min="4123" max="4123" width="19.42578125" style="869" customWidth="1"/>
    <col min="4124" max="4124" width="16.42578125" style="869" bestFit="1" customWidth="1"/>
    <col min="4125" max="4352" width="9.140625" style="869"/>
    <col min="4353" max="4353" width="7.42578125" style="869" customWidth="1"/>
    <col min="4354" max="4354" width="11.140625" style="869" customWidth="1"/>
    <col min="4355" max="4355" width="7" style="869" bestFit="1" customWidth="1"/>
    <col min="4356" max="4356" width="7.5703125" style="869" bestFit="1" customWidth="1"/>
    <col min="4357" max="4357" width="7.7109375" style="869" bestFit="1" customWidth="1"/>
    <col min="4358" max="4358" width="9.42578125" style="869" bestFit="1" customWidth="1"/>
    <col min="4359" max="4359" width="10" style="869" bestFit="1" customWidth="1"/>
    <col min="4360" max="4360" width="8.28515625" style="869" customWidth="1"/>
    <col min="4361" max="4361" width="7.140625" style="869" customWidth="1"/>
    <col min="4362" max="4362" width="10.7109375" style="869" customWidth="1"/>
    <col min="4363" max="4363" width="8.5703125" style="869" customWidth="1"/>
    <col min="4364" max="4365" width="8.85546875" style="869" bestFit="1" customWidth="1"/>
    <col min="4366" max="4366" width="9.42578125" style="869" customWidth="1"/>
    <col min="4367" max="4375" width="8.28515625" style="869" customWidth="1"/>
    <col min="4376" max="4376" width="8.140625" style="869" customWidth="1"/>
    <col min="4377" max="4377" width="10.42578125" style="869" customWidth="1"/>
    <col min="4378" max="4378" width="9.140625" style="869"/>
    <col min="4379" max="4379" width="19.42578125" style="869" customWidth="1"/>
    <col min="4380" max="4380" width="16.42578125" style="869" bestFit="1" customWidth="1"/>
    <col min="4381" max="4608" width="9.140625" style="869"/>
    <col min="4609" max="4609" width="7.42578125" style="869" customWidth="1"/>
    <col min="4610" max="4610" width="11.140625" style="869" customWidth="1"/>
    <col min="4611" max="4611" width="7" style="869" bestFit="1" customWidth="1"/>
    <col min="4612" max="4612" width="7.5703125" style="869" bestFit="1" customWidth="1"/>
    <col min="4613" max="4613" width="7.7109375" style="869" bestFit="1" customWidth="1"/>
    <col min="4614" max="4614" width="9.42578125" style="869" bestFit="1" customWidth="1"/>
    <col min="4615" max="4615" width="10" style="869" bestFit="1" customWidth="1"/>
    <col min="4616" max="4616" width="8.28515625" style="869" customWidth="1"/>
    <col min="4617" max="4617" width="7.140625" style="869" customWidth="1"/>
    <col min="4618" max="4618" width="10.7109375" style="869" customWidth="1"/>
    <col min="4619" max="4619" width="8.5703125" style="869" customWidth="1"/>
    <col min="4620" max="4621" width="8.85546875" style="869" bestFit="1" customWidth="1"/>
    <col min="4622" max="4622" width="9.42578125" style="869" customWidth="1"/>
    <col min="4623" max="4631" width="8.28515625" style="869" customWidth="1"/>
    <col min="4632" max="4632" width="8.140625" style="869" customWidth="1"/>
    <col min="4633" max="4633" width="10.42578125" style="869" customWidth="1"/>
    <col min="4634" max="4634" width="9.140625" style="869"/>
    <col min="4635" max="4635" width="19.42578125" style="869" customWidth="1"/>
    <col min="4636" max="4636" width="16.42578125" style="869" bestFit="1" customWidth="1"/>
    <col min="4637" max="4864" width="9.140625" style="869"/>
    <col min="4865" max="4865" width="7.42578125" style="869" customWidth="1"/>
    <col min="4866" max="4866" width="11.140625" style="869" customWidth="1"/>
    <col min="4867" max="4867" width="7" style="869" bestFit="1" customWidth="1"/>
    <col min="4868" max="4868" width="7.5703125" style="869" bestFit="1" customWidth="1"/>
    <col min="4869" max="4869" width="7.7109375" style="869" bestFit="1" customWidth="1"/>
    <col min="4870" max="4870" width="9.42578125" style="869" bestFit="1" customWidth="1"/>
    <col min="4871" max="4871" width="10" style="869" bestFit="1" customWidth="1"/>
    <col min="4872" max="4872" width="8.28515625" style="869" customWidth="1"/>
    <col min="4873" max="4873" width="7.140625" style="869" customWidth="1"/>
    <col min="4874" max="4874" width="10.7109375" style="869" customWidth="1"/>
    <col min="4875" max="4875" width="8.5703125" style="869" customWidth="1"/>
    <col min="4876" max="4877" width="8.85546875" style="869" bestFit="1" customWidth="1"/>
    <col min="4878" max="4878" width="9.42578125" style="869" customWidth="1"/>
    <col min="4879" max="4887" width="8.28515625" style="869" customWidth="1"/>
    <col min="4888" max="4888" width="8.140625" style="869" customWidth="1"/>
    <col min="4889" max="4889" width="10.42578125" style="869" customWidth="1"/>
    <col min="4890" max="4890" width="9.140625" style="869"/>
    <col min="4891" max="4891" width="19.42578125" style="869" customWidth="1"/>
    <col min="4892" max="4892" width="16.42578125" style="869" bestFit="1" customWidth="1"/>
    <col min="4893" max="5120" width="9.140625" style="869"/>
    <col min="5121" max="5121" width="7.42578125" style="869" customWidth="1"/>
    <col min="5122" max="5122" width="11.140625" style="869" customWidth="1"/>
    <col min="5123" max="5123" width="7" style="869" bestFit="1" customWidth="1"/>
    <col min="5124" max="5124" width="7.5703125" style="869" bestFit="1" customWidth="1"/>
    <col min="5125" max="5125" width="7.7109375" style="869" bestFit="1" customWidth="1"/>
    <col min="5126" max="5126" width="9.42578125" style="869" bestFit="1" customWidth="1"/>
    <col min="5127" max="5127" width="10" style="869" bestFit="1" customWidth="1"/>
    <col min="5128" max="5128" width="8.28515625" style="869" customWidth="1"/>
    <col min="5129" max="5129" width="7.140625" style="869" customWidth="1"/>
    <col min="5130" max="5130" width="10.7109375" style="869" customWidth="1"/>
    <col min="5131" max="5131" width="8.5703125" style="869" customWidth="1"/>
    <col min="5132" max="5133" width="8.85546875" style="869" bestFit="1" customWidth="1"/>
    <col min="5134" max="5134" width="9.42578125" style="869" customWidth="1"/>
    <col min="5135" max="5143" width="8.28515625" style="869" customWidth="1"/>
    <col min="5144" max="5144" width="8.140625" style="869" customWidth="1"/>
    <col min="5145" max="5145" width="10.42578125" style="869" customWidth="1"/>
    <col min="5146" max="5146" width="9.140625" style="869"/>
    <col min="5147" max="5147" width="19.42578125" style="869" customWidth="1"/>
    <col min="5148" max="5148" width="16.42578125" style="869" bestFit="1" customWidth="1"/>
    <col min="5149" max="5376" width="9.140625" style="869"/>
    <col min="5377" max="5377" width="7.42578125" style="869" customWidth="1"/>
    <col min="5378" max="5378" width="11.140625" style="869" customWidth="1"/>
    <col min="5379" max="5379" width="7" style="869" bestFit="1" customWidth="1"/>
    <col min="5380" max="5380" width="7.5703125" style="869" bestFit="1" customWidth="1"/>
    <col min="5381" max="5381" width="7.7109375" style="869" bestFit="1" customWidth="1"/>
    <col min="5382" max="5382" width="9.42578125" style="869" bestFit="1" customWidth="1"/>
    <col min="5383" max="5383" width="10" style="869" bestFit="1" customWidth="1"/>
    <col min="5384" max="5384" width="8.28515625" style="869" customWidth="1"/>
    <col min="5385" max="5385" width="7.140625" style="869" customWidth="1"/>
    <col min="5386" max="5386" width="10.7109375" style="869" customWidth="1"/>
    <col min="5387" max="5387" width="8.5703125" style="869" customWidth="1"/>
    <col min="5388" max="5389" width="8.85546875" style="869" bestFit="1" customWidth="1"/>
    <col min="5390" max="5390" width="9.42578125" style="869" customWidth="1"/>
    <col min="5391" max="5399" width="8.28515625" style="869" customWidth="1"/>
    <col min="5400" max="5400" width="8.140625" style="869" customWidth="1"/>
    <col min="5401" max="5401" width="10.42578125" style="869" customWidth="1"/>
    <col min="5402" max="5402" width="9.140625" style="869"/>
    <col min="5403" max="5403" width="19.42578125" style="869" customWidth="1"/>
    <col min="5404" max="5404" width="16.42578125" style="869" bestFit="1" customWidth="1"/>
    <col min="5405" max="5632" width="9.140625" style="869"/>
    <col min="5633" max="5633" width="7.42578125" style="869" customWidth="1"/>
    <col min="5634" max="5634" width="11.140625" style="869" customWidth="1"/>
    <col min="5635" max="5635" width="7" style="869" bestFit="1" customWidth="1"/>
    <col min="5636" max="5636" width="7.5703125" style="869" bestFit="1" customWidth="1"/>
    <col min="5637" max="5637" width="7.7109375" style="869" bestFit="1" customWidth="1"/>
    <col min="5638" max="5638" width="9.42578125" style="869" bestFit="1" customWidth="1"/>
    <col min="5639" max="5639" width="10" style="869" bestFit="1" customWidth="1"/>
    <col min="5640" max="5640" width="8.28515625" style="869" customWidth="1"/>
    <col min="5641" max="5641" width="7.140625" style="869" customWidth="1"/>
    <col min="5642" max="5642" width="10.7109375" style="869" customWidth="1"/>
    <col min="5643" max="5643" width="8.5703125" style="869" customWidth="1"/>
    <col min="5644" max="5645" width="8.85546875" style="869" bestFit="1" customWidth="1"/>
    <col min="5646" max="5646" width="9.42578125" style="869" customWidth="1"/>
    <col min="5647" max="5655" width="8.28515625" style="869" customWidth="1"/>
    <col min="5656" max="5656" width="8.140625" style="869" customWidth="1"/>
    <col min="5657" max="5657" width="10.42578125" style="869" customWidth="1"/>
    <col min="5658" max="5658" width="9.140625" style="869"/>
    <col min="5659" max="5659" width="19.42578125" style="869" customWidth="1"/>
    <col min="5660" max="5660" width="16.42578125" style="869" bestFit="1" customWidth="1"/>
    <col min="5661" max="5888" width="9.140625" style="869"/>
    <col min="5889" max="5889" width="7.42578125" style="869" customWidth="1"/>
    <col min="5890" max="5890" width="11.140625" style="869" customWidth="1"/>
    <col min="5891" max="5891" width="7" style="869" bestFit="1" customWidth="1"/>
    <col min="5892" max="5892" width="7.5703125" style="869" bestFit="1" customWidth="1"/>
    <col min="5893" max="5893" width="7.7109375" style="869" bestFit="1" customWidth="1"/>
    <col min="5894" max="5894" width="9.42578125" style="869" bestFit="1" customWidth="1"/>
    <col min="5895" max="5895" width="10" style="869" bestFit="1" customWidth="1"/>
    <col min="5896" max="5896" width="8.28515625" style="869" customWidth="1"/>
    <col min="5897" max="5897" width="7.140625" style="869" customWidth="1"/>
    <col min="5898" max="5898" width="10.7109375" style="869" customWidth="1"/>
    <col min="5899" max="5899" width="8.5703125" style="869" customWidth="1"/>
    <col min="5900" max="5901" width="8.85546875" style="869" bestFit="1" customWidth="1"/>
    <col min="5902" max="5902" width="9.42578125" style="869" customWidth="1"/>
    <col min="5903" max="5911" width="8.28515625" style="869" customWidth="1"/>
    <col min="5912" max="5912" width="8.140625" style="869" customWidth="1"/>
    <col min="5913" max="5913" width="10.42578125" style="869" customWidth="1"/>
    <col min="5914" max="5914" width="9.140625" style="869"/>
    <col min="5915" max="5915" width="19.42578125" style="869" customWidth="1"/>
    <col min="5916" max="5916" width="16.42578125" style="869" bestFit="1" customWidth="1"/>
    <col min="5917" max="6144" width="9.140625" style="869"/>
    <col min="6145" max="6145" width="7.42578125" style="869" customWidth="1"/>
    <col min="6146" max="6146" width="11.140625" style="869" customWidth="1"/>
    <col min="6147" max="6147" width="7" style="869" bestFit="1" customWidth="1"/>
    <col min="6148" max="6148" width="7.5703125" style="869" bestFit="1" customWidth="1"/>
    <col min="6149" max="6149" width="7.7109375" style="869" bestFit="1" customWidth="1"/>
    <col min="6150" max="6150" width="9.42578125" style="869" bestFit="1" customWidth="1"/>
    <col min="6151" max="6151" width="10" style="869" bestFit="1" customWidth="1"/>
    <col min="6152" max="6152" width="8.28515625" style="869" customWidth="1"/>
    <col min="6153" max="6153" width="7.140625" style="869" customWidth="1"/>
    <col min="6154" max="6154" width="10.7109375" style="869" customWidth="1"/>
    <col min="6155" max="6155" width="8.5703125" style="869" customWidth="1"/>
    <col min="6156" max="6157" width="8.85546875" style="869" bestFit="1" customWidth="1"/>
    <col min="6158" max="6158" width="9.42578125" style="869" customWidth="1"/>
    <col min="6159" max="6167" width="8.28515625" style="869" customWidth="1"/>
    <col min="6168" max="6168" width="8.140625" style="869" customWidth="1"/>
    <col min="6169" max="6169" width="10.42578125" style="869" customWidth="1"/>
    <col min="6170" max="6170" width="9.140625" style="869"/>
    <col min="6171" max="6171" width="19.42578125" style="869" customWidth="1"/>
    <col min="6172" max="6172" width="16.42578125" style="869" bestFit="1" customWidth="1"/>
    <col min="6173" max="6400" width="9.140625" style="869"/>
    <col min="6401" max="6401" width="7.42578125" style="869" customWidth="1"/>
    <col min="6402" max="6402" width="11.140625" style="869" customWidth="1"/>
    <col min="6403" max="6403" width="7" style="869" bestFit="1" customWidth="1"/>
    <col min="6404" max="6404" width="7.5703125" style="869" bestFit="1" customWidth="1"/>
    <col min="6405" max="6405" width="7.7109375" style="869" bestFit="1" customWidth="1"/>
    <col min="6406" max="6406" width="9.42578125" style="869" bestFit="1" customWidth="1"/>
    <col min="6407" max="6407" width="10" style="869" bestFit="1" customWidth="1"/>
    <col min="6408" max="6408" width="8.28515625" style="869" customWidth="1"/>
    <col min="6409" max="6409" width="7.140625" style="869" customWidth="1"/>
    <col min="6410" max="6410" width="10.7109375" style="869" customWidth="1"/>
    <col min="6411" max="6411" width="8.5703125" style="869" customWidth="1"/>
    <col min="6412" max="6413" width="8.85546875" style="869" bestFit="1" customWidth="1"/>
    <col min="6414" max="6414" width="9.42578125" style="869" customWidth="1"/>
    <col min="6415" max="6423" width="8.28515625" style="869" customWidth="1"/>
    <col min="6424" max="6424" width="8.140625" style="869" customWidth="1"/>
    <col min="6425" max="6425" width="10.42578125" style="869" customWidth="1"/>
    <col min="6426" max="6426" width="9.140625" style="869"/>
    <col min="6427" max="6427" width="19.42578125" style="869" customWidth="1"/>
    <col min="6428" max="6428" width="16.42578125" style="869" bestFit="1" customWidth="1"/>
    <col min="6429" max="6656" width="9.140625" style="869"/>
    <col min="6657" max="6657" width="7.42578125" style="869" customWidth="1"/>
    <col min="6658" max="6658" width="11.140625" style="869" customWidth="1"/>
    <col min="6659" max="6659" width="7" style="869" bestFit="1" customWidth="1"/>
    <col min="6660" max="6660" width="7.5703125" style="869" bestFit="1" customWidth="1"/>
    <col min="6661" max="6661" width="7.7109375" style="869" bestFit="1" customWidth="1"/>
    <col min="6662" max="6662" width="9.42578125" style="869" bestFit="1" customWidth="1"/>
    <col min="6663" max="6663" width="10" style="869" bestFit="1" customWidth="1"/>
    <col min="6664" max="6664" width="8.28515625" style="869" customWidth="1"/>
    <col min="6665" max="6665" width="7.140625" style="869" customWidth="1"/>
    <col min="6666" max="6666" width="10.7109375" style="869" customWidth="1"/>
    <col min="6667" max="6667" width="8.5703125" style="869" customWidth="1"/>
    <col min="6668" max="6669" width="8.85546875" style="869" bestFit="1" customWidth="1"/>
    <col min="6670" max="6670" width="9.42578125" style="869" customWidth="1"/>
    <col min="6671" max="6679" width="8.28515625" style="869" customWidth="1"/>
    <col min="6680" max="6680" width="8.140625" style="869" customWidth="1"/>
    <col min="6681" max="6681" width="10.42578125" style="869" customWidth="1"/>
    <col min="6682" max="6682" width="9.140625" style="869"/>
    <col min="6683" max="6683" width="19.42578125" style="869" customWidth="1"/>
    <col min="6684" max="6684" width="16.42578125" style="869" bestFit="1" customWidth="1"/>
    <col min="6685" max="6912" width="9.140625" style="869"/>
    <col min="6913" max="6913" width="7.42578125" style="869" customWidth="1"/>
    <col min="6914" max="6914" width="11.140625" style="869" customWidth="1"/>
    <col min="6915" max="6915" width="7" style="869" bestFit="1" customWidth="1"/>
    <col min="6916" max="6916" width="7.5703125" style="869" bestFit="1" customWidth="1"/>
    <col min="6917" max="6917" width="7.7109375" style="869" bestFit="1" customWidth="1"/>
    <col min="6918" max="6918" width="9.42578125" style="869" bestFit="1" customWidth="1"/>
    <col min="6919" max="6919" width="10" style="869" bestFit="1" customWidth="1"/>
    <col min="6920" max="6920" width="8.28515625" style="869" customWidth="1"/>
    <col min="6921" max="6921" width="7.140625" style="869" customWidth="1"/>
    <col min="6922" max="6922" width="10.7109375" style="869" customWidth="1"/>
    <col min="6923" max="6923" width="8.5703125" style="869" customWidth="1"/>
    <col min="6924" max="6925" width="8.85546875" style="869" bestFit="1" customWidth="1"/>
    <col min="6926" max="6926" width="9.42578125" style="869" customWidth="1"/>
    <col min="6927" max="6935" width="8.28515625" style="869" customWidth="1"/>
    <col min="6936" max="6936" width="8.140625" style="869" customWidth="1"/>
    <col min="6937" max="6937" width="10.42578125" style="869" customWidth="1"/>
    <col min="6938" max="6938" width="9.140625" style="869"/>
    <col min="6939" max="6939" width="19.42578125" style="869" customWidth="1"/>
    <col min="6940" max="6940" width="16.42578125" style="869" bestFit="1" customWidth="1"/>
    <col min="6941" max="7168" width="9.140625" style="869"/>
    <col min="7169" max="7169" width="7.42578125" style="869" customWidth="1"/>
    <col min="7170" max="7170" width="11.140625" style="869" customWidth="1"/>
    <col min="7171" max="7171" width="7" style="869" bestFit="1" customWidth="1"/>
    <col min="7172" max="7172" width="7.5703125" style="869" bestFit="1" customWidth="1"/>
    <col min="7173" max="7173" width="7.7109375" style="869" bestFit="1" customWidth="1"/>
    <col min="7174" max="7174" width="9.42578125" style="869" bestFit="1" customWidth="1"/>
    <col min="7175" max="7175" width="10" style="869" bestFit="1" customWidth="1"/>
    <col min="7176" max="7176" width="8.28515625" style="869" customWidth="1"/>
    <col min="7177" max="7177" width="7.140625" style="869" customWidth="1"/>
    <col min="7178" max="7178" width="10.7109375" style="869" customWidth="1"/>
    <col min="7179" max="7179" width="8.5703125" style="869" customWidth="1"/>
    <col min="7180" max="7181" width="8.85546875" style="869" bestFit="1" customWidth="1"/>
    <col min="7182" max="7182" width="9.42578125" style="869" customWidth="1"/>
    <col min="7183" max="7191" width="8.28515625" style="869" customWidth="1"/>
    <col min="7192" max="7192" width="8.140625" style="869" customWidth="1"/>
    <col min="7193" max="7193" width="10.42578125" style="869" customWidth="1"/>
    <col min="7194" max="7194" width="9.140625" style="869"/>
    <col min="7195" max="7195" width="19.42578125" style="869" customWidth="1"/>
    <col min="7196" max="7196" width="16.42578125" style="869" bestFit="1" customWidth="1"/>
    <col min="7197" max="7424" width="9.140625" style="869"/>
    <col min="7425" max="7425" width="7.42578125" style="869" customWidth="1"/>
    <col min="7426" max="7426" width="11.140625" style="869" customWidth="1"/>
    <col min="7427" max="7427" width="7" style="869" bestFit="1" customWidth="1"/>
    <col min="7428" max="7428" width="7.5703125" style="869" bestFit="1" customWidth="1"/>
    <col min="7429" max="7429" width="7.7109375" style="869" bestFit="1" customWidth="1"/>
    <col min="7430" max="7430" width="9.42578125" style="869" bestFit="1" customWidth="1"/>
    <col min="7431" max="7431" width="10" style="869" bestFit="1" customWidth="1"/>
    <col min="7432" max="7432" width="8.28515625" style="869" customWidth="1"/>
    <col min="7433" max="7433" width="7.140625" style="869" customWidth="1"/>
    <col min="7434" max="7434" width="10.7109375" style="869" customWidth="1"/>
    <col min="7435" max="7435" width="8.5703125" style="869" customWidth="1"/>
    <col min="7436" max="7437" width="8.85546875" style="869" bestFit="1" customWidth="1"/>
    <col min="7438" max="7438" width="9.42578125" style="869" customWidth="1"/>
    <col min="7439" max="7447" width="8.28515625" style="869" customWidth="1"/>
    <col min="7448" max="7448" width="8.140625" style="869" customWidth="1"/>
    <col min="7449" max="7449" width="10.42578125" style="869" customWidth="1"/>
    <col min="7450" max="7450" width="9.140625" style="869"/>
    <col min="7451" max="7451" width="19.42578125" style="869" customWidth="1"/>
    <col min="7452" max="7452" width="16.42578125" style="869" bestFit="1" customWidth="1"/>
    <col min="7453" max="7680" width="9.140625" style="869"/>
    <col min="7681" max="7681" width="7.42578125" style="869" customWidth="1"/>
    <col min="7682" max="7682" width="11.140625" style="869" customWidth="1"/>
    <col min="7683" max="7683" width="7" style="869" bestFit="1" customWidth="1"/>
    <col min="7684" max="7684" width="7.5703125" style="869" bestFit="1" customWidth="1"/>
    <col min="7685" max="7685" width="7.7109375" style="869" bestFit="1" customWidth="1"/>
    <col min="7686" max="7686" width="9.42578125" style="869" bestFit="1" customWidth="1"/>
    <col min="7687" max="7687" width="10" style="869" bestFit="1" customWidth="1"/>
    <col min="7688" max="7688" width="8.28515625" style="869" customWidth="1"/>
    <col min="7689" max="7689" width="7.140625" style="869" customWidth="1"/>
    <col min="7690" max="7690" width="10.7109375" style="869" customWidth="1"/>
    <col min="7691" max="7691" width="8.5703125" style="869" customWidth="1"/>
    <col min="7692" max="7693" width="8.85546875" style="869" bestFit="1" customWidth="1"/>
    <col min="7694" max="7694" width="9.42578125" style="869" customWidth="1"/>
    <col min="7695" max="7703" width="8.28515625" style="869" customWidth="1"/>
    <col min="7704" max="7704" width="8.140625" style="869" customWidth="1"/>
    <col min="7705" max="7705" width="10.42578125" style="869" customWidth="1"/>
    <col min="7706" max="7706" width="9.140625" style="869"/>
    <col min="7707" max="7707" width="19.42578125" style="869" customWidth="1"/>
    <col min="7708" max="7708" width="16.42578125" style="869" bestFit="1" customWidth="1"/>
    <col min="7709" max="7936" width="9.140625" style="869"/>
    <col min="7937" max="7937" width="7.42578125" style="869" customWidth="1"/>
    <col min="7938" max="7938" width="11.140625" style="869" customWidth="1"/>
    <col min="7939" max="7939" width="7" style="869" bestFit="1" customWidth="1"/>
    <col min="7940" max="7940" width="7.5703125" style="869" bestFit="1" customWidth="1"/>
    <col min="7941" max="7941" width="7.7109375" style="869" bestFit="1" customWidth="1"/>
    <col min="7942" max="7942" width="9.42578125" style="869" bestFit="1" customWidth="1"/>
    <col min="7943" max="7943" width="10" style="869" bestFit="1" customWidth="1"/>
    <col min="7944" max="7944" width="8.28515625" style="869" customWidth="1"/>
    <col min="7945" max="7945" width="7.140625" style="869" customWidth="1"/>
    <col min="7946" max="7946" width="10.7109375" style="869" customWidth="1"/>
    <col min="7947" max="7947" width="8.5703125" style="869" customWidth="1"/>
    <col min="7948" max="7949" width="8.85546875" style="869" bestFit="1" customWidth="1"/>
    <col min="7950" max="7950" width="9.42578125" style="869" customWidth="1"/>
    <col min="7951" max="7959" width="8.28515625" style="869" customWidth="1"/>
    <col min="7960" max="7960" width="8.140625" style="869" customWidth="1"/>
    <col min="7961" max="7961" width="10.42578125" style="869" customWidth="1"/>
    <col min="7962" max="7962" width="9.140625" style="869"/>
    <col min="7963" max="7963" width="19.42578125" style="869" customWidth="1"/>
    <col min="7964" max="7964" width="16.42578125" style="869" bestFit="1" customWidth="1"/>
    <col min="7965" max="8192" width="9.140625" style="869"/>
    <col min="8193" max="8193" width="7.42578125" style="869" customWidth="1"/>
    <col min="8194" max="8194" width="11.140625" style="869" customWidth="1"/>
    <col min="8195" max="8195" width="7" style="869" bestFit="1" customWidth="1"/>
    <col min="8196" max="8196" width="7.5703125" style="869" bestFit="1" customWidth="1"/>
    <col min="8197" max="8197" width="7.7109375" style="869" bestFit="1" customWidth="1"/>
    <col min="8198" max="8198" width="9.42578125" style="869" bestFit="1" customWidth="1"/>
    <col min="8199" max="8199" width="10" style="869" bestFit="1" customWidth="1"/>
    <col min="8200" max="8200" width="8.28515625" style="869" customWidth="1"/>
    <col min="8201" max="8201" width="7.140625" style="869" customWidth="1"/>
    <col min="8202" max="8202" width="10.7109375" style="869" customWidth="1"/>
    <col min="8203" max="8203" width="8.5703125" style="869" customWidth="1"/>
    <col min="8204" max="8205" width="8.85546875" style="869" bestFit="1" customWidth="1"/>
    <col min="8206" max="8206" width="9.42578125" style="869" customWidth="1"/>
    <col min="8207" max="8215" width="8.28515625" style="869" customWidth="1"/>
    <col min="8216" max="8216" width="8.140625" style="869" customWidth="1"/>
    <col min="8217" max="8217" width="10.42578125" style="869" customWidth="1"/>
    <col min="8218" max="8218" width="9.140625" style="869"/>
    <col min="8219" max="8219" width="19.42578125" style="869" customWidth="1"/>
    <col min="8220" max="8220" width="16.42578125" style="869" bestFit="1" customWidth="1"/>
    <col min="8221" max="8448" width="9.140625" style="869"/>
    <col min="8449" max="8449" width="7.42578125" style="869" customWidth="1"/>
    <col min="8450" max="8450" width="11.140625" style="869" customWidth="1"/>
    <col min="8451" max="8451" width="7" style="869" bestFit="1" customWidth="1"/>
    <col min="8452" max="8452" width="7.5703125" style="869" bestFit="1" customWidth="1"/>
    <col min="8453" max="8453" width="7.7109375" style="869" bestFit="1" customWidth="1"/>
    <col min="8454" max="8454" width="9.42578125" style="869" bestFit="1" customWidth="1"/>
    <col min="8455" max="8455" width="10" style="869" bestFit="1" customWidth="1"/>
    <col min="8456" max="8456" width="8.28515625" style="869" customWidth="1"/>
    <col min="8457" max="8457" width="7.140625" style="869" customWidth="1"/>
    <col min="8458" max="8458" width="10.7109375" style="869" customWidth="1"/>
    <col min="8459" max="8459" width="8.5703125" style="869" customWidth="1"/>
    <col min="8460" max="8461" width="8.85546875" style="869" bestFit="1" customWidth="1"/>
    <col min="8462" max="8462" width="9.42578125" style="869" customWidth="1"/>
    <col min="8463" max="8471" width="8.28515625" style="869" customWidth="1"/>
    <col min="8472" max="8472" width="8.140625" style="869" customWidth="1"/>
    <col min="8473" max="8473" width="10.42578125" style="869" customWidth="1"/>
    <col min="8474" max="8474" width="9.140625" style="869"/>
    <col min="8475" max="8475" width="19.42578125" style="869" customWidth="1"/>
    <col min="8476" max="8476" width="16.42578125" style="869" bestFit="1" customWidth="1"/>
    <col min="8477" max="8704" width="9.140625" style="869"/>
    <col min="8705" max="8705" width="7.42578125" style="869" customWidth="1"/>
    <col min="8706" max="8706" width="11.140625" style="869" customWidth="1"/>
    <col min="8707" max="8707" width="7" style="869" bestFit="1" customWidth="1"/>
    <col min="8708" max="8708" width="7.5703125" style="869" bestFit="1" customWidth="1"/>
    <col min="8709" max="8709" width="7.7109375" style="869" bestFit="1" customWidth="1"/>
    <col min="8710" max="8710" width="9.42578125" style="869" bestFit="1" customWidth="1"/>
    <col min="8711" max="8711" width="10" style="869" bestFit="1" customWidth="1"/>
    <col min="8712" max="8712" width="8.28515625" style="869" customWidth="1"/>
    <col min="8713" max="8713" width="7.140625" style="869" customWidth="1"/>
    <col min="8714" max="8714" width="10.7109375" style="869" customWidth="1"/>
    <col min="8715" max="8715" width="8.5703125" style="869" customWidth="1"/>
    <col min="8716" max="8717" width="8.85546875" style="869" bestFit="1" customWidth="1"/>
    <col min="8718" max="8718" width="9.42578125" style="869" customWidth="1"/>
    <col min="8719" max="8727" width="8.28515625" style="869" customWidth="1"/>
    <col min="8728" max="8728" width="8.140625" style="869" customWidth="1"/>
    <col min="8729" max="8729" width="10.42578125" style="869" customWidth="1"/>
    <col min="8730" max="8730" width="9.140625" style="869"/>
    <col min="8731" max="8731" width="19.42578125" style="869" customWidth="1"/>
    <col min="8732" max="8732" width="16.42578125" style="869" bestFit="1" customWidth="1"/>
    <col min="8733" max="8960" width="9.140625" style="869"/>
    <col min="8961" max="8961" width="7.42578125" style="869" customWidth="1"/>
    <col min="8962" max="8962" width="11.140625" style="869" customWidth="1"/>
    <col min="8963" max="8963" width="7" style="869" bestFit="1" customWidth="1"/>
    <col min="8964" max="8964" width="7.5703125" style="869" bestFit="1" customWidth="1"/>
    <col min="8965" max="8965" width="7.7109375" style="869" bestFit="1" customWidth="1"/>
    <col min="8966" max="8966" width="9.42578125" style="869" bestFit="1" customWidth="1"/>
    <col min="8967" max="8967" width="10" style="869" bestFit="1" customWidth="1"/>
    <col min="8968" max="8968" width="8.28515625" style="869" customWidth="1"/>
    <col min="8969" max="8969" width="7.140625" style="869" customWidth="1"/>
    <col min="8970" max="8970" width="10.7109375" style="869" customWidth="1"/>
    <col min="8971" max="8971" width="8.5703125" style="869" customWidth="1"/>
    <col min="8972" max="8973" width="8.85546875" style="869" bestFit="1" customWidth="1"/>
    <col min="8974" max="8974" width="9.42578125" style="869" customWidth="1"/>
    <col min="8975" max="8983" width="8.28515625" style="869" customWidth="1"/>
    <col min="8984" max="8984" width="8.140625" style="869" customWidth="1"/>
    <col min="8985" max="8985" width="10.42578125" style="869" customWidth="1"/>
    <col min="8986" max="8986" width="9.140625" style="869"/>
    <col min="8987" max="8987" width="19.42578125" style="869" customWidth="1"/>
    <col min="8988" max="8988" width="16.42578125" style="869" bestFit="1" customWidth="1"/>
    <col min="8989" max="9216" width="9.140625" style="869"/>
    <col min="9217" max="9217" width="7.42578125" style="869" customWidth="1"/>
    <col min="9218" max="9218" width="11.140625" style="869" customWidth="1"/>
    <col min="9219" max="9219" width="7" style="869" bestFit="1" customWidth="1"/>
    <col min="9220" max="9220" width="7.5703125" style="869" bestFit="1" customWidth="1"/>
    <col min="9221" max="9221" width="7.7109375" style="869" bestFit="1" customWidth="1"/>
    <col min="9222" max="9222" width="9.42578125" style="869" bestFit="1" customWidth="1"/>
    <col min="9223" max="9223" width="10" style="869" bestFit="1" customWidth="1"/>
    <col min="9224" max="9224" width="8.28515625" style="869" customWidth="1"/>
    <col min="9225" max="9225" width="7.140625" style="869" customWidth="1"/>
    <col min="9226" max="9226" width="10.7109375" style="869" customWidth="1"/>
    <col min="9227" max="9227" width="8.5703125" style="869" customWidth="1"/>
    <col min="9228" max="9229" width="8.85546875" style="869" bestFit="1" customWidth="1"/>
    <col min="9230" max="9230" width="9.42578125" style="869" customWidth="1"/>
    <col min="9231" max="9239" width="8.28515625" style="869" customWidth="1"/>
    <col min="9240" max="9240" width="8.140625" style="869" customWidth="1"/>
    <col min="9241" max="9241" width="10.42578125" style="869" customWidth="1"/>
    <col min="9242" max="9242" width="9.140625" style="869"/>
    <col min="9243" max="9243" width="19.42578125" style="869" customWidth="1"/>
    <col min="9244" max="9244" width="16.42578125" style="869" bestFit="1" customWidth="1"/>
    <col min="9245" max="9472" width="9.140625" style="869"/>
    <col min="9473" max="9473" width="7.42578125" style="869" customWidth="1"/>
    <col min="9474" max="9474" width="11.140625" style="869" customWidth="1"/>
    <col min="9475" max="9475" width="7" style="869" bestFit="1" customWidth="1"/>
    <col min="9476" max="9476" width="7.5703125" style="869" bestFit="1" customWidth="1"/>
    <col min="9477" max="9477" width="7.7109375" style="869" bestFit="1" customWidth="1"/>
    <col min="9478" max="9478" width="9.42578125" style="869" bestFit="1" customWidth="1"/>
    <col min="9479" max="9479" width="10" style="869" bestFit="1" customWidth="1"/>
    <col min="9480" max="9480" width="8.28515625" style="869" customWidth="1"/>
    <col min="9481" max="9481" width="7.140625" style="869" customWidth="1"/>
    <col min="9482" max="9482" width="10.7109375" style="869" customWidth="1"/>
    <col min="9483" max="9483" width="8.5703125" style="869" customWidth="1"/>
    <col min="9484" max="9485" width="8.85546875" style="869" bestFit="1" customWidth="1"/>
    <col min="9486" max="9486" width="9.42578125" style="869" customWidth="1"/>
    <col min="9487" max="9495" width="8.28515625" style="869" customWidth="1"/>
    <col min="9496" max="9496" width="8.140625" style="869" customWidth="1"/>
    <col min="9497" max="9497" width="10.42578125" style="869" customWidth="1"/>
    <col min="9498" max="9498" width="9.140625" style="869"/>
    <col min="9499" max="9499" width="19.42578125" style="869" customWidth="1"/>
    <col min="9500" max="9500" width="16.42578125" style="869" bestFit="1" customWidth="1"/>
    <col min="9501" max="9728" width="9.140625" style="869"/>
    <col min="9729" max="9729" width="7.42578125" style="869" customWidth="1"/>
    <col min="9730" max="9730" width="11.140625" style="869" customWidth="1"/>
    <col min="9731" max="9731" width="7" style="869" bestFit="1" customWidth="1"/>
    <col min="9732" max="9732" width="7.5703125" style="869" bestFit="1" customWidth="1"/>
    <col min="9733" max="9733" width="7.7109375" style="869" bestFit="1" customWidth="1"/>
    <col min="9734" max="9734" width="9.42578125" style="869" bestFit="1" customWidth="1"/>
    <col min="9735" max="9735" width="10" style="869" bestFit="1" customWidth="1"/>
    <col min="9736" max="9736" width="8.28515625" style="869" customWidth="1"/>
    <col min="9737" max="9737" width="7.140625" style="869" customWidth="1"/>
    <col min="9738" max="9738" width="10.7109375" style="869" customWidth="1"/>
    <col min="9739" max="9739" width="8.5703125" style="869" customWidth="1"/>
    <col min="9740" max="9741" width="8.85546875" style="869" bestFit="1" customWidth="1"/>
    <col min="9742" max="9742" width="9.42578125" style="869" customWidth="1"/>
    <col min="9743" max="9751" width="8.28515625" style="869" customWidth="1"/>
    <col min="9752" max="9752" width="8.140625" style="869" customWidth="1"/>
    <col min="9753" max="9753" width="10.42578125" style="869" customWidth="1"/>
    <col min="9754" max="9754" width="9.140625" style="869"/>
    <col min="9755" max="9755" width="19.42578125" style="869" customWidth="1"/>
    <col min="9756" max="9756" width="16.42578125" style="869" bestFit="1" customWidth="1"/>
    <col min="9757" max="9984" width="9.140625" style="869"/>
    <col min="9985" max="9985" width="7.42578125" style="869" customWidth="1"/>
    <col min="9986" max="9986" width="11.140625" style="869" customWidth="1"/>
    <col min="9987" max="9987" width="7" style="869" bestFit="1" customWidth="1"/>
    <col min="9988" max="9988" width="7.5703125" style="869" bestFit="1" customWidth="1"/>
    <col min="9989" max="9989" width="7.7109375" style="869" bestFit="1" customWidth="1"/>
    <col min="9990" max="9990" width="9.42578125" style="869" bestFit="1" customWidth="1"/>
    <col min="9991" max="9991" width="10" style="869" bestFit="1" customWidth="1"/>
    <col min="9992" max="9992" width="8.28515625" style="869" customWidth="1"/>
    <col min="9993" max="9993" width="7.140625" style="869" customWidth="1"/>
    <col min="9994" max="9994" width="10.7109375" style="869" customWidth="1"/>
    <col min="9995" max="9995" width="8.5703125" style="869" customWidth="1"/>
    <col min="9996" max="9997" width="8.85546875" style="869" bestFit="1" customWidth="1"/>
    <col min="9998" max="9998" width="9.42578125" style="869" customWidth="1"/>
    <col min="9999" max="10007" width="8.28515625" style="869" customWidth="1"/>
    <col min="10008" max="10008" width="8.140625" style="869" customWidth="1"/>
    <col min="10009" max="10009" width="10.42578125" style="869" customWidth="1"/>
    <col min="10010" max="10010" width="9.140625" style="869"/>
    <col min="10011" max="10011" width="19.42578125" style="869" customWidth="1"/>
    <col min="10012" max="10012" width="16.42578125" style="869" bestFit="1" customWidth="1"/>
    <col min="10013" max="10240" width="9.140625" style="869"/>
    <col min="10241" max="10241" width="7.42578125" style="869" customWidth="1"/>
    <col min="10242" max="10242" width="11.140625" style="869" customWidth="1"/>
    <col min="10243" max="10243" width="7" style="869" bestFit="1" customWidth="1"/>
    <col min="10244" max="10244" width="7.5703125" style="869" bestFit="1" customWidth="1"/>
    <col min="10245" max="10245" width="7.7109375" style="869" bestFit="1" customWidth="1"/>
    <col min="10246" max="10246" width="9.42578125" style="869" bestFit="1" customWidth="1"/>
    <col min="10247" max="10247" width="10" style="869" bestFit="1" customWidth="1"/>
    <col min="10248" max="10248" width="8.28515625" style="869" customWidth="1"/>
    <col min="10249" max="10249" width="7.140625" style="869" customWidth="1"/>
    <col min="10250" max="10250" width="10.7109375" style="869" customWidth="1"/>
    <col min="10251" max="10251" width="8.5703125" style="869" customWidth="1"/>
    <col min="10252" max="10253" width="8.85546875" style="869" bestFit="1" customWidth="1"/>
    <col min="10254" max="10254" width="9.42578125" style="869" customWidth="1"/>
    <col min="10255" max="10263" width="8.28515625" style="869" customWidth="1"/>
    <col min="10264" max="10264" width="8.140625" style="869" customWidth="1"/>
    <col min="10265" max="10265" width="10.42578125" style="869" customWidth="1"/>
    <col min="10266" max="10266" width="9.140625" style="869"/>
    <col min="10267" max="10267" width="19.42578125" style="869" customWidth="1"/>
    <col min="10268" max="10268" width="16.42578125" style="869" bestFit="1" customWidth="1"/>
    <col min="10269" max="10496" width="9.140625" style="869"/>
    <col min="10497" max="10497" width="7.42578125" style="869" customWidth="1"/>
    <col min="10498" max="10498" width="11.140625" style="869" customWidth="1"/>
    <col min="10499" max="10499" width="7" style="869" bestFit="1" customWidth="1"/>
    <col min="10500" max="10500" width="7.5703125" style="869" bestFit="1" customWidth="1"/>
    <col min="10501" max="10501" width="7.7109375" style="869" bestFit="1" customWidth="1"/>
    <col min="10502" max="10502" width="9.42578125" style="869" bestFit="1" customWidth="1"/>
    <col min="10503" max="10503" width="10" style="869" bestFit="1" customWidth="1"/>
    <col min="10504" max="10504" width="8.28515625" style="869" customWidth="1"/>
    <col min="10505" max="10505" width="7.140625" style="869" customWidth="1"/>
    <col min="10506" max="10506" width="10.7109375" style="869" customWidth="1"/>
    <col min="10507" max="10507" width="8.5703125" style="869" customWidth="1"/>
    <col min="10508" max="10509" width="8.85546875" style="869" bestFit="1" customWidth="1"/>
    <col min="10510" max="10510" width="9.42578125" style="869" customWidth="1"/>
    <col min="10511" max="10519" width="8.28515625" style="869" customWidth="1"/>
    <col min="10520" max="10520" width="8.140625" style="869" customWidth="1"/>
    <col min="10521" max="10521" width="10.42578125" style="869" customWidth="1"/>
    <col min="10522" max="10522" width="9.140625" style="869"/>
    <col min="10523" max="10523" width="19.42578125" style="869" customWidth="1"/>
    <col min="10524" max="10524" width="16.42578125" style="869" bestFit="1" customWidth="1"/>
    <col min="10525" max="10752" width="9.140625" style="869"/>
    <col min="10753" max="10753" width="7.42578125" style="869" customWidth="1"/>
    <col min="10754" max="10754" width="11.140625" style="869" customWidth="1"/>
    <col min="10755" max="10755" width="7" style="869" bestFit="1" customWidth="1"/>
    <col min="10756" max="10756" width="7.5703125" style="869" bestFit="1" customWidth="1"/>
    <col min="10757" max="10757" width="7.7109375" style="869" bestFit="1" customWidth="1"/>
    <col min="10758" max="10758" width="9.42578125" style="869" bestFit="1" customWidth="1"/>
    <col min="10759" max="10759" width="10" style="869" bestFit="1" customWidth="1"/>
    <col min="10760" max="10760" width="8.28515625" style="869" customWidth="1"/>
    <col min="10761" max="10761" width="7.140625" style="869" customWidth="1"/>
    <col min="10762" max="10762" width="10.7109375" style="869" customWidth="1"/>
    <col min="10763" max="10763" width="8.5703125" style="869" customWidth="1"/>
    <col min="10764" max="10765" width="8.85546875" style="869" bestFit="1" customWidth="1"/>
    <col min="10766" max="10766" width="9.42578125" style="869" customWidth="1"/>
    <col min="10767" max="10775" width="8.28515625" style="869" customWidth="1"/>
    <col min="10776" max="10776" width="8.140625" style="869" customWidth="1"/>
    <col min="10777" max="10777" width="10.42578125" style="869" customWidth="1"/>
    <col min="10778" max="10778" width="9.140625" style="869"/>
    <col min="10779" max="10779" width="19.42578125" style="869" customWidth="1"/>
    <col min="10780" max="10780" width="16.42578125" style="869" bestFit="1" customWidth="1"/>
    <col min="10781" max="11008" width="9.140625" style="869"/>
    <col min="11009" max="11009" width="7.42578125" style="869" customWidth="1"/>
    <col min="11010" max="11010" width="11.140625" style="869" customWidth="1"/>
    <col min="11011" max="11011" width="7" style="869" bestFit="1" customWidth="1"/>
    <col min="11012" max="11012" width="7.5703125" style="869" bestFit="1" customWidth="1"/>
    <col min="11013" max="11013" width="7.7109375" style="869" bestFit="1" customWidth="1"/>
    <col min="11014" max="11014" width="9.42578125" style="869" bestFit="1" customWidth="1"/>
    <col min="11015" max="11015" width="10" style="869" bestFit="1" customWidth="1"/>
    <col min="11016" max="11016" width="8.28515625" style="869" customWidth="1"/>
    <col min="11017" max="11017" width="7.140625" style="869" customWidth="1"/>
    <col min="11018" max="11018" width="10.7109375" style="869" customWidth="1"/>
    <col min="11019" max="11019" width="8.5703125" style="869" customWidth="1"/>
    <col min="11020" max="11021" width="8.85546875" style="869" bestFit="1" customWidth="1"/>
    <col min="11022" max="11022" width="9.42578125" style="869" customWidth="1"/>
    <col min="11023" max="11031" width="8.28515625" style="869" customWidth="1"/>
    <col min="11032" max="11032" width="8.140625" style="869" customWidth="1"/>
    <col min="11033" max="11033" width="10.42578125" style="869" customWidth="1"/>
    <col min="11034" max="11034" width="9.140625" style="869"/>
    <col min="11035" max="11035" width="19.42578125" style="869" customWidth="1"/>
    <col min="11036" max="11036" width="16.42578125" style="869" bestFit="1" customWidth="1"/>
    <col min="11037" max="11264" width="9.140625" style="869"/>
    <col min="11265" max="11265" width="7.42578125" style="869" customWidth="1"/>
    <col min="11266" max="11266" width="11.140625" style="869" customWidth="1"/>
    <col min="11267" max="11267" width="7" style="869" bestFit="1" customWidth="1"/>
    <col min="11268" max="11268" width="7.5703125" style="869" bestFit="1" customWidth="1"/>
    <col min="11269" max="11269" width="7.7109375" style="869" bestFit="1" customWidth="1"/>
    <col min="11270" max="11270" width="9.42578125" style="869" bestFit="1" customWidth="1"/>
    <col min="11271" max="11271" width="10" style="869" bestFit="1" customWidth="1"/>
    <col min="11272" max="11272" width="8.28515625" style="869" customWidth="1"/>
    <col min="11273" max="11273" width="7.140625" style="869" customWidth="1"/>
    <col min="11274" max="11274" width="10.7109375" style="869" customWidth="1"/>
    <col min="11275" max="11275" width="8.5703125" style="869" customWidth="1"/>
    <col min="11276" max="11277" width="8.85546875" style="869" bestFit="1" customWidth="1"/>
    <col min="11278" max="11278" width="9.42578125" style="869" customWidth="1"/>
    <col min="11279" max="11287" width="8.28515625" style="869" customWidth="1"/>
    <col min="11288" max="11288" width="8.140625" style="869" customWidth="1"/>
    <col min="11289" max="11289" width="10.42578125" style="869" customWidth="1"/>
    <col min="11290" max="11290" width="9.140625" style="869"/>
    <col min="11291" max="11291" width="19.42578125" style="869" customWidth="1"/>
    <col min="11292" max="11292" width="16.42578125" style="869" bestFit="1" customWidth="1"/>
    <col min="11293" max="11520" width="9.140625" style="869"/>
    <col min="11521" max="11521" width="7.42578125" style="869" customWidth="1"/>
    <col min="11522" max="11522" width="11.140625" style="869" customWidth="1"/>
    <col min="11523" max="11523" width="7" style="869" bestFit="1" customWidth="1"/>
    <col min="11524" max="11524" width="7.5703125" style="869" bestFit="1" customWidth="1"/>
    <col min="11525" max="11525" width="7.7109375" style="869" bestFit="1" customWidth="1"/>
    <col min="11526" max="11526" width="9.42578125" style="869" bestFit="1" customWidth="1"/>
    <col min="11527" max="11527" width="10" style="869" bestFit="1" customWidth="1"/>
    <col min="11528" max="11528" width="8.28515625" style="869" customWidth="1"/>
    <col min="11529" max="11529" width="7.140625" style="869" customWidth="1"/>
    <col min="11530" max="11530" width="10.7109375" style="869" customWidth="1"/>
    <col min="11531" max="11531" width="8.5703125" style="869" customWidth="1"/>
    <col min="11532" max="11533" width="8.85546875" style="869" bestFit="1" customWidth="1"/>
    <col min="11534" max="11534" width="9.42578125" style="869" customWidth="1"/>
    <col min="11535" max="11543" width="8.28515625" style="869" customWidth="1"/>
    <col min="11544" max="11544" width="8.140625" style="869" customWidth="1"/>
    <col min="11545" max="11545" width="10.42578125" style="869" customWidth="1"/>
    <col min="11546" max="11546" width="9.140625" style="869"/>
    <col min="11547" max="11547" width="19.42578125" style="869" customWidth="1"/>
    <col min="11548" max="11548" width="16.42578125" style="869" bestFit="1" customWidth="1"/>
    <col min="11549" max="11776" width="9.140625" style="869"/>
    <col min="11777" max="11777" width="7.42578125" style="869" customWidth="1"/>
    <col min="11778" max="11778" width="11.140625" style="869" customWidth="1"/>
    <col min="11779" max="11779" width="7" style="869" bestFit="1" customWidth="1"/>
    <col min="11780" max="11780" width="7.5703125" style="869" bestFit="1" customWidth="1"/>
    <col min="11781" max="11781" width="7.7109375" style="869" bestFit="1" customWidth="1"/>
    <col min="11782" max="11782" width="9.42578125" style="869" bestFit="1" customWidth="1"/>
    <col min="11783" max="11783" width="10" style="869" bestFit="1" customWidth="1"/>
    <col min="11784" max="11784" width="8.28515625" style="869" customWidth="1"/>
    <col min="11785" max="11785" width="7.140625" style="869" customWidth="1"/>
    <col min="11786" max="11786" width="10.7109375" style="869" customWidth="1"/>
    <col min="11787" max="11787" width="8.5703125" style="869" customWidth="1"/>
    <col min="11788" max="11789" width="8.85546875" style="869" bestFit="1" customWidth="1"/>
    <col min="11790" max="11790" width="9.42578125" style="869" customWidth="1"/>
    <col min="11791" max="11799" width="8.28515625" style="869" customWidth="1"/>
    <col min="11800" max="11800" width="8.140625" style="869" customWidth="1"/>
    <col min="11801" max="11801" width="10.42578125" style="869" customWidth="1"/>
    <col min="11802" max="11802" width="9.140625" style="869"/>
    <col min="11803" max="11803" width="19.42578125" style="869" customWidth="1"/>
    <col min="11804" max="11804" width="16.42578125" style="869" bestFit="1" customWidth="1"/>
    <col min="11805" max="12032" width="9.140625" style="869"/>
    <col min="12033" max="12033" width="7.42578125" style="869" customWidth="1"/>
    <col min="12034" max="12034" width="11.140625" style="869" customWidth="1"/>
    <col min="12035" max="12035" width="7" style="869" bestFit="1" customWidth="1"/>
    <col min="12036" max="12036" width="7.5703125" style="869" bestFit="1" customWidth="1"/>
    <col min="12037" max="12037" width="7.7109375" style="869" bestFit="1" customWidth="1"/>
    <col min="12038" max="12038" width="9.42578125" style="869" bestFit="1" customWidth="1"/>
    <col min="12039" max="12039" width="10" style="869" bestFit="1" customWidth="1"/>
    <col min="12040" max="12040" width="8.28515625" style="869" customWidth="1"/>
    <col min="12041" max="12041" width="7.140625" style="869" customWidth="1"/>
    <col min="12042" max="12042" width="10.7109375" style="869" customWidth="1"/>
    <col min="12043" max="12043" width="8.5703125" style="869" customWidth="1"/>
    <col min="12044" max="12045" width="8.85546875" style="869" bestFit="1" customWidth="1"/>
    <col min="12046" max="12046" width="9.42578125" style="869" customWidth="1"/>
    <col min="12047" max="12055" width="8.28515625" style="869" customWidth="1"/>
    <col min="12056" max="12056" width="8.140625" style="869" customWidth="1"/>
    <col min="12057" max="12057" width="10.42578125" style="869" customWidth="1"/>
    <col min="12058" max="12058" width="9.140625" style="869"/>
    <col min="12059" max="12059" width="19.42578125" style="869" customWidth="1"/>
    <col min="12060" max="12060" width="16.42578125" style="869" bestFit="1" customWidth="1"/>
    <col min="12061" max="12288" width="9.140625" style="869"/>
    <col min="12289" max="12289" width="7.42578125" style="869" customWidth="1"/>
    <col min="12290" max="12290" width="11.140625" style="869" customWidth="1"/>
    <col min="12291" max="12291" width="7" style="869" bestFit="1" customWidth="1"/>
    <col min="12292" max="12292" width="7.5703125" style="869" bestFit="1" customWidth="1"/>
    <col min="12293" max="12293" width="7.7109375" style="869" bestFit="1" customWidth="1"/>
    <col min="12294" max="12294" width="9.42578125" style="869" bestFit="1" customWidth="1"/>
    <col min="12295" max="12295" width="10" style="869" bestFit="1" customWidth="1"/>
    <col min="12296" max="12296" width="8.28515625" style="869" customWidth="1"/>
    <col min="12297" max="12297" width="7.140625" style="869" customWidth="1"/>
    <col min="12298" max="12298" width="10.7109375" style="869" customWidth="1"/>
    <col min="12299" max="12299" width="8.5703125" style="869" customWidth="1"/>
    <col min="12300" max="12301" width="8.85546875" style="869" bestFit="1" customWidth="1"/>
    <col min="12302" max="12302" width="9.42578125" style="869" customWidth="1"/>
    <col min="12303" max="12311" width="8.28515625" style="869" customWidth="1"/>
    <col min="12312" max="12312" width="8.140625" style="869" customWidth="1"/>
    <col min="12313" max="12313" width="10.42578125" style="869" customWidth="1"/>
    <col min="12314" max="12314" width="9.140625" style="869"/>
    <col min="12315" max="12315" width="19.42578125" style="869" customWidth="1"/>
    <col min="12316" max="12316" width="16.42578125" style="869" bestFit="1" customWidth="1"/>
    <col min="12317" max="12544" width="9.140625" style="869"/>
    <col min="12545" max="12545" width="7.42578125" style="869" customWidth="1"/>
    <col min="12546" max="12546" width="11.140625" style="869" customWidth="1"/>
    <col min="12547" max="12547" width="7" style="869" bestFit="1" customWidth="1"/>
    <col min="12548" max="12548" width="7.5703125" style="869" bestFit="1" customWidth="1"/>
    <col min="12549" max="12549" width="7.7109375" style="869" bestFit="1" customWidth="1"/>
    <col min="12550" max="12550" width="9.42578125" style="869" bestFit="1" customWidth="1"/>
    <col min="12551" max="12551" width="10" style="869" bestFit="1" customWidth="1"/>
    <col min="12552" max="12552" width="8.28515625" style="869" customWidth="1"/>
    <col min="12553" max="12553" width="7.140625" style="869" customWidth="1"/>
    <col min="12554" max="12554" width="10.7109375" style="869" customWidth="1"/>
    <col min="12555" max="12555" width="8.5703125" style="869" customWidth="1"/>
    <col min="12556" max="12557" width="8.85546875" style="869" bestFit="1" customWidth="1"/>
    <col min="12558" max="12558" width="9.42578125" style="869" customWidth="1"/>
    <col min="12559" max="12567" width="8.28515625" style="869" customWidth="1"/>
    <col min="12568" max="12568" width="8.140625" style="869" customWidth="1"/>
    <col min="12569" max="12569" width="10.42578125" style="869" customWidth="1"/>
    <col min="12570" max="12570" width="9.140625" style="869"/>
    <col min="12571" max="12571" width="19.42578125" style="869" customWidth="1"/>
    <col min="12572" max="12572" width="16.42578125" style="869" bestFit="1" customWidth="1"/>
    <col min="12573" max="12800" width="9.140625" style="869"/>
    <col min="12801" max="12801" width="7.42578125" style="869" customWidth="1"/>
    <col min="12802" max="12802" width="11.140625" style="869" customWidth="1"/>
    <col min="12803" max="12803" width="7" style="869" bestFit="1" customWidth="1"/>
    <col min="12804" max="12804" width="7.5703125" style="869" bestFit="1" customWidth="1"/>
    <col min="12805" max="12805" width="7.7109375" style="869" bestFit="1" customWidth="1"/>
    <col min="12806" max="12806" width="9.42578125" style="869" bestFit="1" customWidth="1"/>
    <col min="12807" max="12807" width="10" style="869" bestFit="1" customWidth="1"/>
    <col min="12808" max="12808" width="8.28515625" style="869" customWidth="1"/>
    <col min="12809" max="12809" width="7.140625" style="869" customWidth="1"/>
    <col min="12810" max="12810" width="10.7109375" style="869" customWidth="1"/>
    <col min="12811" max="12811" width="8.5703125" style="869" customWidth="1"/>
    <col min="12812" max="12813" width="8.85546875" style="869" bestFit="1" customWidth="1"/>
    <col min="12814" max="12814" width="9.42578125" style="869" customWidth="1"/>
    <col min="12815" max="12823" width="8.28515625" style="869" customWidth="1"/>
    <col min="12824" max="12824" width="8.140625" style="869" customWidth="1"/>
    <col min="12825" max="12825" width="10.42578125" style="869" customWidth="1"/>
    <col min="12826" max="12826" width="9.140625" style="869"/>
    <col min="12827" max="12827" width="19.42578125" style="869" customWidth="1"/>
    <col min="12828" max="12828" width="16.42578125" style="869" bestFit="1" customWidth="1"/>
    <col min="12829" max="13056" width="9.140625" style="869"/>
    <col min="13057" max="13057" width="7.42578125" style="869" customWidth="1"/>
    <col min="13058" max="13058" width="11.140625" style="869" customWidth="1"/>
    <col min="13059" max="13059" width="7" style="869" bestFit="1" customWidth="1"/>
    <col min="13060" max="13060" width="7.5703125" style="869" bestFit="1" customWidth="1"/>
    <col min="13061" max="13061" width="7.7109375" style="869" bestFit="1" customWidth="1"/>
    <col min="13062" max="13062" width="9.42578125" style="869" bestFit="1" customWidth="1"/>
    <col min="13063" max="13063" width="10" style="869" bestFit="1" customWidth="1"/>
    <col min="13064" max="13064" width="8.28515625" style="869" customWidth="1"/>
    <col min="13065" max="13065" width="7.140625" style="869" customWidth="1"/>
    <col min="13066" max="13066" width="10.7109375" style="869" customWidth="1"/>
    <col min="13067" max="13067" width="8.5703125" style="869" customWidth="1"/>
    <col min="13068" max="13069" width="8.85546875" style="869" bestFit="1" customWidth="1"/>
    <col min="13070" max="13070" width="9.42578125" style="869" customWidth="1"/>
    <col min="13071" max="13079" width="8.28515625" style="869" customWidth="1"/>
    <col min="13080" max="13080" width="8.140625" style="869" customWidth="1"/>
    <col min="13081" max="13081" width="10.42578125" style="869" customWidth="1"/>
    <col min="13082" max="13082" width="9.140625" style="869"/>
    <col min="13083" max="13083" width="19.42578125" style="869" customWidth="1"/>
    <col min="13084" max="13084" width="16.42578125" style="869" bestFit="1" customWidth="1"/>
    <col min="13085" max="13312" width="9.140625" style="869"/>
    <col min="13313" max="13313" width="7.42578125" style="869" customWidth="1"/>
    <col min="13314" max="13314" width="11.140625" style="869" customWidth="1"/>
    <col min="13315" max="13315" width="7" style="869" bestFit="1" customWidth="1"/>
    <col min="13316" max="13316" width="7.5703125" style="869" bestFit="1" customWidth="1"/>
    <col min="13317" max="13317" width="7.7109375" style="869" bestFit="1" customWidth="1"/>
    <col min="13318" max="13318" width="9.42578125" style="869" bestFit="1" customWidth="1"/>
    <col min="13319" max="13319" width="10" style="869" bestFit="1" customWidth="1"/>
    <col min="13320" max="13320" width="8.28515625" style="869" customWidth="1"/>
    <col min="13321" max="13321" width="7.140625" style="869" customWidth="1"/>
    <col min="13322" max="13322" width="10.7109375" style="869" customWidth="1"/>
    <col min="13323" max="13323" width="8.5703125" style="869" customWidth="1"/>
    <col min="13324" max="13325" width="8.85546875" style="869" bestFit="1" customWidth="1"/>
    <col min="13326" max="13326" width="9.42578125" style="869" customWidth="1"/>
    <col min="13327" max="13335" width="8.28515625" style="869" customWidth="1"/>
    <col min="13336" max="13336" width="8.140625" style="869" customWidth="1"/>
    <col min="13337" max="13337" width="10.42578125" style="869" customWidth="1"/>
    <col min="13338" max="13338" width="9.140625" style="869"/>
    <col min="13339" max="13339" width="19.42578125" style="869" customWidth="1"/>
    <col min="13340" max="13340" width="16.42578125" style="869" bestFit="1" customWidth="1"/>
    <col min="13341" max="13568" width="9.140625" style="869"/>
    <col min="13569" max="13569" width="7.42578125" style="869" customWidth="1"/>
    <col min="13570" max="13570" width="11.140625" style="869" customWidth="1"/>
    <col min="13571" max="13571" width="7" style="869" bestFit="1" customWidth="1"/>
    <col min="13572" max="13572" width="7.5703125" style="869" bestFit="1" customWidth="1"/>
    <col min="13573" max="13573" width="7.7109375" style="869" bestFit="1" customWidth="1"/>
    <col min="13574" max="13574" width="9.42578125" style="869" bestFit="1" customWidth="1"/>
    <col min="13575" max="13575" width="10" style="869" bestFit="1" customWidth="1"/>
    <col min="13576" max="13576" width="8.28515625" style="869" customWidth="1"/>
    <col min="13577" max="13577" width="7.140625" style="869" customWidth="1"/>
    <col min="13578" max="13578" width="10.7109375" style="869" customWidth="1"/>
    <col min="13579" max="13579" width="8.5703125" style="869" customWidth="1"/>
    <col min="13580" max="13581" width="8.85546875" style="869" bestFit="1" customWidth="1"/>
    <col min="13582" max="13582" width="9.42578125" style="869" customWidth="1"/>
    <col min="13583" max="13591" width="8.28515625" style="869" customWidth="1"/>
    <col min="13592" max="13592" width="8.140625" style="869" customWidth="1"/>
    <col min="13593" max="13593" width="10.42578125" style="869" customWidth="1"/>
    <col min="13594" max="13594" width="9.140625" style="869"/>
    <col min="13595" max="13595" width="19.42578125" style="869" customWidth="1"/>
    <col min="13596" max="13596" width="16.42578125" style="869" bestFit="1" customWidth="1"/>
    <col min="13597" max="13824" width="9.140625" style="869"/>
    <col min="13825" max="13825" width="7.42578125" style="869" customWidth="1"/>
    <col min="13826" max="13826" width="11.140625" style="869" customWidth="1"/>
    <col min="13827" max="13827" width="7" style="869" bestFit="1" customWidth="1"/>
    <col min="13828" max="13828" width="7.5703125" style="869" bestFit="1" customWidth="1"/>
    <col min="13829" max="13829" width="7.7109375" style="869" bestFit="1" customWidth="1"/>
    <col min="13830" max="13830" width="9.42578125" style="869" bestFit="1" customWidth="1"/>
    <col min="13831" max="13831" width="10" style="869" bestFit="1" customWidth="1"/>
    <col min="13832" max="13832" width="8.28515625" style="869" customWidth="1"/>
    <col min="13833" max="13833" width="7.140625" style="869" customWidth="1"/>
    <col min="13834" max="13834" width="10.7109375" style="869" customWidth="1"/>
    <col min="13835" max="13835" width="8.5703125" style="869" customWidth="1"/>
    <col min="13836" max="13837" width="8.85546875" style="869" bestFit="1" customWidth="1"/>
    <col min="13838" max="13838" width="9.42578125" style="869" customWidth="1"/>
    <col min="13839" max="13847" width="8.28515625" style="869" customWidth="1"/>
    <col min="13848" max="13848" width="8.140625" style="869" customWidth="1"/>
    <col min="13849" max="13849" width="10.42578125" style="869" customWidth="1"/>
    <col min="13850" max="13850" width="9.140625" style="869"/>
    <col min="13851" max="13851" width="19.42578125" style="869" customWidth="1"/>
    <col min="13852" max="13852" width="16.42578125" style="869" bestFit="1" customWidth="1"/>
    <col min="13853" max="14080" width="9.140625" style="869"/>
    <col min="14081" max="14081" width="7.42578125" style="869" customWidth="1"/>
    <col min="14082" max="14082" width="11.140625" style="869" customWidth="1"/>
    <col min="14083" max="14083" width="7" style="869" bestFit="1" customWidth="1"/>
    <col min="14084" max="14084" width="7.5703125" style="869" bestFit="1" customWidth="1"/>
    <col min="14085" max="14085" width="7.7109375" style="869" bestFit="1" customWidth="1"/>
    <col min="14086" max="14086" width="9.42578125" style="869" bestFit="1" customWidth="1"/>
    <col min="14087" max="14087" width="10" style="869" bestFit="1" customWidth="1"/>
    <col min="14088" max="14088" width="8.28515625" style="869" customWidth="1"/>
    <col min="14089" max="14089" width="7.140625" style="869" customWidth="1"/>
    <col min="14090" max="14090" width="10.7109375" style="869" customWidth="1"/>
    <col min="14091" max="14091" width="8.5703125" style="869" customWidth="1"/>
    <col min="14092" max="14093" width="8.85546875" style="869" bestFit="1" customWidth="1"/>
    <col min="14094" max="14094" width="9.42578125" style="869" customWidth="1"/>
    <col min="14095" max="14103" width="8.28515625" style="869" customWidth="1"/>
    <col min="14104" max="14104" width="8.140625" style="869" customWidth="1"/>
    <col min="14105" max="14105" width="10.42578125" style="869" customWidth="1"/>
    <col min="14106" max="14106" width="9.140625" style="869"/>
    <col min="14107" max="14107" width="19.42578125" style="869" customWidth="1"/>
    <col min="14108" max="14108" width="16.42578125" style="869" bestFit="1" customWidth="1"/>
    <col min="14109" max="14336" width="9.140625" style="869"/>
    <col min="14337" max="14337" width="7.42578125" style="869" customWidth="1"/>
    <col min="14338" max="14338" width="11.140625" style="869" customWidth="1"/>
    <col min="14339" max="14339" width="7" style="869" bestFit="1" customWidth="1"/>
    <col min="14340" max="14340" width="7.5703125" style="869" bestFit="1" customWidth="1"/>
    <col min="14341" max="14341" width="7.7109375" style="869" bestFit="1" customWidth="1"/>
    <col min="14342" max="14342" width="9.42578125" style="869" bestFit="1" customWidth="1"/>
    <col min="14343" max="14343" width="10" style="869" bestFit="1" customWidth="1"/>
    <col min="14344" max="14344" width="8.28515625" style="869" customWidth="1"/>
    <col min="14345" max="14345" width="7.140625" style="869" customWidth="1"/>
    <col min="14346" max="14346" width="10.7109375" style="869" customWidth="1"/>
    <col min="14347" max="14347" width="8.5703125" style="869" customWidth="1"/>
    <col min="14348" max="14349" width="8.85546875" style="869" bestFit="1" customWidth="1"/>
    <col min="14350" max="14350" width="9.42578125" style="869" customWidth="1"/>
    <col min="14351" max="14359" width="8.28515625" style="869" customWidth="1"/>
    <col min="14360" max="14360" width="8.140625" style="869" customWidth="1"/>
    <col min="14361" max="14361" width="10.42578125" style="869" customWidth="1"/>
    <col min="14362" max="14362" width="9.140625" style="869"/>
    <col min="14363" max="14363" width="19.42578125" style="869" customWidth="1"/>
    <col min="14364" max="14364" width="16.42578125" style="869" bestFit="1" customWidth="1"/>
    <col min="14365" max="14592" width="9.140625" style="869"/>
    <col min="14593" max="14593" width="7.42578125" style="869" customWidth="1"/>
    <col min="14594" max="14594" width="11.140625" style="869" customWidth="1"/>
    <col min="14595" max="14595" width="7" style="869" bestFit="1" customWidth="1"/>
    <col min="14596" max="14596" width="7.5703125" style="869" bestFit="1" customWidth="1"/>
    <col min="14597" max="14597" width="7.7109375" style="869" bestFit="1" customWidth="1"/>
    <col min="14598" max="14598" width="9.42578125" style="869" bestFit="1" customWidth="1"/>
    <col min="14599" max="14599" width="10" style="869" bestFit="1" customWidth="1"/>
    <col min="14600" max="14600" width="8.28515625" style="869" customWidth="1"/>
    <col min="14601" max="14601" width="7.140625" style="869" customWidth="1"/>
    <col min="14602" max="14602" width="10.7109375" style="869" customWidth="1"/>
    <col min="14603" max="14603" width="8.5703125" style="869" customWidth="1"/>
    <col min="14604" max="14605" width="8.85546875" style="869" bestFit="1" customWidth="1"/>
    <col min="14606" max="14606" width="9.42578125" style="869" customWidth="1"/>
    <col min="14607" max="14615" width="8.28515625" style="869" customWidth="1"/>
    <col min="14616" max="14616" width="8.140625" style="869" customWidth="1"/>
    <col min="14617" max="14617" width="10.42578125" style="869" customWidth="1"/>
    <col min="14618" max="14618" width="9.140625" style="869"/>
    <col min="14619" max="14619" width="19.42578125" style="869" customWidth="1"/>
    <col min="14620" max="14620" width="16.42578125" style="869" bestFit="1" customWidth="1"/>
    <col min="14621" max="14848" width="9.140625" style="869"/>
    <col min="14849" max="14849" width="7.42578125" style="869" customWidth="1"/>
    <col min="14850" max="14850" width="11.140625" style="869" customWidth="1"/>
    <col min="14851" max="14851" width="7" style="869" bestFit="1" customWidth="1"/>
    <col min="14852" max="14852" width="7.5703125" style="869" bestFit="1" customWidth="1"/>
    <col min="14853" max="14853" width="7.7109375" style="869" bestFit="1" customWidth="1"/>
    <col min="14854" max="14854" width="9.42578125" style="869" bestFit="1" customWidth="1"/>
    <col min="14855" max="14855" width="10" style="869" bestFit="1" customWidth="1"/>
    <col min="14856" max="14856" width="8.28515625" style="869" customWidth="1"/>
    <col min="14857" max="14857" width="7.140625" style="869" customWidth="1"/>
    <col min="14858" max="14858" width="10.7109375" style="869" customWidth="1"/>
    <col min="14859" max="14859" width="8.5703125" style="869" customWidth="1"/>
    <col min="14860" max="14861" width="8.85546875" style="869" bestFit="1" customWidth="1"/>
    <col min="14862" max="14862" width="9.42578125" style="869" customWidth="1"/>
    <col min="14863" max="14871" width="8.28515625" style="869" customWidth="1"/>
    <col min="14872" max="14872" width="8.140625" style="869" customWidth="1"/>
    <col min="14873" max="14873" width="10.42578125" style="869" customWidth="1"/>
    <col min="14874" max="14874" width="9.140625" style="869"/>
    <col min="14875" max="14875" width="19.42578125" style="869" customWidth="1"/>
    <col min="14876" max="14876" width="16.42578125" style="869" bestFit="1" customWidth="1"/>
    <col min="14877" max="15104" width="9.140625" style="869"/>
    <col min="15105" max="15105" width="7.42578125" style="869" customWidth="1"/>
    <col min="15106" max="15106" width="11.140625" style="869" customWidth="1"/>
    <col min="15107" max="15107" width="7" style="869" bestFit="1" customWidth="1"/>
    <col min="15108" max="15108" width="7.5703125" style="869" bestFit="1" customWidth="1"/>
    <col min="15109" max="15109" width="7.7109375" style="869" bestFit="1" customWidth="1"/>
    <col min="15110" max="15110" width="9.42578125" style="869" bestFit="1" customWidth="1"/>
    <col min="15111" max="15111" width="10" style="869" bestFit="1" customWidth="1"/>
    <col min="15112" max="15112" width="8.28515625" style="869" customWidth="1"/>
    <col min="15113" max="15113" width="7.140625" style="869" customWidth="1"/>
    <col min="15114" max="15114" width="10.7109375" style="869" customWidth="1"/>
    <col min="15115" max="15115" width="8.5703125" style="869" customWidth="1"/>
    <col min="15116" max="15117" width="8.85546875" style="869" bestFit="1" customWidth="1"/>
    <col min="15118" max="15118" width="9.42578125" style="869" customWidth="1"/>
    <col min="15119" max="15127" width="8.28515625" style="869" customWidth="1"/>
    <col min="15128" max="15128" width="8.140625" style="869" customWidth="1"/>
    <col min="15129" max="15129" width="10.42578125" style="869" customWidth="1"/>
    <col min="15130" max="15130" width="9.140625" style="869"/>
    <col min="15131" max="15131" width="19.42578125" style="869" customWidth="1"/>
    <col min="15132" max="15132" width="16.42578125" style="869" bestFit="1" customWidth="1"/>
    <col min="15133" max="15360" width="9.140625" style="869"/>
    <col min="15361" max="15361" width="7.42578125" style="869" customWidth="1"/>
    <col min="15362" max="15362" width="11.140625" style="869" customWidth="1"/>
    <col min="15363" max="15363" width="7" style="869" bestFit="1" customWidth="1"/>
    <col min="15364" max="15364" width="7.5703125" style="869" bestFit="1" customWidth="1"/>
    <col min="15365" max="15365" width="7.7109375" style="869" bestFit="1" customWidth="1"/>
    <col min="15366" max="15366" width="9.42578125" style="869" bestFit="1" customWidth="1"/>
    <col min="15367" max="15367" width="10" style="869" bestFit="1" customWidth="1"/>
    <col min="15368" max="15368" width="8.28515625" style="869" customWidth="1"/>
    <col min="15369" max="15369" width="7.140625" style="869" customWidth="1"/>
    <col min="15370" max="15370" width="10.7109375" style="869" customWidth="1"/>
    <col min="15371" max="15371" width="8.5703125" style="869" customWidth="1"/>
    <col min="15372" max="15373" width="8.85546875" style="869" bestFit="1" customWidth="1"/>
    <col min="15374" max="15374" width="9.42578125" style="869" customWidth="1"/>
    <col min="15375" max="15383" width="8.28515625" style="869" customWidth="1"/>
    <col min="15384" max="15384" width="8.140625" style="869" customWidth="1"/>
    <col min="15385" max="15385" width="10.42578125" style="869" customWidth="1"/>
    <col min="15386" max="15386" width="9.140625" style="869"/>
    <col min="15387" max="15387" width="19.42578125" style="869" customWidth="1"/>
    <col min="15388" max="15388" width="16.42578125" style="869" bestFit="1" customWidth="1"/>
    <col min="15389" max="15616" width="9.140625" style="869"/>
    <col min="15617" max="15617" width="7.42578125" style="869" customWidth="1"/>
    <col min="15618" max="15618" width="11.140625" style="869" customWidth="1"/>
    <col min="15619" max="15619" width="7" style="869" bestFit="1" customWidth="1"/>
    <col min="15620" max="15620" width="7.5703125" style="869" bestFit="1" customWidth="1"/>
    <col min="15621" max="15621" width="7.7109375" style="869" bestFit="1" customWidth="1"/>
    <col min="15622" max="15622" width="9.42578125" style="869" bestFit="1" customWidth="1"/>
    <col min="15623" max="15623" width="10" style="869" bestFit="1" customWidth="1"/>
    <col min="15624" max="15624" width="8.28515625" style="869" customWidth="1"/>
    <col min="15625" max="15625" width="7.140625" style="869" customWidth="1"/>
    <col min="15626" max="15626" width="10.7109375" style="869" customWidth="1"/>
    <col min="15627" max="15627" width="8.5703125" style="869" customWidth="1"/>
    <col min="15628" max="15629" width="8.85546875" style="869" bestFit="1" customWidth="1"/>
    <col min="15630" max="15630" width="9.42578125" style="869" customWidth="1"/>
    <col min="15631" max="15639" width="8.28515625" style="869" customWidth="1"/>
    <col min="15640" max="15640" width="8.140625" style="869" customWidth="1"/>
    <col min="15641" max="15641" width="10.42578125" style="869" customWidth="1"/>
    <col min="15642" max="15642" width="9.140625" style="869"/>
    <col min="15643" max="15643" width="19.42578125" style="869" customWidth="1"/>
    <col min="15644" max="15644" width="16.42578125" style="869" bestFit="1" customWidth="1"/>
    <col min="15645" max="15872" width="9.140625" style="869"/>
    <col min="15873" max="15873" width="7.42578125" style="869" customWidth="1"/>
    <col min="15874" max="15874" width="11.140625" style="869" customWidth="1"/>
    <col min="15875" max="15875" width="7" style="869" bestFit="1" customWidth="1"/>
    <col min="15876" max="15876" width="7.5703125" style="869" bestFit="1" customWidth="1"/>
    <col min="15877" max="15877" width="7.7109375" style="869" bestFit="1" customWidth="1"/>
    <col min="15878" max="15878" width="9.42578125" style="869" bestFit="1" customWidth="1"/>
    <col min="15879" max="15879" width="10" style="869" bestFit="1" customWidth="1"/>
    <col min="15880" max="15880" width="8.28515625" style="869" customWidth="1"/>
    <col min="15881" max="15881" width="7.140625" style="869" customWidth="1"/>
    <col min="15882" max="15882" width="10.7109375" style="869" customWidth="1"/>
    <col min="15883" max="15883" width="8.5703125" style="869" customWidth="1"/>
    <col min="15884" max="15885" width="8.85546875" style="869" bestFit="1" customWidth="1"/>
    <col min="15886" max="15886" width="9.42578125" style="869" customWidth="1"/>
    <col min="15887" max="15895" width="8.28515625" style="869" customWidth="1"/>
    <col min="15896" max="15896" width="8.140625" style="869" customWidth="1"/>
    <col min="15897" max="15897" width="10.42578125" style="869" customWidth="1"/>
    <col min="15898" max="15898" width="9.140625" style="869"/>
    <col min="15899" max="15899" width="19.42578125" style="869" customWidth="1"/>
    <col min="15900" max="15900" width="16.42578125" style="869" bestFit="1" customWidth="1"/>
    <col min="15901" max="16128" width="9.140625" style="869"/>
    <col min="16129" max="16129" width="7.42578125" style="869" customWidth="1"/>
    <col min="16130" max="16130" width="11.140625" style="869" customWidth="1"/>
    <col min="16131" max="16131" width="7" style="869" bestFit="1" customWidth="1"/>
    <col min="16132" max="16132" width="7.5703125" style="869" bestFit="1" customWidth="1"/>
    <col min="16133" max="16133" width="7.7109375" style="869" bestFit="1" customWidth="1"/>
    <col min="16134" max="16134" width="9.42578125" style="869" bestFit="1" customWidth="1"/>
    <col min="16135" max="16135" width="10" style="869" bestFit="1" customWidth="1"/>
    <col min="16136" max="16136" width="8.28515625" style="869" customWidth="1"/>
    <col min="16137" max="16137" width="7.140625" style="869" customWidth="1"/>
    <col min="16138" max="16138" width="10.7109375" style="869" customWidth="1"/>
    <col min="16139" max="16139" width="8.5703125" style="869" customWidth="1"/>
    <col min="16140" max="16141" width="8.85546875" style="869" bestFit="1" customWidth="1"/>
    <col min="16142" max="16142" width="9.42578125" style="869" customWidth="1"/>
    <col min="16143" max="16151" width="8.28515625" style="869" customWidth="1"/>
    <col min="16152" max="16152" width="8.140625" style="869" customWidth="1"/>
    <col min="16153" max="16153" width="10.42578125" style="869" customWidth="1"/>
    <col min="16154" max="16154" width="9.140625" style="869"/>
    <col min="16155" max="16155" width="19.42578125" style="869" customWidth="1"/>
    <col min="16156" max="16156" width="16.42578125" style="869" bestFit="1" customWidth="1"/>
    <col min="16157" max="16384" width="9.140625" style="869"/>
  </cols>
  <sheetData>
    <row r="2" spans="1:29" ht="43.5" customHeight="1" thickBot="1" x14ac:dyDescent="0.3">
      <c r="A2" s="861" t="s">
        <v>612</v>
      </c>
      <c r="B2" s="862"/>
      <c r="C2" s="863"/>
      <c r="D2" s="864"/>
      <c r="E2" s="863"/>
      <c r="F2" s="863"/>
      <c r="G2" s="863"/>
      <c r="H2" s="865"/>
      <c r="I2" s="865"/>
      <c r="J2" s="865"/>
      <c r="K2" s="865"/>
      <c r="L2" s="863"/>
      <c r="M2" s="863"/>
      <c r="N2" s="866"/>
      <c r="O2" s="863"/>
      <c r="P2" s="863"/>
      <c r="Q2" s="863"/>
      <c r="R2" s="863"/>
      <c r="S2" s="867"/>
      <c r="T2" s="863"/>
      <c r="U2" s="863"/>
      <c r="V2" s="863"/>
      <c r="W2" s="863"/>
      <c r="X2" s="865"/>
      <c r="Y2" s="868" t="s">
        <v>73</v>
      </c>
      <c r="Z2" s="863"/>
    </row>
    <row r="3" spans="1:29" ht="30.75" customHeight="1" thickTop="1" thickBot="1" x14ac:dyDescent="0.25">
      <c r="A3" s="870" t="s">
        <v>613</v>
      </c>
      <c r="B3" s="3228" t="s">
        <v>614</v>
      </c>
      <c r="C3" s="3229"/>
      <c r="D3" s="3229"/>
      <c r="E3" s="3229"/>
      <c r="F3" s="3229"/>
      <c r="G3" s="3229"/>
      <c r="H3" s="3229"/>
      <c r="I3" s="3229"/>
      <c r="J3" s="871"/>
      <c r="K3" s="3230" t="s">
        <v>615</v>
      </c>
      <c r="L3" s="3231"/>
      <c r="M3" s="3231"/>
      <c r="N3" s="3231"/>
      <c r="O3" s="3231"/>
      <c r="P3" s="3231"/>
      <c r="Q3" s="3231"/>
      <c r="R3" s="3231"/>
      <c r="S3" s="3231"/>
      <c r="T3" s="3231"/>
      <c r="U3" s="3231"/>
      <c r="V3" s="3231"/>
      <c r="W3" s="3231"/>
      <c r="X3" s="871"/>
      <c r="Y3" s="872" t="s">
        <v>246</v>
      </c>
      <c r="Z3" s="863"/>
    </row>
    <row r="4" spans="1:29" ht="28.5" customHeight="1" x14ac:dyDescent="0.2">
      <c r="A4" s="873" t="s">
        <v>193</v>
      </c>
      <c r="B4" s="874" t="s">
        <v>616</v>
      </c>
      <c r="C4" s="875"/>
      <c r="D4" s="875"/>
      <c r="E4" s="876"/>
      <c r="F4" s="875"/>
      <c r="G4" s="875"/>
      <c r="H4" s="875"/>
      <c r="I4" s="877"/>
      <c r="J4" s="878"/>
      <c r="K4" s="875" t="s">
        <v>617</v>
      </c>
      <c r="L4" s="879" t="s">
        <v>618</v>
      </c>
      <c r="M4" s="879"/>
      <c r="N4" s="879"/>
      <c r="O4" s="879"/>
      <c r="P4" s="879"/>
      <c r="Q4" s="879"/>
      <c r="R4" s="879"/>
      <c r="S4" s="879"/>
      <c r="T4" s="879"/>
      <c r="U4" s="879"/>
      <c r="V4" s="879"/>
      <c r="W4" s="879"/>
      <c r="X4" s="877"/>
      <c r="Y4" s="880" t="s">
        <v>619</v>
      </c>
      <c r="Z4" s="863"/>
    </row>
    <row r="5" spans="1:29" ht="28.5" customHeight="1" x14ac:dyDescent="0.2">
      <c r="A5" s="873" t="s">
        <v>620</v>
      </c>
      <c r="B5" s="881" t="s">
        <v>256</v>
      </c>
      <c r="C5" s="881" t="s">
        <v>621</v>
      </c>
      <c r="D5" s="881" t="s">
        <v>622</v>
      </c>
      <c r="E5" s="882" t="s">
        <v>623</v>
      </c>
      <c r="F5" s="881" t="s">
        <v>624</v>
      </c>
      <c r="G5" s="881" t="s">
        <v>625</v>
      </c>
      <c r="H5" s="881" t="s">
        <v>626</v>
      </c>
      <c r="I5" s="883" t="s">
        <v>627</v>
      </c>
      <c r="J5" s="884" t="s">
        <v>197</v>
      </c>
      <c r="K5" s="881" t="s">
        <v>628</v>
      </c>
      <c r="L5" s="885" t="s">
        <v>629</v>
      </c>
      <c r="M5" s="885" t="s">
        <v>630</v>
      </c>
      <c r="N5" s="885" t="s">
        <v>631</v>
      </c>
      <c r="O5" s="885" t="s">
        <v>632</v>
      </c>
      <c r="P5" s="885" t="s">
        <v>633</v>
      </c>
      <c r="Q5" s="885" t="s">
        <v>634</v>
      </c>
      <c r="R5" s="885" t="s">
        <v>635</v>
      </c>
      <c r="S5" s="885" t="s">
        <v>636</v>
      </c>
      <c r="T5" s="885" t="s">
        <v>637</v>
      </c>
      <c r="U5" s="885" t="s">
        <v>638</v>
      </c>
      <c r="V5" s="885" t="s">
        <v>639</v>
      </c>
      <c r="W5" s="885" t="s">
        <v>640</v>
      </c>
      <c r="X5" s="883" t="s">
        <v>197</v>
      </c>
      <c r="Y5" s="880" t="s">
        <v>641</v>
      </c>
      <c r="Z5" s="863"/>
    </row>
    <row r="6" spans="1:29" ht="28.5" customHeight="1" thickBot="1" x14ac:dyDescent="0.25">
      <c r="A6" s="886"/>
      <c r="B6" s="887" t="s">
        <v>642</v>
      </c>
      <c r="C6" s="887"/>
      <c r="D6" s="887"/>
      <c r="E6" s="888"/>
      <c r="F6" s="887"/>
      <c r="G6" s="887"/>
      <c r="H6" s="887"/>
      <c r="I6" s="889"/>
      <c r="J6" s="890"/>
      <c r="K6" s="887" t="s">
        <v>232</v>
      </c>
      <c r="L6" s="891" t="s">
        <v>232</v>
      </c>
      <c r="M6" s="891"/>
      <c r="N6" s="891"/>
      <c r="O6" s="891"/>
      <c r="P6" s="891"/>
      <c r="Q6" s="891"/>
      <c r="R6" s="891"/>
      <c r="S6" s="891"/>
      <c r="T6" s="891" t="s">
        <v>643</v>
      </c>
      <c r="U6" s="891"/>
      <c r="V6" s="891"/>
      <c r="W6" s="891"/>
      <c r="X6" s="889"/>
      <c r="Y6" s="892" t="s">
        <v>615</v>
      </c>
      <c r="Z6" s="863"/>
    </row>
    <row r="7" spans="1:29" ht="3.75" hidden="1" customHeight="1" thickTop="1" x14ac:dyDescent="0.2">
      <c r="A7" s="893"/>
      <c r="B7" s="894"/>
      <c r="C7" s="895"/>
      <c r="D7" s="895"/>
      <c r="E7" s="896"/>
      <c r="F7" s="895"/>
      <c r="G7" s="895"/>
      <c r="H7" s="895"/>
      <c r="I7" s="897"/>
      <c r="J7" s="898"/>
      <c r="K7" s="894"/>
      <c r="L7" s="899"/>
      <c r="M7" s="899"/>
      <c r="N7" s="900"/>
      <c r="O7" s="900"/>
      <c r="P7" s="899"/>
      <c r="Q7" s="899"/>
      <c r="R7" s="899"/>
      <c r="S7" s="899"/>
      <c r="T7" s="899"/>
      <c r="U7" s="899"/>
      <c r="V7" s="901"/>
      <c r="W7" s="901"/>
      <c r="X7" s="902"/>
      <c r="Y7" s="903"/>
      <c r="Z7" s="863"/>
    </row>
    <row r="8" spans="1:29" ht="28.5" hidden="1" customHeight="1" x14ac:dyDescent="0.2">
      <c r="A8" s="904">
        <v>35947</v>
      </c>
      <c r="B8" s="905">
        <v>21.8</v>
      </c>
      <c r="C8" s="906">
        <v>0</v>
      </c>
      <c r="D8" s="906">
        <v>179.5</v>
      </c>
      <c r="E8" s="906">
        <v>846</v>
      </c>
      <c r="F8" s="906">
        <v>860.5</v>
      </c>
      <c r="G8" s="906">
        <v>1426.8</v>
      </c>
      <c r="H8" s="906">
        <v>2330.3000000000002</v>
      </c>
      <c r="I8" s="907">
        <v>0</v>
      </c>
      <c r="J8" s="908">
        <v>5835.4929099999999</v>
      </c>
      <c r="K8" s="905">
        <v>6.6</v>
      </c>
      <c r="L8" s="906">
        <v>11.7</v>
      </c>
      <c r="M8" s="906"/>
      <c r="N8" s="909">
        <v>17.8</v>
      </c>
      <c r="O8" s="909">
        <v>53.5</v>
      </c>
      <c r="P8" s="906">
        <v>66.3</v>
      </c>
      <c r="Q8" s="906">
        <v>15.1</v>
      </c>
      <c r="R8" s="906">
        <v>6.5</v>
      </c>
      <c r="S8" s="906">
        <v>15.7</v>
      </c>
      <c r="T8" s="906">
        <v>2.5</v>
      </c>
      <c r="U8" s="906">
        <v>3.7</v>
      </c>
      <c r="V8" s="906">
        <v>0.3</v>
      </c>
      <c r="W8" s="906">
        <v>0.2</v>
      </c>
      <c r="X8" s="910">
        <v>199.9</v>
      </c>
      <c r="Y8" s="911">
        <v>6035.3929099999996</v>
      </c>
      <c r="Z8" s="912"/>
    </row>
    <row r="9" spans="1:29" ht="28.5" hidden="1" customHeight="1" x14ac:dyDescent="0.2">
      <c r="A9" s="904">
        <v>36039</v>
      </c>
      <c r="B9" s="905">
        <v>21.7</v>
      </c>
      <c r="C9" s="906">
        <v>0</v>
      </c>
      <c r="D9" s="906">
        <v>184.7</v>
      </c>
      <c r="E9" s="906">
        <v>877.3</v>
      </c>
      <c r="F9" s="906">
        <v>933</v>
      </c>
      <c r="G9" s="906">
        <v>1518.8</v>
      </c>
      <c r="H9" s="906">
        <v>2356.9</v>
      </c>
      <c r="I9" s="907">
        <v>0</v>
      </c>
      <c r="J9" s="908">
        <v>6056.2</v>
      </c>
      <c r="K9" s="905">
        <v>6.6</v>
      </c>
      <c r="L9" s="906">
        <v>11.7</v>
      </c>
      <c r="M9" s="906"/>
      <c r="N9" s="909">
        <v>26.9</v>
      </c>
      <c r="O9" s="909">
        <v>55.2</v>
      </c>
      <c r="P9" s="906">
        <v>66.8</v>
      </c>
      <c r="Q9" s="906">
        <v>15.5</v>
      </c>
      <c r="R9" s="906">
        <v>6.4</v>
      </c>
      <c r="S9" s="906">
        <v>16.100000000000001</v>
      </c>
      <c r="T9" s="906">
        <v>2.5</v>
      </c>
      <c r="U9" s="906">
        <v>3.8</v>
      </c>
      <c r="V9" s="906">
        <v>0.3</v>
      </c>
      <c r="W9" s="906">
        <v>0.2</v>
      </c>
      <c r="X9" s="910">
        <v>212.1</v>
      </c>
      <c r="Y9" s="911">
        <v>6268.3</v>
      </c>
      <c r="Z9" s="863"/>
    </row>
    <row r="10" spans="1:29" ht="28.5" hidden="1" customHeight="1" x14ac:dyDescent="0.2">
      <c r="A10" s="904">
        <v>36130</v>
      </c>
      <c r="B10" s="905">
        <v>21.6</v>
      </c>
      <c r="C10" s="906">
        <v>21.6</v>
      </c>
      <c r="D10" s="906">
        <v>208.5</v>
      </c>
      <c r="E10" s="906">
        <v>1063.0999999999999</v>
      </c>
      <c r="F10" s="906">
        <v>1173.4000000000001</v>
      </c>
      <c r="G10" s="906">
        <v>1841.1</v>
      </c>
      <c r="H10" s="906">
        <v>3145.8</v>
      </c>
      <c r="I10" s="907">
        <v>196.1</v>
      </c>
      <c r="J10" s="908">
        <v>7814.4</v>
      </c>
      <c r="K10" s="905">
        <v>6.6</v>
      </c>
      <c r="L10" s="906">
        <v>11.8</v>
      </c>
      <c r="M10" s="906"/>
      <c r="N10" s="909">
        <v>51.8</v>
      </c>
      <c r="O10" s="909">
        <v>58.9</v>
      </c>
      <c r="P10" s="906">
        <v>69.3</v>
      </c>
      <c r="Q10" s="906">
        <v>15.9</v>
      </c>
      <c r="R10" s="906">
        <v>6.4</v>
      </c>
      <c r="S10" s="906">
        <v>16.600000000000001</v>
      </c>
      <c r="T10" s="906">
        <v>2.5</v>
      </c>
      <c r="U10" s="906">
        <v>3.9</v>
      </c>
      <c r="V10" s="906">
        <v>0.3</v>
      </c>
      <c r="W10" s="906">
        <v>0.2</v>
      </c>
      <c r="X10" s="910">
        <v>244.3</v>
      </c>
      <c r="Y10" s="911">
        <v>8058.7</v>
      </c>
      <c r="Z10" s="912"/>
    </row>
    <row r="11" spans="1:29" ht="28.5" hidden="1" customHeight="1" x14ac:dyDescent="0.2">
      <c r="A11" s="904">
        <v>36220</v>
      </c>
      <c r="B11" s="905">
        <v>21.6</v>
      </c>
      <c r="C11" s="906">
        <v>23.5</v>
      </c>
      <c r="D11" s="906">
        <v>185</v>
      </c>
      <c r="E11" s="906">
        <v>906.5</v>
      </c>
      <c r="F11" s="906">
        <v>1022.4</v>
      </c>
      <c r="G11" s="906">
        <v>1441.8</v>
      </c>
      <c r="H11" s="906">
        <v>2565.5</v>
      </c>
      <c r="I11" s="907">
        <v>213.9</v>
      </c>
      <c r="J11" s="908">
        <v>6498.1</v>
      </c>
      <c r="K11" s="905">
        <v>6.7</v>
      </c>
      <c r="L11" s="906">
        <v>12</v>
      </c>
      <c r="M11" s="906"/>
      <c r="N11" s="909">
        <v>64.599999999999994</v>
      </c>
      <c r="O11" s="909">
        <v>55.3</v>
      </c>
      <c r="P11" s="906">
        <v>68.8</v>
      </c>
      <c r="Q11" s="906">
        <v>16.100000000000001</v>
      </c>
      <c r="R11" s="906">
        <v>6.4</v>
      </c>
      <c r="S11" s="906">
        <v>16.899999999999999</v>
      </c>
      <c r="T11" s="906">
        <v>2.4</v>
      </c>
      <c r="U11" s="906">
        <v>3.9</v>
      </c>
      <c r="V11" s="906">
        <v>0.3</v>
      </c>
      <c r="W11" s="906">
        <v>0.2</v>
      </c>
      <c r="X11" s="910">
        <v>253.6</v>
      </c>
      <c r="Y11" s="911">
        <v>6751.7</v>
      </c>
      <c r="Z11" s="912"/>
    </row>
    <row r="12" spans="1:29" ht="28.5" hidden="1" customHeight="1" x14ac:dyDescent="0.2">
      <c r="A12" s="904">
        <v>39448</v>
      </c>
      <c r="B12" s="905">
        <v>228.1</v>
      </c>
      <c r="C12" s="906">
        <v>166.9</v>
      </c>
      <c r="D12" s="906">
        <v>231.3</v>
      </c>
      <c r="E12" s="906">
        <v>923.4</v>
      </c>
      <c r="F12" s="906">
        <v>1294.4000000000001</v>
      </c>
      <c r="G12" s="906">
        <v>2078.1999999999998</v>
      </c>
      <c r="H12" s="906">
        <v>9790</v>
      </c>
      <c r="I12" s="907">
        <v>724.3</v>
      </c>
      <c r="J12" s="908">
        <v>15436.616595</v>
      </c>
      <c r="K12" s="905">
        <v>7</v>
      </c>
      <c r="L12" s="906">
        <v>12.8</v>
      </c>
      <c r="M12" s="906">
        <v>4.0999999999999996</v>
      </c>
      <c r="N12" s="909">
        <v>203.6</v>
      </c>
      <c r="O12" s="909">
        <v>86.2</v>
      </c>
      <c r="P12" s="906">
        <v>103.3</v>
      </c>
      <c r="Q12" s="906">
        <v>24.5</v>
      </c>
      <c r="R12" s="906">
        <v>6.4</v>
      </c>
      <c r="S12" s="906">
        <v>31</v>
      </c>
      <c r="T12" s="906">
        <v>2.4</v>
      </c>
      <c r="U12" s="906">
        <v>7.1</v>
      </c>
      <c r="V12" s="906">
        <v>0.3</v>
      </c>
      <c r="W12" s="906">
        <v>0.2</v>
      </c>
      <c r="X12" s="910">
        <v>488.9</v>
      </c>
      <c r="Y12" s="911">
        <v>15925.516594999999</v>
      </c>
      <c r="Z12" s="912"/>
      <c r="AA12" s="913"/>
      <c r="AB12" s="913"/>
      <c r="AC12" s="913"/>
    </row>
    <row r="13" spans="1:29" ht="28.5" hidden="1" customHeight="1" x14ac:dyDescent="0.2">
      <c r="A13" s="904">
        <v>39479</v>
      </c>
      <c r="B13" s="905">
        <v>228.09999999999854</v>
      </c>
      <c r="C13" s="906">
        <v>162.30000000000001</v>
      </c>
      <c r="D13" s="906">
        <v>225.4</v>
      </c>
      <c r="E13" s="906">
        <v>913.2</v>
      </c>
      <c r="F13" s="906">
        <v>1229.7</v>
      </c>
      <c r="G13" s="906">
        <v>1964.2</v>
      </c>
      <c r="H13" s="906">
        <v>9538.1</v>
      </c>
      <c r="I13" s="907">
        <v>703.6</v>
      </c>
      <c r="J13" s="908">
        <v>14964.575835</v>
      </c>
      <c r="K13" s="905">
        <v>7</v>
      </c>
      <c r="L13" s="906">
        <v>12.8</v>
      </c>
      <c r="M13" s="906">
        <v>8.8000000000000007</v>
      </c>
      <c r="N13" s="909">
        <v>203.4</v>
      </c>
      <c r="O13" s="909">
        <v>86.3</v>
      </c>
      <c r="P13" s="906">
        <v>104</v>
      </c>
      <c r="Q13" s="906">
        <v>24.6</v>
      </c>
      <c r="R13" s="906">
        <v>6.4</v>
      </c>
      <c r="S13" s="906">
        <v>31.1</v>
      </c>
      <c r="T13" s="906">
        <v>2.4</v>
      </c>
      <c r="U13" s="906">
        <v>7.2</v>
      </c>
      <c r="V13" s="906">
        <v>0.3</v>
      </c>
      <c r="W13" s="906">
        <v>0.2</v>
      </c>
      <c r="X13" s="910">
        <v>494.5</v>
      </c>
      <c r="Y13" s="911">
        <v>15458.975834999999</v>
      </c>
      <c r="Z13" s="912"/>
      <c r="AA13" s="913"/>
      <c r="AB13" s="913"/>
      <c r="AC13" s="913"/>
    </row>
    <row r="14" spans="1:29" ht="28.5" hidden="1" customHeight="1" x14ac:dyDescent="0.2">
      <c r="A14" s="904">
        <v>39508</v>
      </c>
      <c r="B14" s="905">
        <v>228</v>
      </c>
      <c r="C14" s="906">
        <v>155.6</v>
      </c>
      <c r="D14" s="906">
        <v>224.1</v>
      </c>
      <c r="E14" s="906">
        <v>885.2</v>
      </c>
      <c r="F14" s="906">
        <v>1220.4000000000001</v>
      </c>
      <c r="G14" s="906">
        <v>1878.9</v>
      </c>
      <c r="H14" s="906">
        <v>9399.7999999999993</v>
      </c>
      <c r="I14" s="907">
        <v>693.3</v>
      </c>
      <c r="J14" s="908">
        <v>14685.322885</v>
      </c>
      <c r="K14" s="905">
        <v>7</v>
      </c>
      <c r="L14" s="906">
        <v>12.8</v>
      </c>
      <c r="M14" s="906">
        <v>13.47024</v>
      </c>
      <c r="N14" s="909">
        <v>203.34013999999999</v>
      </c>
      <c r="O14" s="909">
        <v>86.178015000000002</v>
      </c>
      <c r="P14" s="906">
        <v>104.259045</v>
      </c>
      <c r="Q14" s="906">
        <v>24.6116755</v>
      </c>
      <c r="R14" s="906">
        <v>6.3554042500000003</v>
      </c>
      <c r="S14" s="906">
        <v>31.303156600000001</v>
      </c>
      <c r="T14" s="906">
        <v>2.4</v>
      </c>
      <c r="U14" s="906">
        <v>7.2</v>
      </c>
      <c r="V14" s="906">
        <v>0.3</v>
      </c>
      <c r="W14" s="906">
        <v>0.2</v>
      </c>
      <c r="X14" s="910">
        <v>499.51767634999999</v>
      </c>
      <c r="Y14" s="911">
        <v>15184.84056135</v>
      </c>
      <c r="Z14" s="912"/>
      <c r="AA14" s="913"/>
      <c r="AB14" s="913"/>
      <c r="AC14" s="913"/>
    </row>
    <row r="15" spans="1:29" ht="28.5" hidden="1" customHeight="1" x14ac:dyDescent="0.2">
      <c r="A15" s="904">
        <v>39539</v>
      </c>
      <c r="B15" s="905">
        <v>228</v>
      </c>
      <c r="C15" s="906">
        <v>150.5</v>
      </c>
      <c r="D15" s="906">
        <v>224.1</v>
      </c>
      <c r="E15" s="906">
        <v>899.9</v>
      </c>
      <c r="F15" s="906">
        <v>1213.2</v>
      </c>
      <c r="G15" s="906">
        <v>1911.1</v>
      </c>
      <c r="H15" s="906">
        <v>9330.1</v>
      </c>
      <c r="I15" s="907">
        <v>733.2</v>
      </c>
      <c r="J15" s="908">
        <v>14690.1</v>
      </c>
      <c r="K15" s="905">
        <v>7</v>
      </c>
      <c r="L15" s="906">
        <v>12.8</v>
      </c>
      <c r="M15" s="906">
        <v>21</v>
      </c>
      <c r="N15" s="909">
        <v>201.7</v>
      </c>
      <c r="O15" s="909">
        <v>85.9</v>
      </c>
      <c r="P15" s="906">
        <v>104.7</v>
      </c>
      <c r="Q15" s="906">
        <v>24.6</v>
      </c>
      <c r="R15" s="906">
        <v>6.4</v>
      </c>
      <c r="S15" s="906">
        <v>31.3</v>
      </c>
      <c r="T15" s="906">
        <v>2.4</v>
      </c>
      <c r="U15" s="906">
        <v>7.3</v>
      </c>
      <c r="V15" s="906">
        <v>0.3</v>
      </c>
      <c r="W15" s="906">
        <v>0.2</v>
      </c>
      <c r="X15" s="910">
        <v>505.6</v>
      </c>
      <c r="Y15" s="911">
        <v>15195.7</v>
      </c>
      <c r="Z15" s="912"/>
      <c r="AA15" s="913"/>
      <c r="AB15" s="913"/>
      <c r="AC15" s="913"/>
    </row>
    <row r="16" spans="1:29" ht="28.5" hidden="1" customHeight="1" x14ac:dyDescent="0.2">
      <c r="A16" s="904">
        <v>39569</v>
      </c>
      <c r="B16" s="905">
        <v>228.1</v>
      </c>
      <c r="C16" s="906">
        <v>145.9</v>
      </c>
      <c r="D16" s="906">
        <v>223.7</v>
      </c>
      <c r="E16" s="906">
        <v>875.2</v>
      </c>
      <c r="F16" s="906">
        <v>1216.2</v>
      </c>
      <c r="G16" s="906">
        <v>1857.7</v>
      </c>
      <c r="H16" s="906">
        <v>9339</v>
      </c>
      <c r="I16" s="907">
        <v>746.8</v>
      </c>
      <c r="J16" s="908">
        <v>14632.557210000001</v>
      </c>
      <c r="K16" s="905">
        <v>7</v>
      </c>
      <c r="L16" s="906">
        <v>12.8</v>
      </c>
      <c r="M16" s="906">
        <v>27.58</v>
      </c>
      <c r="N16" s="909">
        <v>201.1</v>
      </c>
      <c r="O16" s="909">
        <v>85.8</v>
      </c>
      <c r="P16" s="906">
        <v>105</v>
      </c>
      <c r="Q16" s="906">
        <v>24.7</v>
      </c>
      <c r="R16" s="906">
        <v>6.4</v>
      </c>
      <c r="S16" s="906">
        <v>31.4</v>
      </c>
      <c r="T16" s="906">
        <v>2.4</v>
      </c>
      <c r="U16" s="906">
        <v>7.3</v>
      </c>
      <c r="V16" s="906">
        <v>0.3</v>
      </c>
      <c r="W16" s="906">
        <v>0.2</v>
      </c>
      <c r="X16" s="910">
        <v>511.98</v>
      </c>
      <c r="Y16" s="911">
        <v>15144.53721</v>
      </c>
      <c r="Z16" s="912"/>
      <c r="AA16" s="913"/>
      <c r="AB16" s="913"/>
      <c r="AC16" s="913"/>
    </row>
    <row r="17" spans="1:29" ht="28.5" hidden="1" customHeight="1" x14ac:dyDescent="0.2">
      <c r="A17" s="904">
        <v>39600</v>
      </c>
      <c r="B17" s="905">
        <v>227.70000000000073</v>
      </c>
      <c r="C17" s="906">
        <v>141.6</v>
      </c>
      <c r="D17" s="906">
        <v>222.5</v>
      </c>
      <c r="E17" s="906">
        <v>867.9</v>
      </c>
      <c r="F17" s="906">
        <v>1198.5999999999999</v>
      </c>
      <c r="G17" s="906">
        <v>1875.2</v>
      </c>
      <c r="H17" s="906">
        <v>9259.2999999999993</v>
      </c>
      <c r="I17" s="907">
        <v>776.1</v>
      </c>
      <c r="J17" s="908">
        <v>14568.9</v>
      </c>
      <c r="K17" s="905">
        <v>7.056</v>
      </c>
      <c r="L17" s="906">
        <v>12.8</v>
      </c>
      <c r="M17" s="906">
        <v>34.090000000000003</v>
      </c>
      <c r="N17" s="909">
        <v>200.8</v>
      </c>
      <c r="O17" s="909">
        <v>85.6</v>
      </c>
      <c r="P17" s="906">
        <v>105.4</v>
      </c>
      <c r="Q17" s="906">
        <v>24.86</v>
      </c>
      <c r="R17" s="906">
        <v>6.3498999999999999</v>
      </c>
      <c r="S17" s="906">
        <v>31.54</v>
      </c>
      <c r="T17" s="906">
        <v>2.4302999999999999</v>
      </c>
      <c r="U17" s="906">
        <v>7.39</v>
      </c>
      <c r="V17" s="906">
        <v>0.33</v>
      </c>
      <c r="W17" s="906">
        <v>0.22</v>
      </c>
      <c r="X17" s="910">
        <v>518.79999999999995</v>
      </c>
      <c r="Y17" s="911">
        <v>15087.699999999999</v>
      </c>
      <c r="Z17" s="912"/>
      <c r="AA17" s="913"/>
      <c r="AB17" s="913"/>
      <c r="AC17" s="913"/>
    </row>
    <row r="18" spans="1:29" ht="28.5" hidden="1" customHeight="1" x14ac:dyDescent="0.2">
      <c r="A18" s="904">
        <v>39630</v>
      </c>
      <c r="B18" s="905">
        <v>227.29999999999927</v>
      </c>
      <c r="C18" s="906">
        <v>139.5</v>
      </c>
      <c r="D18" s="906">
        <v>226</v>
      </c>
      <c r="E18" s="906">
        <v>879.6</v>
      </c>
      <c r="F18" s="906">
        <v>1238</v>
      </c>
      <c r="G18" s="906">
        <v>1944</v>
      </c>
      <c r="H18" s="906">
        <v>9572</v>
      </c>
      <c r="I18" s="907">
        <v>865.7</v>
      </c>
      <c r="J18" s="908">
        <v>15092.113185</v>
      </c>
      <c r="K18" s="905">
        <v>7.1</v>
      </c>
      <c r="L18" s="906">
        <v>12.8</v>
      </c>
      <c r="M18" s="906">
        <v>40.47</v>
      </c>
      <c r="N18" s="909">
        <v>200.6</v>
      </c>
      <c r="O18" s="909">
        <v>85.7</v>
      </c>
      <c r="P18" s="906">
        <v>105.7</v>
      </c>
      <c r="Q18" s="906">
        <v>25</v>
      </c>
      <c r="R18" s="906">
        <v>6.3</v>
      </c>
      <c r="S18" s="906">
        <v>31.8</v>
      </c>
      <c r="T18" s="906">
        <v>2.4</v>
      </c>
      <c r="U18" s="906">
        <v>7.5</v>
      </c>
      <c r="V18" s="906">
        <v>0.3</v>
      </c>
      <c r="W18" s="906">
        <v>0.2</v>
      </c>
      <c r="X18" s="910">
        <v>525.87</v>
      </c>
      <c r="Y18" s="911">
        <v>15617.983185000001</v>
      </c>
      <c r="Z18" s="912"/>
      <c r="AA18" s="913"/>
      <c r="AB18" s="913"/>
      <c r="AC18" s="913"/>
    </row>
    <row r="19" spans="1:29" ht="28.5" hidden="1" customHeight="1" x14ac:dyDescent="0.2">
      <c r="A19" s="904">
        <v>39661</v>
      </c>
      <c r="B19" s="905">
        <v>227.18999999999869</v>
      </c>
      <c r="C19" s="906">
        <v>138.6</v>
      </c>
      <c r="D19" s="906">
        <v>232.2</v>
      </c>
      <c r="E19" s="906">
        <v>898.1</v>
      </c>
      <c r="F19" s="906">
        <v>1234.3</v>
      </c>
      <c r="G19" s="906">
        <v>1932.9</v>
      </c>
      <c r="H19" s="906">
        <v>9622.1</v>
      </c>
      <c r="I19" s="907">
        <v>921.01</v>
      </c>
      <c r="J19" s="908">
        <v>15206.3951</v>
      </c>
      <c r="K19" s="905">
        <v>7.0739999999999998</v>
      </c>
      <c r="L19" s="906">
        <v>12.831</v>
      </c>
      <c r="M19" s="906">
        <v>47.2</v>
      </c>
      <c r="N19" s="909">
        <v>200.4</v>
      </c>
      <c r="O19" s="909">
        <v>85.8</v>
      </c>
      <c r="P19" s="906">
        <v>106</v>
      </c>
      <c r="Q19" s="906">
        <v>25.1</v>
      </c>
      <c r="R19" s="906">
        <v>6.3</v>
      </c>
      <c r="S19" s="906">
        <v>32</v>
      </c>
      <c r="T19" s="906">
        <v>2.4</v>
      </c>
      <c r="U19" s="906">
        <v>7.5</v>
      </c>
      <c r="V19" s="906">
        <v>0.3</v>
      </c>
      <c r="W19" s="906">
        <v>0.2</v>
      </c>
      <c r="X19" s="910">
        <v>533.20500000000004</v>
      </c>
      <c r="Y19" s="911">
        <v>15739.6001</v>
      </c>
      <c r="Z19" s="912"/>
      <c r="AA19" s="913"/>
      <c r="AB19" s="913"/>
      <c r="AC19" s="913"/>
    </row>
    <row r="20" spans="1:29" ht="28.5" hidden="1" customHeight="1" x14ac:dyDescent="0.2">
      <c r="A20" s="904">
        <v>39692</v>
      </c>
      <c r="B20" s="905">
        <v>226.59999999999854</v>
      </c>
      <c r="C20" s="906">
        <v>140.1</v>
      </c>
      <c r="D20" s="906">
        <v>240.3</v>
      </c>
      <c r="E20" s="906">
        <v>892.4</v>
      </c>
      <c r="F20" s="906">
        <v>1250.7</v>
      </c>
      <c r="G20" s="906">
        <v>1966.4</v>
      </c>
      <c r="H20" s="906">
        <v>9647.7000000000007</v>
      </c>
      <c r="I20" s="907">
        <v>951.6</v>
      </c>
      <c r="J20" s="908">
        <v>15315.8</v>
      </c>
      <c r="K20" s="905">
        <v>8</v>
      </c>
      <c r="L20" s="906">
        <v>12.831</v>
      </c>
      <c r="M20" s="906">
        <v>56.2</v>
      </c>
      <c r="N20" s="909">
        <v>203.8</v>
      </c>
      <c r="O20" s="909">
        <v>86.3</v>
      </c>
      <c r="P20" s="906">
        <v>106.2</v>
      </c>
      <c r="Q20" s="906">
        <v>25.3</v>
      </c>
      <c r="R20" s="906">
        <v>6.3</v>
      </c>
      <c r="S20" s="906">
        <v>32.200000000000003</v>
      </c>
      <c r="T20" s="906">
        <v>2.4</v>
      </c>
      <c r="U20" s="906">
        <v>7.6</v>
      </c>
      <c r="V20" s="906">
        <v>0.3</v>
      </c>
      <c r="W20" s="906">
        <v>0.2</v>
      </c>
      <c r="X20" s="910">
        <v>547.70000000000005</v>
      </c>
      <c r="Y20" s="911">
        <v>15863.5</v>
      </c>
      <c r="Z20" s="912"/>
      <c r="AA20" s="913"/>
      <c r="AB20" s="913"/>
      <c r="AC20" s="913"/>
    </row>
    <row r="21" spans="1:29" ht="28.5" hidden="1" customHeight="1" x14ac:dyDescent="0.2">
      <c r="A21" s="904">
        <v>39722</v>
      </c>
      <c r="B21" s="905">
        <v>226.6</v>
      </c>
      <c r="C21" s="906">
        <v>145.19999999999999</v>
      </c>
      <c r="D21" s="906">
        <v>227</v>
      </c>
      <c r="E21" s="906">
        <v>913.5</v>
      </c>
      <c r="F21" s="906">
        <v>1271.7</v>
      </c>
      <c r="G21" s="906">
        <v>1996.8</v>
      </c>
      <c r="H21" s="906">
        <v>9826.2999999999993</v>
      </c>
      <c r="I21" s="907">
        <v>1016.8</v>
      </c>
      <c r="J21" s="908">
        <v>15623.885180000001</v>
      </c>
      <c r="K21" s="905">
        <v>8.0610079700000004</v>
      </c>
      <c r="L21" s="906">
        <v>12.827</v>
      </c>
      <c r="M21" s="906">
        <v>65.2</v>
      </c>
      <c r="N21" s="909">
        <v>206.2</v>
      </c>
      <c r="O21" s="909">
        <v>87.1</v>
      </c>
      <c r="P21" s="906">
        <v>106.2</v>
      </c>
      <c r="Q21" s="906">
        <v>25.4</v>
      </c>
      <c r="R21" s="906">
        <v>6.3</v>
      </c>
      <c r="S21" s="906">
        <v>32.4</v>
      </c>
      <c r="T21" s="906">
        <v>2.4</v>
      </c>
      <c r="U21" s="906">
        <v>7.6</v>
      </c>
      <c r="V21" s="906">
        <v>0.3</v>
      </c>
      <c r="W21" s="906">
        <v>0.2</v>
      </c>
      <c r="X21" s="910">
        <v>560.18800796999994</v>
      </c>
      <c r="Y21" s="911">
        <v>16184.073187970002</v>
      </c>
      <c r="Z21" s="912"/>
      <c r="AA21" s="913"/>
      <c r="AB21" s="913"/>
      <c r="AC21" s="913"/>
    </row>
    <row r="22" spans="1:29" ht="28.5" hidden="1" customHeight="1" x14ac:dyDescent="0.2">
      <c r="A22" s="904">
        <v>39753</v>
      </c>
      <c r="B22" s="905">
        <v>226.6</v>
      </c>
      <c r="C22" s="906">
        <v>146.19999999999999</v>
      </c>
      <c r="D22" s="906">
        <v>220.6</v>
      </c>
      <c r="E22" s="906">
        <v>913</v>
      </c>
      <c r="F22" s="906">
        <v>1281.3</v>
      </c>
      <c r="G22" s="906">
        <v>2053.8000000000002</v>
      </c>
      <c r="H22" s="906">
        <v>10084.6</v>
      </c>
      <c r="I22" s="907">
        <v>1052.9000000000001</v>
      </c>
      <c r="J22" s="908">
        <v>15979</v>
      </c>
      <c r="K22" s="905">
        <v>8.0632180000000009</v>
      </c>
      <c r="L22" s="906">
        <v>12.839</v>
      </c>
      <c r="M22" s="906">
        <v>72.73</v>
      </c>
      <c r="N22" s="909">
        <v>208.4</v>
      </c>
      <c r="O22" s="909">
        <v>87.7</v>
      </c>
      <c r="P22" s="906">
        <v>106.5</v>
      </c>
      <c r="Q22" s="906">
        <v>25.5</v>
      </c>
      <c r="R22" s="906">
        <v>6.3</v>
      </c>
      <c r="S22" s="906">
        <v>32.6</v>
      </c>
      <c r="T22" s="906">
        <v>2.4</v>
      </c>
      <c r="U22" s="906">
        <v>7.7</v>
      </c>
      <c r="V22" s="906">
        <v>0.3</v>
      </c>
      <c r="W22" s="906">
        <v>0.2</v>
      </c>
      <c r="X22" s="910">
        <v>571.33221800000001</v>
      </c>
      <c r="Y22" s="911">
        <v>16550.332218</v>
      </c>
      <c r="Z22" s="912"/>
      <c r="AA22" s="913"/>
      <c r="AB22" s="913"/>
      <c r="AC22" s="913"/>
    </row>
    <row r="23" spans="1:29" ht="28.5" hidden="1" customHeight="1" x14ac:dyDescent="0.2">
      <c r="A23" s="904">
        <v>39783</v>
      </c>
      <c r="B23" s="905">
        <v>226.59999999999854</v>
      </c>
      <c r="C23" s="906">
        <v>165.5</v>
      </c>
      <c r="D23" s="906">
        <v>229</v>
      </c>
      <c r="E23" s="906">
        <v>1113</v>
      </c>
      <c r="F23" s="906">
        <v>1573.8</v>
      </c>
      <c r="G23" s="906">
        <v>2547.3000000000002</v>
      </c>
      <c r="H23" s="906">
        <v>12585.3</v>
      </c>
      <c r="I23" s="907">
        <v>1155.3</v>
      </c>
      <c r="J23" s="908">
        <v>19595.8</v>
      </c>
      <c r="K23" s="905">
        <v>8.0632180000000009</v>
      </c>
      <c r="L23" s="906">
        <v>12.9</v>
      </c>
      <c r="M23" s="906">
        <v>86.8</v>
      </c>
      <c r="N23" s="909">
        <v>213.1</v>
      </c>
      <c r="O23" s="909">
        <v>89.2</v>
      </c>
      <c r="P23" s="906">
        <v>109</v>
      </c>
      <c r="Q23" s="906">
        <v>26</v>
      </c>
      <c r="R23" s="906">
        <v>6.3</v>
      </c>
      <c r="S23" s="906">
        <v>32.9</v>
      </c>
      <c r="T23" s="906">
        <v>2.4</v>
      </c>
      <c r="U23" s="906">
        <v>7.7</v>
      </c>
      <c r="V23" s="906">
        <v>0.3</v>
      </c>
      <c r="W23" s="906">
        <v>0.2</v>
      </c>
      <c r="X23" s="910">
        <v>595</v>
      </c>
      <c r="Y23" s="911">
        <v>20190.8</v>
      </c>
      <c r="Z23" s="912"/>
      <c r="AA23" s="913"/>
      <c r="AB23" s="913"/>
      <c r="AC23" s="913"/>
    </row>
    <row r="24" spans="1:29" ht="28.5" hidden="1" customHeight="1" x14ac:dyDescent="0.2">
      <c r="A24" s="904">
        <v>39814</v>
      </c>
      <c r="B24" s="905">
        <v>226.60000000000218</v>
      </c>
      <c r="C24" s="906">
        <v>166.6</v>
      </c>
      <c r="D24" s="906">
        <v>226.2</v>
      </c>
      <c r="E24" s="906">
        <v>990.3</v>
      </c>
      <c r="F24" s="906">
        <v>1352.6</v>
      </c>
      <c r="G24" s="906">
        <v>2162.3000000000002</v>
      </c>
      <c r="H24" s="906">
        <v>11224.3</v>
      </c>
      <c r="I24" s="907">
        <v>1116.8</v>
      </c>
      <c r="J24" s="908">
        <v>17465.7</v>
      </c>
      <c r="K24" s="905">
        <v>8.1</v>
      </c>
      <c r="L24" s="906">
        <v>12.9</v>
      </c>
      <c r="M24" s="906">
        <v>89.4</v>
      </c>
      <c r="N24" s="909">
        <v>213.5</v>
      </c>
      <c r="O24" s="909">
        <v>89.3</v>
      </c>
      <c r="P24" s="906">
        <v>109.2</v>
      </c>
      <c r="Q24" s="906">
        <v>26.1</v>
      </c>
      <c r="R24" s="906">
        <v>6.3</v>
      </c>
      <c r="S24" s="906">
        <v>33</v>
      </c>
      <c r="T24" s="906">
        <v>2.4</v>
      </c>
      <c r="U24" s="906">
        <v>7.8</v>
      </c>
      <c r="V24" s="906">
        <v>0.3</v>
      </c>
      <c r="W24" s="906">
        <v>0.2</v>
      </c>
      <c r="X24" s="910">
        <v>598.4</v>
      </c>
      <c r="Y24" s="911">
        <v>18064.2</v>
      </c>
      <c r="Z24" s="912"/>
      <c r="AA24" s="913"/>
      <c r="AB24" s="913"/>
      <c r="AC24" s="913"/>
    </row>
    <row r="25" spans="1:29" ht="28.5" hidden="1" customHeight="1" x14ac:dyDescent="0.2">
      <c r="A25" s="904">
        <v>39845</v>
      </c>
      <c r="B25" s="905">
        <v>225.5</v>
      </c>
      <c r="C25" s="906">
        <v>161.69999999999999</v>
      </c>
      <c r="D25" s="906">
        <v>219.1</v>
      </c>
      <c r="E25" s="906">
        <v>979.6</v>
      </c>
      <c r="F25" s="906">
        <v>1315</v>
      </c>
      <c r="G25" s="906">
        <v>2087.9</v>
      </c>
      <c r="H25" s="906">
        <v>10977.6</v>
      </c>
      <c r="I25" s="907">
        <v>1089.0999999999999</v>
      </c>
      <c r="J25" s="908">
        <v>17055.5</v>
      </c>
      <c r="K25" s="905">
        <v>8.1</v>
      </c>
      <c r="L25" s="906">
        <v>12.9</v>
      </c>
      <c r="M25" s="906">
        <v>90.1</v>
      </c>
      <c r="N25" s="909">
        <v>213</v>
      </c>
      <c r="O25" s="909">
        <v>89.3</v>
      </c>
      <c r="P25" s="906">
        <v>109.3</v>
      </c>
      <c r="Q25" s="906">
        <v>26.1</v>
      </c>
      <c r="R25" s="906">
        <v>6.3</v>
      </c>
      <c r="S25" s="906">
        <v>33.200000000000003</v>
      </c>
      <c r="T25" s="906">
        <v>2.4</v>
      </c>
      <c r="U25" s="906">
        <v>7.8</v>
      </c>
      <c r="V25" s="906">
        <v>0.3</v>
      </c>
      <c r="W25" s="906">
        <v>0.2</v>
      </c>
      <c r="X25" s="910">
        <v>599.1</v>
      </c>
      <c r="Y25" s="911">
        <v>17654.7</v>
      </c>
      <c r="Z25" s="912"/>
      <c r="AA25" s="913"/>
      <c r="AB25" s="913"/>
      <c r="AC25" s="913"/>
    </row>
    <row r="26" spans="1:29" ht="28.5" hidden="1" customHeight="1" x14ac:dyDescent="0.2">
      <c r="A26" s="904">
        <v>39873</v>
      </c>
      <c r="B26" s="905">
        <v>225.10000000000218</v>
      </c>
      <c r="C26" s="906">
        <v>157.9</v>
      </c>
      <c r="D26" s="906">
        <v>217.8</v>
      </c>
      <c r="E26" s="906">
        <v>936.1</v>
      </c>
      <c r="F26" s="906">
        <v>1294</v>
      </c>
      <c r="G26" s="906">
        <v>2027.5</v>
      </c>
      <c r="H26" s="906">
        <v>10783.8</v>
      </c>
      <c r="I26" s="907">
        <v>1069</v>
      </c>
      <c r="J26" s="908">
        <v>16711.2</v>
      </c>
      <c r="K26" s="905">
        <v>8.1</v>
      </c>
      <c r="L26" s="906">
        <v>12.9</v>
      </c>
      <c r="M26" s="906">
        <v>91.1</v>
      </c>
      <c r="N26" s="909">
        <v>212.3</v>
      </c>
      <c r="O26" s="909">
        <v>89.2</v>
      </c>
      <c r="P26" s="906">
        <v>110.2</v>
      </c>
      <c r="Q26" s="906">
        <v>26.2</v>
      </c>
      <c r="R26" s="906">
        <v>6.3</v>
      </c>
      <c r="S26" s="906">
        <v>33.299999999999997</v>
      </c>
      <c r="T26" s="906">
        <v>2.4</v>
      </c>
      <c r="U26" s="906">
        <v>7.9</v>
      </c>
      <c r="V26" s="906">
        <v>0.3</v>
      </c>
      <c r="W26" s="906">
        <v>0.2</v>
      </c>
      <c r="X26" s="910">
        <v>600.5</v>
      </c>
      <c r="Y26" s="911">
        <v>17311.599999999999</v>
      </c>
      <c r="Z26" s="912"/>
      <c r="AA26" s="913"/>
      <c r="AB26" s="913"/>
      <c r="AC26" s="913"/>
    </row>
    <row r="27" spans="1:29" ht="28.5" hidden="1" customHeight="1" x14ac:dyDescent="0.2">
      <c r="A27" s="904">
        <v>39904</v>
      </c>
      <c r="B27" s="905">
        <v>225.09999999999854</v>
      </c>
      <c r="C27" s="906">
        <v>154.30000000000001</v>
      </c>
      <c r="D27" s="906">
        <v>213.1</v>
      </c>
      <c r="E27" s="906">
        <v>929.7</v>
      </c>
      <c r="F27" s="906">
        <v>1292.2</v>
      </c>
      <c r="G27" s="906">
        <v>2044.1</v>
      </c>
      <c r="H27" s="906">
        <v>10979.6</v>
      </c>
      <c r="I27" s="907">
        <v>1064.2</v>
      </c>
      <c r="J27" s="908">
        <v>16902.316824999998</v>
      </c>
      <c r="K27" s="905">
        <v>8.1</v>
      </c>
      <c r="L27" s="906">
        <v>12.9</v>
      </c>
      <c r="M27" s="906">
        <v>93.9</v>
      </c>
      <c r="N27" s="909">
        <v>210.6</v>
      </c>
      <c r="O27" s="909">
        <v>89</v>
      </c>
      <c r="P27" s="906">
        <v>110.6</v>
      </c>
      <c r="Q27" s="906">
        <v>26.2</v>
      </c>
      <c r="R27" s="906">
        <v>6.3</v>
      </c>
      <c r="S27" s="906">
        <v>33.340000000000003</v>
      </c>
      <c r="T27" s="906">
        <v>2.4</v>
      </c>
      <c r="U27" s="906">
        <v>7.9</v>
      </c>
      <c r="V27" s="906">
        <v>0.3</v>
      </c>
      <c r="W27" s="906">
        <v>0.2</v>
      </c>
      <c r="X27" s="910">
        <v>601.74</v>
      </c>
      <c r="Y27" s="911">
        <v>17504</v>
      </c>
      <c r="Z27" s="912"/>
      <c r="AA27" s="913"/>
      <c r="AB27" s="913"/>
      <c r="AC27" s="913"/>
    </row>
    <row r="28" spans="1:29" ht="28.5" hidden="1" customHeight="1" x14ac:dyDescent="0.2">
      <c r="A28" s="904">
        <v>39934</v>
      </c>
      <c r="B28" s="914">
        <v>224.90000000000146</v>
      </c>
      <c r="C28" s="915">
        <v>149.5</v>
      </c>
      <c r="D28" s="915">
        <v>208.1</v>
      </c>
      <c r="E28" s="915">
        <v>930.1</v>
      </c>
      <c r="F28" s="915">
        <v>1251.9000000000001</v>
      </c>
      <c r="G28" s="915">
        <v>2038.3</v>
      </c>
      <c r="H28" s="915">
        <v>10857.6</v>
      </c>
      <c r="I28" s="916">
        <v>1074.8</v>
      </c>
      <c r="J28" s="917">
        <v>16735.169044999999</v>
      </c>
      <c r="K28" s="914">
        <v>8.1</v>
      </c>
      <c r="L28" s="915">
        <v>12.9</v>
      </c>
      <c r="M28" s="915">
        <v>94.8</v>
      </c>
      <c r="N28" s="918">
        <v>209.1</v>
      </c>
      <c r="O28" s="918">
        <v>89.12</v>
      </c>
      <c r="P28" s="915">
        <v>110.7</v>
      </c>
      <c r="Q28" s="915">
        <v>26.16</v>
      </c>
      <c r="R28" s="915">
        <v>6.3</v>
      </c>
      <c r="S28" s="915">
        <v>33.53</v>
      </c>
      <c r="T28" s="915">
        <v>2.4288059999999998</v>
      </c>
      <c r="U28" s="915">
        <v>7.9450000000000003</v>
      </c>
      <c r="V28" s="915">
        <v>0.33050000000000002</v>
      </c>
      <c r="W28" s="915">
        <v>0.222</v>
      </c>
      <c r="X28" s="919">
        <v>601.68630600000006</v>
      </c>
      <c r="Y28" s="920">
        <v>17336.855350999998</v>
      </c>
      <c r="Z28" s="912"/>
      <c r="AA28" s="913"/>
      <c r="AB28" s="913"/>
      <c r="AC28" s="913"/>
    </row>
    <row r="29" spans="1:29" ht="28.5" hidden="1" customHeight="1" x14ac:dyDescent="0.2">
      <c r="A29" s="904">
        <v>39965</v>
      </c>
      <c r="B29" s="914">
        <v>223.8600000000024</v>
      </c>
      <c r="C29" s="915">
        <v>144.30000000000001</v>
      </c>
      <c r="D29" s="915">
        <v>203.24</v>
      </c>
      <c r="E29" s="915">
        <v>928.1</v>
      </c>
      <c r="F29" s="915">
        <v>1243.5</v>
      </c>
      <c r="G29" s="915">
        <v>1990.7</v>
      </c>
      <c r="H29" s="915">
        <v>10762.8</v>
      </c>
      <c r="I29" s="916">
        <v>1086.4000000000001</v>
      </c>
      <c r="J29" s="917">
        <v>16582.900000000001</v>
      </c>
      <c r="K29" s="914">
        <v>8.1</v>
      </c>
      <c r="L29" s="915">
        <v>12.9</v>
      </c>
      <c r="M29" s="915">
        <v>95.2</v>
      </c>
      <c r="N29" s="918">
        <v>209</v>
      </c>
      <c r="O29" s="918">
        <v>89.1</v>
      </c>
      <c r="P29" s="915">
        <v>110.8</v>
      </c>
      <c r="Q29" s="915">
        <v>26.2</v>
      </c>
      <c r="R29" s="915">
        <v>6.3</v>
      </c>
      <c r="S29" s="915">
        <v>33.56</v>
      </c>
      <c r="T29" s="915">
        <v>2.4</v>
      </c>
      <c r="U29" s="915">
        <v>8</v>
      </c>
      <c r="V29" s="915">
        <v>0.3</v>
      </c>
      <c r="W29" s="915">
        <v>0.2</v>
      </c>
      <c r="X29" s="919">
        <v>602.16</v>
      </c>
      <c r="Y29" s="920">
        <v>17185.060000000001</v>
      </c>
      <c r="Z29" s="912"/>
      <c r="AA29" s="913"/>
      <c r="AB29" s="913"/>
      <c r="AC29" s="913"/>
    </row>
    <row r="30" spans="1:29" ht="28.5" hidden="1" customHeight="1" x14ac:dyDescent="0.2">
      <c r="A30" s="904">
        <v>39995</v>
      </c>
      <c r="B30" s="914">
        <v>224</v>
      </c>
      <c r="C30" s="915">
        <v>142.69999999999999</v>
      </c>
      <c r="D30" s="915">
        <v>202.2</v>
      </c>
      <c r="E30" s="915">
        <v>922.7</v>
      </c>
      <c r="F30" s="915">
        <v>1283.3</v>
      </c>
      <c r="G30" s="915">
        <v>2090.8000000000002</v>
      </c>
      <c r="H30" s="915">
        <v>11081.6</v>
      </c>
      <c r="I30" s="916">
        <v>1112.2</v>
      </c>
      <c r="J30" s="917">
        <v>17059.5</v>
      </c>
      <c r="K30" s="914">
        <v>8.1</v>
      </c>
      <c r="L30" s="915">
        <v>12.9</v>
      </c>
      <c r="M30" s="915">
        <v>100.5</v>
      </c>
      <c r="N30" s="918">
        <v>209.2</v>
      </c>
      <c r="O30" s="918">
        <v>89.1</v>
      </c>
      <c r="P30" s="915">
        <v>110.9</v>
      </c>
      <c r="Q30" s="915">
        <v>26.3</v>
      </c>
      <c r="R30" s="915">
        <v>6.3</v>
      </c>
      <c r="S30" s="915">
        <v>33.56</v>
      </c>
      <c r="T30" s="915">
        <v>2.4</v>
      </c>
      <c r="U30" s="915">
        <v>8</v>
      </c>
      <c r="V30" s="915">
        <v>0.3</v>
      </c>
      <c r="W30" s="915">
        <v>0.2</v>
      </c>
      <c r="X30" s="919">
        <v>607.8599999999999</v>
      </c>
      <c r="Y30" s="920">
        <v>17667.36</v>
      </c>
      <c r="Z30" s="912"/>
      <c r="AA30" s="913"/>
      <c r="AB30" s="913"/>
      <c r="AC30" s="913"/>
    </row>
    <row r="31" spans="1:29" ht="28.5" hidden="1" customHeight="1" x14ac:dyDescent="0.2">
      <c r="A31" s="904">
        <v>40026</v>
      </c>
      <c r="B31" s="914">
        <v>223.9</v>
      </c>
      <c r="C31" s="915">
        <v>142.69999999999999</v>
      </c>
      <c r="D31" s="915">
        <v>201.1</v>
      </c>
      <c r="E31" s="915">
        <v>931.1</v>
      </c>
      <c r="F31" s="915">
        <v>1288.4000000000001</v>
      </c>
      <c r="G31" s="915">
        <v>2081.8000000000002</v>
      </c>
      <c r="H31" s="915">
        <v>11138.7</v>
      </c>
      <c r="I31" s="916">
        <v>1113.7</v>
      </c>
      <c r="J31" s="917">
        <v>17121.400000000001</v>
      </c>
      <c r="K31" s="914">
        <v>8.1</v>
      </c>
      <c r="L31" s="915">
        <v>12.9</v>
      </c>
      <c r="M31" s="915">
        <v>107.3</v>
      </c>
      <c r="N31" s="918">
        <v>209</v>
      </c>
      <c r="O31" s="918">
        <v>89.2</v>
      </c>
      <c r="P31" s="915">
        <v>111.1</v>
      </c>
      <c r="Q31" s="915">
        <v>26.5</v>
      </c>
      <c r="R31" s="915">
        <v>6.3</v>
      </c>
      <c r="S31" s="915">
        <v>33.700000000000003</v>
      </c>
      <c r="T31" s="915">
        <v>2.4</v>
      </c>
      <c r="U31" s="915">
        <v>8</v>
      </c>
      <c r="V31" s="915">
        <v>0.3</v>
      </c>
      <c r="W31" s="915">
        <v>0.2</v>
      </c>
      <c r="X31" s="919">
        <v>615.1</v>
      </c>
      <c r="Y31" s="920">
        <v>17736.5</v>
      </c>
      <c r="Z31" s="912"/>
      <c r="AA31" s="913"/>
      <c r="AB31" s="913"/>
      <c r="AC31" s="913"/>
    </row>
    <row r="32" spans="1:29" ht="28.5" hidden="1" customHeight="1" x14ac:dyDescent="0.2">
      <c r="A32" s="904">
        <v>40057</v>
      </c>
      <c r="B32" s="914">
        <v>223.8</v>
      </c>
      <c r="C32" s="915">
        <v>148.5</v>
      </c>
      <c r="D32" s="915">
        <v>200.5</v>
      </c>
      <c r="E32" s="915">
        <v>939.9</v>
      </c>
      <c r="F32" s="915">
        <v>1303.0999999999999</v>
      </c>
      <c r="G32" s="915">
        <v>2058.9</v>
      </c>
      <c r="H32" s="915">
        <v>10927.5</v>
      </c>
      <c r="I32" s="916">
        <v>1104.5</v>
      </c>
      <c r="J32" s="917">
        <v>16906.7</v>
      </c>
      <c r="K32" s="914">
        <v>8.1</v>
      </c>
      <c r="L32" s="915">
        <v>12.9</v>
      </c>
      <c r="M32" s="915">
        <v>113.8</v>
      </c>
      <c r="N32" s="918">
        <v>209.3</v>
      </c>
      <c r="O32" s="918">
        <v>89.2</v>
      </c>
      <c r="P32" s="915">
        <v>111.7</v>
      </c>
      <c r="Q32" s="915">
        <v>26.6</v>
      </c>
      <c r="R32" s="915">
        <v>6.3</v>
      </c>
      <c r="S32" s="915">
        <v>34</v>
      </c>
      <c r="T32" s="915">
        <v>2.4</v>
      </c>
      <c r="U32" s="915">
        <v>8.1</v>
      </c>
      <c r="V32" s="915">
        <v>0.3</v>
      </c>
      <c r="W32" s="915">
        <v>0.2</v>
      </c>
      <c r="X32" s="919">
        <v>623.04499999999996</v>
      </c>
      <c r="Y32" s="920">
        <v>17529.7</v>
      </c>
      <c r="Z32" s="912"/>
      <c r="AA32" s="913"/>
      <c r="AB32" s="913"/>
      <c r="AC32" s="913"/>
    </row>
    <row r="33" spans="1:29" ht="28.5" hidden="1" customHeight="1" x14ac:dyDescent="0.2">
      <c r="A33" s="904">
        <v>40087</v>
      </c>
      <c r="B33" s="914">
        <v>223.65862500000003</v>
      </c>
      <c r="C33" s="915">
        <v>154.61484999999999</v>
      </c>
      <c r="D33" s="915">
        <v>199.25479999999999</v>
      </c>
      <c r="E33" s="915">
        <v>951.44920000000002</v>
      </c>
      <c r="F33" s="915">
        <v>1307.9898000000001</v>
      </c>
      <c r="G33" s="915">
        <v>2127.0259999999998</v>
      </c>
      <c r="H33" s="915">
        <v>11263.867</v>
      </c>
      <c r="I33" s="916">
        <v>1113.374</v>
      </c>
      <c r="J33" s="917">
        <v>17341.234274999999</v>
      </c>
      <c r="K33" s="914">
        <v>8.1999999999999993</v>
      </c>
      <c r="L33" s="915">
        <v>12.9</v>
      </c>
      <c r="M33" s="915">
        <v>118.3</v>
      </c>
      <c r="N33" s="918">
        <v>209.3</v>
      </c>
      <c r="O33" s="918">
        <v>89.27</v>
      </c>
      <c r="P33" s="915">
        <v>112</v>
      </c>
      <c r="Q33" s="915">
        <v>26.71</v>
      </c>
      <c r="R33" s="915">
        <v>6.3</v>
      </c>
      <c r="S33" s="915">
        <v>34.25</v>
      </c>
      <c r="T33" s="915">
        <v>2.4</v>
      </c>
      <c r="U33" s="915">
        <v>8.1</v>
      </c>
      <c r="V33" s="915">
        <v>0.3</v>
      </c>
      <c r="W33" s="915">
        <v>0.2</v>
      </c>
      <c r="X33" s="919">
        <v>628.33000000000004</v>
      </c>
      <c r="Y33" s="920">
        <v>17969.564275000001</v>
      </c>
      <c r="Z33" s="912"/>
      <c r="AA33" s="913"/>
      <c r="AB33" s="913"/>
      <c r="AC33" s="913"/>
    </row>
    <row r="34" spans="1:29" ht="28.5" hidden="1" customHeight="1" x14ac:dyDescent="0.2">
      <c r="A34" s="904">
        <v>40118</v>
      </c>
      <c r="B34" s="914">
        <v>223.6</v>
      </c>
      <c r="C34" s="915">
        <v>153.30000000000001</v>
      </c>
      <c r="D34" s="915">
        <v>197.7</v>
      </c>
      <c r="E34" s="915">
        <v>964.86</v>
      </c>
      <c r="F34" s="915">
        <v>1333.5</v>
      </c>
      <c r="G34" s="915">
        <v>2126.8000000000002</v>
      </c>
      <c r="H34" s="915">
        <v>11465</v>
      </c>
      <c r="I34" s="916">
        <v>1107.7</v>
      </c>
      <c r="J34" s="917">
        <v>17572.460000000003</v>
      </c>
      <c r="K34" s="914">
        <v>8.5</v>
      </c>
      <c r="L34" s="915">
        <v>13</v>
      </c>
      <c r="M34" s="915">
        <v>122.9</v>
      </c>
      <c r="N34" s="918">
        <v>210.9</v>
      </c>
      <c r="O34" s="918">
        <v>89.7</v>
      </c>
      <c r="P34" s="915">
        <v>113.2</v>
      </c>
      <c r="Q34" s="915">
        <v>27.2</v>
      </c>
      <c r="R34" s="915">
        <v>6.3</v>
      </c>
      <c r="S34" s="915">
        <v>34.5</v>
      </c>
      <c r="T34" s="915">
        <v>2.4</v>
      </c>
      <c r="U34" s="915">
        <v>8.1999999999999993</v>
      </c>
      <c r="V34" s="915">
        <v>0.3</v>
      </c>
      <c r="W34" s="915">
        <v>0.2</v>
      </c>
      <c r="X34" s="919">
        <v>637.30000000000007</v>
      </c>
      <c r="Y34" s="920">
        <v>18209.760000000002</v>
      </c>
      <c r="Z34" s="912"/>
      <c r="AA34" s="913"/>
      <c r="AB34" s="913"/>
      <c r="AC34" s="913"/>
    </row>
    <row r="35" spans="1:29" ht="28.5" hidden="1" customHeight="1" x14ac:dyDescent="0.2">
      <c r="A35" s="904">
        <v>40148</v>
      </c>
      <c r="B35" s="914">
        <v>223.5</v>
      </c>
      <c r="C35" s="915">
        <v>157.11632499999999</v>
      </c>
      <c r="D35" s="915">
        <v>207.54839999999999</v>
      </c>
      <c r="E35" s="915">
        <v>1103.7596000000001</v>
      </c>
      <c r="F35" s="915">
        <v>1611.6784</v>
      </c>
      <c r="G35" s="915">
        <v>2578.212</v>
      </c>
      <c r="H35" s="915">
        <v>13609.625</v>
      </c>
      <c r="I35" s="916">
        <v>1163.1199999999999</v>
      </c>
      <c r="J35" s="917">
        <v>20654.559724999999</v>
      </c>
      <c r="K35" s="914">
        <v>8.5850000000000009</v>
      </c>
      <c r="L35" s="915">
        <v>12.955</v>
      </c>
      <c r="M35" s="915">
        <v>133.39807999999999</v>
      </c>
      <c r="N35" s="918">
        <v>216.40622999999999</v>
      </c>
      <c r="O35" s="921">
        <v>93.355885000000001</v>
      </c>
      <c r="P35" s="922">
        <v>114.90643</v>
      </c>
      <c r="Q35" s="915">
        <v>27.515757000000001</v>
      </c>
      <c r="R35" s="915">
        <v>6.3474992500000003</v>
      </c>
      <c r="S35" s="915">
        <v>34.670226199999995</v>
      </c>
      <c r="T35" s="915">
        <v>2.4285654999999999</v>
      </c>
      <c r="U35" s="915">
        <v>8.2286047</v>
      </c>
      <c r="V35" s="915">
        <v>0.33051676000000002</v>
      </c>
      <c r="W35" s="915">
        <v>0.22206902000000001</v>
      </c>
      <c r="X35" s="919">
        <v>659.34986343000003</v>
      </c>
      <c r="Y35" s="920">
        <v>21313.90958843</v>
      </c>
      <c r="Z35" s="912"/>
      <c r="AA35" s="913"/>
      <c r="AB35" s="913"/>
      <c r="AC35" s="913"/>
    </row>
    <row r="36" spans="1:29" ht="28.5" hidden="1" customHeight="1" x14ac:dyDescent="0.2">
      <c r="A36" s="904">
        <v>40179</v>
      </c>
      <c r="B36" s="914">
        <v>223.4</v>
      </c>
      <c r="C36" s="915">
        <v>163.1</v>
      </c>
      <c r="D36" s="915">
        <v>206.7</v>
      </c>
      <c r="E36" s="915">
        <v>1000.4</v>
      </c>
      <c r="F36" s="915">
        <v>1380.6</v>
      </c>
      <c r="G36" s="915">
        <v>2232</v>
      </c>
      <c r="H36" s="915">
        <v>12193.1</v>
      </c>
      <c r="I36" s="916">
        <v>1132</v>
      </c>
      <c r="J36" s="917">
        <v>18531.3</v>
      </c>
      <c r="K36" s="914">
        <v>8.6</v>
      </c>
      <c r="L36" s="915">
        <v>12.9621</v>
      </c>
      <c r="M36" s="915">
        <v>136.4</v>
      </c>
      <c r="N36" s="918">
        <v>218.57</v>
      </c>
      <c r="O36" s="921">
        <v>93.36</v>
      </c>
      <c r="P36" s="922">
        <v>116.24</v>
      </c>
      <c r="Q36" s="915">
        <v>27.76</v>
      </c>
      <c r="R36" s="915">
        <v>6.3474992500000003</v>
      </c>
      <c r="S36" s="915">
        <v>34.700000000000003</v>
      </c>
      <c r="T36" s="915">
        <v>2.4</v>
      </c>
      <c r="U36" s="915">
        <v>8.1999999999999993</v>
      </c>
      <c r="V36" s="915">
        <v>0.3</v>
      </c>
      <c r="W36" s="915">
        <v>0.2</v>
      </c>
      <c r="X36" s="919">
        <v>666.03959925000015</v>
      </c>
      <c r="Y36" s="920">
        <v>19197.339599250001</v>
      </c>
      <c r="Z36" s="912"/>
      <c r="AA36" s="913"/>
      <c r="AB36" s="913"/>
      <c r="AC36" s="913"/>
    </row>
    <row r="37" spans="1:29" ht="28.5" hidden="1" customHeight="1" x14ac:dyDescent="0.2">
      <c r="A37" s="904">
        <v>40210</v>
      </c>
      <c r="B37" s="914">
        <v>223.3</v>
      </c>
      <c r="C37" s="915">
        <v>161.252725</v>
      </c>
      <c r="D37" s="915">
        <v>206.64425</v>
      </c>
      <c r="E37" s="915">
        <v>979.74149999999997</v>
      </c>
      <c r="F37" s="915">
        <v>1375.3363999999999</v>
      </c>
      <c r="G37" s="915">
        <v>2160.5745000000002</v>
      </c>
      <c r="H37" s="915">
        <v>11993.867</v>
      </c>
      <c r="I37" s="916">
        <v>1119.5519999999999</v>
      </c>
      <c r="J37" s="917">
        <v>18220.268375</v>
      </c>
      <c r="K37" s="914">
        <v>8.6</v>
      </c>
      <c r="L37" s="915">
        <v>13</v>
      </c>
      <c r="M37" s="915">
        <v>134.91</v>
      </c>
      <c r="N37" s="918">
        <v>218.6</v>
      </c>
      <c r="O37" s="921">
        <v>93.4</v>
      </c>
      <c r="P37" s="922">
        <v>116.99</v>
      </c>
      <c r="Q37" s="915">
        <v>27.76</v>
      </c>
      <c r="R37" s="915">
        <v>6.3474992500000003</v>
      </c>
      <c r="S37" s="915">
        <v>34.799999999999997</v>
      </c>
      <c r="T37" s="915">
        <v>2.4</v>
      </c>
      <c r="U37" s="915">
        <v>8.25</v>
      </c>
      <c r="V37" s="915">
        <v>0.33</v>
      </c>
      <c r="W37" s="915">
        <v>0.2</v>
      </c>
      <c r="X37" s="919">
        <v>665.59</v>
      </c>
      <c r="Y37" s="920">
        <v>18885.858375</v>
      </c>
      <c r="Z37" s="912"/>
      <c r="AA37" s="913"/>
      <c r="AB37" s="913"/>
      <c r="AC37" s="913"/>
    </row>
    <row r="38" spans="1:29" ht="28.5" hidden="1" customHeight="1" x14ac:dyDescent="0.2">
      <c r="A38" s="904">
        <v>40238</v>
      </c>
      <c r="B38" s="914">
        <v>223.3</v>
      </c>
      <c r="C38" s="915">
        <v>162.4</v>
      </c>
      <c r="D38" s="915">
        <v>203.1</v>
      </c>
      <c r="E38" s="915">
        <v>980.83</v>
      </c>
      <c r="F38" s="915">
        <v>1372.3</v>
      </c>
      <c r="G38" s="915">
        <v>2229.5</v>
      </c>
      <c r="H38" s="915">
        <v>12056.4</v>
      </c>
      <c r="I38" s="916">
        <v>1097.7</v>
      </c>
      <c r="J38" s="917">
        <v>18325.53</v>
      </c>
      <c r="K38" s="914">
        <v>8.61</v>
      </c>
      <c r="L38" s="915">
        <v>12.967000000000001</v>
      </c>
      <c r="M38" s="915">
        <v>130.96</v>
      </c>
      <c r="N38" s="918">
        <v>218.20168000000001</v>
      </c>
      <c r="O38" s="921">
        <v>94.12</v>
      </c>
      <c r="P38" s="922">
        <v>117.398</v>
      </c>
      <c r="Q38" s="915">
        <v>27.76</v>
      </c>
      <c r="R38" s="915">
        <v>6.3470000000000004</v>
      </c>
      <c r="S38" s="915">
        <v>35.049999999999997</v>
      </c>
      <c r="T38" s="915">
        <v>2.4300000000000002</v>
      </c>
      <c r="U38" s="915">
        <v>8.2606000000000002</v>
      </c>
      <c r="V38" s="915">
        <v>0.33</v>
      </c>
      <c r="W38" s="915">
        <v>0.2</v>
      </c>
      <c r="X38" s="919">
        <v>662.63427999999999</v>
      </c>
      <c r="Y38" s="920">
        <v>18988.164280000001</v>
      </c>
      <c r="Z38" s="912"/>
      <c r="AA38" s="913"/>
      <c r="AB38" s="913"/>
      <c r="AC38" s="913"/>
    </row>
    <row r="39" spans="1:29" ht="28.5" hidden="1" customHeight="1" x14ac:dyDescent="0.2">
      <c r="A39" s="904">
        <v>40269</v>
      </c>
      <c r="B39" s="914">
        <v>223.2</v>
      </c>
      <c r="C39" s="915">
        <v>170.58</v>
      </c>
      <c r="D39" s="915">
        <v>220.6797</v>
      </c>
      <c r="E39" s="915">
        <v>970.68</v>
      </c>
      <c r="F39" s="915">
        <v>1337.58</v>
      </c>
      <c r="G39" s="915">
        <v>2183.1799999999998</v>
      </c>
      <c r="H39" s="915">
        <v>12143.69</v>
      </c>
      <c r="I39" s="916">
        <v>1082.3499999999999</v>
      </c>
      <c r="J39" s="917">
        <v>18331.939699999999</v>
      </c>
      <c r="K39" s="914">
        <v>8.6</v>
      </c>
      <c r="L39" s="915">
        <v>12.97</v>
      </c>
      <c r="M39" s="915">
        <v>131.37</v>
      </c>
      <c r="N39" s="918">
        <v>218.35</v>
      </c>
      <c r="O39" s="921">
        <v>95.01</v>
      </c>
      <c r="P39" s="922">
        <v>117.64</v>
      </c>
      <c r="Q39" s="915">
        <v>27.75</v>
      </c>
      <c r="R39" s="915">
        <v>6.34</v>
      </c>
      <c r="S39" s="915">
        <v>35.17</v>
      </c>
      <c r="T39" s="915">
        <v>2.42</v>
      </c>
      <c r="U39" s="915">
        <v>8.26</v>
      </c>
      <c r="V39" s="915">
        <v>0.33</v>
      </c>
      <c r="W39" s="915">
        <v>0.22</v>
      </c>
      <c r="X39" s="919">
        <v>664.43</v>
      </c>
      <c r="Y39" s="920">
        <v>18996.369699999999</v>
      </c>
      <c r="Z39" s="912"/>
      <c r="AA39" s="913"/>
      <c r="AB39" s="913"/>
      <c r="AC39" s="913"/>
    </row>
    <row r="40" spans="1:29" ht="28.5" hidden="1" customHeight="1" x14ac:dyDescent="0.2">
      <c r="A40" s="904">
        <v>40299</v>
      </c>
      <c r="B40" s="914">
        <v>219.7</v>
      </c>
      <c r="C40" s="915">
        <v>173.1</v>
      </c>
      <c r="D40" s="915">
        <v>233</v>
      </c>
      <c r="E40" s="915">
        <v>978.9</v>
      </c>
      <c r="F40" s="915">
        <v>1364.79</v>
      </c>
      <c r="G40" s="915">
        <v>2189.9</v>
      </c>
      <c r="H40" s="915">
        <v>12249.4</v>
      </c>
      <c r="I40" s="916">
        <v>1080.0999999999999</v>
      </c>
      <c r="J40" s="923">
        <v>18488.89</v>
      </c>
      <c r="K40" s="914">
        <v>8.6</v>
      </c>
      <c r="L40" s="915">
        <v>12.98</v>
      </c>
      <c r="M40" s="915">
        <v>129.77000000000001</v>
      </c>
      <c r="N40" s="924">
        <v>218.63</v>
      </c>
      <c r="O40" s="924">
        <v>95.18</v>
      </c>
      <c r="P40" s="925">
        <v>117.85</v>
      </c>
      <c r="Q40" s="925">
        <v>27.8</v>
      </c>
      <c r="R40" s="915">
        <v>6.3</v>
      </c>
      <c r="S40" s="915">
        <v>35.25</v>
      </c>
      <c r="T40" s="915">
        <v>2.4300000000000002</v>
      </c>
      <c r="U40" s="915">
        <v>8.33</v>
      </c>
      <c r="V40" s="915">
        <v>0.33</v>
      </c>
      <c r="W40" s="915">
        <v>0.22</v>
      </c>
      <c r="X40" s="919">
        <v>663.67</v>
      </c>
      <c r="Y40" s="920">
        <v>19152.559999999998</v>
      </c>
      <c r="Z40" s="912"/>
      <c r="AA40" s="913"/>
      <c r="AB40" s="913"/>
      <c r="AC40" s="913"/>
    </row>
    <row r="41" spans="1:29" ht="28.5" hidden="1" customHeight="1" x14ac:dyDescent="0.2">
      <c r="A41" s="904">
        <v>40330</v>
      </c>
      <c r="B41" s="914">
        <v>219.6</v>
      </c>
      <c r="C41" s="915">
        <v>174.9</v>
      </c>
      <c r="D41" s="915">
        <v>236.9</v>
      </c>
      <c r="E41" s="915">
        <v>957.7</v>
      </c>
      <c r="F41" s="915">
        <v>1316</v>
      </c>
      <c r="G41" s="915">
        <v>2155.4</v>
      </c>
      <c r="H41" s="915">
        <v>12099.4</v>
      </c>
      <c r="I41" s="916">
        <v>1068.5</v>
      </c>
      <c r="J41" s="923">
        <v>18228.400000000001</v>
      </c>
      <c r="K41" s="914">
        <v>8.6</v>
      </c>
      <c r="L41" s="915">
        <v>12.98</v>
      </c>
      <c r="M41" s="915">
        <v>128.6</v>
      </c>
      <c r="N41" s="924">
        <v>217.07</v>
      </c>
      <c r="O41" s="924">
        <v>95.27</v>
      </c>
      <c r="P41" s="925">
        <v>118.08</v>
      </c>
      <c r="Q41" s="925">
        <v>27.83</v>
      </c>
      <c r="R41" s="915">
        <v>6.3</v>
      </c>
      <c r="S41" s="915">
        <v>35.54</v>
      </c>
      <c r="T41" s="915">
        <v>2.4300000000000002</v>
      </c>
      <c r="U41" s="915">
        <v>8.41</v>
      </c>
      <c r="V41" s="915">
        <v>0.33</v>
      </c>
      <c r="W41" s="915">
        <v>0.22</v>
      </c>
      <c r="X41" s="919">
        <v>661.66</v>
      </c>
      <c r="Y41" s="920">
        <v>18890.060000000001</v>
      </c>
      <c r="Z41" s="912"/>
      <c r="AA41" s="913"/>
      <c r="AB41" s="913"/>
      <c r="AC41" s="913"/>
    </row>
    <row r="42" spans="1:29" ht="28.5" hidden="1" customHeight="1" x14ac:dyDescent="0.2">
      <c r="A42" s="904">
        <v>40360</v>
      </c>
      <c r="B42" s="914">
        <v>219.56</v>
      </c>
      <c r="C42" s="915">
        <v>175.46</v>
      </c>
      <c r="D42" s="915">
        <v>242.4</v>
      </c>
      <c r="E42" s="915">
        <v>973.4</v>
      </c>
      <c r="F42" s="915">
        <v>1327</v>
      </c>
      <c r="G42" s="915">
        <v>2207</v>
      </c>
      <c r="H42" s="915">
        <v>12337.3</v>
      </c>
      <c r="I42" s="916">
        <v>1059.5999999999999</v>
      </c>
      <c r="J42" s="923">
        <v>18541.72</v>
      </c>
      <c r="K42" s="914">
        <v>8.6</v>
      </c>
      <c r="L42" s="915">
        <v>12.98</v>
      </c>
      <c r="M42" s="915">
        <v>126.51</v>
      </c>
      <c r="N42" s="924">
        <v>215.95</v>
      </c>
      <c r="O42" s="924">
        <v>95.09</v>
      </c>
      <c r="P42" s="925">
        <v>118.4</v>
      </c>
      <c r="Q42" s="925">
        <v>27.9</v>
      </c>
      <c r="R42" s="915">
        <v>6.3460000000000001</v>
      </c>
      <c r="S42" s="915">
        <v>35.64</v>
      </c>
      <c r="T42" s="915">
        <v>2.4300000000000002</v>
      </c>
      <c r="U42" s="915">
        <v>8.4600000000000009</v>
      </c>
      <c r="V42" s="915">
        <v>0.33</v>
      </c>
      <c r="W42" s="915">
        <v>0.22</v>
      </c>
      <c r="X42" s="919">
        <v>658.85599999999999</v>
      </c>
      <c r="Y42" s="920">
        <v>19200.575999999997</v>
      </c>
      <c r="Z42" s="912"/>
      <c r="AA42" s="913"/>
      <c r="AB42" s="913"/>
      <c r="AC42" s="913"/>
    </row>
    <row r="43" spans="1:29" ht="28.5" hidden="1" customHeight="1" x14ac:dyDescent="0.2">
      <c r="A43" s="904">
        <v>40391</v>
      </c>
      <c r="B43" s="914">
        <v>219.5</v>
      </c>
      <c r="C43" s="915">
        <v>179.6</v>
      </c>
      <c r="D43" s="915">
        <v>251.75</v>
      </c>
      <c r="E43" s="915">
        <v>972.95</v>
      </c>
      <c r="F43" s="915">
        <v>1361.1</v>
      </c>
      <c r="G43" s="915">
        <v>2211.4899999999998</v>
      </c>
      <c r="H43" s="915">
        <v>12434.69</v>
      </c>
      <c r="I43" s="916">
        <v>1049.9000000000001</v>
      </c>
      <c r="J43" s="923">
        <v>18680.98</v>
      </c>
      <c r="K43" s="914">
        <v>8.6300000000000008</v>
      </c>
      <c r="L43" s="915">
        <v>12.99</v>
      </c>
      <c r="M43" s="915">
        <v>126.58</v>
      </c>
      <c r="N43" s="924">
        <v>215.91</v>
      </c>
      <c r="O43" s="924">
        <v>95.42</v>
      </c>
      <c r="P43" s="925">
        <v>118.66</v>
      </c>
      <c r="Q43" s="925">
        <v>28</v>
      </c>
      <c r="R43" s="915">
        <v>6.3460000000000001</v>
      </c>
      <c r="S43" s="915">
        <v>35.89</v>
      </c>
      <c r="T43" s="915">
        <v>2.4</v>
      </c>
      <c r="U43" s="915">
        <v>8.5030000000000001</v>
      </c>
      <c r="V43" s="915">
        <v>0.33</v>
      </c>
      <c r="W43" s="915">
        <v>0.22</v>
      </c>
      <c r="X43" s="919">
        <v>659.87900000000013</v>
      </c>
      <c r="Y43" s="920">
        <v>19340.859000000004</v>
      </c>
      <c r="Z43" s="912"/>
      <c r="AA43" s="913"/>
      <c r="AB43" s="913"/>
      <c r="AC43" s="913"/>
    </row>
    <row r="44" spans="1:29" ht="28.5" hidden="1" customHeight="1" x14ac:dyDescent="0.2">
      <c r="A44" s="904">
        <v>40422</v>
      </c>
      <c r="B44" s="914">
        <v>219.44</v>
      </c>
      <c r="C44" s="915">
        <v>182.4</v>
      </c>
      <c r="D44" s="915">
        <v>255.9</v>
      </c>
      <c r="E44" s="915">
        <v>1013.9</v>
      </c>
      <c r="F44" s="915">
        <v>1350.8</v>
      </c>
      <c r="G44" s="915">
        <v>2246.6999999999998</v>
      </c>
      <c r="H44" s="915">
        <v>12363.3</v>
      </c>
      <c r="I44" s="916">
        <v>1044.5999999999999</v>
      </c>
      <c r="J44" s="923">
        <v>18677.039999999997</v>
      </c>
      <c r="K44" s="914">
        <v>8.6</v>
      </c>
      <c r="L44" s="915">
        <v>12.99</v>
      </c>
      <c r="M44" s="915">
        <v>126.69</v>
      </c>
      <c r="N44" s="924">
        <v>215.62</v>
      </c>
      <c r="O44" s="924">
        <v>95.63</v>
      </c>
      <c r="P44" s="925">
        <v>118.81</v>
      </c>
      <c r="Q44" s="925">
        <v>28.06</v>
      </c>
      <c r="R44" s="915">
        <v>6.3</v>
      </c>
      <c r="S44" s="915">
        <v>35.93</v>
      </c>
      <c r="T44" s="915">
        <v>2.4300000000000002</v>
      </c>
      <c r="U44" s="915">
        <v>8.5500000000000007</v>
      </c>
      <c r="V44" s="915">
        <v>0.33</v>
      </c>
      <c r="W44" s="915">
        <v>0.2</v>
      </c>
      <c r="X44" s="919">
        <v>660.14999999999975</v>
      </c>
      <c r="Y44" s="920">
        <v>19337.189999999999</v>
      </c>
      <c r="Z44" s="912"/>
      <c r="AA44" s="913"/>
      <c r="AB44" s="913"/>
      <c r="AC44" s="913"/>
    </row>
    <row r="45" spans="1:29" ht="28.5" hidden="1" customHeight="1" x14ac:dyDescent="0.2">
      <c r="A45" s="904">
        <v>40452</v>
      </c>
      <c r="B45" s="914">
        <v>219.39</v>
      </c>
      <c r="C45" s="915">
        <v>180.07</v>
      </c>
      <c r="D45" s="915">
        <v>252.2</v>
      </c>
      <c r="E45" s="915">
        <v>1009.1</v>
      </c>
      <c r="F45" s="915">
        <v>1357.59</v>
      </c>
      <c r="G45" s="915">
        <v>2233.25</v>
      </c>
      <c r="H45" s="915">
        <v>12536.1</v>
      </c>
      <c r="I45" s="916">
        <v>1034.5999999999999</v>
      </c>
      <c r="J45" s="923">
        <v>18822.3</v>
      </c>
      <c r="K45" s="914">
        <v>8.6</v>
      </c>
      <c r="L45" s="915">
        <v>12.996</v>
      </c>
      <c r="M45" s="915">
        <v>127.81</v>
      </c>
      <c r="N45" s="924">
        <v>216.33</v>
      </c>
      <c r="O45" s="924">
        <v>95.79</v>
      </c>
      <c r="P45" s="925">
        <v>119.03</v>
      </c>
      <c r="Q45" s="925">
        <v>28.06</v>
      </c>
      <c r="R45" s="915">
        <v>6.3460000000000001</v>
      </c>
      <c r="S45" s="915">
        <v>35.9</v>
      </c>
      <c r="T45" s="915">
        <v>2.4300000000000002</v>
      </c>
      <c r="U45" s="915">
        <v>8.59</v>
      </c>
      <c r="V45" s="915">
        <v>0.33</v>
      </c>
      <c r="W45" s="915">
        <v>0.22</v>
      </c>
      <c r="X45" s="919">
        <v>662.43200000000002</v>
      </c>
      <c r="Y45" s="920">
        <v>19484.732</v>
      </c>
      <c r="Z45" s="912"/>
      <c r="AA45" s="913"/>
      <c r="AB45" s="913"/>
      <c r="AC45" s="913"/>
    </row>
    <row r="46" spans="1:29" ht="28.5" hidden="1" customHeight="1" x14ac:dyDescent="0.2">
      <c r="A46" s="904">
        <v>40483</v>
      </c>
      <c r="B46" s="926">
        <v>219.3</v>
      </c>
      <c r="C46" s="915">
        <v>179.85</v>
      </c>
      <c r="D46" s="915">
        <v>260.08</v>
      </c>
      <c r="E46" s="915">
        <v>1018.2</v>
      </c>
      <c r="F46" s="915">
        <v>1363</v>
      </c>
      <c r="G46" s="915">
        <v>2250.25</v>
      </c>
      <c r="H46" s="915">
        <v>12720.4</v>
      </c>
      <c r="I46" s="916">
        <v>1079.26</v>
      </c>
      <c r="J46" s="923">
        <v>19090.34</v>
      </c>
      <c r="K46" s="914">
        <v>8.6</v>
      </c>
      <c r="L46" s="915">
        <v>13.003</v>
      </c>
      <c r="M46" s="915">
        <v>128.13</v>
      </c>
      <c r="N46" s="915">
        <v>217.26</v>
      </c>
      <c r="O46" s="915">
        <v>96.89</v>
      </c>
      <c r="P46" s="915">
        <v>119.64</v>
      </c>
      <c r="Q46" s="915">
        <v>28.09</v>
      </c>
      <c r="R46" s="915">
        <v>6.3460000000000001</v>
      </c>
      <c r="S46" s="915">
        <v>36.25</v>
      </c>
      <c r="T46" s="915">
        <v>2.4300000000000002</v>
      </c>
      <c r="U46" s="915">
        <v>8.64</v>
      </c>
      <c r="V46" s="915">
        <v>0.33</v>
      </c>
      <c r="W46" s="915">
        <v>0.22</v>
      </c>
      <c r="X46" s="919">
        <v>665.82900000000006</v>
      </c>
      <c r="Y46" s="919">
        <v>19756.169000000002</v>
      </c>
      <c r="Z46" s="912"/>
      <c r="AA46" s="913"/>
      <c r="AB46" s="913"/>
      <c r="AC46" s="913"/>
    </row>
    <row r="47" spans="1:29" ht="28.5" hidden="1" customHeight="1" x14ac:dyDescent="0.2">
      <c r="A47" s="904">
        <v>40513</v>
      </c>
      <c r="B47" s="926">
        <v>219.26900000000001</v>
      </c>
      <c r="C47" s="915">
        <v>196.5</v>
      </c>
      <c r="D47" s="915">
        <v>289.39999999999998</v>
      </c>
      <c r="E47" s="915">
        <v>1112.6300000000001</v>
      </c>
      <c r="F47" s="915">
        <v>1563.9</v>
      </c>
      <c r="G47" s="915">
        <v>2688.13</v>
      </c>
      <c r="H47" s="915">
        <v>14930.42</v>
      </c>
      <c r="I47" s="916">
        <v>1154.04</v>
      </c>
      <c r="J47" s="923">
        <v>22154.289000000001</v>
      </c>
      <c r="K47" s="914">
        <v>8.82</v>
      </c>
      <c r="L47" s="915">
        <v>13.009</v>
      </c>
      <c r="M47" s="915">
        <v>131.69999999999999</v>
      </c>
      <c r="N47" s="915">
        <v>221.75</v>
      </c>
      <c r="O47" s="915">
        <v>99.16</v>
      </c>
      <c r="P47" s="915">
        <v>121.23</v>
      </c>
      <c r="Q47" s="915">
        <v>28.18</v>
      </c>
      <c r="R47" s="915">
        <v>6.3460000000000001</v>
      </c>
      <c r="S47" s="915">
        <v>36.700000000000003</v>
      </c>
      <c r="T47" s="915">
        <v>2.4300000000000002</v>
      </c>
      <c r="U47" s="915">
        <v>8.7200000000000006</v>
      </c>
      <c r="V47" s="915">
        <v>0.33</v>
      </c>
      <c r="W47" s="915">
        <v>0.22</v>
      </c>
      <c r="X47" s="919">
        <v>678.59500000000003</v>
      </c>
      <c r="Y47" s="919">
        <v>22832.884000000002</v>
      </c>
      <c r="Z47" s="912"/>
      <c r="AA47" s="913"/>
      <c r="AB47" s="913"/>
      <c r="AC47" s="913"/>
    </row>
    <row r="48" spans="1:29" ht="28.5" hidden="1" customHeight="1" x14ac:dyDescent="0.2">
      <c r="A48" s="904">
        <v>40544</v>
      </c>
      <c r="B48" s="926">
        <v>219.2</v>
      </c>
      <c r="C48" s="915">
        <v>189.8</v>
      </c>
      <c r="D48" s="915">
        <v>275</v>
      </c>
      <c r="E48" s="915">
        <v>1033.4000000000001</v>
      </c>
      <c r="F48" s="915">
        <v>1434.5</v>
      </c>
      <c r="G48" s="915">
        <v>2496.1999999999998</v>
      </c>
      <c r="H48" s="915">
        <v>14004.6</v>
      </c>
      <c r="I48" s="916">
        <v>1129.5999999999999</v>
      </c>
      <c r="J48" s="923">
        <v>20782.3</v>
      </c>
      <c r="K48" s="914">
        <v>8.82</v>
      </c>
      <c r="L48" s="915">
        <v>13</v>
      </c>
      <c r="M48" s="915">
        <v>131.9</v>
      </c>
      <c r="N48" s="915">
        <v>223.65</v>
      </c>
      <c r="O48" s="915">
        <v>100.82</v>
      </c>
      <c r="P48" s="915">
        <v>122.25</v>
      </c>
      <c r="Q48" s="915">
        <v>28.28</v>
      </c>
      <c r="R48" s="915">
        <v>6.3460000000000001</v>
      </c>
      <c r="S48" s="915">
        <v>36.880000000000003</v>
      </c>
      <c r="T48" s="915">
        <v>2.4300000000000002</v>
      </c>
      <c r="U48" s="915">
        <v>8.76</v>
      </c>
      <c r="V48" s="915">
        <v>0.33</v>
      </c>
      <c r="W48" s="915">
        <v>0.2</v>
      </c>
      <c r="X48" s="919">
        <v>683.66600000000005</v>
      </c>
      <c r="Y48" s="919">
        <v>21466.016</v>
      </c>
      <c r="Z48" s="912"/>
      <c r="AA48" s="913"/>
      <c r="AB48" s="913"/>
      <c r="AC48" s="913"/>
    </row>
    <row r="49" spans="1:29" ht="28.5" hidden="1" customHeight="1" x14ac:dyDescent="0.2">
      <c r="A49" s="904">
        <v>40575</v>
      </c>
      <c r="B49" s="926">
        <v>219.2</v>
      </c>
      <c r="C49" s="915">
        <v>178.8</v>
      </c>
      <c r="D49" s="915">
        <v>260.92</v>
      </c>
      <c r="E49" s="915">
        <v>1008.72</v>
      </c>
      <c r="F49" s="915">
        <v>1393.11</v>
      </c>
      <c r="G49" s="915">
        <v>2357.5</v>
      </c>
      <c r="H49" s="915">
        <v>13570.2</v>
      </c>
      <c r="I49" s="916">
        <v>1107</v>
      </c>
      <c r="J49" s="923">
        <v>20095.45</v>
      </c>
      <c r="K49" s="914">
        <v>8.83</v>
      </c>
      <c r="L49" s="915">
        <v>13.015000000000001</v>
      </c>
      <c r="M49" s="915">
        <v>131.87</v>
      </c>
      <c r="N49" s="915">
        <v>223.57</v>
      </c>
      <c r="O49" s="915">
        <v>101.03</v>
      </c>
      <c r="P49" s="915">
        <v>122.74</v>
      </c>
      <c r="Q49" s="915">
        <v>28.32</v>
      </c>
      <c r="R49" s="915">
        <v>6.3</v>
      </c>
      <c r="S49" s="915">
        <v>37</v>
      </c>
      <c r="T49" s="915">
        <v>2.4</v>
      </c>
      <c r="U49" s="915">
        <v>8.7799999999999994</v>
      </c>
      <c r="V49" s="915">
        <v>0.33</v>
      </c>
      <c r="W49" s="915">
        <v>0.22</v>
      </c>
      <c r="X49" s="919">
        <v>684.40499999999997</v>
      </c>
      <c r="Y49" s="919">
        <v>20779.855</v>
      </c>
      <c r="Z49" s="912"/>
      <c r="AA49" s="913"/>
      <c r="AB49" s="927"/>
      <c r="AC49" s="913"/>
    </row>
    <row r="50" spans="1:29" ht="28.5" hidden="1" customHeight="1" x14ac:dyDescent="0.2">
      <c r="A50" s="904">
        <v>40603</v>
      </c>
      <c r="B50" s="926">
        <v>219.1</v>
      </c>
      <c r="C50" s="915">
        <v>175.44</v>
      </c>
      <c r="D50" s="915">
        <v>257.2</v>
      </c>
      <c r="E50" s="915">
        <v>1024</v>
      </c>
      <c r="F50" s="915">
        <v>1410.8</v>
      </c>
      <c r="G50" s="915">
        <v>2354.1999999999998</v>
      </c>
      <c r="H50" s="915">
        <v>13547.2</v>
      </c>
      <c r="I50" s="916">
        <v>1123.7</v>
      </c>
      <c r="J50" s="923">
        <v>20111.64</v>
      </c>
      <c r="K50" s="926">
        <v>8.8000000000000007</v>
      </c>
      <c r="L50" s="918">
        <v>13.021000000000001</v>
      </c>
      <c r="M50" s="918">
        <v>131.93</v>
      </c>
      <c r="N50" s="918">
        <v>223.68</v>
      </c>
      <c r="O50" s="918">
        <v>101.09</v>
      </c>
      <c r="P50" s="918">
        <v>123.83</v>
      </c>
      <c r="Q50" s="918">
        <v>28.5</v>
      </c>
      <c r="R50" s="918">
        <v>6.3460000000000001</v>
      </c>
      <c r="S50" s="918">
        <v>37.229999999999997</v>
      </c>
      <c r="T50" s="918">
        <v>2.4300000000000002</v>
      </c>
      <c r="U50" s="918">
        <v>8.85</v>
      </c>
      <c r="V50" s="918">
        <v>0.33</v>
      </c>
      <c r="W50" s="918">
        <v>0.22</v>
      </c>
      <c r="X50" s="919">
        <v>686.25700000000018</v>
      </c>
      <c r="Y50" s="919">
        <v>20797.897000000004</v>
      </c>
      <c r="Z50" s="912"/>
      <c r="AB50" s="927"/>
      <c r="AC50" s="913"/>
    </row>
    <row r="51" spans="1:29" ht="28.5" hidden="1" customHeight="1" x14ac:dyDescent="0.2">
      <c r="A51" s="904">
        <v>40634</v>
      </c>
      <c r="B51" s="926">
        <v>219.06</v>
      </c>
      <c r="C51" s="915">
        <v>172.1</v>
      </c>
      <c r="D51" s="915">
        <v>253.6</v>
      </c>
      <c r="E51" s="915">
        <v>1007.86</v>
      </c>
      <c r="F51" s="915">
        <v>1364.3</v>
      </c>
      <c r="G51" s="915">
        <v>2308</v>
      </c>
      <c r="H51" s="915">
        <v>13462.2</v>
      </c>
      <c r="I51" s="916">
        <v>1120</v>
      </c>
      <c r="J51" s="923">
        <v>19907.12</v>
      </c>
      <c r="K51" s="926">
        <v>8.84</v>
      </c>
      <c r="L51" s="918">
        <v>13</v>
      </c>
      <c r="M51" s="918">
        <v>132.1</v>
      </c>
      <c r="N51" s="918">
        <v>223.71</v>
      </c>
      <c r="O51" s="918">
        <v>100.77</v>
      </c>
      <c r="P51" s="918">
        <v>124.1</v>
      </c>
      <c r="Q51" s="918">
        <v>28.65</v>
      </c>
      <c r="R51" s="918">
        <v>6.34</v>
      </c>
      <c r="S51" s="918">
        <v>37.270000000000003</v>
      </c>
      <c r="T51" s="918">
        <v>2.4300000000000002</v>
      </c>
      <c r="U51" s="918">
        <v>8.8699999999999992</v>
      </c>
      <c r="V51" s="918">
        <v>0.33</v>
      </c>
      <c r="W51" s="918">
        <v>0.22</v>
      </c>
      <c r="X51" s="919">
        <v>686.63</v>
      </c>
      <c r="Y51" s="919">
        <v>20593.75</v>
      </c>
      <c r="Z51" s="912"/>
      <c r="AA51" s="913"/>
      <c r="AB51" s="927"/>
      <c r="AC51" s="913"/>
    </row>
    <row r="52" spans="1:29" ht="28.5" hidden="1" customHeight="1" x14ac:dyDescent="0.2">
      <c r="A52" s="904">
        <v>40664</v>
      </c>
      <c r="B52" s="926">
        <v>219</v>
      </c>
      <c r="C52" s="915">
        <v>172.35</v>
      </c>
      <c r="D52" s="915">
        <v>253.16</v>
      </c>
      <c r="E52" s="915">
        <v>989.89</v>
      </c>
      <c r="F52" s="915">
        <v>1360.39</v>
      </c>
      <c r="G52" s="915">
        <v>2339.66</v>
      </c>
      <c r="H52" s="915">
        <v>13699.36</v>
      </c>
      <c r="I52" s="916">
        <v>1115.7</v>
      </c>
      <c r="J52" s="923">
        <v>20149.509999999998</v>
      </c>
      <c r="K52" s="926">
        <v>8.8000000000000007</v>
      </c>
      <c r="L52" s="918">
        <v>13</v>
      </c>
      <c r="M52" s="918">
        <v>131.5</v>
      </c>
      <c r="N52" s="918">
        <v>223.8</v>
      </c>
      <c r="O52" s="918">
        <v>100.61</v>
      </c>
      <c r="P52" s="918">
        <v>124.5</v>
      </c>
      <c r="Q52" s="918">
        <v>28.84</v>
      </c>
      <c r="R52" s="918">
        <v>6.3460000000000001</v>
      </c>
      <c r="S52" s="918">
        <v>37.4</v>
      </c>
      <c r="T52" s="918">
        <v>2.4300000000000002</v>
      </c>
      <c r="U52" s="918">
        <v>8.91</v>
      </c>
      <c r="V52" s="918">
        <v>0.33</v>
      </c>
      <c r="W52" s="918">
        <v>0.22</v>
      </c>
      <c r="X52" s="919">
        <v>686.68600000000004</v>
      </c>
      <c r="Y52" s="919">
        <v>20836.196000000004</v>
      </c>
      <c r="Z52" s="912"/>
      <c r="AA52" s="928"/>
      <c r="AB52" s="927"/>
      <c r="AC52" s="913"/>
    </row>
    <row r="53" spans="1:29" ht="28.5" hidden="1" customHeight="1" x14ac:dyDescent="0.2">
      <c r="A53" s="904">
        <v>40695</v>
      </c>
      <c r="B53" s="926">
        <v>218.97</v>
      </c>
      <c r="C53" s="915">
        <v>169.75</v>
      </c>
      <c r="D53" s="915">
        <v>246.4</v>
      </c>
      <c r="E53" s="915">
        <v>1009.8</v>
      </c>
      <c r="F53" s="915">
        <v>1367.5</v>
      </c>
      <c r="G53" s="915">
        <v>2285.1</v>
      </c>
      <c r="H53" s="915">
        <v>13573.6</v>
      </c>
      <c r="I53" s="916">
        <v>1136.5</v>
      </c>
      <c r="J53" s="923">
        <v>20007.620000000003</v>
      </c>
      <c r="K53" s="926">
        <v>8.8699999999999992</v>
      </c>
      <c r="L53" s="918">
        <v>13.037000000000001</v>
      </c>
      <c r="M53" s="918">
        <v>131.57</v>
      </c>
      <c r="N53" s="918">
        <v>223.79</v>
      </c>
      <c r="O53" s="918">
        <v>100.63</v>
      </c>
      <c r="P53" s="918">
        <v>124.68</v>
      </c>
      <c r="Q53" s="918">
        <v>28.9</v>
      </c>
      <c r="R53" s="918">
        <v>6.3440000000000003</v>
      </c>
      <c r="S53" s="918">
        <v>37.43</v>
      </c>
      <c r="T53" s="918">
        <v>2.4</v>
      </c>
      <c r="U53" s="918">
        <v>8.94</v>
      </c>
      <c r="V53" s="918">
        <v>0.3</v>
      </c>
      <c r="W53" s="918">
        <v>0.22</v>
      </c>
      <c r="X53" s="917">
        <v>687.11099999999999</v>
      </c>
      <c r="Y53" s="917">
        <v>20694.731000000003</v>
      </c>
      <c r="Z53" s="912"/>
      <c r="AA53" s="913"/>
      <c r="AB53" s="927"/>
      <c r="AC53" s="913"/>
    </row>
    <row r="54" spans="1:29" ht="28.5" hidden="1" customHeight="1" x14ac:dyDescent="0.2">
      <c r="A54" s="904">
        <v>40725</v>
      </c>
      <c r="B54" s="926">
        <v>218.94</v>
      </c>
      <c r="C54" s="915">
        <v>167.62</v>
      </c>
      <c r="D54" s="915">
        <v>243</v>
      </c>
      <c r="E54" s="915">
        <v>1019.7</v>
      </c>
      <c r="F54" s="915">
        <v>1377.32</v>
      </c>
      <c r="G54" s="915">
        <v>2376.34</v>
      </c>
      <c r="H54" s="915">
        <v>13889.93</v>
      </c>
      <c r="I54" s="916">
        <v>1164.0999999999999</v>
      </c>
      <c r="J54" s="923">
        <v>20456.949999999997</v>
      </c>
      <c r="K54" s="926">
        <v>8.9</v>
      </c>
      <c r="L54" s="918">
        <v>13.04</v>
      </c>
      <c r="M54" s="918">
        <v>132.18</v>
      </c>
      <c r="N54" s="918">
        <v>224.36</v>
      </c>
      <c r="O54" s="918">
        <v>101.29</v>
      </c>
      <c r="P54" s="918">
        <v>125.03</v>
      </c>
      <c r="Q54" s="918">
        <v>29</v>
      </c>
      <c r="R54" s="918">
        <v>6.34</v>
      </c>
      <c r="S54" s="918">
        <v>37.51</v>
      </c>
      <c r="T54" s="918">
        <v>2.4300000000000002</v>
      </c>
      <c r="U54" s="918">
        <v>9</v>
      </c>
      <c r="V54" s="918">
        <v>0.33</v>
      </c>
      <c r="W54" s="918">
        <v>0.22</v>
      </c>
      <c r="X54" s="917">
        <v>689.63000000000011</v>
      </c>
      <c r="Y54" s="917">
        <v>21146.579999999998</v>
      </c>
      <c r="Z54" s="912"/>
      <c r="AA54" s="913"/>
      <c r="AB54" s="927"/>
      <c r="AC54" s="913"/>
    </row>
    <row r="55" spans="1:29" ht="28.5" hidden="1" customHeight="1" x14ac:dyDescent="0.2">
      <c r="A55" s="904">
        <v>40756</v>
      </c>
      <c r="B55" s="926">
        <v>218.9</v>
      </c>
      <c r="C55" s="915">
        <v>172.7</v>
      </c>
      <c r="D55" s="915">
        <v>249.2</v>
      </c>
      <c r="E55" s="915">
        <v>1035.5999999999999</v>
      </c>
      <c r="F55" s="915">
        <v>1424.9</v>
      </c>
      <c r="G55" s="915">
        <v>2468.1</v>
      </c>
      <c r="H55" s="915">
        <v>14458.4</v>
      </c>
      <c r="I55" s="916">
        <v>1160.0999999999999</v>
      </c>
      <c r="J55" s="923">
        <v>21187.9</v>
      </c>
      <c r="K55" s="926">
        <v>8.89</v>
      </c>
      <c r="L55" s="918">
        <v>13.04</v>
      </c>
      <c r="M55" s="918">
        <v>137.16</v>
      </c>
      <c r="N55" s="918">
        <v>227.17</v>
      </c>
      <c r="O55" s="918">
        <v>101.93</v>
      </c>
      <c r="P55" s="918">
        <v>125.26</v>
      </c>
      <c r="Q55" s="918">
        <v>29.03</v>
      </c>
      <c r="R55" s="918">
        <v>6.34</v>
      </c>
      <c r="S55" s="918">
        <v>37.58</v>
      </c>
      <c r="T55" s="918">
        <v>2.4300000000000002</v>
      </c>
      <c r="U55" s="918">
        <v>8.98</v>
      </c>
      <c r="V55" s="918">
        <v>0.33</v>
      </c>
      <c r="W55" s="918">
        <v>0.22</v>
      </c>
      <c r="X55" s="917">
        <v>698.36000000000013</v>
      </c>
      <c r="Y55" s="917">
        <v>21886.260000000002</v>
      </c>
      <c r="Z55" s="912"/>
      <c r="AA55" s="913"/>
      <c r="AB55" s="927"/>
      <c r="AC55" s="913"/>
    </row>
    <row r="56" spans="1:29" ht="28.5" hidden="1" customHeight="1" x14ac:dyDescent="0.2">
      <c r="A56" s="904">
        <v>40787</v>
      </c>
      <c r="B56" s="926">
        <v>218.8</v>
      </c>
      <c r="C56" s="915">
        <v>172.3</v>
      </c>
      <c r="D56" s="915">
        <v>248.8</v>
      </c>
      <c r="E56" s="915">
        <v>1029.3</v>
      </c>
      <c r="F56" s="915">
        <v>1425.3</v>
      </c>
      <c r="G56" s="915">
        <v>2392.4</v>
      </c>
      <c r="H56" s="915">
        <v>13982.3</v>
      </c>
      <c r="I56" s="916">
        <v>1222.4000000000001</v>
      </c>
      <c r="J56" s="923">
        <v>20691.599999999999</v>
      </c>
      <c r="K56" s="926">
        <v>8.89</v>
      </c>
      <c r="L56" s="918">
        <v>13</v>
      </c>
      <c r="M56" s="918">
        <v>141.16</v>
      </c>
      <c r="N56" s="918">
        <v>229.9</v>
      </c>
      <c r="O56" s="918">
        <v>102.1</v>
      </c>
      <c r="P56" s="918">
        <v>125.6</v>
      </c>
      <c r="Q56" s="918">
        <v>29.09</v>
      </c>
      <c r="R56" s="918">
        <v>6.3</v>
      </c>
      <c r="S56" s="918">
        <v>37.6</v>
      </c>
      <c r="T56" s="918">
        <v>2.4</v>
      </c>
      <c r="U56" s="918">
        <v>9</v>
      </c>
      <c r="V56" s="918">
        <v>0.3</v>
      </c>
      <c r="W56" s="918">
        <v>0.2</v>
      </c>
      <c r="X56" s="917">
        <v>705.95</v>
      </c>
      <c r="Y56" s="917">
        <v>21397.55</v>
      </c>
      <c r="Z56" s="912"/>
      <c r="AA56" s="913"/>
      <c r="AB56" s="927"/>
      <c r="AC56" s="913"/>
    </row>
    <row r="57" spans="1:29" ht="28.5" hidden="1" customHeight="1" x14ac:dyDescent="0.2">
      <c r="A57" s="904">
        <v>40817</v>
      </c>
      <c r="B57" s="926">
        <v>218.8</v>
      </c>
      <c r="C57" s="915">
        <v>173.4</v>
      </c>
      <c r="D57" s="915">
        <v>247.7</v>
      </c>
      <c r="E57" s="915">
        <v>1062.0999999999999</v>
      </c>
      <c r="F57" s="915">
        <v>1507.1</v>
      </c>
      <c r="G57" s="915">
        <v>2517.1</v>
      </c>
      <c r="H57" s="915">
        <v>14456.7</v>
      </c>
      <c r="I57" s="916">
        <v>1182.2</v>
      </c>
      <c r="J57" s="923">
        <v>21365.1</v>
      </c>
      <c r="K57" s="926">
        <v>8.9</v>
      </c>
      <c r="L57" s="918">
        <v>13</v>
      </c>
      <c r="M57" s="918">
        <v>145.9</v>
      </c>
      <c r="N57" s="918">
        <v>231.6</v>
      </c>
      <c r="O57" s="918">
        <v>102.6</v>
      </c>
      <c r="P57" s="918">
        <v>126.29</v>
      </c>
      <c r="Q57" s="918">
        <v>29.19</v>
      </c>
      <c r="R57" s="918">
        <v>6.34</v>
      </c>
      <c r="S57" s="918">
        <v>37.82</v>
      </c>
      <c r="T57" s="918">
        <v>2.4300000000000002</v>
      </c>
      <c r="U57" s="918">
        <v>9.0500000000000007</v>
      </c>
      <c r="V57" s="918">
        <v>0.33</v>
      </c>
      <c r="W57" s="918">
        <v>0.22</v>
      </c>
      <c r="X57" s="917">
        <v>713.74</v>
      </c>
      <c r="Y57" s="917">
        <v>22078.880000000001</v>
      </c>
      <c r="Z57" s="912"/>
      <c r="AA57" s="929"/>
      <c r="AB57" s="927"/>
      <c r="AC57" s="913"/>
    </row>
    <row r="58" spans="1:29" ht="28.5" hidden="1" customHeight="1" x14ac:dyDescent="0.2">
      <c r="A58" s="904">
        <v>40848</v>
      </c>
      <c r="B58" s="926">
        <v>218.636</v>
      </c>
      <c r="C58" s="915">
        <v>174.2</v>
      </c>
      <c r="D58" s="915">
        <v>247</v>
      </c>
      <c r="E58" s="915">
        <v>1046.0999999999999</v>
      </c>
      <c r="F58" s="915">
        <v>1454.2</v>
      </c>
      <c r="G58" s="915">
        <v>2421.4</v>
      </c>
      <c r="H58" s="915">
        <v>14170.8</v>
      </c>
      <c r="I58" s="916">
        <v>1200.5999999999999</v>
      </c>
      <c r="J58" s="923">
        <v>20932.900000000001</v>
      </c>
      <c r="K58" s="926">
        <v>8.9</v>
      </c>
      <c r="L58" s="918">
        <v>13.067</v>
      </c>
      <c r="M58" s="918">
        <v>150.71</v>
      </c>
      <c r="N58" s="918">
        <v>233.7</v>
      </c>
      <c r="O58" s="918">
        <v>102.9</v>
      </c>
      <c r="P58" s="918">
        <v>127.5</v>
      </c>
      <c r="Q58" s="918">
        <v>29.4</v>
      </c>
      <c r="R58" s="918">
        <v>6.34</v>
      </c>
      <c r="S58" s="918">
        <v>38.07</v>
      </c>
      <c r="T58" s="918">
        <v>2.4300000000000002</v>
      </c>
      <c r="U58" s="918">
        <v>9.1</v>
      </c>
      <c r="V58" s="918">
        <v>0.33</v>
      </c>
      <c r="W58" s="918">
        <v>0.22</v>
      </c>
      <c r="X58" s="917">
        <v>722.7</v>
      </c>
      <c r="Y58" s="917">
        <v>21655.599999999999</v>
      </c>
      <c r="Z58" s="912"/>
      <c r="AA58" s="913"/>
      <c r="AB58" s="927"/>
      <c r="AC58" s="913"/>
    </row>
    <row r="59" spans="1:29" ht="28.5" hidden="1" customHeight="1" x14ac:dyDescent="0.2">
      <c r="A59" s="904">
        <v>40878</v>
      </c>
      <c r="B59" s="926">
        <v>218.59</v>
      </c>
      <c r="C59" s="915">
        <v>183.45</v>
      </c>
      <c r="D59" s="915">
        <v>275.99</v>
      </c>
      <c r="E59" s="915">
        <v>1125.3</v>
      </c>
      <c r="F59" s="915">
        <v>1675.97</v>
      </c>
      <c r="G59" s="915">
        <v>2849.27</v>
      </c>
      <c r="H59" s="915">
        <v>16484.45</v>
      </c>
      <c r="I59" s="916">
        <v>1163.2</v>
      </c>
      <c r="J59" s="923">
        <v>23976.22</v>
      </c>
      <c r="K59" s="926">
        <v>9</v>
      </c>
      <c r="L59" s="918">
        <v>13.08</v>
      </c>
      <c r="M59" s="918">
        <v>156.13999999999999</v>
      </c>
      <c r="N59" s="918">
        <v>236.47</v>
      </c>
      <c r="O59" s="918">
        <v>104.04</v>
      </c>
      <c r="P59" s="918">
        <v>128.97999999999999</v>
      </c>
      <c r="Q59" s="918">
        <v>29.53</v>
      </c>
      <c r="R59" s="918">
        <v>6.3419999999999996</v>
      </c>
      <c r="S59" s="918">
        <v>38.43</v>
      </c>
      <c r="T59" s="918">
        <v>2.4300000000000002</v>
      </c>
      <c r="U59" s="918">
        <v>9.19</v>
      </c>
      <c r="V59" s="918">
        <v>0.33</v>
      </c>
      <c r="W59" s="918">
        <v>0.22</v>
      </c>
      <c r="X59" s="917">
        <v>734.1819999999999</v>
      </c>
      <c r="Y59" s="917">
        <v>24710.402000000002</v>
      </c>
      <c r="Z59" s="912"/>
      <c r="AA59" s="913"/>
      <c r="AB59" s="927"/>
      <c r="AC59" s="913"/>
    </row>
    <row r="60" spans="1:29" ht="28.5" hidden="1" customHeight="1" x14ac:dyDescent="0.2">
      <c r="A60" s="904">
        <v>40909</v>
      </c>
      <c r="B60" s="926">
        <v>218.56</v>
      </c>
      <c r="C60" s="915">
        <v>180.8</v>
      </c>
      <c r="D60" s="915">
        <v>268.7</v>
      </c>
      <c r="E60" s="915">
        <v>1057.3900000000001</v>
      </c>
      <c r="F60" s="915">
        <v>1551.45</v>
      </c>
      <c r="G60" s="915">
        <v>2575.5</v>
      </c>
      <c r="H60" s="915">
        <v>15069.3</v>
      </c>
      <c r="I60" s="916">
        <v>1171.0999999999999</v>
      </c>
      <c r="J60" s="923">
        <v>22092.799999999996</v>
      </c>
      <c r="K60" s="926">
        <v>8.9749999999999996</v>
      </c>
      <c r="L60" s="918">
        <v>13.083</v>
      </c>
      <c r="M60" s="918">
        <v>156.6</v>
      </c>
      <c r="N60" s="918">
        <v>237.54</v>
      </c>
      <c r="O60" s="918">
        <v>104.11</v>
      </c>
      <c r="P60" s="918">
        <v>129.03</v>
      </c>
      <c r="Q60" s="918">
        <v>29.56</v>
      </c>
      <c r="R60" s="918">
        <v>6.34</v>
      </c>
      <c r="S60" s="918">
        <v>38.5</v>
      </c>
      <c r="T60" s="918">
        <v>2.4300000000000002</v>
      </c>
      <c r="U60" s="918">
        <v>9.1999999999999993</v>
      </c>
      <c r="V60" s="918">
        <v>0.3</v>
      </c>
      <c r="W60" s="918">
        <v>0.2</v>
      </c>
      <c r="X60" s="917">
        <v>735.86799999999994</v>
      </c>
      <c r="Y60" s="917">
        <v>22828.7</v>
      </c>
      <c r="Z60" s="912"/>
      <c r="AA60" s="913"/>
      <c r="AB60" s="927"/>
      <c r="AC60" s="913"/>
    </row>
    <row r="61" spans="1:29" ht="28.5" hidden="1" customHeight="1" x14ac:dyDescent="0.2">
      <c r="A61" s="904">
        <v>40940</v>
      </c>
      <c r="B61" s="926">
        <v>218.48</v>
      </c>
      <c r="C61" s="915">
        <v>177.5</v>
      </c>
      <c r="D61" s="915">
        <v>263.3</v>
      </c>
      <c r="E61" s="915">
        <v>1046.0999999999999</v>
      </c>
      <c r="F61" s="915">
        <v>1474.1</v>
      </c>
      <c r="G61" s="915">
        <v>2504.8000000000002</v>
      </c>
      <c r="H61" s="915">
        <v>14837.2</v>
      </c>
      <c r="I61" s="916">
        <v>1159.4000000000001</v>
      </c>
      <c r="J61" s="923">
        <v>21680.9</v>
      </c>
      <c r="K61" s="926">
        <v>8.98</v>
      </c>
      <c r="L61" s="918">
        <v>13.08</v>
      </c>
      <c r="M61" s="918">
        <v>151.87</v>
      </c>
      <c r="N61" s="918">
        <v>237.04</v>
      </c>
      <c r="O61" s="918">
        <v>104.13</v>
      </c>
      <c r="P61" s="918">
        <v>129.08000000000001</v>
      </c>
      <c r="Q61" s="918">
        <v>29.61</v>
      </c>
      <c r="R61" s="918">
        <v>6.34</v>
      </c>
      <c r="S61" s="918">
        <v>38.57</v>
      </c>
      <c r="T61" s="918">
        <v>2.4</v>
      </c>
      <c r="U61" s="918">
        <v>9.1999999999999993</v>
      </c>
      <c r="V61" s="918">
        <v>0.33</v>
      </c>
      <c r="W61" s="918">
        <v>0.22</v>
      </c>
      <c r="X61" s="917">
        <v>730.9</v>
      </c>
      <c r="Y61" s="917">
        <v>22411.8</v>
      </c>
      <c r="Z61" s="912"/>
      <c r="AA61" s="913"/>
      <c r="AB61" s="927"/>
      <c r="AC61" s="913"/>
    </row>
    <row r="62" spans="1:29" ht="28.5" hidden="1" customHeight="1" x14ac:dyDescent="0.2">
      <c r="A62" s="904">
        <v>40969</v>
      </c>
      <c r="B62" s="926">
        <v>218.44</v>
      </c>
      <c r="C62" s="915">
        <v>176.9</v>
      </c>
      <c r="D62" s="915">
        <v>262.43</v>
      </c>
      <c r="E62" s="915">
        <v>1034.5</v>
      </c>
      <c r="F62" s="915">
        <v>1453.9</v>
      </c>
      <c r="G62" s="915">
        <v>2412.9</v>
      </c>
      <c r="H62" s="915">
        <v>14691.1</v>
      </c>
      <c r="I62" s="916">
        <v>1123.4000000000001</v>
      </c>
      <c r="J62" s="923">
        <v>21373.55</v>
      </c>
      <c r="K62" s="926">
        <v>9</v>
      </c>
      <c r="L62" s="918">
        <v>13.086</v>
      </c>
      <c r="M62" s="918">
        <v>149.37</v>
      </c>
      <c r="N62" s="918">
        <v>237.2</v>
      </c>
      <c r="O62" s="918">
        <v>104.13</v>
      </c>
      <c r="P62" s="918">
        <v>129.15</v>
      </c>
      <c r="Q62" s="918">
        <v>29.861000000000001</v>
      </c>
      <c r="R62" s="918">
        <v>6.3419999999999996</v>
      </c>
      <c r="S62" s="918">
        <v>38.68</v>
      </c>
      <c r="T62" s="918">
        <v>2.4300000000000002</v>
      </c>
      <c r="U62" s="918">
        <v>9.2330000000000005</v>
      </c>
      <c r="V62" s="918">
        <v>0.33</v>
      </c>
      <c r="W62" s="918">
        <v>0.22</v>
      </c>
      <c r="X62" s="917">
        <v>729.03199999999993</v>
      </c>
      <c r="Y62" s="917">
        <v>22102.581999999999</v>
      </c>
      <c r="Z62" s="912"/>
      <c r="AA62" s="913"/>
      <c r="AB62" s="927"/>
      <c r="AC62" s="913"/>
    </row>
    <row r="63" spans="1:29" ht="28.5" hidden="1" customHeight="1" x14ac:dyDescent="0.2">
      <c r="A63" s="904">
        <v>41000</v>
      </c>
      <c r="B63" s="926">
        <v>218.4</v>
      </c>
      <c r="C63" s="915">
        <v>175.53</v>
      </c>
      <c r="D63" s="915">
        <v>261.39</v>
      </c>
      <c r="E63" s="915">
        <v>1000.98</v>
      </c>
      <c r="F63" s="915">
        <v>1462.26</v>
      </c>
      <c r="G63" s="915">
        <v>2422.4</v>
      </c>
      <c r="H63" s="915">
        <v>14778.4</v>
      </c>
      <c r="I63" s="916">
        <v>1131.8</v>
      </c>
      <c r="J63" s="923">
        <v>21451.16</v>
      </c>
      <c r="K63" s="926">
        <v>9</v>
      </c>
      <c r="L63" s="918">
        <v>13.1</v>
      </c>
      <c r="M63" s="918">
        <v>148.83000000000001</v>
      </c>
      <c r="N63" s="918">
        <v>237.2</v>
      </c>
      <c r="O63" s="918">
        <v>104.1</v>
      </c>
      <c r="P63" s="918">
        <v>129.16</v>
      </c>
      <c r="Q63" s="918">
        <v>30.01</v>
      </c>
      <c r="R63" s="918">
        <v>6.3</v>
      </c>
      <c r="S63" s="918">
        <v>38.79</v>
      </c>
      <c r="T63" s="918">
        <v>2.4300000000000002</v>
      </c>
      <c r="U63" s="918">
        <v>9.24</v>
      </c>
      <c r="V63" s="918">
        <v>0.33</v>
      </c>
      <c r="W63" s="918">
        <v>0.2</v>
      </c>
      <c r="X63" s="917">
        <v>728.69</v>
      </c>
      <c r="Y63" s="917">
        <v>22179.85</v>
      </c>
      <c r="Z63" s="912"/>
      <c r="AA63" s="913"/>
      <c r="AB63" s="927"/>
      <c r="AC63" s="913"/>
    </row>
    <row r="64" spans="1:29" ht="28.5" hidden="1" customHeight="1" x14ac:dyDescent="0.2">
      <c r="A64" s="904">
        <v>41030</v>
      </c>
      <c r="B64" s="926">
        <v>218.25</v>
      </c>
      <c r="C64" s="915">
        <v>175.9</v>
      </c>
      <c r="D64" s="915">
        <v>259.77999999999997</v>
      </c>
      <c r="E64" s="915">
        <v>996.6</v>
      </c>
      <c r="F64" s="915">
        <v>1464.59</v>
      </c>
      <c r="G64" s="915">
        <v>2443.9</v>
      </c>
      <c r="H64" s="915">
        <v>14911.7</v>
      </c>
      <c r="I64" s="916">
        <v>1126.4000000000001</v>
      </c>
      <c r="J64" s="923">
        <v>21597.09</v>
      </c>
      <c r="K64" s="926">
        <v>9</v>
      </c>
      <c r="L64" s="918">
        <v>13.1</v>
      </c>
      <c r="M64" s="918">
        <v>146.6</v>
      </c>
      <c r="N64" s="918">
        <v>235.8</v>
      </c>
      <c r="O64" s="918">
        <v>104.14</v>
      </c>
      <c r="P64" s="918">
        <v>129.21</v>
      </c>
      <c r="Q64" s="918">
        <v>30.09</v>
      </c>
      <c r="R64" s="918">
        <v>6.34</v>
      </c>
      <c r="S64" s="918">
        <v>38.9</v>
      </c>
      <c r="T64" s="918">
        <v>2.4</v>
      </c>
      <c r="U64" s="918">
        <v>9.25</v>
      </c>
      <c r="V64" s="918">
        <v>0.33</v>
      </c>
      <c r="W64" s="918">
        <v>0.2</v>
      </c>
      <c r="X64" s="917">
        <v>725.36000000000013</v>
      </c>
      <c r="Y64" s="917">
        <v>22322.45</v>
      </c>
      <c r="Z64" s="912"/>
      <c r="AA64" s="913"/>
      <c r="AB64" s="927"/>
      <c r="AC64" s="913"/>
    </row>
    <row r="65" spans="1:29" ht="28.5" hidden="1" customHeight="1" x14ac:dyDescent="0.2">
      <c r="A65" s="904">
        <v>41061</v>
      </c>
      <c r="B65" s="926">
        <v>218.22</v>
      </c>
      <c r="C65" s="915">
        <v>176.76</v>
      </c>
      <c r="D65" s="915">
        <v>258.8</v>
      </c>
      <c r="E65" s="915">
        <v>996.95</v>
      </c>
      <c r="F65" s="915">
        <v>1446.05</v>
      </c>
      <c r="G65" s="915">
        <v>2381.3000000000002</v>
      </c>
      <c r="H65" s="915">
        <v>14668.3</v>
      </c>
      <c r="I65" s="916">
        <v>1113.0899999999999</v>
      </c>
      <c r="J65" s="923">
        <v>21259.47</v>
      </c>
      <c r="K65" s="926">
        <v>9</v>
      </c>
      <c r="L65" s="918">
        <v>13.1</v>
      </c>
      <c r="M65" s="918">
        <v>147.6</v>
      </c>
      <c r="N65" s="918">
        <v>235.82</v>
      </c>
      <c r="O65" s="918">
        <v>104.13</v>
      </c>
      <c r="P65" s="918">
        <v>129.15</v>
      </c>
      <c r="Q65" s="918">
        <v>30.2</v>
      </c>
      <c r="R65" s="918">
        <v>6.34</v>
      </c>
      <c r="S65" s="918">
        <v>38.94</v>
      </c>
      <c r="T65" s="918">
        <v>2.4300000000000002</v>
      </c>
      <c r="U65" s="918">
        <v>9.25</v>
      </c>
      <c r="V65" s="918">
        <v>0.3</v>
      </c>
      <c r="W65" s="918">
        <v>0.2</v>
      </c>
      <c r="X65" s="917">
        <v>726.45999999999992</v>
      </c>
      <c r="Y65" s="917">
        <v>21985.93</v>
      </c>
      <c r="Z65" s="912"/>
      <c r="AA65" s="913"/>
      <c r="AB65" s="927"/>
      <c r="AC65" s="913"/>
    </row>
    <row r="66" spans="1:29" ht="28.5" hidden="1" customHeight="1" x14ac:dyDescent="0.2">
      <c r="A66" s="904">
        <v>41091</v>
      </c>
      <c r="B66" s="926">
        <v>217.9</v>
      </c>
      <c r="C66" s="915">
        <v>177.9</v>
      </c>
      <c r="D66" s="915">
        <v>259.82</v>
      </c>
      <c r="E66" s="915">
        <v>1005.9</v>
      </c>
      <c r="F66" s="915">
        <v>1430.6</v>
      </c>
      <c r="G66" s="915">
        <v>2469.42</v>
      </c>
      <c r="H66" s="915">
        <v>14993.64</v>
      </c>
      <c r="I66" s="916">
        <v>1105.24</v>
      </c>
      <c r="J66" s="923">
        <v>21660.400000000001</v>
      </c>
      <c r="K66" s="926">
        <v>8.99</v>
      </c>
      <c r="L66" s="918">
        <v>13.1</v>
      </c>
      <c r="M66" s="918">
        <v>150.05000000000001</v>
      </c>
      <c r="N66" s="918">
        <v>235.9</v>
      </c>
      <c r="O66" s="918">
        <v>104.14</v>
      </c>
      <c r="P66" s="918">
        <v>129.19999999999999</v>
      </c>
      <c r="Q66" s="918">
        <v>30.41</v>
      </c>
      <c r="R66" s="918">
        <v>6.34</v>
      </c>
      <c r="S66" s="918">
        <v>38.97</v>
      </c>
      <c r="T66" s="918">
        <v>2.4300000000000002</v>
      </c>
      <c r="U66" s="918">
        <v>9.3000000000000007</v>
      </c>
      <c r="V66" s="918">
        <v>0.3</v>
      </c>
      <c r="W66" s="918">
        <v>0.2</v>
      </c>
      <c r="X66" s="917">
        <v>729.3</v>
      </c>
      <c r="Y66" s="917">
        <f>J66+X66</f>
        <v>22389.7</v>
      </c>
      <c r="Z66" s="912"/>
      <c r="AA66" s="913"/>
      <c r="AB66" s="927"/>
      <c r="AC66" s="913"/>
    </row>
    <row r="67" spans="1:29" ht="28.5" hidden="1" customHeight="1" x14ac:dyDescent="0.2">
      <c r="A67" s="904">
        <v>41122</v>
      </c>
      <c r="B67" s="926">
        <v>217.76</v>
      </c>
      <c r="C67" s="915">
        <v>183.5</v>
      </c>
      <c r="D67" s="915">
        <v>266.66000000000003</v>
      </c>
      <c r="E67" s="915">
        <v>1021.68</v>
      </c>
      <c r="F67" s="915">
        <v>1446.14</v>
      </c>
      <c r="G67" s="915">
        <v>2482.6</v>
      </c>
      <c r="H67" s="915">
        <v>15152.7</v>
      </c>
      <c r="I67" s="916">
        <v>1304.97</v>
      </c>
      <c r="J67" s="923">
        <v>22076.010000000002</v>
      </c>
      <c r="K67" s="926">
        <v>8.99</v>
      </c>
      <c r="L67" s="918">
        <v>13.1</v>
      </c>
      <c r="M67" s="918">
        <v>154.34</v>
      </c>
      <c r="N67" s="918">
        <v>238.45</v>
      </c>
      <c r="O67" s="918">
        <v>104.26</v>
      </c>
      <c r="P67" s="918">
        <v>129.19999999999999</v>
      </c>
      <c r="Q67" s="918">
        <v>30.51</v>
      </c>
      <c r="R67" s="918">
        <v>6.34</v>
      </c>
      <c r="S67" s="918">
        <v>38.99</v>
      </c>
      <c r="T67" s="918">
        <v>2.4300000000000002</v>
      </c>
      <c r="U67" s="918">
        <v>9.3000000000000007</v>
      </c>
      <c r="V67" s="918">
        <v>0.33</v>
      </c>
      <c r="W67" s="918">
        <v>0.2</v>
      </c>
      <c r="X67" s="917">
        <v>736.4</v>
      </c>
      <c r="Y67" s="917">
        <v>22812.410000000003</v>
      </c>
      <c r="Z67" s="912"/>
      <c r="AA67" s="913"/>
      <c r="AB67" s="927"/>
      <c r="AC67" s="913"/>
    </row>
    <row r="68" spans="1:29" ht="28.5" hidden="1" customHeight="1" x14ac:dyDescent="0.2">
      <c r="A68" s="904">
        <v>41153</v>
      </c>
      <c r="B68" s="926">
        <v>217.63</v>
      </c>
      <c r="C68" s="915">
        <v>183.4</v>
      </c>
      <c r="D68" s="915">
        <v>268.3</v>
      </c>
      <c r="E68" s="915">
        <v>1047</v>
      </c>
      <c r="F68" s="915">
        <v>1444.9</v>
      </c>
      <c r="G68" s="915">
        <v>2460.04</v>
      </c>
      <c r="H68" s="915">
        <v>14838.55</v>
      </c>
      <c r="I68" s="916">
        <v>1495.14</v>
      </c>
      <c r="J68" s="923">
        <f>SUM(B68:I68)</f>
        <v>21954.959999999999</v>
      </c>
      <c r="K68" s="926">
        <v>8.99</v>
      </c>
      <c r="L68" s="918">
        <v>13.1</v>
      </c>
      <c r="M68" s="918">
        <v>154.88</v>
      </c>
      <c r="N68" s="918">
        <v>239</v>
      </c>
      <c r="O68" s="918">
        <v>104.3</v>
      </c>
      <c r="P68" s="918">
        <v>129.19999999999999</v>
      </c>
      <c r="Q68" s="918">
        <v>30.55</v>
      </c>
      <c r="R68" s="918">
        <v>6.34</v>
      </c>
      <c r="S68" s="918">
        <v>39</v>
      </c>
      <c r="T68" s="918">
        <v>2.42</v>
      </c>
      <c r="U68" s="918">
        <v>9.3000000000000007</v>
      </c>
      <c r="V68" s="918">
        <v>0.33</v>
      </c>
      <c r="W68" s="918">
        <v>0.22</v>
      </c>
      <c r="X68" s="917">
        <f t="shared" ref="X68:X94" si="0">SUM(K68:W68)</f>
        <v>737.63</v>
      </c>
      <c r="Y68" s="917">
        <f t="shared" ref="Y68:Y92" si="1">J68+X68</f>
        <v>22692.59</v>
      </c>
      <c r="Z68" s="912"/>
      <c r="AA68" s="913"/>
      <c r="AB68" s="927"/>
      <c r="AC68" s="913"/>
    </row>
    <row r="69" spans="1:29" ht="28.5" hidden="1" customHeight="1" x14ac:dyDescent="0.2">
      <c r="A69" s="904">
        <v>41183</v>
      </c>
      <c r="B69" s="926">
        <v>217.49</v>
      </c>
      <c r="C69" s="915">
        <v>195.87</v>
      </c>
      <c r="D69" s="915">
        <v>314.95999999999998</v>
      </c>
      <c r="E69" s="915">
        <v>1059.5</v>
      </c>
      <c r="F69" s="915">
        <v>1415.9</v>
      </c>
      <c r="G69" s="915">
        <v>2464.96</v>
      </c>
      <c r="H69" s="915">
        <v>15104.4</v>
      </c>
      <c r="I69" s="916">
        <v>1759.53</v>
      </c>
      <c r="J69" s="923">
        <f t="shared" ref="J69:J100" si="2">SUM(B69:I69)</f>
        <v>22532.61</v>
      </c>
      <c r="K69" s="926">
        <v>8.99</v>
      </c>
      <c r="L69" s="918">
        <v>13.1</v>
      </c>
      <c r="M69" s="918">
        <v>156.93</v>
      </c>
      <c r="N69" s="918">
        <v>238.97</v>
      </c>
      <c r="O69" s="918">
        <v>104.24</v>
      </c>
      <c r="P69" s="918">
        <v>129.5</v>
      </c>
      <c r="Q69" s="918">
        <v>30.61</v>
      </c>
      <c r="R69" s="918">
        <v>6.34</v>
      </c>
      <c r="S69" s="918">
        <v>39.06</v>
      </c>
      <c r="T69" s="918">
        <v>2.42</v>
      </c>
      <c r="U69" s="918">
        <v>9.2799999999999994</v>
      </c>
      <c r="V69" s="918">
        <v>0.33</v>
      </c>
      <c r="W69" s="918">
        <v>0.22</v>
      </c>
      <c r="X69" s="917">
        <f t="shared" si="0"/>
        <v>739.99</v>
      </c>
      <c r="Y69" s="917">
        <f t="shared" si="1"/>
        <v>23272.600000000002</v>
      </c>
      <c r="Z69" s="912"/>
      <c r="AA69" s="913"/>
      <c r="AB69" s="927"/>
      <c r="AC69" s="913"/>
    </row>
    <row r="70" spans="1:29" ht="26.25" hidden="1" customHeight="1" x14ac:dyDescent="0.2">
      <c r="A70" s="904">
        <v>41214</v>
      </c>
      <c r="B70" s="926">
        <v>217.45</v>
      </c>
      <c r="C70" s="915">
        <v>193.43</v>
      </c>
      <c r="D70" s="915">
        <v>310.89999999999998</v>
      </c>
      <c r="E70" s="915">
        <v>1115.9100000000001</v>
      </c>
      <c r="F70" s="915">
        <v>1394.5</v>
      </c>
      <c r="G70" s="915">
        <v>2489.6</v>
      </c>
      <c r="H70" s="915">
        <v>15041</v>
      </c>
      <c r="I70" s="916">
        <v>1945.3</v>
      </c>
      <c r="J70" s="923">
        <f t="shared" si="2"/>
        <v>22708.09</v>
      </c>
      <c r="K70" s="926">
        <v>9.0009829999999997</v>
      </c>
      <c r="L70" s="918">
        <v>13.1</v>
      </c>
      <c r="M70" s="918">
        <v>159.49</v>
      </c>
      <c r="N70" s="918">
        <v>241.42</v>
      </c>
      <c r="O70" s="918">
        <v>105.42</v>
      </c>
      <c r="P70" s="918">
        <v>130.72</v>
      </c>
      <c r="Q70" s="918">
        <v>30.63</v>
      </c>
      <c r="R70" s="918">
        <v>6.3390000000000004</v>
      </c>
      <c r="S70" s="918">
        <v>39.31</v>
      </c>
      <c r="T70" s="918">
        <v>2.42</v>
      </c>
      <c r="U70" s="918">
        <v>9.34</v>
      </c>
      <c r="V70" s="918">
        <v>0.33</v>
      </c>
      <c r="W70" s="918">
        <v>0.22</v>
      </c>
      <c r="X70" s="917">
        <f t="shared" si="0"/>
        <v>747.73998300000005</v>
      </c>
      <c r="Y70" s="917">
        <f t="shared" si="1"/>
        <v>23455.829983</v>
      </c>
      <c r="Z70" s="912"/>
      <c r="AA70" s="913"/>
      <c r="AB70" s="927"/>
      <c r="AC70" s="913"/>
    </row>
    <row r="71" spans="1:29" ht="28.5" hidden="1" customHeight="1" x14ac:dyDescent="0.2">
      <c r="A71" s="904">
        <v>41244</v>
      </c>
      <c r="B71" s="926">
        <v>217.39</v>
      </c>
      <c r="C71" s="915">
        <v>194.03</v>
      </c>
      <c r="D71" s="915">
        <v>306.7</v>
      </c>
      <c r="E71" s="915">
        <v>1284.2</v>
      </c>
      <c r="F71" s="915">
        <v>1559.5</v>
      </c>
      <c r="G71" s="915">
        <v>2948.7</v>
      </c>
      <c r="H71" s="915">
        <v>17722.5</v>
      </c>
      <c r="I71" s="916">
        <v>2206.34</v>
      </c>
      <c r="J71" s="923">
        <f t="shared" si="2"/>
        <v>26439.360000000001</v>
      </c>
      <c r="K71" s="926">
        <v>9</v>
      </c>
      <c r="L71" s="918">
        <v>13.1</v>
      </c>
      <c r="M71" s="918">
        <v>165.54</v>
      </c>
      <c r="N71" s="918">
        <v>245.15</v>
      </c>
      <c r="O71" s="918">
        <v>107.89</v>
      </c>
      <c r="P71" s="918">
        <v>131.78</v>
      </c>
      <c r="Q71" s="918">
        <v>30.89</v>
      </c>
      <c r="R71" s="918">
        <v>6.33</v>
      </c>
      <c r="S71" s="918">
        <v>39.54</v>
      </c>
      <c r="T71" s="918">
        <v>2.42</v>
      </c>
      <c r="U71" s="918">
        <v>9.3699999999999992</v>
      </c>
      <c r="V71" s="918">
        <v>0.33</v>
      </c>
      <c r="W71" s="918">
        <v>0.22</v>
      </c>
      <c r="X71" s="917">
        <f t="shared" si="0"/>
        <v>761.56</v>
      </c>
      <c r="Y71" s="917">
        <f t="shared" si="1"/>
        <v>27200.920000000002</v>
      </c>
      <c r="Z71" s="912"/>
      <c r="AA71" s="913"/>
      <c r="AB71" s="927"/>
      <c r="AC71" s="913"/>
    </row>
    <row r="72" spans="1:29" ht="28.5" hidden="1" customHeight="1" x14ac:dyDescent="0.2">
      <c r="A72" s="904">
        <v>41275</v>
      </c>
      <c r="B72" s="926">
        <v>217.32</v>
      </c>
      <c r="C72" s="915">
        <v>190.4</v>
      </c>
      <c r="D72" s="915">
        <v>293.81</v>
      </c>
      <c r="E72" s="915">
        <v>1151.3</v>
      </c>
      <c r="F72" s="915">
        <v>1448</v>
      </c>
      <c r="G72" s="915">
        <v>2664.6</v>
      </c>
      <c r="H72" s="915">
        <v>16403.5</v>
      </c>
      <c r="I72" s="916">
        <v>2264</v>
      </c>
      <c r="J72" s="923">
        <f t="shared" si="2"/>
        <v>24632.93</v>
      </c>
      <c r="K72" s="926">
        <v>9</v>
      </c>
      <c r="L72" s="918">
        <v>13.1</v>
      </c>
      <c r="M72" s="918">
        <v>168.79</v>
      </c>
      <c r="N72" s="918">
        <v>247.32</v>
      </c>
      <c r="O72" s="918">
        <v>109.34</v>
      </c>
      <c r="P72" s="918">
        <v>132.81</v>
      </c>
      <c r="Q72" s="918">
        <v>30.96</v>
      </c>
      <c r="R72" s="918">
        <v>6.34</v>
      </c>
      <c r="S72" s="918">
        <v>39.71</v>
      </c>
      <c r="T72" s="918">
        <v>2.42</v>
      </c>
      <c r="U72" s="918">
        <v>9.39</v>
      </c>
      <c r="V72" s="918">
        <v>0.33</v>
      </c>
      <c r="W72" s="918">
        <v>0.2</v>
      </c>
      <c r="X72" s="917">
        <f t="shared" si="0"/>
        <v>769.71</v>
      </c>
      <c r="Y72" s="917">
        <f t="shared" si="1"/>
        <v>25402.639999999999</v>
      </c>
      <c r="Z72" s="912"/>
      <c r="AA72" s="913"/>
      <c r="AB72" s="927"/>
      <c r="AC72" s="913"/>
    </row>
    <row r="73" spans="1:29" ht="28.5" hidden="1" customHeight="1" x14ac:dyDescent="0.2">
      <c r="A73" s="904">
        <v>41306</v>
      </c>
      <c r="B73" s="926">
        <v>217.19</v>
      </c>
      <c r="C73" s="915">
        <v>187.92</v>
      </c>
      <c r="D73" s="915">
        <v>288.66000000000003</v>
      </c>
      <c r="E73" s="915">
        <v>1168.05</v>
      </c>
      <c r="F73" s="915">
        <v>1391.75</v>
      </c>
      <c r="G73" s="915">
        <v>2511.4899999999998</v>
      </c>
      <c r="H73" s="915">
        <v>15837.7</v>
      </c>
      <c r="I73" s="916">
        <v>2361.6999999999998</v>
      </c>
      <c r="J73" s="923">
        <f t="shared" si="2"/>
        <v>23964.460000000003</v>
      </c>
      <c r="K73" s="926">
        <v>9</v>
      </c>
      <c r="L73" s="918">
        <v>13.1</v>
      </c>
      <c r="M73" s="918">
        <v>170.14</v>
      </c>
      <c r="N73" s="918">
        <v>247.42500000000001</v>
      </c>
      <c r="O73" s="918">
        <v>110.86499999999999</v>
      </c>
      <c r="P73" s="918">
        <v>133.58000000000001</v>
      </c>
      <c r="Q73" s="918">
        <v>31.02</v>
      </c>
      <c r="R73" s="918">
        <v>6.3390000000000004</v>
      </c>
      <c r="S73" s="918">
        <v>39.85</v>
      </c>
      <c r="T73" s="918">
        <v>2.42</v>
      </c>
      <c r="U73" s="918">
        <v>9.41</v>
      </c>
      <c r="V73" s="918">
        <v>0.33</v>
      </c>
      <c r="W73" s="918">
        <v>0.22</v>
      </c>
      <c r="X73" s="917">
        <f t="shared" si="0"/>
        <v>773.69900000000007</v>
      </c>
      <c r="Y73" s="917">
        <f t="shared" si="1"/>
        <v>24738.159000000003</v>
      </c>
      <c r="Z73" s="912"/>
      <c r="AA73" s="927"/>
      <c r="AB73" s="927"/>
      <c r="AC73" s="913"/>
    </row>
    <row r="74" spans="1:29" ht="28.5" hidden="1" customHeight="1" x14ac:dyDescent="0.2">
      <c r="A74" s="904">
        <v>41334</v>
      </c>
      <c r="B74" s="926">
        <v>217.14</v>
      </c>
      <c r="C74" s="915">
        <v>188.9</v>
      </c>
      <c r="D74" s="915">
        <v>287.89999999999998</v>
      </c>
      <c r="E74" s="915">
        <v>1159.3</v>
      </c>
      <c r="F74" s="915">
        <v>1383.7</v>
      </c>
      <c r="G74" s="915">
        <v>2528.1</v>
      </c>
      <c r="H74" s="915">
        <v>16082.1</v>
      </c>
      <c r="I74" s="916">
        <v>2572.8000000000002</v>
      </c>
      <c r="J74" s="923">
        <f t="shared" si="2"/>
        <v>24419.94</v>
      </c>
      <c r="K74" s="926">
        <v>9</v>
      </c>
      <c r="L74" s="918">
        <v>13.1</v>
      </c>
      <c r="M74" s="918">
        <v>169.59</v>
      </c>
      <c r="N74" s="918">
        <v>247.14</v>
      </c>
      <c r="O74" s="918">
        <v>111.5</v>
      </c>
      <c r="P74" s="918">
        <v>134.4</v>
      </c>
      <c r="Q74" s="918">
        <v>31.03</v>
      </c>
      <c r="R74" s="918">
        <v>6.3390000000000004</v>
      </c>
      <c r="S74" s="918">
        <v>39.97</v>
      </c>
      <c r="T74" s="918">
        <v>2.42</v>
      </c>
      <c r="U74" s="918">
        <v>9.4499999999999993</v>
      </c>
      <c r="V74" s="918">
        <v>0.33</v>
      </c>
      <c r="W74" s="918">
        <v>0.22</v>
      </c>
      <c r="X74" s="917">
        <f t="shared" si="0"/>
        <v>774.48900000000003</v>
      </c>
      <c r="Y74" s="917">
        <f t="shared" si="1"/>
        <v>25194.429</v>
      </c>
      <c r="Z74" s="912"/>
      <c r="AA74" s="913"/>
      <c r="AB74" s="927"/>
      <c r="AC74" s="913"/>
    </row>
    <row r="75" spans="1:29" ht="28.5" hidden="1" customHeight="1" x14ac:dyDescent="0.2">
      <c r="A75" s="904">
        <v>41365</v>
      </c>
      <c r="B75" s="926">
        <v>217.04</v>
      </c>
      <c r="C75" s="915">
        <v>188.8</v>
      </c>
      <c r="D75" s="915">
        <v>286.5</v>
      </c>
      <c r="E75" s="915">
        <v>1132.3</v>
      </c>
      <c r="F75" s="915">
        <v>1370.4</v>
      </c>
      <c r="G75" s="915">
        <v>2529.9</v>
      </c>
      <c r="H75" s="915">
        <v>15968.7</v>
      </c>
      <c r="I75" s="916">
        <v>2683.2</v>
      </c>
      <c r="J75" s="923">
        <f t="shared" si="2"/>
        <v>24376.84</v>
      </c>
      <c r="K75" s="926">
        <v>9</v>
      </c>
      <c r="L75" s="918">
        <v>13.1</v>
      </c>
      <c r="M75" s="918">
        <v>174.18</v>
      </c>
      <c r="N75" s="918">
        <v>249.04</v>
      </c>
      <c r="O75" s="918">
        <v>111.62</v>
      </c>
      <c r="P75" s="918">
        <v>135.13999999999999</v>
      </c>
      <c r="Q75" s="918">
        <v>31.04</v>
      </c>
      <c r="R75" s="918">
        <v>6.34</v>
      </c>
      <c r="S75" s="918">
        <v>40.119999999999997</v>
      </c>
      <c r="T75" s="918">
        <v>2.4</v>
      </c>
      <c r="U75" s="918">
        <v>9.4700000000000006</v>
      </c>
      <c r="V75" s="918">
        <v>0.33</v>
      </c>
      <c r="W75" s="918">
        <v>0.22</v>
      </c>
      <c r="X75" s="917">
        <f t="shared" si="0"/>
        <v>782.00000000000011</v>
      </c>
      <c r="Y75" s="917">
        <f t="shared" si="1"/>
        <v>25158.84</v>
      </c>
      <c r="Z75" s="912"/>
      <c r="AA75" s="913"/>
      <c r="AB75" s="927"/>
      <c r="AC75" s="913"/>
    </row>
    <row r="76" spans="1:29" ht="28.5" hidden="1" customHeight="1" x14ac:dyDescent="0.2">
      <c r="A76" s="904">
        <v>41395</v>
      </c>
      <c r="B76" s="926">
        <v>217</v>
      </c>
      <c r="C76" s="915">
        <v>187.1</v>
      </c>
      <c r="D76" s="915">
        <v>273</v>
      </c>
      <c r="E76" s="915">
        <v>1155.7</v>
      </c>
      <c r="F76" s="915">
        <v>1279.6600000000001</v>
      </c>
      <c r="G76" s="915">
        <v>2435.8000000000002</v>
      </c>
      <c r="H76" s="915">
        <v>15705.8</v>
      </c>
      <c r="I76" s="916">
        <v>2788.04</v>
      </c>
      <c r="J76" s="923">
        <f t="shared" si="2"/>
        <v>24042.1</v>
      </c>
      <c r="K76" s="926">
        <v>9</v>
      </c>
      <c r="L76" s="918">
        <v>13.12</v>
      </c>
      <c r="M76" s="918">
        <v>175.44</v>
      </c>
      <c r="N76" s="918">
        <v>249.35</v>
      </c>
      <c r="O76" s="918">
        <v>112.4</v>
      </c>
      <c r="P76" s="918">
        <v>135.77000000000001</v>
      </c>
      <c r="Q76" s="918">
        <v>31.04</v>
      </c>
      <c r="R76" s="918">
        <v>6.33</v>
      </c>
      <c r="S76" s="918">
        <v>40.270000000000003</v>
      </c>
      <c r="T76" s="918">
        <v>2.42</v>
      </c>
      <c r="U76" s="918">
        <v>9.49</v>
      </c>
      <c r="V76" s="918">
        <v>0.33</v>
      </c>
      <c r="W76" s="918">
        <v>0.2</v>
      </c>
      <c r="X76" s="917">
        <f t="shared" si="0"/>
        <v>785.16</v>
      </c>
      <c r="Y76" s="917">
        <f t="shared" si="1"/>
        <v>24827.26</v>
      </c>
      <c r="Z76" s="912"/>
      <c r="AA76" s="913"/>
      <c r="AB76" s="927"/>
      <c r="AC76" s="913"/>
    </row>
    <row r="77" spans="1:29" ht="28.5" hidden="1" customHeight="1" x14ac:dyDescent="0.2">
      <c r="A77" s="904">
        <v>41426</v>
      </c>
      <c r="B77" s="926">
        <v>216.73</v>
      </c>
      <c r="C77" s="915">
        <v>185.3</v>
      </c>
      <c r="D77" s="915">
        <v>275.7</v>
      </c>
      <c r="E77" s="915">
        <v>1119.3</v>
      </c>
      <c r="F77" s="915">
        <v>1241.4000000000001</v>
      </c>
      <c r="G77" s="915">
        <v>2417.9</v>
      </c>
      <c r="H77" s="915">
        <v>15537.8</v>
      </c>
      <c r="I77" s="916">
        <v>2861.2</v>
      </c>
      <c r="J77" s="923">
        <f t="shared" si="2"/>
        <v>23855.329999999998</v>
      </c>
      <c r="K77" s="926">
        <v>9</v>
      </c>
      <c r="L77" s="918">
        <v>13.1</v>
      </c>
      <c r="M77" s="918">
        <v>177.63</v>
      </c>
      <c r="N77" s="918">
        <v>249.49</v>
      </c>
      <c r="O77" s="918">
        <v>112.83</v>
      </c>
      <c r="P77" s="918">
        <v>136.38999999999999</v>
      </c>
      <c r="Q77" s="918">
        <v>31.06</v>
      </c>
      <c r="R77" s="918">
        <v>6.33</v>
      </c>
      <c r="S77" s="918">
        <v>40.4</v>
      </c>
      <c r="T77" s="918">
        <v>2.4</v>
      </c>
      <c r="U77" s="918">
        <v>9.5</v>
      </c>
      <c r="V77" s="918">
        <v>0.3</v>
      </c>
      <c r="W77" s="918">
        <v>0.22</v>
      </c>
      <c r="X77" s="917">
        <f t="shared" si="0"/>
        <v>788.65</v>
      </c>
      <c r="Y77" s="917">
        <f t="shared" si="1"/>
        <v>24643.98</v>
      </c>
      <c r="Z77" s="912"/>
      <c r="AA77" s="913"/>
      <c r="AB77" s="927"/>
      <c r="AC77" s="913"/>
    </row>
    <row r="78" spans="1:29" ht="28.5" hidden="1" customHeight="1" x14ac:dyDescent="0.2">
      <c r="A78" s="904">
        <v>41456</v>
      </c>
      <c r="B78" s="926">
        <v>216.7</v>
      </c>
      <c r="C78" s="915">
        <v>184.3</v>
      </c>
      <c r="D78" s="915">
        <v>285.8</v>
      </c>
      <c r="E78" s="915">
        <v>1182.2</v>
      </c>
      <c r="F78" s="915">
        <v>1248.74</v>
      </c>
      <c r="G78" s="915">
        <v>2543.02</v>
      </c>
      <c r="H78" s="915">
        <v>16147.8</v>
      </c>
      <c r="I78" s="916">
        <v>2858.21</v>
      </c>
      <c r="J78" s="923">
        <f t="shared" si="2"/>
        <v>24666.769999999997</v>
      </c>
      <c r="K78" s="926">
        <v>9</v>
      </c>
      <c r="L78" s="918">
        <v>13.1</v>
      </c>
      <c r="M78" s="918">
        <v>180.1</v>
      </c>
      <c r="N78" s="918">
        <v>249.92</v>
      </c>
      <c r="O78" s="918">
        <v>113</v>
      </c>
      <c r="P78" s="918">
        <v>137.30000000000001</v>
      </c>
      <c r="Q78" s="918">
        <v>31.07</v>
      </c>
      <c r="R78" s="918">
        <v>6.33</v>
      </c>
      <c r="S78" s="918">
        <v>40.630000000000003</v>
      </c>
      <c r="T78" s="918">
        <v>2.4</v>
      </c>
      <c r="U78" s="918">
        <v>9.5500000000000007</v>
      </c>
      <c r="V78" s="918">
        <v>0.3</v>
      </c>
      <c r="W78" s="918">
        <v>0.22</v>
      </c>
      <c r="X78" s="917">
        <f t="shared" si="0"/>
        <v>792.92000000000007</v>
      </c>
      <c r="Y78" s="917">
        <f t="shared" si="1"/>
        <v>25459.689999999995</v>
      </c>
      <c r="Z78" s="912"/>
      <c r="AA78" s="913"/>
      <c r="AB78" s="927"/>
      <c r="AC78" s="913"/>
    </row>
    <row r="79" spans="1:29" ht="28.5" hidden="1" customHeight="1" x14ac:dyDescent="0.2">
      <c r="A79" s="904">
        <v>41487</v>
      </c>
      <c r="B79" s="926">
        <v>216.7</v>
      </c>
      <c r="C79" s="915">
        <v>187.18</v>
      </c>
      <c r="D79" s="915">
        <v>297.89999999999998</v>
      </c>
      <c r="E79" s="915">
        <v>1198</v>
      </c>
      <c r="F79" s="915">
        <v>1344.75</v>
      </c>
      <c r="G79" s="915">
        <v>2691.3</v>
      </c>
      <c r="H79" s="915">
        <v>15862.32</v>
      </c>
      <c r="I79" s="916">
        <v>2956.46</v>
      </c>
      <c r="J79" s="923">
        <f t="shared" si="2"/>
        <v>24754.61</v>
      </c>
      <c r="K79" s="926">
        <v>9</v>
      </c>
      <c r="L79" s="918">
        <v>13.13</v>
      </c>
      <c r="M79" s="918">
        <v>185.49</v>
      </c>
      <c r="N79" s="918">
        <v>252.23</v>
      </c>
      <c r="O79" s="918">
        <v>113.3</v>
      </c>
      <c r="P79" s="918">
        <v>137.69</v>
      </c>
      <c r="Q79" s="918">
        <v>31.09</v>
      </c>
      <c r="R79" s="918">
        <v>6.33</v>
      </c>
      <c r="S79" s="918">
        <v>40.770000000000003</v>
      </c>
      <c r="T79" s="918">
        <v>2.42</v>
      </c>
      <c r="U79" s="918">
        <v>9.58</v>
      </c>
      <c r="V79" s="918">
        <v>0.33</v>
      </c>
      <c r="W79" s="918">
        <v>0.2</v>
      </c>
      <c r="X79" s="917">
        <f t="shared" si="0"/>
        <v>801.56000000000006</v>
      </c>
      <c r="Y79" s="917">
        <f t="shared" si="1"/>
        <v>25556.170000000002</v>
      </c>
      <c r="Z79" s="912"/>
      <c r="AA79" s="913"/>
      <c r="AB79" s="927"/>
      <c r="AC79" s="913"/>
    </row>
    <row r="80" spans="1:29" ht="28.5" hidden="1" customHeight="1" x14ac:dyDescent="0.2">
      <c r="A80" s="904">
        <v>41518</v>
      </c>
      <c r="B80" s="926">
        <v>216.6</v>
      </c>
      <c r="C80" s="915">
        <v>191.66</v>
      </c>
      <c r="D80" s="915">
        <v>301.35000000000002</v>
      </c>
      <c r="E80" s="915">
        <v>1171</v>
      </c>
      <c r="F80" s="915">
        <v>1301.67</v>
      </c>
      <c r="G80" s="915">
        <v>2676.1</v>
      </c>
      <c r="H80" s="915">
        <v>15481.5</v>
      </c>
      <c r="I80" s="916">
        <v>3000.4</v>
      </c>
      <c r="J80" s="923">
        <f t="shared" si="2"/>
        <v>24340.280000000002</v>
      </c>
      <c r="K80" s="926">
        <v>9</v>
      </c>
      <c r="L80" s="918">
        <v>13.1</v>
      </c>
      <c r="M80" s="918">
        <v>185.8</v>
      </c>
      <c r="N80" s="918">
        <v>254.6</v>
      </c>
      <c r="O80" s="918">
        <v>113.43</v>
      </c>
      <c r="P80" s="918">
        <v>137.9</v>
      </c>
      <c r="Q80" s="918">
        <v>31.2</v>
      </c>
      <c r="R80" s="918">
        <v>6.3</v>
      </c>
      <c r="S80" s="918">
        <v>40.97</v>
      </c>
      <c r="T80" s="918">
        <v>2.4</v>
      </c>
      <c r="U80" s="918">
        <v>9.6199999999999992</v>
      </c>
      <c r="V80" s="918">
        <v>0.33</v>
      </c>
      <c r="W80" s="918">
        <v>0.22</v>
      </c>
      <c r="X80" s="917">
        <f t="shared" si="0"/>
        <v>804.87000000000012</v>
      </c>
      <c r="Y80" s="917">
        <f t="shared" si="1"/>
        <v>25145.15</v>
      </c>
      <c r="Z80" s="912"/>
      <c r="AA80" s="913"/>
      <c r="AB80" s="927"/>
      <c r="AC80" s="913"/>
    </row>
    <row r="81" spans="1:29" ht="28.5" hidden="1" customHeight="1" x14ac:dyDescent="0.2">
      <c r="A81" s="904">
        <v>41548</v>
      </c>
      <c r="B81" s="926">
        <v>216.59</v>
      </c>
      <c r="C81" s="915">
        <v>200.39</v>
      </c>
      <c r="D81" s="915">
        <v>303.49</v>
      </c>
      <c r="E81" s="915">
        <v>1232.4000000000001</v>
      </c>
      <c r="F81" s="915">
        <v>1295.586</v>
      </c>
      <c r="G81" s="915">
        <v>2784.4</v>
      </c>
      <c r="H81" s="915">
        <v>15740.6</v>
      </c>
      <c r="I81" s="916">
        <v>3172.1</v>
      </c>
      <c r="J81" s="923">
        <f t="shared" si="2"/>
        <v>24945.555999999997</v>
      </c>
      <c r="K81" s="926">
        <v>9</v>
      </c>
      <c r="L81" s="918">
        <v>13.13</v>
      </c>
      <c r="M81" s="918">
        <v>186.82</v>
      </c>
      <c r="N81" s="918">
        <v>254.99</v>
      </c>
      <c r="O81" s="918">
        <v>113.76</v>
      </c>
      <c r="P81" s="918">
        <v>139.25</v>
      </c>
      <c r="Q81" s="918">
        <v>31.17</v>
      </c>
      <c r="R81" s="918">
        <v>6.3319999999999999</v>
      </c>
      <c r="S81" s="918">
        <v>41.17</v>
      </c>
      <c r="T81" s="918">
        <v>2.4</v>
      </c>
      <c r="U81" s="918">
        <v>9.66</v>
      </c>
      <c r="V81" s="918">
        <v>0.33</v>
      </c>
      <c r="W81" s="918">
        <v>0.22</v>
      </c>
      <c r="X81" s="917">
        <f t="shared" si="0"/>
        <v>808.23199999999997</v>
      </c>
      <c r="Y81" s="917">
        <f t="shared" si="1"/>
        <v>25753.787999999997</v>
      </c>
      <c r="Z81" s="912"/>
      <c r="AA81" s="913"/>
      <c r="AB81" s="927"/>
      <c r="AC81" s="913"/>
    </row>
    <row r="82" spans="1:29" ht="28.5" hidden="1" customHeight="1" x14ac:dyDescent="0.2">
      <c r="A82" s="904">
        <v>41579</v>
      </c>
      <c r="B82" s="926">
        <v>216.54</v>
      </c>
      <c r="C82" s="915">
        <v>207.7</v>
      </c>
      <c r="D82" s="915">
        <v>302.2</v>
      </c>
      <c r="E82" s="915">
        <v>1211.0999999999999</v>
      </c>
      <c r="F82" s="915">
        <v>1310.2</v>
      </c>
      <c r="G82" s="915">
        <v>2846.9</v>
      </c>
      <c r="H82" s="915">
        <v>15425.9</v>
      </c>
      <c r="I82" s="916">
        <v>3258.4</v>
      </c>
      <c r="J82" s="923">
        <f t="shared" si="2"/>
        <v>24778.940000000002</v>
      </c>
      <c r="K82" s="926">
        <v>9.0079999999999991</v>
      </c>
      <c r="L82" s="918">
        <v>13.13</v>
      </c>
      <c r="M82" s="918">
        <v>188.9</v>
      </c>
      <c r="N82" s="918">
        <v>257.10000000000002</v>
      </c>
      <c r="O82" s="918">
        <v>115.03</v>
      </c>
      <c r="P82" s="918">
        <v>140.91</v>
      </c>
      <c r="Q82" s="918">
        <v>31.47</v>
      </c>
      <c r="R82" s="918">
        <v>6.33</v>
      </c>
      <c r="S82" s="918">
        <v>41.4</v>
      </c>
      <c r="T82" s="918">
        <v>2.42</v>
      </c>
      <c r="U82" s="918">
        <v>9.7100000000000009</v>
      </c>
      <c r="V82" s="918">
        <v>0.3</v>
      </c>
      <c r="W82" s="918">
        <v>0.2</v>
      </c>
      <c r="X82" s="917">
        <f t="shared" si="0"/>
        <v>815.90800000000002</v>
      </c>
      <c r="Y82" s="917">
        <f t="shared" si="1"/>
        <v>25594.848000000002</v>
      </c>
      <c r="Z82" s="912"/>
      <c r="AA82" s="913"/>
      <c r="AB82" s="927"/>
      <c r="AC82" s="913"/>
    </row>
    <row r="83" spans="1:29" ht="28.5" hidden="1" customHeight="1" thickTop="1" x14ac:dyDescent="0.2">
      <c r="A83" s="904">
        <v>41609</v>
      </c>
      <c r="B83" s="926">
        <v>216.5</v>
      </c>
      <c r="C83" s="915">
        <v>225.7</v>
      </c>
      <c r="D83" s="915">
        <v>331.6</v>
      </c>
      <c r="E83" s="915">
        <v>1373.1</v>
      </c>
      <c r="F83" s="915">
        <v>1596</v>
      </c>
      <c r="G83" s="915">
        <v>3535</v>
      </c>
      <c r="H83" s="915">
        <v>18480.2</v>
      </c>
      <c r="I83" s="916">
        <v>3778.6</v>
      </c>
      <c r="J83" s="923">
        <f t="shared" si="2"/>
        <v>29536.699999999997</v>
      </c>
      <c r="K83" s="926">
        <v>9</v>
      </c>
      <c r="L83" s="918">
        <v>13.13</v>
      </c>
      <c r="M83" s="918">
        <v>195.7</v>
      </c>
      <c r="N83" s="918">
        <v>260.76</v>
      </c>
      <c r="O83" s="918">
        <v>116.66</v>
      </c>
      <c r="P83" s="918">
        <v>142.16999999999999</v>
      </c>
      <c r="Q83" s="918">
        <v>31.7</v>
      </c>
      <c r="R83" s="918">
        <v>6.3</v>
      </c>
      <c r="S83" s="918">
        <v>41.6</v>
      </c>
      <c r="T83" s="918">
        <v>2.4</v>
      </c>
      <c r="U83" s="918">
        <v>9.8000000000000007</v>
      </c>
      <c r="V83" s="918">
        <v>0.3</v>
      </c>
      <c r="W83" s="918">
        <v>0.2</v>
      </c>
      <c r="X83" s="917">
        <f t="shared" si="0"/>
        <v>829.71999999999991</v>
      </c>
      <c r="Y83" s="917">
        <f t="shared" si="1"/>
        <v>30366.42</v>
      </c>
      <c r="Z83" s="912"/>
      <c r="AA83" s="913"/>
      <c r="AB83" s="927"/>
      <c r="AC83" s="913"/>
    </row>
    <row r="84" spans="1:29" ht="28.5" hidden="1" customHeight="1" thickTop="1" x14ac:dyDescent="0.2">
      <c r="A84" s="904">
        <v>41640</v>
      </c>
      <c r="B84" s="926">
        <v>216.49</v>
      </c>
      <c r="C84" s="915">
        <v>222.4</v>
      </c>
      <c r="D84" s="915">
        <v>322.3</v>
      </c>
      <c r="E84" s="915">
        <v>1255.5</v>
      </c>
      <c r="F84" s="915">
        <v>1353.2</v>
      </c>
      <c r="G84" s="915">
        <v>2984.3</v>
      </c>
      <c r="H84" s="915">
        <v>16470.3</v>
      </c>
      <c r="I84" s="916">
        <v>3915.1</v>
      </c>
      <c r="J84" s="923">
        <f t="shared" si="2"/>
        <v>26739.589999999997</v>
      </c>
      <c r="K84" s="926">
        <v>9.02</v>
      </c>
      <c r="L84" s="918">
        <v>13.1</v>
      </c>
      <c r="M84" s="918">
        <v>197.81</v>
      </c>
      <c r="N84" s="918">
        <v>263.2</v>
      </c>
      <c r="O84" s="918">
        <v>116.7</v>
      </c>
      <c r="P84" s="918">
        <v>142.54</v>
      </c>
      <c r="Q84" s="918">
        <v>31.82</v>
      </c>
      <c r="R84" s="918">
        <v>6.33</v>
      </c>
      <c r="S84" s="918">
        <v>41.73</v>
      </c>
      <c r="T84" s="918">
        <v>2.42</v>
      </c>
      <c r="U84" s="918">
        <v>9.77</v>
      </c>
      <c r="V84" s="918">
        <v>0.3</v>
      </c>
      <c r="W84" s="918">
        <v>0.2</v>
      </c>
      <c r="X84" s="917">
        <f t="shared" si="0"/>
        <v>834.94</v>
      </c>
      <c r="Y84" s="917">
        <f t="shared" si="1"/>
        <v>27574.529999999995</v>
      </c>
      <c r="Z84" s="912"/>
      <c r="AA84" s="913"/>
      <c r="AB84" s="927"/>
      <c r="AC84" s="913"/>
    </row>
    <row r="85" spans="1:29" ht="28.5" hidden="1" customHeight="1" thickTop="1" x14ac:dyDescent="0.2">
      <c r="A85" s="904">
        <v>41671</v>
      </c>
      <c r="B85" s="926">
        <v>216.47</v>
      </c>
      <c r="C85" s="915">
        <v>221.1</v>
      </c>
      <c r="D85" s="915">
        <v>321.39999999999998</v>
      </c>
      <c r="E85" s="915">
        <v>1268.8</v>
      </c>
      <c r="F85" s="915">
        <v>1350.3</v>
      </c>
      <c r="G85" s="915">
        <v>2963.5</v>
      </c>
      <c r="H85" s="915">
        <v>15923.1</v>
      </c>
      <c r="I85" s="916">
        <v>4074.2</v>
      </c>
      <c r="J85" s="923">
        <f t="shared" si="2"/>
        <v>26338.87</v>
      </c>
      <c r="K85" s="926">
        <v>9.02</v>
      </c>
      <c r="L85" s="918">
        <v>13.14</v>
      </c>
      <c r="M85" s="918">
        <v>198.45</v>
      </c>
      <c r="N85" s="918">
        <v>263.13</v>
      </c>
      <c r="O85" s="918">
        <v>117.6</v>
      </c>
      <c r="P85" s="918">
        <v>143.19999999999999</v>
      </c>
      <c r="Q85" s="918">
        <v>31.92</v>
      </c>
      <c r="R85" s="918">
        <v>6.33</v>
      </c>
      <c r="S85" s="918">
        <v>41.83</v>
      </c>
      <c r="T85" s="918">
        <v>2.42</v>
      </c>
      <c r="U85" s="918">
        <v>9.8000000000000007</v>
      </c>
      <c r="V85" s="918">
        <v>0.33</v>
      </c>
      <c r="W85" s="918">
        <v>0.22</v>
      </c>
      <c r="X85" s="917">
        <f t="shared" si="0"/>
        <v>837.39</v>
      </c>
      <c r="Y85" s="917">
        <f t="shared" si="1"/>
        <v>27176.26</v>
      </c>
      <c r="Z85" s="912"/>
      <c r="AA85" s="927"/>
      <c r="AB85" s="927"/>
      <c r="AC85" s="913"/>
    </row>
    <row r="86" spans="1:29" ht="28.5" hidden="1" customHeight="1" thickTop="1" x14ac:dyDescent="0.2">
      <c r="A86" s="904">
        <v>41699</v>
      </c>
      <c r="B86" s="926">
        <v>216.4</v>
      </c>
      <c r="C86" s="915">
        <v>221.1</v>
      </c>
      <c r="D86" s="915">
        <v>317.66000000000003</v>
      </c>
      <c r="E86" s="915">
        <v>1249.8499999999999</v>
      </c>
      <c r="F86" s="915">
        <v>1345</v>
      </c>
      <c r="G86" s="915">
        <v>2928.45</v>
      </c>
      <c r="H86" s="915">
        <v>15660.1</v>
      </c>
      <c r="I86" s="916">
        <v>4229.26</v>
      </c>
      <c r="J86" s="923">
        <f t="shared" si="2"/>
        <v>26167.82</v>
      </c>
      <c r="K86" s="926">
        <v>9.02</v>
      </c>
      <c r="L86" s="918">
        <v>13.14</v>
      </c>
      <c r="M86" s="918">
        <v>199.7</v>
      </c>
      <c r="N86" s="918">
        <v>263.33</v>
      </c>
      <c r="O86" s="918">
        <v>117.73</v>
      </c>
      <c r="P86" s="918">
        <v>143.87</v>
      </c>
      <c r="Q86" s="918">
        <v>32.020000000000003</v>
      </c>
      <c r="R86" s="918">
        <v>6.33</v>
      </c>
      <c r="S86" s="918">
        <v>41.95</v>
      </c>
      <c r="T86" s="918">
        <v>2.42</v>
      </c>
      <c r="U86" s="918">
        <v>9.82</v>
      </c>
      <c r="V86" s="918">
        <v>0.33</v>
      </c>
      <c r="W86" s="918">
        <v>0.2</v>
      </c>
      <c r="X86" s="917">
        <f t="shared" si="0"/>
        <v>839.86000000000013</v>
      </c>
      <c r="Y86" s="917">
        <f t="shared" si="1"/>
        <v>27007.68</v>
      </c>
      <c r="Z86" s="912"/>
      <c r="AA86" s="927"/>
      <c r="AB86" s="927"/>
      <c r="AC86" s="913"/>
    </row>
    <row r="87" spans="1:29" ht="28.5" hidden="1" customHeight="1" thickTop="1" x14ac:dyDescent="0.2">
      <c r="A87" s="904">
        <v>41730</v>
      </c>
      <c r="B87" s="926">
        <v>216.36</v>
      </c>
      <c r="C87" s="915">
        <v>219.9</v>
      </c>
      <c r="D87" s="915">
        <v>313.60000000000002</v>
      </c>
      <c r="E87" s="915">
        <v>1251.98</v>
      </c>
      <c r="F87" s="915">
        <v>1325.4</v>
      </c>
      <c r="G87" s="915">
        <v>2877.1</v>
      </c>
      <c r="H87" s="915">
        <v>15524.2</v>
      </c>
      <c r="I87" s="916">
        <v>4389.1000000000004</v>
      </c>
      <c r="J87" s="923">
        <f t="shared" si="2"/>
        <v>26117.64</v>
      </c>
      <c r="K87" s="926">
        <v>9</v>
      </c>
      <c r="L87" s="918">
        <v>13.1</v>
      </c>
      <c r="M87" s="918">
        <v>199.9</v>
      </c>
      <c r="N87" s="918">
        <v>263.89999999999998</v>
      </c>
      <c r="O87" s="918">
        <v>118.4</v>
      </c>
      <c r="P87" s="918">
        <v>144.5</v>
      </c>
      <c r="Q87" s="918">
        <v>32.200000000000003</v>
      </c>
      <c r="R87" s="918">
        <v>6.33</v>
      </c>
      <c r="S87" s="918">
        <v>42.03</v>
      </c>
      <c r="T87" s="918">
        <v>2.42</v>
      </c>
      <c r="U87" s="918">
        <v>9.86</v>
      </c>
      <c r="V87" s="918">
        <v>0.33</v>
      </c>
      <c r="W87" s="918">
        <v>0.2</v>
      </c>
      <c r="X87" s="917">
        <f t="shared" si="0"/>
        <v>842.17000000000007</v>
      </c>
      <c r="Y87" s="917">
        <f t="shared" si="1"/>
        <v>26959.809999999998</v>
      </c>
      <c r="Z87" s="912"/>
      <c r="AA87" s="927"/>
      <c r="AB87" s="927"/>
      <c r="AC87" s="913"/>
    </row>
    <row r="88" spans="1:29" ht="28.5" hidden="1" customHeight="1" thickTop="1" x14ac:dyDescent="0.2">
      <c r="A88" s="904">
        <v>41760</v>
      </c>
      <c r="B88" s="926">
        <v>216.3</v>
      </c>
      <c r="C88" s="915">
        <v>217.9</v>
      </c>
      <c r="D88" s="915">
        <v>311.89999999999998</v>
      </c>
      <c r="E88" s="915">
        <v>1213.92</v>
      </c>
      <c r="F88" s="915">
        <v>1268.71</v>
      </c>
      <c r="G88" s="915">
        <v>2866.19</v>
      </c>
      <c r="H88" s="915">
        <v>14803.5</v>
      </c>
      <c r="I88" s="916">
        <v>4518</v>
      </c>
      <c r="J88" s="923">
        <f t="shared" si="2"/>
        <v>25416.42</v>
      </c>
      <c r="K88" s="926">
        <v>9.0229999999999997</v>
      </c>
      <c r="L88" s="918">
        <v>13.14</v>
      </c>
      <c r="M88" s="918">
        <v>200.2</v>
      </c>
      <c r="N88" s="918">
        <v>265.02999999999997</v>
      </c>
      <c r="O88" s="918">
        <v>118.7</v>
      </c>
      <c r="P88" s="918">
        <v>144.9</v>
      </c>
      <c r="Q88" s="918">
        <v>32.299999999999997</v>
      </c>
      <c r="R88" s="918">
        <v>6.33</v>
      </c>
      <c r="S88" s="918">
        <v>42</v>
      </c>
      <c r="T88" s="918">
        <v>2.42</v>
      </c>
      <c r="U88" s="918">
        <v>9.9</v>
      </c>
      <c r="V88" s="918">
        <v>0.33</v>
      </c>
      <c r="W88" s="918">
        <v>0.22</v>
      </c>
      <c r="X88" s="917">
        <f t="shared" si="0"/>
        <v>844.49299999999994</v>
      </c>
      <c r="Y88" s="917">
        <f t="shared" si="1"/>
        <v>26260.912999999997</v>
      </c>
      <c r="Z88" s="912"/>
      <c r="AA88" s="927"/>
      <c r="AB88" s="927"/>
      <c r="AC88" s="913"/>
    </row>
    <row r="89" spans="1:29" ht="28.5" hidden="1" customHeight="1" thickTop="1" x14ac:dyDescent="0.2">
      <c r="A89" s="904">
        <v>41791</v>
      </c>
      <c r="B89" s="926">
        <v>216.26</v>
      </c>
      <c r="C89" s="915">
        <v>218.5</v>
      </c>
      <c r="D89" s="915">
        <v>314.39999999999998</v>
      </c>
      <c r="E89" s="915">
        <v>1236.5999999999999</v>
      </c>
      <c r="F89" s="915">
        <v>1282.9000000000001</v>
      </c>
      <c r="G89" s="915">
        <v>2870.9</v>
      </c>
      <c r="H89" s="915">
        <v>15064.12</v>
      </c>
      <c r="I89" s="916">
        <v>4532</v>
      </c>
      <c r="J89" s="923">
        <f t="shared" si="2"/>
        <v>25735.68</v>
      </c>
      <c r="K89" s="926">
        <v>9.0239999999999991</v>
      </c>
      <c r="L89" s="918">
        <v>13.14</v>
      </c>
      <c r="M89" s="918">
        <v>201</v>
      </c>
      <c r="N89" s="918">
        <v>266.10000000000002</v>
      </c>
      <c r="O89" s="918">
        <v>119.4</v>
      </c>
      <c r="P89" s="918">
        <v>145.4</v>
      </c>
      <c r="Q89" s="918">
        <v>32.4</v>
      </c>
      <c r="R89" s="918">
        <v>6.33</v>
      </c>
      <c r="S89" s="918">
        <v>42.15</v>
      </c>
      <c r="T89" s="918">
        <v>2.4</v>
      </c>
      <c r="U89" s="918">
        <v>9.9</v>
      </c>
      <c r="V89" s="918">
        <v>0.3</v>
      </c>
      <c r="W89" s="918">
        <v>0.22</v>
      </c>
      <c r="X89" s="917">
        <f t="shared" si="0"/>
        <v>847.7639999999999</v>
      </c>
      <c r="Y89" s="917">
        <f t="shared" si="1"/>
        <v>26583.444</v>
      </c>
      <c r="Z89" s="912"/>
      <c r="AA89" s="927"/>
      <c r="AB89" s="927"/>
      <c r="AC89" s="913"/>
    </row>
    <row r="90" spans="1:29" ht="28.5" hidden="1" customHeight="1" thickTop="1" x14ac:dyDescent="0.2">
      <c r="A90" s="904">
        <v>41821</v>
      </c>
      <c r="B90" s="926">
        <v>216.25</v>
      </c>
      <c r="C90" s="915">
        <v>223.36</v>
      </c>
      <c r="D90" s="915">
        <v>321.7</v>
      </c>
      <c r="E90" s="915">
        <v>1267.75</v>
      </c>
      <c r="F90" s="915">
        <v>1342.8</v>
      </c>
      <c r="G90" s="915">
        <v>2978.2</v>
      </c>
      <c r="H90" s="915">
        <v>15851</v>
      </c>
      <c r="I90" s="916">
        <v>4526.1000000000004</v>
      </c>
      <c r="J90" s="923">
        <f t="shared" si="2"/>
        <v>26727.159999999996</v>
      </c>
      <c r="K90" s="926">
        <v>9.0239999999999991</v>
      </c>
      <c r="L90" s="918">
        <v>13.14</v>
      </c>
      <c r="M90" s="918">
        <v>201.4</v>
      </c>
      <c r="N90" s="918">
        <v>266.62</v>
      </c>
      <c r="O90" s="918">
        <v>119.89</v>
      </c>
      <c r="P90" s="918">
        <v>145.87</v>
      </c>
      <c r="Q90" s="918">
        <v>32.549999999999997</v>
      </c>
      <c r="R90" s="918">
        <v>6.3319999999999999</v>
      </c>
      <c r="S90" s="918">
        <v>42.38</v>
      </c>
      <c r="T90" s="918">
        <v>2.42</v>
      </c>
      <c r="U90" s="918">
        <v>9.9499999999999993</v>
      </c>
      <c r="V90" s="918">
        <v>0.33</v>
      </c>
      <c r="W90" s="918">
        <v>0.22</v>
      </c>
      <c r="X90" s="917">
        <f t="shared" si="0"/>
        <v>850.12600000000009</v>
      </c>
      <c r="Y90" s="917">
        <f t="shared" si="1"/>
        <v>27577.285999999996</v>
      </c>
      <c r="Z90" s="912"/>
      <c r="AA90" s="927"/>
      <c r="AB90" s="927"/>
      <c r="AC90" s="913"/>
    </row>
    <row r="91" spans="1:29" ht="28.5" hidden="1" customHeight="1" thickTop="1" x14ac:dyDescent="0.2">
      <c r="A91" s="904">
        <v>41852</v>
      </c>
      <c r="B91" s="926">
        <v>216.16</v>
      </c>
      <c r="C91" s="915">
        <v>224.6</v>
      </c>
      <c r="D91" s="915">
        <v>322.8</v>
      </c>
      <c r="E91" s="915">
        <v>1282.0999999999999</v>
      </c>
      <c r="F91" s="915">
        <v>1320.78</v>
      </c>
      <c r="G91" s="915">
        <v>2971.4</v>
      </c>
      <c r="H91" s="915">
        <v>15351.9</v>
      </c>
      <c r="I91" s="916">
        <v>4675.2</v>
      </c>
      <c r="J91" s="923">
        <f t="shared" si="2"/>
        <v>26364.94</v>
      </c>
      <c r="K91" s="926">
        <v>9</v>
      </c>
      <c r="L91" s="918">
        <v>13.1</v>
      </c>
      <c r="M91" s="918">
        <v>201.7</v>
      </c>
      <c r="N91" s="918">
        <v>268.60000000000002</v>
      </c>
      <c r="O91" s="918">
        <v>120.26</v>
      </c>
      <c r="P91" s="918">
        <v>146.5</v>
      </c>
      <c r="Q91" s="918">
        <v>32.69</v>
      </c>
      <c r="R91" s="918">
        <v>6.33</v>
      </c>
      <c r="S91" s="918">
        <v>42.57</v>
      </c>
      <c r="T91" s="918">
        <v>2.42</v>
      </c>
      <c r="U91" s="918">
        <v>10</v>
      </c>
      <c r="V91" s="918">
        <v>0.33</v>
      </c>
      <c r="W91" s="918">
        <v>0.22</v>
      </c>
      <c r="X91" s="917">
        <f t="shared" si="0"/>
        <v>853.72</v>
      </c>
      <c r="Y91" s="917">
        <f t="shared" si="1"/>
        <v>27218.66</v>
      </c>
      <c r="Z91" s="912"/>
      <c r="AA91" s="927"/>
      <c r="AB91" s="927"/>
      <c r="AC91" s="913"/>
    </row>
    <row r="92" spans="1:29" ht="28.5" hidden="1" customHeight="1" thickTop="1" x14ac:dyDescent="0.2">
      <c r="A92" s="904">
        <v>41883</v>
      </c>
      <c r="B92" s="926">
        <v>216.13</v>
      </c>
      <c r="C92" s="915">
        <v>224.86</v>
      </c>
      <c r="D92" s="915">
        <v>321.60000000000002</v>
      </c>
      <c r="E92" s="915">
        <v>1271.0999999999999</v>
      </c>
      <c r="F92" s="915">
        <v>1287.3800000000001</v>
      </c>
      <c r="G92" s="915">
        <v>2907.6</v>
      </c>
      <c r="H92" s="915">
        <v>14951.9</v>
      </c>
      <c r="I92" s="916">
        <v>4771</v>
      </c>
      <c r="J92" s="923">
        <f t="shared" si="2"/>
        <v>25951.57</v>
      </c>
      <c r="K92" s="926">
        <v>9.0280000000000005</v>
      </c>
      <c r="L92" s="918">
        <v>13.15</v>
      </c>
      <c r="M92" s="918">
        <v>201.9</v>
      </c>
      <c r="N92" s="918">
        <v>271.05</v>
      </c>
      <c r="O92" s="918">
        <v>120.68</v>
      </c>
      <c r="P92" s="918">
        <v>147.1</v>
      </c>
      <c r="Q92" s="918">
        <v>32.81</v>
      </c>
      <c r="R92" s="918">
        <v>6.3310000000000004</v>
      </c>
      <c r="S92" s="918">
        <v>42.74</v>
      </c>
      <c r="T92" s="918">
        <v>2.4</v>
      </c>
      <c r="U92" s="918">
        <v>10.02</v>
      </c>
      <c r="V92" s="918">
        <v>0.33</v>
      </c>
      <c r="W92" s="918">
        <v>0.2</v>
      </c>
      <c r="X92" s="917">
        <f t="shared" si="0"/>
        <v>857.73900000000015</v>
      </c>
      <c r="Y92" s="917">
        <f t="shared" si="1"/>
        <v>26809.309000000001</v>
      </c>
      <c r="Z92" s="912"/>
      <c r="AA92" s="927"/>
      <c r="AB92" s="927"/>
      <c r="AC92" s="913"/>
    </row>
    <row r="93" spans="1:29" ht="28.5" hidden="1" customHeight="1" thickTop="1" x14ac:dyDescent="0.2">
      <c r="A93" s="904">
        <v>41913</v>
      </c>
      <c r="B93" s="926">
        <v>216.06</v>
      </c>
      <c r="C93" s="915">
        <v>224.3</v>
      </c>
      <c r="D93" s="915">
        <v>324.7</v>
      </c>
      <c r="E93" s="915">
        <v>1247.7</v>
      </c>
      <c r="F93" s="915">
        <v>1345.6</v>
      </c>
      <c r="G93" s="915">
        <v>2995.9</v>
      </c>
      <c r="H93" s="915">
        <v>14860.54</v>
      </c>
      <c r="I93" s="916">
        <v>4759.3999999999996</v>
      </c>
      <c r="J93" s="923">
        <f t="shared" si="2"/>
        <v>25974.200000000004</v>
      </c>
      <c r="K93" s="926">
        <v>9</v>
      </c>
      <c r="L93" s="918">
        <v>13.15</v>
      </c>
      <c r="M93" s="918">
        <v>201.91</v>
      </c>
      <c r="N93" s="918">
        <v>271.5</v>
      </c>
      <c r="O93" s="918">
        <v>121.5</v>
      </c>
      <c r="P93" s="918">
        <v>147.80000000000001</v>
      </c>
      <c r="Q93" s="918">
        <v>33.04</v>
      </c>
      <c r="R93" s="918">
        <v>6.3</v>
      </c>
      <c r="S93" s="918">
        <v>43.03</v>
      </c>
      <c r="T93" s="918">
        <v>2.4</v>
      </c>
      <c r="U93" s="918">
        <v>10</v>
      </c>
      <c r="V93" s="918">
        <v>0.33</v>
      </c>
      <c r="W93" s="918">
        <v>0.22</v>
      </c>
      <c r="X93" s="917">
        <f t="shared" si="0"/>
        <v>860.17999999999984</v>
      </c>
      <c r="Y93" s="917">
        <f>J93+X93</f>
        <v>26834.380000000005</v>
      </c>
      <c r="Z93" s="912"/>
      <c r="AA93" s="927"/>
      <c r="AB93" s="927"/>
      <c r="AC93" s="913"/>
    </row>
    <row r="94" spans="1:29" ht="28.5" hidden="1" customHeight="1" thickTop="1" x14ac:dyDescent="0.2">
      <c r="A94" s="904">
        <v>41944</v>
      </c>
      <c r="B94" s="926">
        <v>216.04</v>
      </c>
      <c r="C94" s="915">
        <v>225.24</v>
      </c>
      <c r="D94" s="915">
        <v>328.6</v>
      </c>
      <c r="E94" s="915">
        <v>1295.4000000000001</v>
      </c>
      <c r="F94" s="915">
        <v>1361.3</v>
      </c>
      <c r="G94" s="915">
        <v>2954.6</v>
      </c>
      <c r="H94" s="915">
        <v>15290.52</v>
      </c>
      <c r="I94" s="916">
        <v>4934.2</v>
      </c>
      <c r="J94" s="923">
        <f t="shared" si="2"/>
        <v>26605.9</v>
      </c>
      <c r="K94" s="926">
        <v>9</v>
      </c>
      <c r="L94" s="918">
        <v>13.16</v>
      </c>
      <c r="M94" s="918">
        <v>202</v>
      </c>
      <c r="N94" s="918">
        <v>273.3</v>
      </c>
      <c r="O94" s="918">
        <v>122.14</v>
      </c>
      <c r="P94" s="918">
        <v>149</v>
      </c>
      <c r="Q94" s="918">
        <v>33.229999999999997</v>
      </c>
      <c r="R94" s="918">
        <v>6.3</v>
      </c>
      <c r="S94" s="918">
        <v>43.24</v>
      </c>
      <c r="T94" s="918">
        <v>2.4</v>
      </c>
      <c r="U94" s="918">
        <v>10.119999999999999</v>
      </c>
      <c r="V94" s="918">
        <v>0.3</v>
      </c>
      <c r="W94" s="918">
        <v>0.2</v>
      </c>
      <c r="X94" s="917">
        <f t="shared" si="0"/>
        <v>864.39</v>
      </c>
      <c r="Y94" s="917">
        <f>J94+X94</f>
        <v>27470.29</v>
      </c>
      <c r="Z94" s="912"/>
      <c r="AA94" s="927"/>
      <c r="AB94" s="927"/>
      <c r="AC94" s="913"/>
    </row>
    <row r="95" spans="1:29" ht="28.5" hidden="1" customHeight="1" thickTop="1" x14ac:dyDescent="0.2">
      <c r="A95" s="904">
        <v>41974</v>
      </c>
      <c r="B95" s="926">
        <v>216</v>
      </c>
      <c r="C95" s="915">
        <v>240.88</v>
      </c>
      <c r="D95" s="915">
        <v>347.45</v>
      </c>
      <c r="E95" s="915">
        <v>1485.8</v>
      </c>
      <c r="F95" s="915">
        <v>1647</v>
      </c>
      <c r="G95" s="915">
        <v>3745.43</v>
      </c>
      <c r="H95" s="915">
        <v>18829.7</v>
      </c>
      <c r="I95" s="916">
        <v>5385</v>
      </c>
      <c r="J95" s="923">
        <f t="shared" si="2"/>
        <v>31897.260000000002</v>
      </c>
      <c r="K95" s="926">
        <v>9</v>
      </c>
      <c r="L95" s="918">
        <v>13.16</v>
      </c>
      <c r="M95" s="918">
        <v>203.1</v>
      </c>
      <c r="N95" s="918">
        <v>277.3</v>
      </c>
      <c r="O95" s="918">
        <v>123.26</v>
      </c>
      <c r="P95" s="918">
        <v>149.97</v>
      </c>
      <c r="Q95" s="918">
        <v>33.380000000000003</v>
      </c>
      <c r="R95" s="918">
        <v>6.33</v>
      </c>
      <c r="S95" s="918">
        <v>43.4</v>
      </c>
      <c r="T95" s="918">
        <v>2.4</v>
      </c>
      <c r="U95" s="918">
        <v>10.15</v>
      </c>
      <c r="V95" s="918">
        <v>0.3</v>
      </c>
      <c r="W95" s="918">
        <v>0.22</v>
      </c>
      <c r="X95" s="917">
        <v>871.97</v>
      </c>
      <c r="Y95" s="917">
        <v>32769.230000000003</v>
      </c>
      <c r="Z95" s="912"/>
      <c r="AA95" s="927"/>
      <c r="AB95" s="927"/>
      <c r="AC95" s="913"/>
    </row>
    <row r="96" spans="1:29" ht="28.5" hidden="1" customHeight="1" thickTop="1" x14ac:dyDescent="0.2">
      <c r="A96" s="904">
        <v>42005</v>
      </c>
      <c r="B96" s="926">
        <v>215.9</v>
      </c>
      <c r="C96" s="915">
        <v>240.8</v>
      </c>
      <c r="D96" s="915">
        <v>346.8</v>
      </c>
      <c r="E96" s="915">
        <v>1403.2</v>
      </c>
      <c r="F96" s="915">
        <v>1482.7</v>
      </c>
      <c r="G96" s="915">
        <v>3148.18</v>
      </c>
      <c r="H96" s="915">
        <v>16294.91</v>
      </c>
      <c r="I96" s="916">
        <v>4918.5600000000004</v>
      </c>
      <c r="J96" s="923">
        <f t="shared" si="2"/>
        <v>28051.05</v>
      </c>
      <c r="K96" s="926">
        <v>9</v>
      </c>
      <c r="L96" s="918">
        <v>13.16</v>
      </c>
      <c r="M96" s="918">
        <v>203.22</v>
      </c>
      <c r="N96" s="918">
        <v>281.89999999999998</v>
      </c>
      <c r="O96" s="918">
        <v>125.6</v>
      </c>
      <c r="P96" s="918">
        <v>151.4</v>
      </c>
      <c r="Q96" s="918">
        <v>33.5</v>
      </c>
      <c r="R96" s="918">
        <v>6.33</v>
      </c>
      <c r="S96" s="918">
        <v>43.5</v>
      </c>
      <c r="T96" s="918">
        <v>2.42</v>
      </c>
      <c r="U96" s="918">
        <v>10.199999999999999</v>
      </c>
      <c r="V96" s="918">
        <v>0.33</v>
      </c>
      <c r="W96" s="918">
        <v>0.22</v>
      </c>
      <c r="X96" s="917">
        <f>SUM(K96:W96)</f>
        <v>880.78000000000009</v>
      </c>
      <c r="Y96" s="917">
        <f>J96+X96</f>
        <v>28931.829999999998</v>
      </c>
      <c r="Z96" s="912"/>
      <c r="AA96" s="927"/>
      <c r="AB96" s="927"/>
      <c r="AC96" s="913"/>
    </row>
    <row r="97" spans="1:29" ht="28.5" hidden="1" customHeight="1" thickTop="1" x14ac:dyDescent="0.2">
      <c r="A97" s="904">
        <v>42036</v>
      </c>
      <c r="B97" s="926">
        <v>215.84</v>
      </c>
      <c r="C97" s="915">
        <v>239.92</v>
      </c>
      <c r="D97" s="915">
        <v>346</v>
      </c>
      <c r="E97" s="915">
        <v>1379.7</v>
      </c>
      <c r="F97" s="915">
        <v>1439.7</v>
      </c>
      <c r="G97" s="915">
        <v>3206.2</v>
      </c>
      <c r="H97" s="915">
        <v>16165</v>
      </c>
      <c r="I97" s="916">
        <v>4901</v>
      </c>
      <c r="J97" s="923">
        <f t="shared" si="2"/>
        <v>27893.360000000001</v>
      </c>
      <c r="K97" s="926">
        <v>9.0500000000000007</v>
      </c>
      <c r="L97" s="918">
        <v>13.2</v>
      </c>
      <c r="M97" s="918">
        <v>203.21</v>
      </c>
      <c r="N97" s="918">
        <v>282</v>
      </c>
      <c r="O97" s="918">
        <v>126.1</v>
      </c>
      <c r="P97" s="918">
        <v>151.80000000000001</v>
      </c>
      <c r="Q97" s="918">
        <v>33.64</v>
      </c>
      <c r="R97" s="918">
        <v>6.3</v>
      </c>
      <c r="S97" s="918">
        <v>43.7</v>
      </c>
      <c r="T97" s="918">
        <v>2.4</v>
      </c>
      <c r="U97" s="918">
        <v>10.199999999999999</v>
      </c>
      <c r="V97" s="918">
        <v>0.3</v>
      </c>
      <c r="W97" s="918">
        <v>0.2</v>
      </c>
      <c r="X97" s="917">
        <f>SUM(K97:W97)</f>
        <v>882.10000000000014</v>
      </c>
      <c r="Y97" s="917">
        <f>J97+X97</f>
        <v>28775.46</v>
      </c>
      <c r="Z97" s="912"/>
      <c r="AA97" s="927"/>
      <c r="AB97" s="927"/>
      <c r="AC97" s="913"/>
    </row>
    <row r="98" spans="1:29" ht="28.5" hidden="1" customHeight="1" thickTop="1" x14ac:dyDescent="0.2">
      <c r="A98" s="904">
        <v>42064</v>
      </c>
      <c r="B98" s="926">
        <v>215.84</v>
      </c>
      <c r="C98" s="915">
        <v>236.6</v>
      </c>
      <c r="D98" s="915">
        <v>344.05</v>
      </c>
      <c r="E98" s="915">
        <v>1358.2</v>
      </c>
      <c r="F98" s="915">
        <v>1387.65</v>
      </c>
      <c r="G98" s="915">
        <v>3199.3</v>
      </c>
      <c r="H98" s="915">
        <v>15847.75</v>
      </c>
      <c r="I98" s="916">
        <v>5000.46</v>
      </c>
      <c r="J98" s="923">
        <f t="shared" si="2"/>
        <v>27589.85</v>
      </c>
      <c r="K98" s="926">
        <v>9.1</v>
      </c>
      <c r="L98" s="918">
        <v>13.2</v>
      </c>
      <c r="M98" s="918">
        <v>203.21</v>
      </c>
      <c r="N98" s="918">
        <v>282.5</v>
      </c>
      <c r="O98" s="918">
        <v>126.6</v>
      </c>
      <c r="P98" s="918">
        <v>152.35</v>
      </c>
      <c r="Q98" s="918">
        <v>33.799999999999997</v>
      </c>
      <c r="R98" s="918">
        <v>6.3</v>
      </c>
      <c r="S98" s="918">
        <v>43.8</v>
      </c>
      <c r="T98" s="918">
        <v>2.4</v>
      </c>
      <c r="U98" s="918">
        <v>10.3</v>
      </c>
      <c r="V98" s="918">
        <v>0.3</v>
      </c>
      <c r="W98" s="918">
        <v>0.2</v>
      </c>
      <c r="X98" s="917">
        <f>SUM(K98:W98)</f>
        <v>884.05999999999983</v>
      </c>
      <c r="Y98" s="917">
        <f>J98+X98</f>
        <v>28473.91</v>
      </c>
      <c r="Z98" s="912"/>
      <c r="AA98" s="927"/>
      <c r="AB98" s="927"/>
      <c r="AC98" s="913"/>
    </row>
    <row r="99" spans="1:29" ht="28.5" hidden="1" customHeight="1" thickTop="1" x14ac:dyDescent="0.2">
      <c r="A99" s="904">
        <v>42095</v>
      </c>
      <c r="B99" s="926">
        <v>215.76</v>
      </c>
      <c r="C99" s="915">
        <v>240.4</v>
      </c>
      <c r="D99" s="915">
        <v>345.55</v>
      </c>
      <c r="E99" s="915">
        <v>1343.56</v>
      </c>
      <c r="F99" s="915">
        <v>1438.8</v>
      </c>
      <c r="G99" s="915">
        <v>3251.4</v>
      </c>
      <c r="H99" s="915">
        <v>16328.9</v>
      </c>
      <c r="I99" s="916">
        <v>5078.8</v>
      </c>
      <c r="J99" s="923">
        <f t="shared" si="2"/>
        <v>28243.17</v>
      </c>
      <c r="K99" s="926">
        <v>9.06</v>
      </c>
      <c r="L99" s="918">
        <v>13.2</v>
      </c>
      <c r="M99" s="918">
        <v>203.3</v>
      </c>
      <c r="N99" s="918">
        <v>283.10000000000002</v>
      </c>
      <c r="O99" s="918">
        <v>127.1</v>
      </c>
      <c r="P99" s="918">
        <v>153.30000000000001</v>
      </c>
      <c r="Q99" s="918">
        <v>33.96</v>
      </c>
      <c r="R99" s="918">
        <v>6.3</v>
      </c>
      <c r="S99" s="918">
        <v>44</v>
      </c>
      <c r="T99" s="918">
        <v>2.4</v>
      </c>
      <c r="U99" s="918">
        <v>10.28</v>
      </c>
      <c r="V99" s="918">
        <v>0.33</v>
      </c>
      <c r="W99" s="918">
        <v>0.22</v>
      </c>
      <c r="X99" s="917">
        <v>886.55</v>
      </c>
      <c r="Y99" s="917">
        <f t="shared" ref="Y99:Y112" si="3">J99+X99</f>
        <v>29129.719999999998</v>
      </c>
      <c r="Z99" s="912"/>
      <c r="AA99" s="927"/>
      <c r="AB99" s="927"/>
      <c r="AC99" s="913"/>
    </row>
    <row r="100" spans="1:29" ht="28.5" customHeight="1" thickTop="1" x14ac:dyDescent="0.2">
      <c r="A100" s="904">
        <v>42125</v>
      </c>
      <c r="B100" s="926">
        <v>215.7</v>
      </c>
      <c r="C100" s="915">
        <v>240.5</v>
      </c>
      <c r="D100" s="915">
        <v>346.1</v>
      </c>
      <c r="E100" s="915">
        <v>1302.2</v>
      </c>
      <c r="F100" s="915">
        <v>1403.8</v>
      </c>
      <c r="G100" s="915">
        <v>3195.7</v>
      </c>
      <c r="H100" s="915">
        <v>15871.8</v>
      </c>
      <c r="I100" s="916">
        <v>5157.3</v>
      </c>
      <c r="J100" s="923">
        <f t="shared" si="2"/>
        <v>27733.1</v>
      </c>
      <c r="K100" s="926">
        <v>9.1</v>
      </c>
      <c r="L100" s="918">
        <v>13.18</v>
      </c>
      <c r="M100" s="918">
        <v>201.45</v>
      </c>
      <c r="N100" s="918">
        <v>283.5</v>
      </c>
      <c r="O100" s="918">
        <v>127.7</v>
      </c>
      <c r="P100" s="918">
        <v>153.80000000000001</v>
      </c>
      <c r="Q100" s="918">
        <v>34.200000000000003</v>
      </c>
      <c r="R100" s="918">
        <v>6.3</v>
      </c>
      <c r="S100" s="918">
        <v>44.16</v>
      </c>
      <c r="T100" s="918">
        <v>2.4</v>
      </c>
      <c r="U100" s="918">
        <v>10.3</v>
      </c>
      <c r="V100" s="918">
        <v>0.3</v>
      </c>
      <c r="W100" s="918">
        <v>0.2</v>
      </c>
      <c r="X100" s="917">
        <f t="shared" ref="X100:X106" si="4">SUM(K100:W100)</f>
        <v>886.58999999999992</v>
      </c>
      <c r="Y100" s="917">
        <f t="shared" si="3"/>
        <v>28619.69</v>
      </c>
      <c r="Z100" s="912"/>
      <c r="AA100" s="927"/>
      <c r="AB100" s="927"/>
      <c r="AC100" s="913"/>
    </row>
    <row r="101" spans="1:29" ht="28.5" customHeight="1" x14ac:dyDescent="0.2">
      <c r="A101" s="904">
        <v>42156</v>
      </c>
      <c r="B101" s="926">
        <v>215.7</v>
      </c>
      <c r="C101" s="915">
        <v>242.18</v>
      </c>
      <c r="D101" s="915">
        <v>345.26</v>
      </c>
      <c r="E101" s="915">
        <v>1304.3499999999999</v>
      </c>
      <c r="F101" s="915">
        <v>1384.85</v>
      </c>
      <c r="G101" s="915">
        <v>3211.89</v>
      </c>
      <c r="H101" s="915">
        <v>15797.78</v>
      </c>
      <c r="I101" s="916">
        <v>5248.58</v>
      </c>
      <c r="J101" s="923">
        <f>SUM(B101:I101)</f>
        <v>27750.590000000004</v>
      </c>
      <c r="K101" s="926">
        <v>9.08</v>
      </c>
      <c r="L101" s="918">
        <v>13.18</v>
      </c>
      <c r="M101" s="918">
        <v>201.5</v>
      </c>
      <c r="N101" s="918">
        <v>284.08999999999997</v>
      </c>
      <c r="O101" s="918">
        <v>128.47</v>
      </c>
      <c r="P101" s="918">
        <v>154.08000000000001</v>
      </c>
      <c r="Q101" s="918">
        <v>34.32</v>
      </c>
      <c r="R101" s="918">
        <v>6.33</v>
      </c>
      <c r="S101" s="918">
        <v>44.27</v>
      </c>
      <c r="T101" s="918">
        <v>2.4</v>
      </c>
      <c r="U101" s="918">
        <v>10.34</v>
      </c>
      <c r="V101" s="918">
        <v>0.3</v>
      </c>
      <c r="W101" s="918">
        <v>0.2</v>
      </c>
      <c r="X101" s="917">
        <f t="shared" si="4"/>
        <v>888.56000000000006</v>
      </c>
      <c r="Y101" s="917">
        <f t="shared" si="3"/>
        <v>28639.150000000005</v>
      </c>
      <c r="Z101" s="912"/>
      <c r="AA101" s="927"/>
      <c r="AB101" s="927"/>
      <c r="AC101" s="913"/>
    </row>
    <row r="102" spans="1:29" ht="28.5" customHeight="1" x14ac:dyDescent="0.2">
      <c r="A102" s="904">
        <v>42186</v>
      </c>
      <c r="B102" s="926">
        <v>215.7</v>
      </c>
      <c r="C102" s="915">
        <v>240.78</v>
      </c>
      <c r="D102" s="915">
        <v>347.65</v>
      </c>
      <c r="E102" s="915">
        <v>1324.2</v>
      </c>
      <c r="F102" s="915">
        <v>1415.8</v>
      </c>
      <c r="G102" s="915">
        <v>3174.9</v>
      </c>
      <c r="H102" s="915">
        <v>16374.4</v>
      </c>
      <c r="I102" s="916">
        <v>5336.9</v>
      </c>
      <c r="J102" s="923">
        <f>SUM(B102:I102)</f>
        <v>28430.33</v>
      </c>
      <c r="K102" s="926">
        <v>9.1</v>
      </c>
      <c r="L102" s="918">
        <v>13.2</v>
      </c>
      <c r="M102" s="918">
        <v>201.76</v>
      </c>
      <c r="N102" s="918">
        <v>286.3</v>
      </c>
      <c r="O102" s="918">
        <v>128.80000000000001</v>
      </c>
      <c r="P102" s="918">
        <v>154.6</v>
      </c>
      <c r="Q102" s="918">
        <v>34.4</v>
      </c>
      <c r="R102" s="918">
        <v>6.3</v>
      </c>
      <c r="S102" s="918">
        <v>44.5</v>
      </c>
      <c r="T102" s="918">
        <v>2.4</v>
      </c>
      <c r="U102" s="918">
        <v>10.4</v>
      </c>
      <c r="V102" s="918">
        <v>0.3</v>
      </c>
      <c r="W102" s="918">
        <v>0.2</v>
      </c>
      <c r="X102" s="917">
        <f t="shared" si="4"/>
        <v>892.26</v>
      </c>
      <c r="Y102" s="917">
        <f t="shared" si="3"/>
        <v>29322.59</v>
      </c>
      <c r="Z102" s="912"/>
      <c r="AA102" s="927"/>
      <c r="AB102" s="927"/>
      <c r="AC102" s="913"/>
    </row>
    <row r="103" spans="1:29" ht="28.5" customHeight="1" x14ac:dyDescent="0.2">
      <c r="A103" s="904">
        <v>42217</v>
      </c>
      <c r="B103" s="926">
        <v>215.6</v>
      </c>
      <c r="C103" s="915">
        <v>236.9</v>
      </c>
      <c r="D103" s="915">
        <v>346.2</v>
      </c>
      <c r="E103" s="915">
        <v>1313.77</v>
      </c>
      <c r="F103" s="915">
        <v>1413.02</v>
      </c>
      <c r="G103" s="915">
        <v>3175.24</v>
      </c>
      <c r="H103" s="915">
        <v>16183.7</v>
      </c>
      <c r="I103" s="916">
        <v>5247.6</v>
      </c>
      <c r="J103" s="923">
        <f t="shared" ref="J103:J109" si="5">SUM(B103:I103)</f>
        <v>28132.03</v>
      </c>
      <c r="K103" s="926">
        <v>9.1</v>
      </c>
      <c r="L103" s="918">
        <v>13.19</v>
      </c>
      <c r="M103" s="918">
        <v>201.8</v>
      </c>
      <c r="N103" s="918">
        <v>286.82</v>
      </c>
      <c r="O103" s="918">
        <v>129.41999999999999</v>
      </c>
      <c r="P103" s="918">
        <v>155.33000000000001</v>
      </c>
      <c r="Q103" s="918">
        <v>34.64</v>
      </c>
      <c r="R103" s="918">
        <v>6.33</v>
      </c>
      <c r="S103" s="918">
        <v>44.68</v>
      </c>
      <c r="T103" s="918">
        <v>2.42</v>
      </c>
      <c r="U103" s="918">
        <v>10.4</v>
      </c>
      <c r="V103" s="918">
        <v>0.3</v>
      </c>
      <c r="W103" s="918">
        <v>0.2</v>
      </c>
      <c r="X103" s="917">
        <f t="shared" si="4"/>
        <v>894.62999999999988</v>
      </c>
      <c r="Y103" s="917">
        <f t="shared" si="3"/>
        <v>29026.66</v>
      </c>
      <c r="Z103" s="912"/>
      <c r="AA103" s="927"/>
      <c r="AB103" s="927"/>
      <c r="AC103" s="913"/>
    </row>
    <row r="104" spans="1:29" ht="28.5" customHeight="1" x14ac:dyDescent="0.2">
      <c r="A104" s="904">
        <v>42248</v>
      </c>
      <c r="B104" s="926">
        <v>215.5</v>
      </c>
      <c r="C104" s="915">
        <v>235.3</v>
      </c>
      <c r="D104" s="915">
        <v>344.78</v>
      </c>
      <c r="E104" s="915">
        <v>1332.98</v>
      </c>
      <c r="F104" s="915">
        <v>1401.7</v>
      </c>
      <c r="G104" s="915">
        <v>3165.8</v>
      </c>
      <c r="H104" s="915">
        <v>16217.4</v>
      </c>
      <c r="I104" s="916">
        <v>5242.6000000000004</v>
      </c>
      <c r="J104" s="923">
        <f t="shared" si="5"/>
        <v>28156.059999999998</v>
      </c>
      <c r="K104" s="926">
        <v>9.1</v>
      </c>
      <c r="L104" s="918">
        <v>13.2</v>
      </c>
      <c r="M104" s="918">
        <v>201.9</v>
      </c>
      <c r="N104" s="918">
        <v>289.14</v>
      </c>
      <c r="O104" s="918">
        <v>129.9</v>
      </c>
      <c r="P104" s="918">
        <v>155.63999999999999</v>
      </c>
      <c r="Q104" s="918">
        <v>34.799999999999997</v>
      </c>
      <c r="R104" s="918">
        <v>6.33</v>
      </c>
      <c r="S104" s="918">
        <v>44.81</v>
      </c>
      <c r="T104" s="918">
        <v>2.42</v>
      </c>
      <c r="U104" s="918">
        <v>10.44</v>
      </c>
      <c r="V104" s="918">
        <v>0.3</v>
      </c>
      <c r="W104" s="918">
        <v>0.2</v>
      </c>
      <c r="X104" s="917">
        <f t="shared" si="4"/>
        <v>898.18</v>
      </c>
      <c r="Y104" s="917">
        <f t="shared" si="3"/>
        <v>29054.239999999998</v>
      </c>
      <c r="Z104" s="912"/>
      <c r="AA104" s="927"/>
      <c r="AB104" s="927"/>
      <c r="AC104" s="913"/>
    </row>
    <row r="105" spans="1:29" ht="28.5" customHeight="1" x14ac:dyDescent="0.2">
      <c r="A105" s="904">
        <v>42278</v>
      </c>
      <c r="B105" s="926">
        <v>215.52</v>
      </c>
      <c r="C105" s="915">
        <v>236.13</v>
      </c>
      <c r="D105" s="915">
        <v>346.1</v>
      </c>
      <c r="E105" s="915">
        <v>1331.84</v>
      </c>
      <c r="F105" s="915">
        <v>1460.47</v>
      </c>
      <c r="G105" s="915">
        <v>3266.11</v>
      </c>
      <c r="H105" s="915">
        <v>16330.53</v>
      </c>
      <c r="I105" s="916">
        <v>5283.81</v>
      </c>
      <c r="J105" s="923">
        <f t="shared" si="5"/>
        <v>28470.510000000002</v>
      </c>
      <c r="K105" s="926">
        <v>9.1</v>
      </c>
      <c r="L105" s="918">
        <v>13.2</v>
      </c>
      <c r="M105" s="918">
        <v>201.7</v>
      </c>
      <c r="N105" s="918">
        <v>291.26</v>
      </c>
      <c r="O105" s="918">
        <v>130.19999999999999</v>
      </c>
      <c r="P105" s="918">
        <v>156.30000000000001</v>
      </c>
      <c r="Q105" s="918">
        <v>34.89</v>
      </c>
      <c r="R105" s="918">
        <v>6.33</v>
      </c>
      <c r="S105" s="918">
        <v>45.1</v>
      </c>
      <c r="T105" s="918">
        <v>2.4</v>
      </c>
      <c r="U105" s="918">
        <v>10.5</v>
      </c>
      <c r="V105" s="918">
        <v>0.33</v>
      </c>
      <c r="W105" s="918">
        <v>0.2</v>
      </c>
      <c r="X105" s="917">
        <f t="shared" si="4"/>
        <v>901.5100000000001</v>
      </c>
      <c r="Y105" s="917">
        <f t="shared" si="3"/>
        <v>29372.02</v>
      </c>
      <c r="Z105" s="912"/>
      <c r="AA105" s="927"/>
      <c r="AB105" s="927"/>
      <c r="AC105" s="913"/>
    </row>
    <row r="106" spans="1:29" ht="28.5" customHeight="1" x14ac:dyDescent="0.2">
      <c r="A106" s="904">
        <v>42309</v>
      </c>
      <c r="B106" s="926">
        <v>215.4</v>
      </c>
      <c r="C106" s="915">
        <v>239.9</v>
      </c>
      <c r="D106" s="915">
        <v>350.26</v>
      </c>
      <c r="E106" s="915">
        <v>1351.9</v>
      </c>
      <c r="F106" s="915">
        <v>1422.5</v>
      </c>
      <c r="G106" s="915">
        <v>3224</v>
      </c>
      <c r="H106" s="915">
        <v>16437.09</v>
      </c>
      <c r="I106" s="916">
        <v>5228.28</v>
      </c>
      <c r="J106" s="923">
        <f t="shared" si="5"/>
        <v>28469.329999999998</v>
      </c>
      <c r="K106" s="926">
        <v>9.11</v>
      </c>
      <c r="L106" s="918">
        <v>13.2</v>
      </c>
      <c r="M106" s="918">
        <v>203.2</v>
      </c>
      <c r="N106" s="918">
        <v>292.60000000000002</v>
      </c>
      <c r="O106" s="918">
        <v>131.1</v>
      </c>
      <c r="P106" s="918">
        <v>157.43</v>
      </c>
      <c r="Q106" s="918">
        <v>35.159999999999997</v>
      </c>
      <c r="R106" s="918">
        <v>6.33</v>
      </c>
      <c r="S106" s="918">
        <v>45.3</v>
      </c>
      <c r="T106" s="918">
        <v>2.4</v>
      </c>
      <c r="U106" s="918">
        <v>10.5</v>
      </c>
      <c r="V106" s="918">
        <v>0.3</v>
      </c>
      <c r="W106" s="918">
        <v>0.2</v>
      </c>
      <c r="X106" s="917">
        <f t="shared" si="4"/>
        <v>906.83</v>
      </c>
      <c r="Y106" s="917">
        <f t="shared" si="3"/>
        <v>29376.16</v>
      </c>
      <c r="Z106" s="912"/>
      <c r="AA106" s="927"/>
      <c r="AB106" s="927"/>
      <c r="AC106" s="913"/>
    </row>
    <row r="107" spans="1:29" ht="28.5" customHeight="1" x14ac:dyDescent="0.2">
      <c r="A107" s="904">
        <v>42339</v>
      </c>
      <c r="B107" s="926">
        <v>215.33</v>
      </c>
      <c r="C107" s="915">
        <v>251.9</v>
      </c>
      <c r="D107" s="915">
        <v>366.14</v>
      </c>
      <c r="E107" s="915">
        <v>1534.49</v>
      </c>
      <c r="F107" s="915">
        <v>1652.34</v>
      </c>
      <c r="G107" s="915">
        <v>3715.88</v>
      </c>
      <c r="H107" s="915">
        <v>19704.7</v>
      </c>
      <c r="I107" s="916">
        <v>5215.8999999999996</v>
      </c>
      <c r="J107" s="923">
        <f t="shared" si="5"/>
        <v>32656.68</v>
      </c>
      <c r="K107" s="926">
        <v>9.11</v>
      </c>
      <c r="L107" s="918">
        <v>13.2</v>
      </c>
      <c r="M107" s="918">
        <v>205.94</v>
      </c>
      <c r="N107" s="918">
        <v>296.88</v>
      </c>
      <c r="O107" s="918">
        <v>132.91</v>
      </c>
      <c r="P107" s="918">
        <v>159.41999999999999</v>
      </c>
      <c r="Q107" s="918">
        <v>35.54</v>
      </c>
      <c r="R107" s="918">
        <v>6.33</v>
      </c>
      <c r="S107" s="918">
        <v>45.53</v>
      </c>
      <c r="T107" s="918">
        <v>2.42</v>
      </c>
      <c r="U107" s="918">
        <v>10.59</v>
      </c>
      <c r="V107" s="918">
        <v>0.3</v>
      </c>
      <c r="W107" s="918">
        <v>0.2</v>
      </c>
      <c r="X107" s="917">
        <f>SUM(K107:W107)</f>
        <v>918.36999999999989</v>
      </c>
      <c r="Y107" s="917">
        <f t="shared" si="3"/>
        <v>33575.050000000003</v>
      </c>
      <c r="Z107" s="912"/>
      <c r="AA107" s="927"/>
      <c r="AB107" s="927"/>
      <c r="AC107" s="913"/>
    </row>
    <row r="108" spans="1:29" ht="28.5" customHeight="1" x14ac:dyDescent="0.2">
      <c r="A108" s="904">
        <v>42370</v>
      </c>
      <c r="B108" s="926">
        <v>215.29</v>
      </c>
      <c r="C108" s="915">
        <v>252.1</v>
      </c>
      <c r="D108" s="915">
        <v>363.8</v>
      </c>
      <c r="E108" s="915">
        <v>1487.87</v>
      </c>
      <c r="F108" s="915">
        <v>1573.59</v>
      </c>
      <c r="G108" s="915">
        <v>3406.55</v>
      </c>
      <c r="H108" s="915">
        <v>18266.5</v>
      </c>
      <c r="I108" s="916">
        <v>4919.8</v>
      </c>
      <c r="J108" s="923">
        <f t="shared" si="5"/>
        <v>30485.5</v>
      </c>
      <c r="K108" s="926">
        <v>9.1</v>
      </c>
      <c r="L108" s="918">
        <v>13.2</v>
      </c>
      <c r="M108" s="918">
        <v>206.62</v>
      </c>
      <c r="N108" s="918">
        <v>297.22000000000003</v>
      </c>
      <c r="O108" s="918">
        <v>135.5</v>
      </c>
      <c r="P108" s="918">
        <v>160.30000000000001</v>
      </c>
      <c r="Q108" s="918">
        <v>35.619999999999997</v>
      </c>
      <c r="R108" s="918">
        <v>6.33</v>
      </c>
      <c r="S108" s="918">
        <v>45.7</v>
      </c>
      <c r="T108" s="918">
        <v>2.42</v>
      </c>
      <c r="U108" s="918">
        <v>10.63</v>
      </c>
      <c r="V108" s="918">
        <v>0.33</v>
      </c>
      <c r="W108" s="918">
        <v>0.2</v>
      </c>
      <c r="X108" s="917">
        <v>923.17000000000019</v>
      </c>
      <c r="Y108" s="917">
        <v>31408.670000000002</v>
      </c>
      <c r="Z108" s="912"/>
      <c r="AA108" s="927"/>
      <c r="AB108" s="927"/>
      <c r="AC108" s="913"/>
    </row>
    <row r="109" spans="1:29" ht="28.5" customHeight="1" x14ac:dyDescent="0.2">
      <c r="A109" s="904">
        <v>42401</v>
      </c>
      <c r="B109" s="926">
        <v>215.24</v>
      </c>
      <c r="C109" s="915">
        <v>249.2</v>
      </c>
      <c r="D109" s="915">
        <v>358.84</v>
      </c>
      <c r="E109" s="915">
        <v>1467.98</v>
      </c>
      <c r="F109" s="915">
        <v>1487.6</v>
      </c>
      <c r="G109" s="915">
        <v>3295.6</v>
      </c>
      <c r="H109" s="915">
        <v>18021.400000000001</v>
      </c>
      <c r="I109" s="916">
        <v>4864.8999999999996</v>
      </c>
      <c r="J109" s="923">
        <f t="shared" si="5"/>
        <v>29960.760000000002</v>
      </c>
      <c r="K109" s="926">
        <v>9.1</v>
      </c>
      <c r="L109" s="918">
        <v>13.21</v>
      </c>
      <c r="M109" s="918">
        <v>206.6</v>
      </c>
      <c r="N109" s="918">
        <v>296.89999999999998</v>
      </c>
      <c r="O109" s="918">
        <v>135.69999999999999</v>
      </c>
      <c r="P109" s="918">
        <v>161</v>
      </c>
      <c r="Q109" s="918">
        <v>35.72</v>
      </c>
      <c r="R109" s="918">
        <v>6.33</v>
      </c>
      <c r="S109" s="918">
        <v>45.9</v>
      </c>
      <c r="T109" s="918">
        <v>2.42</v>
      </c>
      <c r="U109" s="918">
        <v>10.7</v>
      </c>
      <c r="V109" s="918">
        <v>0.33</v>
      </c>
      <c r="W109" s="918">
        <v>0.2</v>
      </c>
      <c r="X109" s="917">
        <v>924.11000000000013</v>
      </c>
      <c r="Y109" s="917">
        <v>30884.870000000003</v>
      </c>
      <c r="Z109" s="912"/>
      <c r="AA109" s="927"/>
      <c r="AB109" s="927"/>
      <c r="AC109" s="913"/>
    </row>
    <row r="110" spans="1:29" ht="28.5" customHeight="1" x14ac:dyDescent="0.2">
      <c r="A110" s="904">
        <v>42430</v>
      </c>
      <c r="B110" s="926">
        <v>215.22</v>
      </c>
      <c r="C110" s="915">
        <v>249.4</v>
      </c>
      <c r="D110" s="915">
        <v>358.12</v>
      </c>
      <c r="E110" s="915">
        <v>1457.2</v>
      </c>
      <c r="F110" s="915">
        <v>1469.86</v>
      </c>
      <c r="G110" s="915">
        <v>3285.38</v>
      </c>
      <c r="H110" s="915">
        <v>18182.560000000001</v>
      </c>
      <c r="I110" s="916">
        <v>4837.1400000000003</v>
      </c>
      <c r="J110" s="923">
        <f>SUM(B110:I110)</f>
        <v>30054.880000000001</v>
      </c>
      <c r="K110" s="926">
        <v>9.1</v>
      </c>
      <c r="L110" s="918">
        <v>13.21</v>
      </c>
      <c r="M110" s="918">
        <v>206.6</v>
      </c>
      <c r="N110" s="918">
        <v>297.04000000000002</v>
      </c>
      <c r="O110" s="918">
        <v>136.83000000000001</v>
      </c>
      <c r="P110" s="918">
        <v>161.5</v>
      </c>
      <c r="Q110" s="918">
        <v>35.9</v>
      </c>
      <c r="R110" s="918">
        <v>6.3</v>
      </c>
      <c r="S110" s="918">
        <v>45.99</v>
      </c>
      <c r="T110" s="918">
        <v>2.42</v>
      </c>
      <c r="U110" s="918">
        <v>10.7</v>
      </c>
      <c r="V110" s="918">
        <v>0.3</v>
      </c>
      <c r="W110" s="918">
        <v>0.2</v>
      </c>
      <c r="X110" s="917">
        <f>SUM(K110:W110)</f>
        <v>926.09</v>
      </c>
      <c r="Y110" s="917">
        <f t="shared" ref="Y110:Y111" si="6">J110+X110</f>
        <v>30980.97</v>
      </c>
      <c r="Z110" s="912"/>
      <c r="AA110" s="927"/>
      <c r="AB110" s="927"/>
      <c r="AC110" s="913"/>
    </row>
    <row r="111" spans="1:29" ht="28.5" customHeight="1" x14ac:dyDescent="0.2">
      <c r="A111" s="904">
        <v>42461</v>
      </c>
      <c r="B111" s="926">
        <v>215.2</v>
      </c>
      <c r="C111" s="915">
        <v>247.1</v>
      </c>
      <c r="D111" s="915">
        <v>357.49</v>
      </c>
      <c r="E111" s="915">
        <v>1439.78</v>
      </c>
      <c r="F111" s="915">
        <v>1456.86</v>
      </c>
      <c r="G111" s="915">
        <v>3352</v>
      </c>
      <c r="H111" s="915">
        <v>17859.599999999999</v>
      </c>
      <c r="I111" s="916">
        <v>4829.9799999999996</v>
      </c>
      <c r="J111" s="923">
        <f>SUM(B111:I111)</f>
        <v>29758.01</v>
      </c>
      <c r="K111" s="926">
        <v>9.11</v>
      </c>
      <c r="L111" s="918">
        <v>13.2</v>
      </c>
      <c r="M111" s="918">
        <v>206.7</v>
      </c>
      <c r="N111" s="918">
        <v>297.08</v>
      </c>
      <c r="O111" s="918">
        <v>136.96</v>
      </c>
      <c r="P111" s="918">
        <v>161.94999999999999</v>
      </c>
      <c r="Q111" s="918">
        <v>36</v>
      </c>
      <c r="R111" s="918">
        <v>6.33</v>
      </c>
      <c r="S111" s="918">
        <v>46.2</v>
      </c>
      <c r="T111" s="918">
        <v>2.42</v>
      </c>
      <c r="U111" s="918">
        <v>10.74</v>
      </c>
      <c r="V111" s="918">
        <v>0.33</v>
      </c>
      <c r="W111" s="918">
        <v>0.22</v>
      </c>
      <c r="X111" s="917">
        <f>SUM(K111:W111)</f>
        <v>927.24000000000012</v>
      </c>
      <c r="Y111" s="917">
        <f t="shared" si="6"/>
        <v>30685.25</v>
      </c>
      <c r="Z111" s="912"/>
      <c r="AA111" s="927"/>
      <c r="AB111" s="927"/>
      <c r="AC111" s="913"/>
    </row>
    <row r="112" spans="1:29" ht="28.5" customHeight="1" thickBot="1" x14ac:dyDescent="0.25">
      <c r="A112" s="930">
        <v>42491</v>
      </c>
      <c r="B112" s="931">
        <v>215.17</v>
      </c>
      <c r="C112" s="932">
        <v>250.1</v>
      </c>
      <c r="D112" s="932">
        <v>361.58</v>
      </c>
      <c r="E112" s="933">
        <v>1458.49</v>
      </c>
      <c r="F112" s="933">
        <v>1479.06</v>
      </c>
      <c r="G112" s="933">
        <v>3332.3</v>
      </c>
      <c r="H112" s="933">
        <v>18021.349999999999</v>
      </c>
      <c r="I112" s="934">
        <v>4761.8599999999997</v>
      </c>
      <c r="J112" s="935">
        <f>SUM(B112:I112)</f>
        <v>29879.91</v>
      </c>
      <c r="K112" s="931">
        <v>9.11</v>
      </c>
      <c r="L112" s="936">
        <v>13.2</v>
      </c>
      <c r="M112" s="937">
        <v>206.7</v>
      </c>
      <c r="N112" s="937">
        <v>297.3</v>
      </c>
      <c r="O112" s="937">
        <v>137.77000000000001</v>
      </c>
      <c r="P112" s="937">
        <v>162.75</v>
      </c>
      <c r="Q112" s="937">
        <v>36.07</v>
      </c>
      <c r="R112" s="937">
        <v>6.3</v>
      </c>
      <c r="S112" s="937">
        <v>46.3</v>
      </c>
      <c r="T112" s="937">
        <v>2.4</v>
      </c>
      <c r="U112" s="937">
        <v>10.8</v>
      </c>
      <c r="V112" s="937">
        <v>0.33</v>
      </c>
      <c r="W112" s="937">
        <v>0.22</v>
      </c>
      <c r="X112" s="938">
        <f>SUM(K112:W112)</f>
        <v>929.24999999999989</v>
      </c>
      <c r="Y112" s="939">
        <f t="shared" si="3"/>
        <v>30809.16</v>
      </c>
      <c r="Z112" s="912"/>
      <c r="AA112" s="927"/>
      <c r="AB112" s="927"/>
      <c r="AC112" s="913"/>
    </row>
    <row r="113" spans="1:29" x14ac:dyDescent="0.2">
      <c r="A113" s="867" t="s">
        <v>239</v>
      </c>
      <c r="B113" s="940"/>
      <c r="C113" s="940"/>
      <c r="D113" s="940"/>
      <c r="E113" s="940"/>
      <c r="F113" s="940"/>
      <c r="G113" s="940"/>
      <c r="H113" s="940"/>
      <c r="I113" s="940"/>
      <c r="J113" s="941"/>
      <c r="K113" s="940"/>
      <c r="L113" s="940"/>
      <c r="M113" s="940"/>
      <c r="N113" s="940"/>
      <c r="O113" s="940"/>
      <c r="P113" s="940"/>
      <c r="Q113" s="940"/>
      <c r="R113" s="940"/>
      <c r="S113" s="940"/>
      <c r="T113" s="940"/>
      <c r="U113" s="940"/>
      <c r="V113" s="940"/>
      <c r="W113" s="940"/>
      <c r="X113" s="941"/>
      <c r="Y113" s="941"/>
      <c r="Z113" s="863"/>
      <c r="AA113" s="927"/>
      <c r="AB113" s="913"/>
      <c r="AC113" s="913"/>
    </row>
    <row r="114" spans="1:29" x14ac:dyDescent="0.2">
      <c r="A114" s="942" t="s">
        <v>179</v>
      </c>
      <c r="E114" s="943"/>
      <c r="G114" s="927"/>
      <c r="K114" s="943"/>
      <c r="M114" s="944"/>
      <c r="Q114" s="943"/>
      <c r="T114" s="927"/>
      <c r="U114" s="944"/>
      <c r="V114" s="944"/>
      <c r="X114" s="946"/>
      <c r="Y114" s="913"/>
      <c r="AA114" s="913"/>
      <c r="AB114" s="913"/>
      <c r="AC114" s="913"/>
    </row>
    <row r="115" spans="1:29" x14ac:dyDescent="0.2">
      <c r="F115" s="927"/>
      <c r="M115" s="947"/>
      <c r="O115" s="948"/>
      <c r="P115" s="913"/>
      <c r="R115" s="949"/>
      <c r="S115" s="949"/>
      <c r="T115" s="944"/>
      <c r="U115" s="944"/>
      <c r="V115" s="943"/>
      <c r="W115" s="943"/>
      <c r="X115" s="946"/>
      <c r="Y115" s="913"/>
      <c r="AA115" s="913"/>
      <c r="AB115" s="913"/>
      <c r="AC115" s="913"/>
    </row>
    <row r="116" spans="1:29" x14ac:dyDescent="0.2">
      <c r="D116" s="944"/>
      <c r="E116" s="944"/>
      <c r="F116" s="944"/>
      <c r="G116" s="944"/>
      <c r="H116" s="944"/>
      <c r="I116" s="944"/>
      <c r="J116" s="943"/>
      <c r="O116" s="943"/>
      <c r="Q116" s="943"/>
      <c r="S116" s="944"/>
      <c r="X116" s="950"/>
      <c r="AA116" s="913"/>
      <c r="AB116" s="913"/>
      <c r="AC116" s="913"/>
    </row>
    <row r="117" spans="1:29" x14ac:dyDescent="0.2">
      <c r="J117" s="948"/>
      <c r="M117" s="943"/>
      <c r="O117" s="943"/>
      <c r="P117" s="913"/>
      <c r="Q117" s="943"/>
      <c r="S117" s="944"/>
      <c r="V117" s="943"/>
      <c r="AA117" s="913"/>
      <c r="AB117" s="913"/>
      <c r="AC117" s="913"/>
    </row>
    <row r="118" spans="1:29" x14ac:dyDescent="0.2">
      <c r="H118" s="944"/>
      <c r="AA118" s="913"/>
      <c r="AB118" s="913"/>
      <c r="AC118" s="913"/>
    </row>
    <row r="119" spans="1:29" x14ac:dyDescent="0.2">
      <c r="K119" s="952"/>
      <c r="T119" s="943"/>
      <c r="AA119" s="913"/>
      <c r="AB119" s="913"/>
      <c r="AC119" s="913"/>
    </row>
    <row r="120" spans="1:29" x14ac:dyDescent="0.2">
      <c r="AA120" s="913"/>
      <c r="AB120" s="913"/>
      <c r="AC120" s="913"/>
    </row>
    <row r="121" spans="1:29" x14ac:dyDescent="0.2">
      <c r="AA121" s="913"/>
      <c r="AB121" s="913"/>
      <c r="AC121" s="913"/>
    </row>
    <row r="122" spans="1:29" x14ac:dyDescent="0.2">
      <c r="AA122" s="913"/>
      <c r="AB122" s="913"/>
      <c r="AC122" s="913"/>
    </row>
    <row r="123" spans="1:29" x14ac:dyDescent="0.2">
      <c r="AA123" s="913"/>
      <c r="AB123" s="913"/>
      <c r="AC123" s="913"/>
    </row>
    <row r="124" spans="1:29" x14ac:dyDescent="0.2">
      <c r="AA124" s="913"/>
      <c r="AB124" s="913"/>
      <c r="AC124" s="913"/>
    </row>
    <row r="125" spans="1:29" x14ac:dyDescent="0.2">
      <c r="AA125" s="913"/>
      <c r="AB125" s="913"/>
      <c r="AC125" s="913"/>
    </row>
    <row r="126" spans="1:29" x14ac:dyDescent="0.2">
      <c r="AA126" s="913"/>
      <c r="AB126" s="913"/>
      <c r="AC126" s="913"/>
    </row>
    <row r="127" spans="1:29" x14ac:dyDescent="0.2">
      <c r="AA127" s="913"/>
      <c r="AB127" s="913"/>
      <c r="AC127" s="913"/>
    </row>
    <row r="128" spans="1:29" x14ac:dyDescent="0.2">
      <c r="AA128" s="913"/>
      <c r="AB128" s="913"/>
      <c r="AC128" s="913"/>
    </row>
    <row r="129" spans="27:29" x14ac:dyDescent="0.2">
      <c r="AA129" s="913"/>
      <c r="AB129" s="913"/>
      <c r="AC129" s="913"/>
    </row>
    <row r="130" spans="27:29" x14ac:dyDescent="0.2">
      <c r="AA130" s="913"/>
      <c r="AC130" s="913"/>
    </row>
    <row r="131" spans="27:29" x14ac:dyDescent="0.2">
      <c r="AA131" s="913"/>
      <c r="AC131" s="913"/>
    </row>
    <row r="132" spans="27:29" x14ac:dyDescent="0.2">
      <c r="AA132" s="913"/>
    </row>
    <row r="133" spans="27:29" x14ac:dyDescent="0.2">
      <c r="AA133" s="913"/>
    </row>
    <row r="134" spans="27:29" x14ac:dyDescent="0.2">
      <c r="AA134" s="913"/>
    </row>
    <row r="135" spans="27:29" x14ac:dyDescent="0.2">
      <c r="AA135" s="913"/>
    </row>
    <row r="136" spans="27:29" x14ac:dyDescent="0.2">
      <c r="AA136" s="913"/>
    </row>
    <row r="137" spans="27:29" x14ac:dyDescent="0.2">
      <c r="AA137" s="913"/>
    </row>
    <row r="138" spans="27:29" x14ac:dyDescent="0.2">
      <c r="AA138" s="913"/>
    </row>
    <row r="139" spans="27:29" x14ac:dyDescent="0.2">
      <c r="AA139" s="913"/>
    </row>
    <row r="140" spans="27:29" x14ac:dyDescent="0.2">
      <c r="AA140" s="913"/>
    </row>
    <row r="141" spans="27:29" x14ac:dyDescent="0.2">
      <c r="AA141" s="913"/>
    </row>
    <row r="142" spans="27:29" x14ac:dyDescent="0.2">
      <c r="AA142" s="913"/>
    </row>
    <row r="143" spans="27:29" x14ac:dyDescent="0.2">
      <c r="AA143" s="913"/>
    </row>
    <row r="144" spans="27:29" x14ac:dyDescent="0.2">
      <c r="AA144" s="913"/>
    </row>
    <row r="145" spans="27:27" x14ac:dyDescent="0.2">
      <c r="AA145" s="913"/>
    </row>
    <row r="146" spans="27:27" x14ac:dyDescent="0.2">
      <c r="AA146" s="913"/>
    </row>
    <row r="147" spans="27:27" x14ac:dyDescent="0.2">
      <c r="AA147" s="913"/>
    </row>
    <row r="148" spans="27:27" x14ac:dyDescent="0.2">
      <c r="AA148" s="913"/>
    </row>
    <row r="149" spans="27:27" x14ac:dyDescent="0.2">
      <c r="AA149" s="913"/>
    </row>
    <row r="150" spans="27:27" x14ac:dyDescent="0.2">
      <c r="AA150" s="913"/>
    </row>
    <row r="151" spans="27:27" x14ac:dyDescent="0.2">
      <c r="AA151" s="913"/>
    </row>
    <row r="152" spans="27:27" x14ac:dyDescent="0.2">
      <c r="AA152" s="913"/>
    </row>
    <row r="153" spans="27:27" x14ac:dyDescent="0.2">
      <c r="AA153" s="913"/>
    </row>
    <row r="154" spans="27:27" x14ac:dyDescent="0.2">
      <c r="AA154" s="913"/>
    </row>
    <row r="155" spans="27:27" x14ac:dyDescent="0.2">
      <c r="AA155" s="913"/>
    </row>
    <row r="156" spans="27:27" x14ac:dyDescent="0.2">
      <c r="AA156" s="913"/>
    </row>
    <row r="157" spans="27:27" x14ac:dyDescent="0.2">
      <c r="AA157" s="913"/>
    </row>
    <row r="158" spans="27:27" x14ac:dyDescent="0.2">
      <c r="AA158" s="913"/>
    </row>
    <row r="159" spans="27:27" x14ac:dyDescent="0.2">
      <c r="AA159" s="913"/>
    </row>
    <row r="160" spans="27:27" x14ac:dyDescent="0.2">
      <c r="AA160" s="913"/>
    </row>
    <row r="161" spans="27:27" x14ac:dyDescent="0.2">
      <c r="AA161" s="913"/>
    </row>
    <row r="162" spans="27:27" x14ac:dyDescent="0.2">
      <c r="AA162" s="913"/>
    </row>
    <row r="163" spans="27:27" x14ac:dyDescent="0.2">
      <c r="AA163" s="913"/>
    </row>
    <row r="164" spans="27:27" x14ac:dyDescent="0.2">
      <c r="AA164" s="913"/>
    </row>
    <row r="165" spans="27:27" x14ac:dyDescent="0.2">
      <c r="AA165" s="913"/>
    </row>
    <row r="166" spans="27:27" x14ac:dyDescent="0.2">
      <c r="AA166" s="913"/>
    </row>
    <row r="167" spans="27:27" x14ac:dyDescent="0.2">
      <c r="AA167" s="913"/>
    </row>
    <row r="168" spans="27:27" x14ac:dyDescent="0.2">
      <c r="AA168" s="913"/>
    </row>
    <row r="169" spans="27:27" x14ac:dyDescent="0.2">
      <c r="AA169" s="913"/>
    </row>
    <row r="170" spans="27:27" x14ac:dyDescent="0.2">
      <c r="AA170" s="913"/>
    </row>
    <row r="171" spans="27:27" x14ac:dyDescent="0.2">
      <c r="AA171" s="913"/>
    </row>
    <row r="172" spans="27:27" x14ac:dyDescent="0.2">
      <c r="AA172" s="913"/>
    </row>
    <row r="173" spans="27:27" x14ac:dyDescent="0.2">
      <c r="AA173" s="913"/>
    </row>
    <row r="174" spans="27:27" x14ac:dyDescent="0.2">
      <c r="AA174" s="913"/>
    </row>
    <row r="175" spans="27:27" x14ac:dyDescent="0.2">
      <c r="AA175" s="913"/>
    </row>
    <row r="176" spans="27:27" x14ac:dyDescent="0.2">
      <c r="AA176" s="913"/>
    </row>
    <row r="177" spans="27:27" x14ac:dyDescent="0.2">
      <c r="AA177" s="913"/>
    </row>
    <row r="178" spans="27:27" x14ac:dyDescent="0.2">
      <c r="AA178" s="913"/>
    </row>
    <row r="179" spans="27:27" x14ac:dyDescent="0.2">
      <c r="AA179" s="913"/>
    </row>
    <row r="180" spans="27:27" x14ac:dyDescent="0.2">
      <c r="AA180" s="913"/>
    </row>
    <row r="181" spans="27:27" x14ac:dyDescent="0.2">
      <c r="AA181" s="913"/>
    </row>
    <row r="182" spans="27:27" x14ac:dyDescent="0.2">
      <c r="AA182" s="913"/>
    </row>
    <row r="183" spans="27:27" x14ac:dyDescent="0.2">
      <c r="AA183" s="913"/>
    </row>
    <row r="184" spans="27:27" x14ac:dyDescent="0.2">
      <c r="AA184" s="913"/>
    </row>
    <row r="185" spans="27:27" x14ac:dyDescent="0.2">
      <c r="AA185" s="913"/>
    </row>
    <row r="186" spans="27:27" x14ac:dyDescent="0.2">
      <c r="AA186" s="913"/>
    </row>
    <row r="187" spans="27:27" x14ac:dyDescent="0.2">
      <c r="AA187" s="913"/>
    </row>
    <row r="188" spans="27:27" x14ac:dyDescent="0.2">
      <c r="AA188" s="913"/>
    </row>
    <row r="189" spans="27:27" x14ac:dyDescent="0.2">
      <c r="AA189" s="913"/>
    </row>
    <row r="190" spans="27:27" x14ac:dyDescent="0.2">
      <c r="AA190" s="913"/>
    </row>
    <row r="191" spans="27:27" x14ac:dyDescent="0.2">
      <c r="AA191" s="913"/>
    </row>
    <row r="192" spans="27:27" x14ac:dyDescent="0.2">
      <c r="AA192" s="913"/>
    </row>
    <row r="193" spans="27:27" x14ac:dyDescent="0.2">
      <c r="AA193" s="913"/>
    </row>
    <row r="194" spans="27:27" x14ac:dyDescent="0.2">
      <c r="AA194" s="913"/>
    </row>
    <row r="195" spans="27:27" x14ac:dyDescent="0.2">
      <c r="AA195" s="913"/>
    </row>
    <row r="196" spans="27:27" x14ac:dyDescent="0.2">
      <c r="AA196" s="913"/>
    </row>
    <row r="197" spans="27:27" x14ac:dyDescent="0.2">
      <c r="AA197" s="913"/>
    </row>
    <row r="198" spans="27:27" x14ac:dyDescent="0.2">
      <c r="AA198" s="913"/>
    </row>
    <row r="199" spans="27:27" x14ac:dyDescent="0.2">
      <c r="AA199" s="913"/>
    </row>
    <row r="200" spans="27:27" x14ac:dyDescent="0.2">
      <c r="AA200" s="913"/>
    </row>
    <row r="201" spans="27:27" x14ac:dyDescent="0.2">
      <c r="AA201" s="913"/>
    </row>
    <row r="202" spans="27:27" x14ac:dyDescent="0.2">
      <c r="AA202" s="913"/>
    </row>
    <row r="203" spans="27:27" x14ac:dyDescent="0.2">
      <c r="AA203" s="913"/>
    </row>
    <row r="204" spans="27:27" x14ac:dyDescent="0.2">
      <c r="AA204" s="913"/>
    </row>
    <row r="205" spans="27:27" x14ac:dyDescent="0.2">
      <c r="AA205" s="913"/>
    </row>
    <row r="206" spans="27:27" x14ac:dyDescent="0.2">
      <c r="AA206" s="913"/>
    </row>
    <row r="207" spans="27:27" x14ac:dyDescent="0.2">
      <c r="AA207" s="913"/>
    </row>
    <row r="208" spans="27:27" x14ac:dyDescent="0.2">
      <c r="AA208" s="913"/>
    </row>
    <row r="209" spans="27:27" x14ac:dyDescent="0.2">
      <c r="AA209" s="913"/>
    </row>
    <row r="210" spans="27:27" x14ac:dyDescent="0.2">
      <c r="AA210" s="913"/>
    </row>
    <row r="211" spans="27:27" x14ac:dyDescent="0.2">
      <c r="AA211" s="913"/>
    </row>
    <row r="212" spans="27:27" x14ac:dyDescent="0.2">
      <c r="AA212" s="913"/>
    </row>
    <row r="213" spans="27:27" x14ac:dyDescent="0.2">
      <c r="AA213" s="913"/>
    </row>
    <row r="214" spans="27:27" x14ac:dyDescent="0.2">
      <c r="AA214" s="913"/>
    </row>
    <row r="215" spans="27:27" x14ac:dyDescent="0.2">
      <c r="AA215" s="913"/>
    </row>
    <row r="216" spans="27:27" x14ac:dyDescent="0.2">
      <c r="AA216" s="913"/>
    </row>
    <row r="217" spans="27:27" x14ac:dyDescent="0.2">
      <c r="AA217" s="913"/>
    </row>
    <row r="218" spans="27:27" x14ac:dyDescent="0.2">
      <c r="AA218" s="913"/>
    </row>
    <row r="219" spans="27:27" x14ac:dyDescent="0.2">
      <c r="AA219" s="913"/>
    </row>
    <row r="220" spans="27:27" x14ac:dyDescent="0.2">
      <c r="AA220" s="913"/>
    </row>
    <row r="221" spans="27:27" x14ac:dyDescent="0.2">
      <c r="AA221" s="913"/>
    </row>
    <row r="222" spans="27:27" x14ac:dyDescent="0.2">
      <c r="AA222" s="913"/>
    </row>
    <row r="223" spans="27:27" x14ac:dyDescent="0.2">
      <c r="AA223" s="913"/>
    </row>
    <row r="224" spans="27:27" x14ac:dyDescent="0.2">
      <c r="AA224" s="913"/>
    </row>
    <row r="225" spans="27:27" x14ac:dyDescent="0.2">
      <c r="AA225" s="913"/>
    </row>
    <row r="226" spans="27:27" x14ac:dyDescent="0.2">
      <c r="AA226" s="913"/>
    </row>
    <row r="227" spans="27:27" x14ac:dyDescent="0.2">
      <c r="AA227" s="913"/>
    </row>
    <row r="228" spans="27:27" x14ac:dyDescent="0.2">
      <c r="AA228" s="913"/>
    </row>
    <row r="229" spans="27:27" x14ac:dyDescent="0.2">
      <c r="AA229" s="913"/>
    </row>
    <row r="230" spans="27:27" x14ac:dyDescent="0.2">
      <c r="AA230" s="913"/>
    </row>
    <row r="231" spans="27:27" x14ac:dyDescent="0.2">
      <c r="AA231" s="913"/>
    </row>
    <row r="232" spans="27:27" x14ac:dyDescent="0.2">
      <c r="AA232" s="913"/>
    </row>
    <row r="233" spans="27:27" x14ac:dyDescent="0.2">
      <c r="AA233" s="913"/>
    </row>
    <row r="234" spans="27:27" x14ac:dyDescent="0.2">
      <c r="AA234" s="913"/>
    </row>
    <row r="235" spans="27:27" x14ac:dyDescent="0.2">
      <c r="AA235" s="913"/>
    </row>
    <row r="236" spans="27:27" x14ac:dyDescent="0.2">
      <c r="AA236" s="913"/>
    </row>
    <row r="237" spans="27:27" x14ac:dyDescent="0.2">
      <c r="AA237" s="913"/>
    </row>
    <row r="238" spans="27:27" x14ac:dyDescent="0.2">
      <c r="AA238" s="913"/>
    </row>
    <row r="239" spans="27:27" x14ac:dyDescent="0.2">
      <c r="AA239" s="913"/>
    </row>
    <row r="240" spans="27:27" x14ac:dyDescent="0.2">
      <c r="AA240" s="913"/>
    </row>
    <row r="241" spans="27:27" x14ac:dyDescent="0.2">
      <c r="AA241" s="913"/>
    </row>
    <row r="242" spans="27:27" x14ac:dyDescent="0.2">
      <c r="AA242" s="913"/>
    </row>
    <row r="243" spans="27:27" x14ac:dyDescent="0.2">
      <c r="AA243" s="913"/>
    </row>
    <row r="244" spans="27:27" x14ac:dyDescent="0.2">
      <c r="AA244" s="913"/>
    </row>
    <row r="245" spans="27:27" x14ac:dyDescent="0.2">
      <c r="AA245" s="913"/>
    </row>
    <row r="246" spans="27:27" x14ac:dyDescent="0.2">
      <c r="AA246" s="913"/>
    </row>
    <row r="247" spans="27:27" x14ac:dyDescent="0.2">
      <c r="AA247" s="913"/>
    </row>
    <row r="248" spans="27:27" x14ac:dyDescent="0.2">
      <c r="AA248" s="913"/>
    </row>
    <row r="249" spans="27:27" x14ac:dyDescent="0.2">
      <c r="AA249" s="913"/>
    </row>
    <row r="250" spans="27:27" x14ac:dyDescent="0.2">
      <c r="AA250" s="913"/>
    </row>
    <row r="251" spans="27:27" x14ac:dyDescent="0.2">
      <c r="AA251" s="913"/>
    </row>
    <row r="252" spans="27:27" x14ac:dyDescent="0.2">
      <c r="AA252" s="913"/>
    </row>
    <row r="253" spans="27:27" x14ac:dyDescent="0.2">
      <c r="AA253" s="913"/>
    </row>
    <row r="254" spans="27:27" x14ac:dyDescent="0.2">
      <c r="AA254" s="913"/>
    </row>
    <row r="255" spans="27:27" x14ac:dyDescent="0.2">
      <c r="AA255" s="913"/>
    </row>
    <row r="256" spans="27:27" x14ac:dyDescent="0.2">
      <c r="AA256" s="913"/>
    </row>
    <row r="257" spans="27:27" x14ac:dyDescent="0.2">
      <c r="AA257" s="913"/>
    </row>
    <row r="258" spans="27:27" x14ac:dyDescent="0.2">
      <c r="AA258" s="913"/>
    </row>
    <row r="259" spans="27:27" x14ac:dyDescent="0.2">
      <c r="AA259" s="913"/>
    </row>
    <row r="260" spans="27:27" x14ac:dyDescent="0.2">
      <c r="AA260" s="913"/>
    </row>
    <row r="261" spans="27:27" x14ac:dyDescent="0.2">
      <c r="AA261" s="913"/>
    </row>
    <row r="262" spans="27:27" x14ac:dyDescent="0.2">
      <c r="AA262" s="913"/>
    </row>
    <row r="263" spans="27:27" x14ac:dyDescent="0.2">
      <c r="AA263" s="913"/>
    </row>
    <row r="264" spans="27:27" x14ac:dyDescent="0.2">
      <c r="AA264" s="913"/>
    </row>
    <row r="265" spans="27:27" x14ac:dyDescent="0.2">
      <c r="AA265" s="913"/>
    </row>
    <row r="266" spans="27:27" x14ac:dyDescent="0.2">
      <c r="AA266" s="913"/>
    </row>
    <row r="267" spans="27:27" x14ac:dyDescent="0.2">
      <c r="AA267" s="913"/>
    </row>
    <row r="268" spans="27:27" x14ac:dyDescent="0.2">
      <c r="AA268" s="913"/>
    </row>
    <row r="269" spans="27:27" x14ac:dyDescent="0.2">
      <c r="AA269" s="913"/>
    </row>
    <row r="270" spans="27:27" x14ac:dyDescent="0.2">
      <c r="AA270" s="913"/>
    </row>
    <row r="271" spans="27:27" x14ac:dyDescent="0.2">
      <c r="AA271" s="913"/>
    </row>
    <row r="272" spans="27:27" x14ac:dyDescent="0.2">
      <c r="AA272" s="913"/>
    </row>
    <row r="273" spans="27:27" x14ac:dyDescent="0.2">
      <c r="AA273" s="913"/>
    </row>
    <row r="274" spans="27:27" x14ac:dyDescent="0.2">
      <c r="AA274" s="913"/>
    </row>
    <row r="275" spans="27:27" x14ac:dyDescent="0.2">
      <c r="AA275" s="913"/>
    </row>
    <row r="276" spans="27:27" x14ac:dyDescent="0.2">
      <c r="AA276" s="913"/>
    </row>
    <row r="277" spans="27:27" x14ac:dyDescent="0.2">
      <c r="AA277" s="913"/>
    </row>
    <row r="278" spans="27:27" x14ac:dyDescent="0.2">
      <c r="AA278" s="913"/>
    </row>
    <row r="279" spans="27:27" x14ac:dyDescent="0.2">
      <c r="AA279" s="913"/>
    </row>
    <row r="280" spans="27:27" x14ac:dyDescent="0.2">
      <c r="AA280" s="913"/>
    </row>
    <row r="281" spans="27:27" x14ac:dyDescent="0.2">
      <c r="AA281" s="913"/>
    </row>
    <row r="282" spans="27:27" x14ac:dyDescent="0.2">
      <c r="AA282" s="913"/>
    </row>
    <row r="283" spans="27:27" x14ac:dyDescent="0.2">
      <c r="AA283" s="913"/>
    </row>
    <row r="284" spans="27:27" x14ac:dyDescent="0.2">
      <c r="AA284" s="913"/>
    </row>
    <row r="285" spans="27:27" x14ac:dyDescent="0.2">
      <c r="AA285" s="913"/>
    </row>
    <row r="286" spans="27:27" x14ac:dyDescent="0.2">
      <c r="AA286" s="913"/>
    </row>
    <row r="287" spans="27:27" x14ac:dyDescent="0.2">
      <c r="AA287" s="913"/>
    </row>
    <row r="288" spans="27:27" x14ac:dyDescent="0.2">
      <c r="AA288" s="913"/>
    </row>
    <row r="289" spans="27:27" x14ac:dyDescent="0.2">
      <c r="AA289" s="913"/>
    </row>
    <row r="290" spans="27:27" x14ac:dyDescent="0.2">
      <c r="AA290" s="913"/>
    </row>
    <row r="291" spans="27:27" x14ac:dyDescent="0.2">
      <c r="AA291" s="913"/>
    </row>
    <row r="292" spans="27:27" x14ac:dyDescent="0.2">
      <c r="AA292" s="913"/>
    </row>
    <row r="293" spans="27:27" x14ac:dyDescent="0.2">
      <c r="AA293" s="913"/>
    </row>
    <row r="294" spans="27:27" x14ac:dyDescent="0.2">
      <c r="AA294" s="913"/>
    </row>
    <row r="295" spans="27:27" x14ac:dyDescent="0.2">
      <c r="AA295" s="913"/>
    </row>
    <row r="296" spans="27:27" x14ac:dyDescent="0.2">
      <c r="AA296" s="913"/>
    </row>
    <row r="297" spans="27:27" x14ac:dyDescent="0.2">
      <c r="AA297" s="913"/>
    </row>
    <row r="298" spans="27:27" x14ac:dyDescent="0.2">
      <c r="AA298" s="913"/>
    </row>
    <row r="299" spans="27:27" x14ac:dyDescent="0.2">
      <c r="AA299" s="913"/>
    </row>
    <row r="300" spans="27:27" x14ac:dyDescent="0.2">
      <c r="AA300" s="913"/>
    </row>
    <row r="301" spans="27:27" x14ac:dyDescent="0.2">
      <c r="AA301" s="913"/>
    </row>
    <row r="302" spans="27:27" x14ac:dyDescent="0.2">
      <c r="AA302" s="913"/>
    </row>
    <row r="303" spans="27:27" x14ac:dyDescent="0.2">
      <c r="AA303" s="913"/>
    </row>
    <row r="304" spans="27:27" x14ac:dyDescent="0.2">
      <c r="AA304" s="913"/>
    </row>
    <row r="305" spans="27:27" x14ac:dyDescent="0.2">
      <c r="AA305" s="913"/>
    </row>
    <row r="306" spans="27:27" x14ac:dyDescent="0.2">
      <c r="AA306" s="913"/>
    </row>
    <row r="307" spans="27:27" x14ac:dyDescent="0.2">
      <c r="AA307" s="913"/>
    </row>
    <row r="308" spans="27:27" x14ac:dyDescent="0.2">
      <c r="AA308" s="913"/>
    </row>
    <row r="309" spans="27:27" x14ac:dyDescent="0.2">
      <c r="AA309" s="913"/>
    </row>
    <row r="310" spans="27:27" x14ac:dyDescent="0.2">
      <c r="AA310" s="913"/>
    </row>
    <row r="311" spans="27:27" x14ac:dyDescent="0.2">
      <c r="AA311" s="913"/>
    </row>
    <row r="312" spans="27:27" x14ac:dyDescent="0.2">
      <c r="AA312" s="913"/>
    </row>
    <row r="313" spans="27:27" x14ac:dyDescent="0.2">
      <c r="AA313" s="913"/>
    </row>
    <row r="314" spans="27:27" x14ac:dyDescent="0.2">
      <c r="AA314" s="913"/>
    </row>
    <row r="315" spans="27:27" x14ac:dyDescent="0.2">
      <c r="AA315" s="913"/>
    </row>
    <row r="316" spans="27:27" x14ac:dyDescent="0.2">
      <c r="AA316" s="913"/>
    </row>
    <row r="317" spans="27:27" x14ac:dyDescent="0.2">
      <c r="AA317" s="913"/>
    </row>
    <row r="318" spans="27:27" x14ac:dyDescent="0.2">
      <c r="AA318" s="913"/>
    </row>
    <row r="319" spans="27:27" x14ac:dyDescent="0.2">
      <c r="AA319" s="913"/>
    </row>
    <row r="320" spans="27:27" x14ac:dyDescent="0.2">
      <c r="AA320" s="913"/>
    </row>
    <row r="321" spans="27:27" x14ac:dyDescent="0.2">
      <c r="AA321" s="913"/>
    </row>
    <row r="322" spans="27:27" x14ac:dyDescent="0.2">
      <c r="AA322" s="913"/>
    </row>
    <row r="323" spans="27:27" x14ac:dyDescent="0.2">
      <c r="AA323" s="913"/>
    </row>
    <row r="324" spans="27:27" x14ac:dyDescent="0.2">
      <c r="AA324" s="913"/>
    </row>
    <row r="325" spans="27:27" x14ac:dyDescent="0.2">
      <c r="AA325" s="913"/>
    </row>
    <row r="326" spans="27:27" x14ac:dyDescent="0.2">
      <c r="AA326" s="913"/>
    </row>
    <row r="327" spans="27:27" x14ac:dyDescent="0.2">
      <c r="AA327" s="913"/>
    </row>
    <row r="328" spans="27:27" x14ac:dyDescent="0.2">
      <c r="AA328" s="913"/>
    </row>
    <row r="329" spans="27:27" x14ac:dyDescent="0.2">
      <c r="AA329" s="913"/>
    </row>
    <row r="330" spans="27:27" x14ac:dyDescent="0.2">
      <c r="AA330" s="913"/>
    </row>
    <row r="331" spans="27:27" x14ac:dyDescent="0.2">
      <c r="AA331" s="913"/>
    </row>
    <row r="332" spans="27:27" x14ac:dyDescent="0.2">
      <c r="AA332" s="913"/>
    </row>
    <row r="333" spans="27:27" x14ac:dyDescent="0.2">
      <c r="AA333" s="913"/>
    </row>
    <row r="334" spans="27:27" x14ac:dyDescent="0.2">
      <c r="AA334" s="913"/>
    </row>
    <row r="335" spans="27:27" x14ac:dyDescent="0.2">
      <c r="AA335" s="913"/>
    </row>
    <row r="336" spans="27:27" x14ac:dyDescent="0.2">
      <c r="AA336" s="913"/>
    </row>
    <row r="337" spans="27:27" x14ac:dyDescent="0.2">
      <c r="AA337" s="913"/>
    </row>
    <row r="338" spans="27:27" x14ac:dyDescent="0.2">
      <c r="AA338" s="913"/>
    </row>
    <row r="339" spans="27:27" x14ac:dyDescent="0.2">
      <c r="AA339" s="913"/>
    </row>
    <row r="340" spans="27:27" x14ac:dyDescent="0.2">
      <c r="AA340" s="913"/>
    </row>
    <row r="341" spans="27:27" x14ac:dyDescent="0.2">
      <c r="AA341" s="913"/>
    </row>
    <row r="342" spans="27:27" x14ac:dyDescent="0.2">
      <c r="AA342" s="913"/>
    </row>
    <row r="343" spans="27:27" x14ac:dyDescent="0.2">
      <c r="AA343" s="913"/>
    </row>
    <row r="344" spans="27:27" x14ac:dyDescent="0.2">
      <c r="AA344" s="913"/>
    </row>
    <row r="345" spans="27:27" x14ac:dyDescent="0.2">
      <c r="AA345" s="913"/>
    </row>
    <row r="346" spans="27:27" x14ac:dyDescent="0.2">
      <c r="AA346" s="913"/>
    </row>
    <row r="347" spans="27:27" x14ac:dyDescent="0.2">
      <c r="AA347" s="913"/>
    </row>
    <row r="348" spans="27:27" x14ac:dyDescent="0.2">
      <c r="AA348" s="913"/>
    </row>
    <row r="349" spans="27:27" x14ac:dyDescent="0.2">
      <c r="AA349" s="913"/>
    </row>
    <row r="350" spans="27:27" x14ac:dyDescent="0.2">
      <c r="AA350" s="913"/>
    </row>
    <row r="351" spans="27:27" x14ac:dyDescent="0.2">
      <c r="AA351" s="913"/>
    </row>
    <row r="352" spans="27:27" x14ac:dyDescent="0.2">
      <c r="AA352" s="913"/>
    </row>
    <row r="353" spans="27:27" x14ac:dyDescent="0.2">
      <c r="AA353" s="913"/>
    </row>
    <row r="354" spans="27:27" x14ac:dyDescent="0.2">
      <c r="AA354" s="913"/>
    </row>
    <row r="355" spans="27:27" x14ac:dyDescent="0.2">
      <c r="AA355" s="913"/>
    </row>
    <row r="356" spans="27:27" x14ac:dyDescent="0.2">
      <c r="AA356" s="913"/>
    </row>
    <row r="357" spans="27:27" x14ac:dyDescent="0.2">
      <c r="AA357" s="913"/>
    </row>
    <row r="358" spans="27:27" x14ac:dyDescent="0.2">
      <c r="AA358" s="913"/>
    </row>
    <row r="359" spans="27:27" x14ac:dyDescent="0.2">
      <c r="AA359" s="913"/>
    </row>
    <row r="360" spans="27:27" x14ac:dyDescent="0.2">
      <c r="AA360" s="913"/>
    </row>
    <row r="361" spans="27:27" x14ac:dyDescent="0.2">
      <c r="AA361" s="913"/>
    </row>
    <row r="362" spans="27:27" x14ac:dyDescent="0.2">
      <c r="AA362" s="913"/>
    </row>
    <row r="363" spans="27:27" x14ac:dyDescent="0.2">
      <c r="AA363" s="913"/>
    </row>
    <row r="364" spans="27:27" x14ac:dyDescent="0.2">
      <c r="AA364" s="913"/>
    </row>
    <row r="365" spans="27:27" x14ac:dyDescent="0.2">
      <c r="AA365" s="913"/>
    </row>
    <row r="366" spans="27:27" x14ac:dyDescent="0.2">
      <c r="AA366" s="913"/>
    </row>
    <row r="367" spans="27:27" x14ac:dyDescent="0.2">
      <c r="AA367" s="913"/>
    </row>
    <row r="368" spans="27:27" x14ac:dyDescent="0.2">
      <c r="AA368" s="913"/>
    </row>
    <row r="369" spans="27:27" x14ac:dyDescent="0.2">
      <c r="AA369" s="913"/>
    </row>
    <row r="370" spans="27:27" x14ac:dyDescent="0.2">
      <c r="AA370" s="913"/>
    </row>
    <row r="371" spans="27:27" x14ac:dyDescent="0.2">
      <c r="AA371" s="913"/>
    </row>
    <row r="372" spans="27:27" x14ac:dyDescent="0.2">
      <c r="AA372" s="913"/>
    </row>
    <row r="373" spans="27:27" x14ac:dyDescent="0.2">
      <c r="AA373" s="913"/>
    </row>
    <row r="374" spans="27:27" x14ac:dyDescent="0.2">
      <c r="AA374" s="913"/>
    </row>
    <row r="375" spans="27:27" x14ac:dyDescent="0.2">
      <c r="AA375" s="913"/>
    </row>
    <row r="376" spans="27:27" x14ac:dyDescent="0.2">
      <c r="AA376" s="913"/>
    </row>
    <row r="377" spans="27:27" x14ac:dyDescent="0.2">
      <c r="AA377" s="913"/>
    </row>
    <row r="378" spans="27:27" x14ac:dyDescent="0.2">
      <c r="AA378" s="913"/>
    </row>
    <row r="379" spans="27:27" x14ac:dyDescent="0.2">
      <c r="AA379" s="913"/>
    </row>
    <row r="380" spans="27:27" x14ac:dyDescent="0.2">
      <c r="AA380" s="913"/>
    </row>
    <row r="381" spans="27:27" x14ac:dyDescent="0.2">
      <c r="AA381" s="913"/>
    </row>
    <row r="382" spans="27:27" x14ac:dyDescent="0.2">
      <c r="AA382" s="913"/>
    </row>
    <row r="383" spans="27:27" x14ac:dyDescent="0.2">
      <c r="AA383" s="913"/>
    </row>
    <row r="384" spans="27:27" x14ac:dyDescent="0.2">
      <c r="AA384" s="913"/>
    </row>
    <row r="385" spans="27:27" x14ac:dyDescent="0.2">
      <c r="AA385" s="913"/>
    </row>
    <row r="386" spans="27:27" x14ac:dyDescent="0.2">
      <c r="AA386" s="913"/>
    </row>
    <row r="387" spans="27:27" x14ac:dyDescent="0.2">
      <c r="AA387" s="913"/>
    </row>
    <row r="388" spans="27:27" x14ac:dyDescent="0.2">
      <c r="AA388" s="913"/>
    </row>
    <row r="389" spans="27:27" x14ac:dyDescent="0.2">
      <c r="AA389" s="913"/>
    </row>
    <row r="390" spans="27:27" x14ac:dyDescent="0.2">
      <c r="AA390" s="913"/>
    </row>
    <row r="391" spans="27:27" x14ac:dyDescent="0.2">
      <c r="AA391" s="913"/>
    </row>
    <row r="392" spans="27:27" x14ac:dyDescent="0.2">
      <c r="AA392" s="913"/>
    </row>
    <row r="393" spans="27:27" x14ac:dyDescent="0.2">
      <c r="AA393" s="913"/>
    </row>
    <row r="394" spans="27:27" x14ac:dyDescent="0.2">
      <c r="AA394" s="913"/>
    </row>
    <row r="395" spans="27:27" x14ac:dyDescent="0.2">
      <c r="AA395" s="913"/>
    </row>
    <row r="396" spans="27:27" x14ac:dyDescent="0.2">
      <c r="AA396" s="913"/>
    </row>
    <row r="397" spans="27:27" x14ac:dyDescent="0.2">
      <c r="AA397" s="913"/>
    </row>
    <row r="398" spans="27:27" x14ac:dyDescent="0.2">
      <c r="AA398" s="913"/>
    </row>
    <row r="399" spans="27:27" x14ac:dyDescent="0.2">
      <c r="AA399" s="913"/>
    </row>
    <row r="400" spans="27:27" x14ac:dyDescent="0.2">
      <c r="AA400" s="913"/>
    </row>
    <row r="401" spans="27:27" x14ac:dyDescent="0.2">
      <c r="AA401" s="913"/>
    </row>
    <row r="402" spans="27:27" x14ac:dyDescent="0.2">
      <c r="AA402" s="913"/>
    </row>
    <row r="403" spans="27:27" x14ac:dyDescent="0.2">
      <c r="AA403" s="913"/>
    </row>
    <row r="404" spans="27:27" x14ac:dyDescent="0.2">
      <c r="AA404" s="913"/>
    </row>
    <row r="405" spans="27:27" x14ac:dyDescent="0.2">
      <c r="AA405" s="913"/>
    </row>
    <row r="406" spans="27:27" x14ac:dyDescent="0.2">
      <c r="AA406" s="913"/>
    </row>
    <row r="407" spans="27:27" x14ac:dyDescent="0.2">
      <c r="AA407" s="913"/>
    </row>
    <row r="408" spans="27:27" x14ac:dyDescent="0.2">
      <c r="AA408" s="913"/>
    </row>
    <row r="409" spans="27:27" x14ac:dyDescent="0.2">
      <c r="AA409" s="913"/>
    </row>
    <row r="410" spans="27:27" x14ac:dyDescent="0.2">
      <c r="AA410" s="913"/>
    </row>
    <row r="411" spans="27:27" x14ac:dyDescent="0.2">
      <c r="AA411" s="913"/>
    </row>
    <row r="412" spans="27:27" x14ac:dyDescent="0.2">
      <c r="AA412" s="913"/>
    </row>
    <row r="413" spans="27:27" x14ac:dyDescent="0.2">
      <c r="AA413" s="913"/>
    </row>
    <row r="414" spans="27:27" x14ac:dyDescent="0.2">
      <c r="AA414" s="913"/>
    </row>
    <row r="415" spans="27:27" x14ac:dyDescent="0.2">
      <c r="AA415" s="913"/>
    </row>
    <row r="416" spans="27:27" x14ac:dyDescent="0.2">
      <c r="AA416" s="913"/>
    </row>
    <row r="417" spans="27:27" x14ac:dyDescent="0.2">
      <c r="AA417" s="913"/>
    </row>
    <row r="418" spans="27:27" x14ac:dyDescent="0.2">
      <c r="AA418" s="913"/>
    </row>
    <row r="419" spans="27:27" x14ac:dyDescent="0.2">
      <c r="AA419" s="913"/>
    </row>
    <row r="420" spans="27:27" x14ac:dyDescent="0.2">
      <c r="AA420" s="913"/>
    </row>
    <row r="421" spans="27:27" x14ac:dyDescent="0.2">
      <c r="AA421" s="913"/>
    </row>
    <row r="422" spans="27:27" x14ac:dyDescent="0.2">
      <c r="AA422" s="913"/>
    </row>
    <row r="423" spans="27:27" x14ac:dyDescent="0.2">
      <c r="AA423" s="913"/>
    </row>
    <row r="424" spans="27:27" x14ac:dyDescent="0.2">
      <c r="AA424" s="913"/>
    </row>
    <row r="425" spans="27:27" x14ac:dyDescent="0.2">
      <c r="AA425" s="913"/>
    </row>
    <row r="426" spans="27:27" x14ac:dyDescent="0.2">
      <c r="AA426" s="913"/>
    </row>
    <row r="427" spans="27:27" x14ac:dyDescent="0.2">
      <c r="AA427" s="913"/>
    </row>
    <row r="428" spans="27:27" x14ac:dyDescent="0.2">
      <c r="AA428" s="913"/>
    </row>
    <row r="429" spans="27:27" x14ac:dyDescent="0.2">
      <c r="AA429" s="913"/>
    </row>
    <row r="430" spans="27:27" x14ac:dyDescent="0.2">
      <c r="AA430" s="913"/>
    </row>
    <row r="431" spans="27:27" x14ac:dyDescent="0.2">
      <c r="AA431" s="913"/>
    </row>
    <row r="432" spans="27:27" x14ac:dyDescent="0.2">
      <c r="AA432" s="913"/>
    </row>
    <row r="433" spans="27:27" x14ac:dyDescent="0.2">
      <c r="AA433" s="913"/>
    </row>
    <row r="434" spans="27:27" x14ac:dyDescent="0.2">
      <c r="AA434" s="913"/>
    </row>
    <row r="435" spans="27:27" x14ac:dyDescent="0.2">
      <c r="AA435" s="913"/>
    </row>
    <row r="436" spans="27:27" x14ac:dyDescent="0.2">
      <c r="AA436" s="913"/>
    </row>
    <row r="437" spans="27:27" x14ac:dyDescent="0.2">
      <c r="AA437" s="913"/>
    </row>
    <row r="438" spans="27:27" x14ac:dyDescent="0.2">
      <c r="AA438" s="913"/>
    </row>
    <row r="439" spans="27:27" x14ac:dyDescent="0.2">
      <c r="AA439" s="913"/>
    </row>
    <row r="440" spans="27:27" x14ac:dyDescent="0.2">
      <c r="AA440" s="913"/>
    </row>
    <row r="441" spans="27:27" x14ac:dyDescent="0.2">
      <c r="AA441" s="913"/>
    </row>
    <row r="442" spans="27:27" x14ac:dyDescent="0.2">
      <c r="AA442" s="913"/>
    </row>
    <row r="443" spans="27:27" x14ac:dyDescent="0.2">
      <c r="AA443" s="913"/>
    </row>
    <row r="444" spans="27:27" x14ac:dyDescent="0.2">
      <c r="AA444" s="913"/>
    </row>
    <row r="445" spans="27:27" x14ac:dyDescent="0.2">
      <c r="AA445" s="913"/>
    </row>
    <row r="446" spans="27:27" x14ac:dyDescent="0.2">
      <c r="AA446" s="913"/>
    </row>
    <row r="447" spans="27:27" x14ac:dyDescent="0.2">
      <c r="AA447" s="913"/>
    </row>
    <row r="448" spans="27:27" x14ac:dyDescent="0.2">
      <c r="AA448" s="913"/>
    </row>
    <row r="449" spans="27:27" x14ac:dyDescent="0.2">
      <c r="AA449" s="913"/>
    </row>
    <row r="450" spans="27:27" x14ac:dyDescent="0.2">
      <c r="AA450" s="913"/>
    </row>
    <row r="451" spans="27:27" x14ac:dyDescent="0.2">
      <c r="AA451" s="913"/>
    </row>
    <row r="452" spans="27:27" x14ac:dyDescent="0.2">
      <c r="AA452" s="913"/>
    </row>
    <row r="453" spans="27:27" x14ac:dyDescent="0.2">
      <c r="AA453" s="913"/>
    </row>
    <row r="454" spans="27:27" x14ac:dyDescent="0.2">
      <c r="AA454" s="913"/>
    </row>
    <row r="455" spans="27:27" x14ac:dyDescent="0.2">
      <c r="AA455" s="913"/>
    </row>
    <row r="456" spans="27:27" x14ac:dyDescent="0.2">
      <c r="AA456" s="913"/>
    </row>
    <row r="457" spans="27:27" x14ac:dyDescent="0.2">
      <c r="AA457" s="913"/>
    </row>
    <row r="458" spans="27:27" x14ac:dyDescent="0.2">
      <c r="AA458" s="913"/>
    </row>
    <row r="459" spans="27:27" x14ac:dyDescent="0.2">
      <c r="AA459" s="913"/>
    </row>
    <row r="460" spans="27:27" x14ac:dyDescent="0.2">
      <c r="AA460" s="913"/>
    </row>
    <row r="461" spans="27:27" x14ac:dyDescent="0.2">
      <c r="AA461" s="913"/>
    </row>
    <row r="462" spans="27:27" x14ac:dyDescent="0.2">
      <c r="AA462" s="913"/>
    </row>
    <row r="463" spans="27:27" x14ac:dyDescent="0.2">
      <c r="AA463" s="913"/>
    </row>
    <row r="464" spans="27:27" x14ac:dyDescent="0.2">
      <c r="AA464" s="913"/>
    </row>
    <row r="465" spans="27:27" x14ac:dyDescent="0.2">
      <c r="AA465" s="913"/>
    </row>
    <row r="466" spans="27:27" x14ac:dyDescent="0.2">
      <c r="AA466" s="913"/>
    </row>
    <row r="467" spans="27:27" x14ac:dyDescent="0.2">
      <c r="AA467" s="913"/>
    </row>
    <row r="468" spans="27:27" x14ac:dyDescent="0.2">
      <c r="AA468" s="913"/>
    </row>
    <row r="469" spans="27:27" x14ac:dyDescent="0.2">
      <c r="AA469" s="913"/>
    </row>
    <row r="470" spans="27:27" x14ac:dyDescent="0.2">
      <c r="AA470" s="913"/>
    </row>
    <row r="471" spans="27:27" x14ac:dyDescent="0.2">
      <c r="AA471" s="913"/>
    </row>
    <row r="472" spans="27:27" x14ac:dyDescent="0.2">
      <c r="AA472" s="913"/>
    </row>
    <row r="473" spans="27:27" x14ac:dyDescent="0.2">
      <c r="AA473" s="913"/>
    </row>
    <row r="474" spans="27:27" x14ac:dyDescent="0.2">
      <c r="AA474" s="913"/>
    </row>
    <row r="475" spans="27:27" x14ac:dyDescent="0.2">
      <c r="AA475" s="913"/>
    </row>
    <row r="476" spans="27:27" x14ac:dyDescent="0.2">
      <c r="AA476" s="913"/>
    </row>
    <row r="477" spans="27:27" x14ac:dyDescent="0.2">
      <c r="AA477" s="913"/>
    </row>
    <row r="478" spans="27:27" x14ac:dyDescent="0.2">
      <c r="AA478" s="913"/>
    </row>
    <row r="479" spans="27:27" x14ac:dyDescent="0.2">
      <c r="AA479" s="913"/>
    </row>
    <row r="480" spans="27:27" x14ac:dyDescent="0.2">
      <c r="AA480" s="913"/>
    </row>
    <row r="481" spans="27:27" x14ac:dyDescent="0.2">
      <c r="AA481" s="913"/>
    </row>
    <row r="482" spans="27:27" x14ac:dyDescent="0.2">
      <c r="AA482" s="913"/>
    </row>
    <row r="483" spans="27:27" x14ac:dyDescent="0.2">
      <c r="AA483" s="913"/>
    </row>
    <row r="484" spans="27:27" x14ac:dyDescent="0.2">
      <c r="AA484" s="913"/>
    </row>
    <row r="485" spans="27:27" x14ac:dyDescent="0.2">
      <c r="AA485" s="913"/>
    </row>
    <row r="486" spans="27:27" x14ac:dyDescent="0.2">
      <c r="AA486" s="913"/>
    </row>
    <row r="487" spans="27:27" x14ac:dyDescent="0.2">
      <c r="AA487" s="913"/>
    </row>
    <row r="488" spans="27:27" x14ac:dyDescent="0.2">
      <c r="AA488" s="913"/>
    </row>
    <row r="489" spans="27:27" x14ac:dyDescent="0.2">
      <c r="AA489" s="913"/>
    </row>
    <row r="490" spans="27:27" x14ac:dyDescent="0.2">
      <c r="AA490" s="913"/>
    </row>
    <row r="491" spans="27:27" x14ac:dyDescent="0.2">
      <c r="AA491" s="913"/>
    </row>
    <row r="492" spans="27:27" x14ac:dyDescent="0.2">
      <c r="AA492" s="913"/>
    </row>
    <row r="493" spans="27:27" x14ac:dyDescent="0.2">
      <c r="AA493" s="913"/>
    </row>
    <row r="494" spans="27:27" x14ac:dyDescent="0.2">
      <c r="AA494" s="913"/>
    </row>
    <row r="495" spans="27:27" x14ac:dyDescent="0.2">
      <c r="AA495" s="913"/>
    </row>
    <row r="496" spans="27:27" x14ac:dyDescent="0.2">
      <c r="AA496" s="913"/>
    </row>
    <row r="497" spans="27:27" x14ac:dyDescent="0.2">
      <c r="AA497" s="913"/>
    </row>
    <row r="498" spans="27:27" x14ac:dyDescent="0.2">
      <c r="AA498" s="913"/>
    </row>
    <row r="499" spans="27:27" x14ac:dyDescent="0.2">
      <c r="AA499" s="913"/>
    </row>
    <row r="500" spans="27:27" x14ac:dyDescent="0.2">
      <c r="AA500" s="913"/>
    </row>
    <row r="501" spans="27:27" x14ac:dyDescent="0.2">
      <c r="AA501" s="913"/>
    </row>
    <row r="502" spans="27:27" x14ac:dyDescent="0.2">
      <c r="AA502" s="913"/>
    </row>
    <row r="503" spans="27:27" x14ac:dyDescent="0.2">
      <c r="AA503" s="913"/>
    </row>
    <row r="504" spans="27:27" x14ac:dyDescent="0.2">
      <c r="AA504" s="913"/>
    </row>
    <row r="505" spans="27:27" x14ac:dyDescent="0.2">
      <c r="AA505" s="913"/>
    </row>
    <row r="506" spans="27:27" x14ac:dyDescent="0.2">
      <c r="AA506" s="913"/>
    </row>
    <row r="507" spans="27:27" x14ac:dyDescent="0.2">
      <c r="AA507" s="913"/>
    </row>
    <row r="508" spans="27:27" x14ac:dyDescent="0.2">
      <c r="AA508" s="913"/>
    </row>
    <row r="509" spans="27:27" x14ac:dyDescent="0.2">
      <c r="AA509" s="913"/>
    </row>
    <row r="510" spans="27:27" x14ac:dyDescent="0.2">
      <c r="AA510" s="913"/>
    </row>
    <row r="511" spans="27:27" x14ac:dyDescent="0.2">
      <c r="AA511" s="913"/>
    </row>
    <row r="512" spans="27:27" x14ac:dyDescent="0.2">
      <c r="AA512" s="913"/>
    </row>
    <row r="513" spans="27:27" x14ac:dyDescent="0.2">
      <c r="AA513" s="913"/>
    </row>
    <row r="514" spans="27:27" x14ac:dyDescent="0.2">
      <c r="AA514" s="913"/>
    </row>
    <row r="515" spans="27:27" x14ac:dyDescent="0.2">
      <c r="AA515" s="913"/>
    </row>
    <row r="516" spans="27:27" x14ac:dyDescent="0.2">
      <c r="AA516" s="913"/>
    </row>
    <row r="517" spans="27:27" x14ac:dyDescent="0.2">
      <c r="AA517" s="913"/>
    </row>
    <row r="518" spans="27:27" x14ac:dyDescent="0.2">
      <c r="AA518" s="913"/>
    </row>
    <row r="519" spans="27:27" x14ac:dyDescent="0.2">
      <c r="AA519" s="913"/>
    </row>
    <row r="520" spans="27:27" x14ac:dyDescent="0.2">
      <c r="AA520" s="913"/>
    </row>
    <row r="521" spans="27:27" x14ac:dyDescent="0.2">
      <c r="AA521" s="913"/>
    </row>
    <row r="522" spans="27:27" x14ac:dyDescent="0.2">
      <c r="AA522" s="913"/>
    </row>
    <row r="523" spans="27:27" x14ac:dyDescent="0.2">
      <c r="AA523" s="913"/>
    </row>
    <row r="524" spans="27:27" x14ac:dyDescent="0.2">
      <c r="AA524" s="913"/>
    </row>
    <row r="525" spans="27:27" x14ac:dyDescent="0.2">
      <c r="AA525" s="913"/>
    </row>
    <row r="526" spans="27:27" x14ac:dyDescent="0.2">
      <c r="AA526" s="913"/>
    </row>
    <row r="527" spans="27:27" x14ac:dyDescent="0.2">
      <c r="AA527" s="913"/>
    </row>
    <row r="528" spans="27:27" x14ac:dyDescent="0.2">
      <c r="AA528" s="913"/>
    </row>
    <row r="529" spans="27:27" x14ac:dyDescent="0.2">
      <c r="AA529" s="913"/>
    </row>
    <row r="530" spans="27:27" x14ac:dyDescent="0.2">
      <c r="AA530" s="913"/>
    </row>
    <row r="531" spans="27:27" x14ac:dyDescent="0.2">
      <c r="AA531" s="913"/>
    </row>
    <row r="532" spans="27:27" x14ac:dyDescent="0.2">
      <c r="AA532" s="913"/>
    </row>
    <row r="533" spans="27:27" x14ac:dyDescent="0.2">
      <c r="AA533" s="913"/>
    </row>
    <row r="534" spans="27:27" x14ac:dyDescent="0.2">
      <c r="AA534" s="913"/>
    </row>
    <row r="535" spans="27:27" x14ac:dyDescent="0.2">
      <c r="AA535" s="913"/>
    </row>
    <row r="536" spans="27:27" x14ac:dyDescent="0.2">
      <c r="AA536" s="913"/>
    </row>
    <row r="537" spans="27:27" x14ac:dyDescent="0.2">
      <c r="AA537" s="913"/>
    </row>
    <row r="538" spans="27:27" x14ac:dyDescent="0.2">
      <c r="AA538" s="913"/>
    </row>
    <row r="539" spans="27:27" x14ac:dyDescent="0.2">
      <c r="AA539" s="913"/>
    </row>
    <row r="540" spans="27:27" x14ac:dyDescent="0.2">
      <c r="AA540" s="913"/>
    </row>
    <row r="541" spans="27:27" x14ac:dyDescent="0.2">
      <c r="AA541" s="913"/>
    </row>
    <row r="542" spans="27:27" x14ac:dyDescent="0.2">
      <c r="AA542" s="913"/>
    </row>
    <row r="543" spans="27:27" x14ac:dyDescent="0.2">
      <c r="AA543" s="913"/>
    </row>
    <row r="544" spans="27:27" x14ac:dyDescent="0.2">
      <c r="AA544" s="913"/>
    </row>
    <row r="545" spans="27:27" x14ac:dyDescent="0.2">
      <c r="AA545" s="913"/>
    </row>
    <row r="546" spans="27:27" x14ac:dyDescent="0.2">
      <c r="AA546" s="913"/>
    </row>
    <row r="547" spans="27:27" x14ac:dyDescent="0.2">
      <c r="AA547" s="913"/>
    </row>
    <row r="548" spans="27:27" x14ac:dyDescent="0.2">
      <c r="AA548" s="913"/>
    </row>
    <row r="549" spans="27:27" x14ac:dyDescent="0.2">
      <c r="AA549" s="913"/>
    </row>
    <row r="550" spans="27:27" x14ac:dyDescent="0.2">
      <c r="AA550" s="913"/>
    </row>
    <row r="551" spans="27:27" x14ac:dyDescent="0.2">
      <c r="AA551" s="913"/>
    </row>
    <row r="552" spans="27:27" x14ac:dyDescent="0.2">
      <c r="AA552" s="913"/>
    </row>
    <row r="553" spans="27:27" x14ac:dyDescent="0.2">
      <c r="AA553" s="913"/>
    </row>
    <row r="554" spans="27:27" x14ac:dyDescent="0.2">
      <c r="AA554" s="913"/>
    </row>
    <row r="555" spans="27:27" x14ac:dyDescent="0.2">
      <c r="AA555" s="913"/>
    </row>
    <row r="556" spans="27:27" x14ac:dyDescent="0.2">
      <c r="AA556" s="913"/>
    </row>
    <row r="557" spans="27:27" x14ac:dyDescent="0.2">
      <c r="AA557" s="913"/>
    </row>
    <row r="558" spans="27:27" x14ac:dyDescent="0.2">
      <c r="AA558" s="913"/>
    </row>
    <row r="559" spans="27:27" x14ac:dyDescent="0.2">
      <c r="AA559" s="913"/>
    </row>
    <row r="560" spans="27:27" x14ac:dyDescent="0.2">
      <c r="AA560" s="913"/>
    </row>
    <row r="561" spans="27:27" x14ac:dyDescent="0.2">
      <c r="AA561" s="913"/>
    </row>
    <row r="562" spans="27:27" x14ac:dyDescent="0.2">
      <c r="AA562" s="913"/>
    </row>
    <row r="563" spans="27:27" x14ac:dyDescent="0.2">
      <c r="AA563" s="913"/>
    </row>
    <row r="564" spans="27:27" x14ac:dyDescent="0.2">
      <c r="AA564" s="913"/>
    </row>
    <row r="565" spans="27:27" x14ac:dyDescent="0.2">
      <c r="AA565" s="913"/>
    </row>
    <row r="566" spans="27:27" x14ac:dyDescent="0.2">
      <c r="AA566" s="913"/>
    </row>
    <row r="567" spans="27:27" x14ac:dyDescent="0.2">
      <c r="AA567" s="913"/>
    </row>
    <row r="568" spans="27:27" x14ac:dyDescent="0.2">
      <c r="AA568" s="913"/>
    </row>
    <row r="569" spans="27:27" x14ac:dyDescent="0.2">
      <c r="AA569" s="913"/>
    </row>
    <row r="570" spans="27:27" x14ac:dyDescent="0.2">
      <c r="AA570" s="913"/>
    </row>
    <row r="571" spans="27:27" x14ac:dyDescent="0.2">
      <c r="AA571" s="913"/>
    </row>
    <row r="572" spans="27:27" x14ac:dyDescent="0.2">
      <c r="AA572" s="913"/>
    </row>
    <row r="573" spans="27:27" x14ac:dyDescent="0.2">
      <c r="AA573" s="913"/>
    </row>
    <row r="574" spans="27:27" x14ac:dyDescent="0.2">
      <c r="AA574" s="913"/>
    </row>
    <row r="575" spans="27:27" x14ac:dyDescent="0.2">
      <c r="AA575" s="913"/>
    </row>
    <row r="576" spans="27:27" x14ac:dyDescent="0.2">
      <c r="AA576" s="913"/>
    </row>
    <row r="577" spans="27:27" x14ac:dyDescent="0.2">
      <c r="AA577" s="913"/>
    </row>
    <row r="578" spans="27:27" x14ac:dyDescent="0.2">
      <c r="AA578" s="913"/>
    </row>
    <row r="579" spans="27:27" x14ac:dyDescent="0.2">
      <c r="AA579" s="913"/>
    </row>
    <row r="580" spans="27:27" x14ac:dyDescent="0.2">
      <c r="AA580" s="913"/>
    </row>
    <row r="581" spans="27:27" x14ac:dyDescent="0.2">
      <c r="AA581" s="913"/>
    </row>
    <row r="582" spans="27:27" x14ac:dyDescent="0.2">
      <c r="AA582" s="913"/>
    </row>
    <row r="583" spans="27:27" x14ac:dyDescent="0.2">
      <c r="AA583" s="913"/>
    </row>
    <row r="584" spans="27:27" x14ac:dyDescent="0.2">
      <c r="AA584" s="913"/>
    </row>
    <row r="585" spans="27:27" x14ac:dyDescent="0.2">
      <c r="AA585" s="913"/>
    </row>
    <row r="586" spans="27:27" x14ac:dyDescent="0.2">
      <c r="AA586" s="913"/>
    </row>
    <row r="587" spans="27:27" x14ac:dyDescent="0.2">
      <c r="AA587" s="913"/>
    </row>
    <row r="588" spans="27:27" x14ac:dyDescent="0.2">
      <c r="AA588" s="913"/>
    </row>
    <row r="589" spans="27:27" x14ac:dyDescent="0.2">
      <c r="AA589" s="913"/>
    </row>
    <row r="590" spans="27:27" x14ac:dyDescent="0.2">
      <c r="AA590" s="913"/>
    </row>
    <row r="591" spans="27:27" x14ac:dyDescent="0.2">
      <c r="AA591" s="913"/>
    </row>
    <row r="592" spans="27:27" x14ac:dyDescent="0.2">
      <c r="AA592" s="913"/>
    </row>
    <row r="593" spans="27:27" x14ac:dyDescent="0.2">
      <c r="AA593" s="913"/>
    </row>
    <row r="594" spans="27:27" x14ac:dyDescent="0.2">
      <c r="AA594" s="913"/>
    </row>
    <row r="595" spans="27:27" x14ac:dyDescent="0.2">
      <c r="AA595" s="913"/>
    </row>
    <row r="596" spans="27:27" x14ac:dyDescent="0.2">
      <c r="AA596" s="913"/>
    </row>
    <row r="597" spans="27:27" x14ac:dyDescent="0.2">
      <c r="AA597" s="913"/>
    </row>
    <row r="598" spans="27:27" x14ac:dyDescent="0.2">
      <c r="AA598" s="913"/>
    </row>
    <row r="599" spans="27:27" x14ac:dyDescent="0.2">
      <c r="AA599" s="913"/>
    </row>
    <row r="600" spans="27:27" x14ac:dyDescent="0.2">
      <c r="AA600" s="913"/>
    </row>
    <row r="601" spans="27:27" x14ac:dyDescent="0.2">
      <c r="AA601" s="913"/>
    </row>
    <row r="602" spans="27:27" x14ac:dyDescent="0.2">
      <c r="AA602" s="913"/>
    </row>
    <row r="603" spans="27:27" x14ac:dyDescent="0.2">
      <c r="AA603" s="913"/>
    </row>
    <row r="604" spans="27:27" x14ac:dyDescent="0.2">
      <c r="AA604" s="913"/>
    </row>
    <row r="605" spans="27:27" x14ac:dyDescent="0.2">
      <c r="AA605" s="913"/>
    </row>
    <row r="606" spans="27:27" x14ac:dyDescent="0.2">
      <c r="AA606" s="913"/>
    </row>
    <row r="607" spans="27:27" x14ac:dyDescent="0.2">
      <c r="AA607" s="913"/>
    </row>
    <row r="608" spans="27:27" x14ac:dyDescent="0.2">
      <c r="AA608" s="913"/>
    </row>
    <row r="609" spans="27:27" x14ac:dyDescent="0.2">
      <c r="AA609" s="913"/>
    </row>
    <row r="610" spans="27:27" x14ac:dyDescent="0.2">
      <c r="AA610" s="913"/>
    </row>
    <row r="611" spans="27:27" x14ac:dyDescent="0.2">
      <c r="AA611" s="913"/>
    </row>
    <row r="612" spans="27:27" x14ac:dyDescent="0.2">
      <c r="AA612" s="913"/>
    </row>
    <row r="613" spans="27:27" x14ac:dyDescent="0.2">
      <c r="AA613" s="913"/>
    </row>
    <row r="614" spans="27:27" x14ac:dyDescent="0.2">
      <c r="AA614" s="913"/>
    </row>
    <row r="615" spans="27:27" x14ac:dyDescent="0.2">
      <c r="AA615" s="913"/>
    </row>
    <row r="616" spans="27:27" x14ac:dyDescent="0.2">
      <c r="AA616" s="913"/>
    </row>
    <row r="617" spans="27:27" x14ac:dyDescent="0.2">
      <c r="AA617" s="913"/>
    </row>
    <row r="618" spans="27:27" x14ac:dyDescent="0.2">
      <c r="AA618" s="913"/>
    </row>
    <row r="619" spans="27:27" x14ac:dyDescent="0.2">
      <c r="AA619" s="913"/>
    </row>
    <row r="620" spans="27:27" x14ac:dyDescent="0.2">
      <c r="AA620" s="913"/>
    </row>
    <row r="621" spans="27:27" x14ac:dyDescent="0.2">
      <c r="AA621" s="913"/>
    </row>
    <row r="622" spans="27:27" x14ac:dyDescent="0.2">
      <c r="AA622" s="913"/>
    </row>
    <row r="623" spans="27:27" x14ac:dyDescent="0.2">
      <c r="AA623" s="913"/>
    </row>
    <row r="624" spans="27:27" x14ac:dyDescent="0.2">
      <c r="AA624" s="913"/>
    </row>
    <row r="625" spans="27:27" x14ac:dyDescent="0.2">
      <c r="AA625" s="913"/>
    </row>
    <row r="626" spans="27:27" x14ac:dyDescent="0.2">
      <c r="AA626" s="913"/>
    </row>
    <row r="627" spans="27:27" x14ac:dyDescent="0.2">
      <c r="AA627" s="913"/>
    </row>
    <row r="628" spans="27:27" x14ac:dyDescent="0.2">
      <c r="AA628" s="913"/>
    </row>
    <row r="629" spans="27:27" x14ac:dyDescent="0.2">
      <c r="AA629" s="913"/>
    </row>
    <row r="630" spans="27:27" x14ac:dyDescent="0.2">
      <c r="AA630" s="913"/>
    </row>
    <row r="631" spans="27:27" x14ac:dyDescent="0.2">
      <c r="AA631" s="913"/>
    </row>
    <row r="632" spans="27:27" x14ac:dyDescent="0.2">
      <c r="AA632" s="913"/>
    </row>
    <row r="633" spans="27:27" x14ac:dyDescent="0.2">
      <c r="AA633" s="913"/>
    </row>
    <row r="634" spans="27:27" x14ac:dyDescent="0.2">
      <c r="AA634" s="913"/>
    </row>
    <row r="635" spans="27:27" x14ac:dyDescent="0.2">
      <c r="AA635" s="913"/>
    </row>
    <row r="636" spans="27:27" x14ac:dyDescent="0.2">
      <c r="AA636" s="913"/>
    </row>
    <row r="637" spans="27:27" x14ac:dyDescent="0.2">
      <c r="AA637" s="913"/>
    </row>
    <row r="638" spans="27:27" x14ac:dyDescent="0.2">
      <c r="AA638" s="913"/>
    </row>
    <row r="639" spans="27:27" x14ac:dyDescent="0.2">
      <c r="AA639" s="913"/>
    </row>
    <row r="640" spans="27:27" x14ac:dyDescent="0.2">
      <c r="AA640" s="913"/>
    </row>
    <row r="641" spans="27:27" x14ac:dyDescent="0.2">
      <c r="AA641" s="913"/>
    </row>
    <row r="642" spans="27:27" x14ac:dyDescent="0.2">
      <c r="AA642" s="913"/>
    </row>
    <row r="643" spans="27:27" x14ac:dyDescent="0.2">
      <c r="AA643" s="913"/>
    </row>
    <row r="644" spans="27:27" x14ac:dyDescent="0.2">
      <c r="AA644" s="913"/>
    </row>
    <row r="645" spans="27:27" x14ac:dyDescent="0.2">
      <c r="AA645" s="913"/>
    </row>
    <row r="646" spans="27:27" x14ac:dyDescent="0.2">
      <c r="AA646" s="913"/>
    </row>
    <row r="647" spans="27:27" x14ac:dyDescent="0.2">
      <c r="AA647" s="913"/>
    </row>
    <row r="648" spans="27:27" x14ac:dyDescent="0.2">
      <c r="AA648" s="913"/>
    </row>
    <row r="649" spans="27:27" x14ac:dyDescent="0.2">
      <c r="AA649" s="913"/>
    </row>
    <row r="650" spans="27:27" x14ac:dyDescent="0.2">
      <c r="AA650" s="913"/>
    </row>
    <row r="651" spans="27:27" x14ac:dyDescent="0.2">
      <c r="AA651" s="913"/>
    </row>
    <row r="652" spans="27:27" x14ac:dyDescent="0.2">
      <c r="AA652" s="913"/>
    </row>
    <row r="653" spans="27:27" x14ac:dyDescent="0.2">
      <c r="AA653" s="913"/>
    </row>
    <row r="654" spans="27:27" x14ac:dyDescent="0.2">
      <c r="AA654" s="913"/>
    </row>
    <row r="655" spans="27:27" x14ac:dyDescent="0.2">
      <c r="AA655" s="913"/>
    </row>
    <row r="656" spans="27:27" x14ac:dyDescent="0.2">
      <c r="AA656" s="913"/>
    </row>
    <row r="657" spans="27:27" x14ac:dyDescent="0.2">
      <c r="AA657" s="913"/>
    </row>
    <row r="658" spans="27:27" x14ac:dyDescent="0.2">
      <c r="AA658" s="913"/>
    </row>
    <row r="659" spans="27:27" x14ac:dyDescent="0.2">
      <c r="AA659" s="913"/>
    </row>
    <row r="660" spans="27:27" x14ac:dyDescent="0.2">
      <c r="AA660" s="913"/>
    </row>
    <row r="661" spans="27:27" x14ac:dyDescent="0.2">
      <c r="AA661" s="913"/>
    </row>
    <row r="662" spans="27:27" x14ac:dyDescent="0.2">
      <c r="AA662" s="913"/>
    </row>
    <row r="663" spans="27:27" x14ac:dyDescent="0.2">
      <c r="AA663" s="913"/>
    </row>
    <row r="664" spans="27:27" x14ac:dyDescent="0.2">
      <c r="AA664" s="913"/>
    </row>
    <row r="665" spans="27:27" x14ac:dyDescent="0.2">
      <c r="AA665" s="913"/>
    </row>
    <row r="666" spans="27:27" x14ac:dyDescent="0.2">
      <c r="AA666" s="913"/>
    </row>
    <row r="667" spans="27:27" x14ac:dyDescent="0.2">
      <c r="AA667" s="913"/>
    </row>
    <row r="668" spans="27:27" x14ac:dyDescent="0.2">
      <c r="AA668" s="913"/>
    </row>
    <row r="669" spans="27:27" x14ac:dyDescent="0.2">
      <c r="AA669" s="913"/>
    </row>
    <row r="670" spans="27:27" x14ac:dyDescent="0.2">
      <c r="AA670" s="913"/>
    </row>
    <row r="671" spans="27:27" x14ac:dyDescent="0.2">
      <c r="AA671" s="913"/>
    </row>
    <row r="672" spans="27:27" x14ac:dyDescent="0.2">
      <c r="AA672" s="913"/>
    </row>
    <row r="673" spans="27:27" x14ac:dyDescent="0.2">
      <c r="AA673" s="913"/>
    </row>
    <row r="674" spans="27:27" x14ac:dyDescent="0.2">
      <c r="AA674" s="913"/>
    </row>
    <row r="675" spans="27:27" x14ac:dyDescent="0.2">
      <c r="AA675" s="913"/>
    </row>
    <row r="676" spans="27:27" x14ac:dyDescent="0.2">
      <c r="AA676" s="913"/>
    </row>
    <row r="677" spans="27:27" x14ac:dyDescent="0.2">
      <c r="AA677" s="913"/>
    </row>
    <row r="678" spans="27:27" x14ac:dyDescent="0.2">
      <c r="AA678" s="913"/>
    </row>
    <row r="679" spans="27:27" x14ac:dyDescent="0.2">
      <c r="AA679" s="913"/>
    </row>
    <row r="680" spans="27:27" x14ac:dyDescent="0.2">
      <c r="AA680" s="913"/>
    </row>
    <row r="681" spans="27:27" x14ac:dyDescent="0.2">
      <c r="AA681" s="913"/>
    </row>
    <row r="682" spans="27:27" x14ac:dyDescent="0.2">
      <c r="AA682" s="913"/>
    </row>
    <row r="683" spans="27:27" x14ac:dyDescent="0.2">
      <c r="AA683" s="913"/>
    </row>
    <row r="684" spans="27:27" x14ac:dyDescent="0.2">
      <c r="AA684" s="913"/>
    </row>
    <row r="685" spans="27:27" x14ac:dyDescent="0.2">
      <c r="AA685" s="913"/>
    </row>
    <row r="686" spans="27:27" x14ac:dyDescent="0.2">
      <c r="AA686" s="913"/>
    </row>
    <row r="687" spans="27:27" x14ac:dyDescent="0.2">
      <c r="AA687" s="913"/>
    </row>
    <row r="688" spans="27:27" x14ac:dyDescent="0.2">
      <c r="AA688" s="913"/>
    </row>
    <row r="689" spans="27:27" x14ac:dyDescent="0.2">
      <c r="AA689" s="913"/>
    </row>
    <row r="690" spans="27:27" x14ac:dyDescent="0.2">
      <c r="AA690" s="913"/>
    </row>
    <row r="691" spans="27:27" x14ac:dyDescent="0.2">
      <c r="AA691" s="913"/>
    </row>
    <row r="692" spans="27:27" x14ac:dyDescent="0.2">
      <c r="AA692" s="913"/>
    </row>
    <row r="693" spans="27:27" x14ac:dyDescent="0.2">
      <c r="AA693" s="913"/>
    </row>
    <row r="694" spans="27:27" x14ac:dyDescent="0.2">
      <c r="AA694" s="913"/>
    </row>
    <row r="695" spans="27:27" x14ac:dyDescent="0.2">
      <c r="AA695" s="913"/>
    </row>
    <row r="696" spans="27:27" x14ac:dyDescent="0.2">
      <c r="AA696" s="913"/>
    </row>
    <row r="697" spans="27:27" x14ac:dyDescent="0.2">
      <c r="AA697" s="913"/>
    </row>
    <row r="698" spans="27:27" x14ac:dyDescent="0.2">
      <c r="AA698" s="913"/>
    </row>
    <row r="699" spans="27:27" x14ac:dyDescent="0.2">
      <c r="AA699" s="913"/>
    </row>
    <row r="700" spans="27:27" x14ac:dyDescent="0.2">
      <c r="AA700" s="913"/>
    </row>
    <row r="701" spans="27:27" x14ac:dyDescent="0.2">
      <c r="AA701" s="913"/>
    </row>
    <row r="702" spans="27:27" x14ac:dyDescent="0.2">
      <c r="AA702" s="913"/>
    </row>
    <row r="703" spans="27:27" x14ac:dyDescent="0.2">
      <c r="AA703" s="913"/>
    </row>
    <row r="704" spans="27:27" x14ac:dyDescent="0.2">
      <c r="AA704" s="913"/>
    </row>
    <row r="705" spans="27:27" x14ac:dyDescent="0.2">
      <c r="AA705" s="913"/>
    </row>
    <row r="706" spans="27:27" x14ac:dyDescent="0.2">
      <c r="AA706" s="913"/>
    </row>
    <row r="707" spans="27:27" x14ac:dyDescent="0.2">
      <c r="AA707" s="913"/>
    </row>
    <row r="708" spans="27:27" x14ac:dyDescent="0.2">
      <c r="AA708" s="913"/>
    </row>
    <row r="709" spans="27:27" x14ac:dyDescent="0.2">
      <c r="AA709" s="913"/>
    </row>
    <row r="710" spans="27:27" x14ac:dyDescent="0.2">
      <c r="AA710" s="913"/>
    </row>
    <row r="711" spans="27:27" x14ac:dyDescent="0.2">
      <c r="AA711" s="913"/>
    </row>
    <row r="712" spans="27:27" x14ac:dyDescent="0.2">
      <c r="AA712" s="913"/>
    </row>
    <row r="713" spans="27:27" x14ac:dyDescent="0.2">
      <c r="AA713" s="913"/>
    </row>
    <row r="714" spans="27:27" x14ac:dyDescent="0.2">
      <c r="AA714" s="913"/>
    </row>
    <row r="715" spans="27:27" x14ac:dyDescent="0.2">
      <c r="AA715" s="913"/>
    </row>
    <row r="716" spans="27:27" x14ac:dyDescent="0.2">
      <c r="AA716" s="913"/>
    </row>
    <row r="717" spans="27:27" x14ac:dyDescent="0.2">
      <c r="AA717" s="913"/>
    </row>
    <row r="718" spans="27:27" x14ac:dyDescent="0.2">
      <c r="AA718" s="913"/>
    </row>
    <row r="719" spans="27:27" x14ac:dyDescent="0.2">
      <c r="AA719" s="913"/>
    </row>
    <row r="720" spans="27:27" x14ac:dyDescent="0.2">
      <c r="AA720" s="913"/>
    </row>
    <row r="721" spans="27:27" x14ac:dyDescent="0.2">
      <c r="AA721" s="913"/>
    </row>
    <row r="722" spans="27:27" x14ac:dyDescent="0.2">
      <c r="AA722" s="913"/>
    </row>
    <row r="723" spans="27:27" x14ac:dyDescent="0.2">
      <c r="AA723" s="913"/>
    </row>
    <row r="724" spans="27:27" x14ac:dyDescent="0.2">
      <c r="AA724" s="913"/>
    </row>
    <row r="725" spans="27:27" x14ac:dyDescent="0.2">
      <c r="AA725" s="913"/>
    </row>
    <row r="726" spans="27:27" x14ac:dyDescent="0.2">
      <c r="AA726" s="913"/>
    </row>
    <row r="727" spans="27:27" x14ac:dyDescent="0.2">
      <c r="AA727" s="913"/>
    </row>
    <row r="728" spans="27:27" x14ac:dyDescent="0.2">
      <c r="AA728" s="913"/>
    </row>
    <row r="729" spans="27:27" x14ac:dyDescent="0.2">
      <c r="AA729" s="913"/>
    </row>
    <row r="730" spans="27:27" x14ac:dyDescent="0.2">
      <c r="AA730" s="913"/>
    </row>
    <row r="731" spans="27:27" x14ac:dyDescent="0.2">
      <c r="AA731" s="913"/>
    </row>
    <row r="732" spans="27:27" x14ac:dyDescent="0.2">
      <c r="AA732" s="913"/>
    </row>
    <row r="733" spans="27:27" x14ac:dyDescent="0.2">
      <c r="AA733" s="913"/>
    </row>
    <row r="734" spans="27:27" x14ac:dyDescent="0.2">
      <c r="AA734" s="913"/>
    </row>
    <row r="735" spans="27:27" x14ac:dyDescent="0.2">
      <c r="AA735" s="913"/>
    </row>
    <row r="736" spans="27:27" x14ac:dyDescent="0.2">
      <c r="AA736" s="913"/>
    </row>
    <row r="737" spans="27:27" x14ac:dyDescent="0.2">
      <c r="AA737" s="913"/>
    </row>
    <row r="738" spans="27:27" x14ac:dyDescent="0.2">
      <c r="AA738" s="913"/>
    </row>
    <row r="739" spans="27:27" x14ac:dyDescent="0.2">
      <c r="AA739" s="913"/>
    </row>
    <row r="740" spans="27:27" x14ac:dyDescent="0.2">
      <c r="AA740" s="913"/>
    </row>
    <row r="741" spans="27:27" x14ac:dyDescent="0.2">
      <c r="AA741" s="913"/>
    </row>
    <row r="742" spans="27:27" x14ac:dyDescent="0.2">
      <c r="AA742" s="913"/>
    </row>
    <row r="743" spans="27:27" x14ac:dyDescent="0.2">
      <c r="AA743" s="913"/>
    </row>
    <row r="744" spans="27:27" x14ac:dyDescent="0.2">
      <c r="AA744" s="913"/>
    </row>
    <row r="745" spans="27:27" x14ac:dyDescent="0.2">
      <c r="AA745" s="913"/>
    </row>
    <row r="746" spans="27:27" x14ac:dyDescent="0.2">
      <c r="AA746" s="913"/>
    </row>
    <row r="747" spans="27:27" x14ac:dyDescent="0.2">
      <c r="AA747" s="913"/>
    </row>
    <row r="748" spans="27:27" x14ac:dyDescent="0.2">
      <c r="AA748" s="913"/>
    </row>
    <row r="749" spans="27:27" x14ac:dyDescent="0.2">
      <c r="AA749" s="913"/>
    </row>
    <row r="750" spans="27:27" x14ac:dyDescent="0.2">
      <c r="AA750" s="913"/>
    </row>
    <row r="751" spans="27:27" x14ac:dyDescent="0.2">
      <c r="AA751" s="913"/>
    </row>
    <row r="752" spans="27:27" x14ac:dyDescent="0.2">
      <c r="AA752" s="913"/>
    </row>
    <row r="753" spans="27:27" x14ac:dyDescent="0.2">
      <c r="AA753" s="913"/>
    </row>
    <row r="754" spans="27:27" x14ac:dyDescent="0.2">
      <c r="AA754" s="913"/>
    </row>
    <row r="755" spans="27:27" x14ac:dyDescent="0.2">
      <c r="AA755" s="913"/>
    </row>
    <row r="756" spans="27:27" x14ac:dyDescent="0.2">
      <c r="AA756" s="913"/>
    </row>
    <row r="757" spans="27:27" x14ac:dyDescent="0.2">
      <c r="AA757" s="913"/>
    </row>
    <row r="758" spans="27:27" x14ac:dyDescent="0.2">
      <c r="AA758" s="913"/>
    </row>
    <row r="759" spans="27:27" x14ac:dyDescent="0.2">
      <c r="AA759" s="913"/>
    </row>
    <row r="760" spans="27:27" x14ac:dyDescent="0.2">
      <c r="AA760" s="913"/>
    </row>
    <row r="761" spans="27:27" x14ac:dyDescent="0.2">
      <c r="AA761" s="913"/>
    </row>
    <row r="762" spans="27:27" x14ac:dyDescent="0.2">
      <c r="AA762" s="913"/>
    </row>
    <row r="763" spans="27:27" x14ac:dyDescent="0.2">
      <c r="AA763" s="913"/>
    </row>
    <row r="764" spans="27:27" x14ac:dyDescent="0.2">
      <c r="AA764" s="913"/>
    </row>
    <row r="765" spans="27:27" x14ac:dyDescent="0.2">
      <c r="AA765" s="913"/>
    </row>
    <row r="766" spans="27:27" x14ac:dyDescent="0.2">
      <c r="AA766" s="913"/>
    </row>
    <row r="767" spans="27:27" x14ac:dyDescent="0.2">
      <c r="AA767" s="913"/>
    </row>
    <row r="768" spans="27:27" x14ac:dyDescent="0.2">
      <c r="AA768" s="913"/>
    </row>
    <row r="769" spans="27:27" x14ac:dyDescent="0.2">
      <c r="AA769" s="913"/>
    </row>
    <row r="770" spans="27:27" x14ac:dyDescent="0.2">
      <c r="AA770" s="913"/>
    </row>
    <row r="771" spans="27:27" x14ac:dyDescent="0.2">
      <c r="AA771" s="913"/>
    </row>
    <row r="772" spans="27:27" x14ac:dyDescent="0.2">
      <c r="AA772" s="913"/>
    </row>
    <row r="773" spans="27:27" x14ac:dyDescent="0.2">
      <c r="AA773" s="913"/>
    </row>
    <row r="774" spans="27:27" x14ac:dyDescent="0.2">
      <c r="AA774" s="913"/>
    </row>
    <row r="775" spans="27:27" x14ac:dyDescent="0.2">
      <c r="AA775" s="913"/>
    </row>
    <row r="776" spans="27:27" x14ac:dyDescent="0.2">
      <c r="AA776" s="913"/>
    </row>
    <row r="777" spans="27:27" x14ac:dyDescent="0.2">
      <c r="AA777" s="913"/>
    </row>
    <row r="778" spans="27:27" x14ac:dyDescent="0.2">
      <c r="AA778" s="913"/>
    </row>
    <row r="779" spans="27:27" x14ac:dyDescent="0.2">
      <c r="AA779" s="913"/>
    </row>
    <row r="780" spans="27:27" x14ac:dyDescent="0.2">
      <c r="AA780" s="913"/>
    </row>
    <row r="781" spans="27:27" x14ac:dyDescent="0.2">
      <c r="AA781" s="913"/>
    </row>
    <row r="782" spans="27:27" x14ac:dyDescent="0.2">
      <c r="AA782" s="913"/>
    </row>
    <row r="783" spans="27:27" x14ac:dyDescent="0.2">
      <c r="AA783" s="913"/>
    </row>
    <row r="784" spans="27:27" x14ac:dyDescent="0.2">
      <c r="AA784" s="913"/>
    </row>
    <row r="785" spans="27:27" x14ac:dyDescent="0.2">
      <c r="AA785" s="913"/>
    </row>
    <row r="786" spans="27:27" x14ac:dyDescent="0.2">
      <c r="AA786" s="913"/>
    </row>
    <row r="787" spans="27:27" x14ac:dyDescent="0.2">
      <c r="AA787" s="913"/>
    </row>
    <row r="788" spans="27:27" x14ac:dyDescent="0.2">
      <c r="AA788" s="913"/>
    </row>
    <row r="789" spans="27:27" x14ac:dyDescent="0.2">
      <c r="AA789" s="913"/>
    </row>
    <row r="790" spans="27:27" x14ac:dyDescent="0.2">
      <c r="AA790" s="913"/>
    </row>
    <row r="791" spans="27:27" x14ac:dyDescent="0.2">
      <c r="AA791" s="913"/>
    </row>
    <row r="792" spans="27:27" x14ac:dyDescent="0.2">
      <c r="AA792" s="913"/>
    </row>
    <row r="793" spans="27:27" x14ac:dyDescent="0.2">
      <c r="AA793" s="913"/>
    </row>
    <row r="794" spans="27:27" x14ac:dyDescent="0.2">
      <c r="AA794" s="913"/>
    </row>
    <row r="795" spans="27:27" x14ac:dyDescent="0.2">
      <c r="AA795" s="913"/>
    </row>
    <row r="796" spans="27:27" x14ac:dyDescent="0.2">
      <c r="AA796" s="913"/>
    </row>
    <row r="797" spans="27:27" x14ac:dyDescent="0.2">
      <c r="AA797" s="913"/>
    </row>
    <row r="798" spans="27:27" x14ac:dyDescent="0.2">
      <c r="AA798" s="913"/>
    </row>
    <row r="799" spans="27:27" x14ac:dyDescent="0.2">
      <c r="AA799" s="913"/>
    </row>
    <row r="800" spans="27:27" x14ac:dyDescent="0.2">
      <c r="AA800" s="913"/>
    </row>
    <row r="801" spans="27:27" x14ac:dyDescent="0.2">
      <c r="AA801" s="913"/>
    </row>
    <row r="802" spans="27:27" x14ac:dyDescent="0.2">
      <c r="AA802" s="913"/>
    </row>
    <row r="803" spans="27:27" x14ac:dyDescent="0.2">
      <c r="AA803" s="913"/>
    </row>
    <row r="804" spans="27:27" x14ac:dyDescent="0.2">
      <c r="AA804" s="913"/>
    </row>
    <row r="805" spans="27:27" x14ac:dyDescent="0.2">
      <c r="AA805" s="913"/>
    </row>
    <row r="806" spans="27:27" x14ac:dyDescent="0.2">
      <c r="AA806" s="913"/>
    </row>
    <row r="807" spans="27:27" x14ac:dyDescent="0.2">
      <c r="AA807" s="913"/>
    </row>
    <row r="808" spans="27:27" x14ac:dyDescent="0.2">
      <c r="AA808" s="913"/>
    </row>
    <row r="809" spans="27:27" x14ac:dyDescent="0.2">
      <c r="AA809" s="913"/>
    </row>
    <row r="810" spans="27:27" x14ac:dyDescent="0.2">
      <c r="AA810" s="913"/>
    </row>
    <row r="811" spans="27:27" x14ac:dyDescent="0.2">
      <c r="AA811" s="913"/>
    </row>
    <row r="812" spans="27:27" x14ac:dyDescent="0.2">
      <c r="AA812" s="913"/>
    </row>
    <row r="813" spans="27:27" x14ac:dyDescent="0.2">
      <c r="AA813" s="913"/>
    </row>
    <row r="814" spans="27:27" x14ac:dyDescent="0.2">
      <c r="AA814" s="913"/>
    </row>
    <row r="815" spans="27:27" x14ac:dyDescent="0.2">
      <c r="AA815" s="913"/>
    </row>
    <row r="816" spans="27:27" x14ac:dyDescent="0.2">
      <c r="AA816" s="913"/>
    </row>
    <row r="817" spans="27:27" x14ac:dyDescent="0.2">
      <c r="AA817" s="913"/>
    </row>
    <row r="818" spans="27:27" x14ac:dyDescent="0.2">
      <c r="AA818" s="913"/>
    </row>
    <row r="819" spans="27:27" x14ac:dyDescent="0.2">
      <c r="AA819" s="913"/>
    </row>
    <row r="820" spans="27:27" x14ac:dyDescent="0.2">
      <c r="AA820" s="913"/>
    </row>
    <row r="821" spans="27:27" x14ac:dyDescent="0.2">
      <c r="AA821" s="913"/>
    </row>
    <row r="822" spans="27:27" x14ac:dyDescent="0.2">
      <c r="AA822" s="913"/>
    </row>
    <row r="823" spans="27:27" x14ac:dyDescent="0.2">
      <c r="AA823" s="913"/>
    </row>
    <row r="824" spans="27:27" x14ac:dyDescent="0.2">
      <c r="AA824" s="913"/>
    </row>
    <row r="825" spans="27:27" x14ac:dyDescent="0.2">
      <c r="AA825" s="913"/>
    </row>
    <row r="826" spans="27:27" x14ac:dyDescent="0.2">
      <c r="AA826" s="913"/>
    </row>
    <row r="827" spans="27:27" x14ac:dyDescent="0.2">
      <c r="AA827" s="913"/>
    </row>
    <row r="828" spans="27:27" x14ac:dyDescent="0.2">
      <c r="AA828" s="913"/>
    </row>
    <row r="829" spans="27:27" x14ac:dyDescent="0.2">
      <c r="AA829" s="913"/>
    </row>
    <row r="830" spans="27:27" x14ac:dyDescent="0.2">
      <c r="AA830" s="913"/>
    </row>
    <row r="831" spans="27:27" x14ac:dyDescent="0.2">
      <c r="AA831" s="913"/>
    </row>
    <row r="832" spans="27:27" x14ac:dyDescent="0.2">
      <c r="AA832" s="913"/>
    </row>
    <row r="833" spans="27:27" x14ac:dyDescent="0.2">
      <c r="AA833" s="913"/>
    </row>
    <row r="834" spans="27:27" x14ac:dyDescent="0.2">
      <c r="AA834" s="913"/>
    </row>
    <row r="835" spans="27:27" x14ac:dyDescent="0.2">
      <c r="AA835" s="913"/>
    </row>
    <row r="836" spans="27:27" x14ac:dyDescent="0.2">
      <c r="AA836" s="913"/>
    </row>
    <row r="837" spans="27:27" x14ac:dyDescent="0.2">
      <c r="AA837" s="913"/>
    </row>
    <row r="838" spans="27:27" x14ac:dyDescent="0.2">
      <c r="AA838" s="913"/>
    </row>
    <row r="839" spans="27:27" x14ac:dyDescent="0.2">
      <c r="AA839" s="913"/>
    </row>
    <row r="840" spans="27:27" x14ac:dyDescent="0.2">
      <c r="AA840" s="913"/>
    </row>
    <row r="841" spans="27:27" x14ac:dyDescent="0.2">
      <c r="AA841" s="913"/>
    </row>
    <row r="842" spans="27:27" x14ac:dyDescent="0.2">
      <c r="AA842" s="913"/>
    </row>
    <row r="843" spans="27:27" x14ac:dyDescent="0.2">
      <c r="AA843" s="913"/>
    </row>
    <row r="844" spans="27:27" x14ac:dyDescent="0.2">
      <c r="AA844" s="913"/>
    </row>
    <row r="845" spans="27:27" x14ac:dyDescent="0.2">
      <c r="AA845" s="913"/>
    </row>
    <row r="846" spans="27:27" x14ac:dyDescent="0.2">
      <c r="AA846" s="913"/>
    </row>
    <row r="847" spans="27:27" x14ac:dyDescent="0.2">
      <c r="AA847" s="913"/>
    </row>
    <row r="848" spans="27:27" x14ac:dyDescent="0.2">
      <c r="AA848" s="913"/>
    </row>
    <row r="849" spans="27:27" x14ac:dyDescent="0.2">
      <c r="AA849" s="913"/>
    </row>
    <row r="850" spans="27:27" x14ac:dyDescent="0.2">
      <c r="AA850" s="913"/>
    </row>
    <row r="851" spans="27:27" x14ac:dyDescent="0.2">
      <c r="AA851" s="913"/>
    </row>
    <row r="852" spans="27:27" x14ac:dyDescent="0.2">
      <c r="AA852" s="913"/>
    </row>
    <row r="853" spans="27:27" x14ac:dyDescent="0.2">
      <c r="AA853" s="913"/>
    </row>
    <row r="854" spans="27:27" x14ac:dyDescent="0.2">
      <c r="AA854" s="913"/>
    </row>
    <row r="855" spans="27:27" x14ac:dyDescent="0.2">
      <c r="AA855" s="913"/>
    </row>
    <row r="856" spans="27:27" x14ac:dyDescent="0.2">
      <c r="AA856" s="913"/>
    </row>
    <row r="857" spans="27:27" x14ac:dyDescent="0.2">
      <c r="AA857" s="913"/>
    </row>
    <row r="858" spans="27:27" x14ac:dyDescent="0.2">
      <c r="AA858" s="913"/>
    </row>
    <row r="859" spans="27:27" x14ac:dyDescent="0.2">
      <c r="AA859" s="913"/>
    </row>
    <row r="860" spans="27:27" x14ac:dyDescent="0.2">
      <c r="AA860" s="913"/>
    </row>
    <row r="861" spans="27:27" x14ac:dyDescent="0.2">
      <c r="AA861" s="913"/>
    </row>
    <row r="862" spans="27:27" x14ac:dyDescent="0.2">
      <c r="AA862" s="913"/>
    </row>
    <row r="863" spans="27:27" x14ac:dyDescent="0.2">
      <c r="AA863" s="913"/>
    </row>
    <row r="864" spans="27:27" x14ac:dyDescent="0.2">
      <c r="AA864" s="913"/>
    </row>
    <row r="865" spans="27:27" x14ac:dyDescent="0.2">
      <c r="AA865" s="913"/>
    </row>
    <row r="866" spans="27:27" x14ac:dyDescent="0.2">
      <c r="AA866" s="913"/>
    </row>
    <row r="867" spans="27:27" x14ac:dyDescent="0.2">
      <c r="AA867" s="913"/>
    </row>
    <row r="868" spans="27:27" x14ac:dyDescent="0.2">
      <c r="AA868" s="913"/>
    </row>
    <row r="869" spans="27:27" x14ac:dyDescent="0.2">
      <c r="AA869" s="913"/>
    </row>
    <row r="870" spans="27:27" x14ac:dyDescent="0.2">
      <c r="AA870" s="913"/>
    </row>
    <row r="871" spans="27:27" x14ac:dyDescent="0.2">
      <c r="AA871" s="913"/>
    </row>
    <row r="872" spans="27:27" x14ac:dyDescent="0.2">
      <c r="AA872" s="913"/>
    </row>
    <row r="873" spans="27:27" x14ac:dyDescent="0.2">
      <c r="AA873" s="913"/>
    </row>
    <row r="874" spans="27:27" x14ac:dyDescent="0.2">
      <c r="AA874" s="913"/>
    </row>
    <row r="875" spans="27:27" x14ac:dyDescent="0.2">
      <c r="AA875" s="913"/>
    </row>
    <row r="876" spans="27:27" x14ac:dyDescent="0.2">
      <c r="AA876" s="913"/>
    </row>
    <row r="877" spans="27:27" x14ac:dyDescent="0.2">
      <c r="AA877" s="913"/>
    </row>
    <row r="878" spans="27:27" x14ac:dyDescent="0.2">
      <c r="AA878" s="913"/>
    </row>
    <row r="879" spans="27:27" x14ac:dyDescent="0.2">
      <c r="AA879" s="913"/>
    </row>
    <row r="880" spans="27:27" x14ac:dyDescent="0.2">
      <c r="AA880" s="913"/>
    </row>
    <row r="881" spans="27:27" x14ac:dyDescent="0.2">
      <c r="AA881" s="913"/>
    </row>
    <row r="882" spans="27:27" x14ac:dyDescent="0.2">
      <c r="AA882" s="913"/>
    </row>
    <row r="883" spans="27:27" x14ac:dyDescent="0.2">
      <c r="AA883" s="913"/>
    </row>
    <row r="884" spans="27:27" x14ac:dyDescent="0.2">
      <c r="AA884" s="913"/>
    </row>
    <row r="885" spans="27:27" x14ac:dyDescent="0.2">
      <c r="AA885" s="913"/>
    </row>
    <row r="886" spans="27:27" x14ac:dyDescent="0.2">
      <c r="AA886" s="913"/>
    </row>
    <row r="887" spans="27:27" x14ac:dyDescent="0.2">
      <c r="AA887" s="913"/>
    </row>
    <row r="888" spans="27:27" x14ac:dyDescent="0.2">
      <c r="AA888" s="913"/>
    </row>
    <row r="889" spans="27:27" x14ac:dyDescent="0.2">
      <c r="AA889" s="913"/>
    </row>
    <row r="890" spans="27:27" x14ac:dyDescent="0.2">
      <c r="AA890" s="913"/>
    </row>
    <row r="891" spans="27:27" x14ac:dyDescent="0.2">
      <c r="AA891" s="913"/>
    </row>
    <row r="892" spans="27:27" x14ac:dyDescent="0.2">
      <c r="AA892" s="913"/>
    </row>
    <row r="893" spans="27:27" x14ac:dyDescent="0.2">
      <c r="AA893" s="913"/>
    </row>
    <row r="894" spans="27:27" x14ac:dyDescent="0.2">
      <c r="AA894" s="913"/>
    </row>
    <row r="895" spans="27:27" x14ac:dyDescent="0.2">
      <c r="AA895" s="913"/>
    </row>
    <row r="896" spans="27:27" x14ac:dyDescent="0.2">
      <c r="AA896" s="913"/>
    </row>
    <row r="897" spans="27:27" x14ac:dyDescent="0.2">
      <c r="AA897" s="913"/>
    </row>
    <row r="898" spans="27:27" x14ac:dyDescent="0.2">
      <c r="AA898" s="913"/>
    </row>
    <row r="899" spans="27:27" x14ac:dyDescent="0.2">
      <c r="AA899" s="913"/>
    </row>
    <row r="900" spans="27:27" x14ac:dyDescent="0.2">
      <c r="AA900" s="913"/>
    </row>
    <row r="901" spans="27:27" x14ac:dyDescent="0.2">
      <c r="AA901" s="913"/>
    </row>
    <row r="902" spans="27:27" x14ac:dyDescent="0.2">
      <c r="AA902" s="913"/>
    </row>
    <row r="903" spans="27:27" x14ac:dyDescent="0.2">
      <c r="AA903" s="913"/>
    </row>
    <row r="904" spans="27:27" x14ac:dyDescent="0.2">
      <c r="AA904" s="913"/>
    </row>
    <row r="905" spans="27:27" x14ac:dyDescent="0.2">
      <c r="AA905" s="913"/>
    </row>
    <row r="906" spans="27:27" x14ac:dyDescent="0.2">
      <c r="AA906" s="913"/>
    </row>
    <row r="907" spans="27:27" x14ac:dyDescent="0.2">
      <c r="AA907" s="913"/>
    </row>
    <row r="908" spans="27:27" x14ac:dyDescent="0.2">
      <c r="AA908" s="913"/>
    </row>
    <row r="909" spans="27:27" x14ac:dyDescent="0.2">
      <c r="AA909" s="913"/>
    </row>
    <row r="910" spans="27:27" x14ac:dyDescent="0.2">
      <c r="AA910" s="913"/>
    </row>
    <row r="911" spans="27:27" x14ac:dyDescent="0.2">
      <c r="AA911" s="913"/>
    </row>
    <row r="912" spans="27:27" x14ac:dyDescent="0.2">
      <c r="AA912" s="913"/>
    </row>
    <row r="913" spans="27:27" x14ac:dyDescent="0.2">
      <c r="AA913" s="913"/>
    </row>
    <row r="914" spans="27:27" x14ac:dyDescent="0.2">
      <c r="AA914" s="913"/>
    </row>
    <row r="915" spans="27:27" x14ac:dyDescent="0.2">
      <c r="AA915" s="913"/>
    </row>
    <row r="916" spans="27:27" x14ac:dyDescent="0.2">
      <c r="AA916" s="913"/>
    </row>
    <row r="917" spans="27:27" x14ac:dyDescent="0.2">
      <c r="AA917" s="913"/>
    </row>
    <row r="918" spans="27:27" x14ac:dyDescent="0.2">
      <c r="AA918" s="913"/>
    </row>
    <row r="919" spans="27:27" x14ac:dyDescent="0.2">
      <c r="AA919" s="913"/>
    </row>
    <row r="920" spans="27:27" x14ac:dyDescent="0.2">
      <c r="AA920" s="913"/>
    </row>
    <row r="921" spans="27:27" x14ac:dyDescent="0.2">
      <c r="AA921" s="913"/>
    </row>
    <row r="922" spans="27:27" x14ac:dyDescent="0.2">
      <c r="AA922" s="913"/>
    </row>
    <row r="923" spans="27:27" x14ac:dyDescent="0.2">
      <c r="AA923" s="913"/>
    </row>
    <row r="924" spans="27:27" x14ac:dyDescent="0.2">
      <c r="AA924" s="913"/>
    </row>
    <row r="925" spans="27:27" x14ac:dyDescent="0.2">
      <c r="AA925" s="913"/>
    </row>
    <row r="926" spans="27:27" x14ac:dyDescent="0.2">
      <c r="AA926" s="913"/>
    </row>
    <row r="927" spans="27:27" x14ac:dyDescent="0.2">
      <c r="AA927" s="913"/>
    </row>
    <row r="928" spans="27:27" x14ac:dyDescent="0.2">
      <c r="AA928" s="913"/>
    </row>
    <row r="929" spans="27:27" x14ac:dyDescent="0.2">
      <c r="AA929" s="913"/>
    </row>
    <row r="930" spans="27:27" x14ac:dyDescent="0.2">
      <c r="AA930" s="913"/>
    </row>
    <row r="931" spans="27:27" x14ac:dyDescent="0.2">
      <c r="AA931" s="913"/>
    </row>
    <row r="932" spans="27:27" x14ac:dyDescent="0.2">
      <c r="AA932" s="913"/>
    </row>
    <row r="933" spans="27:27" x14ac:dyDescent="0.2">
      <c r="AA933" s="913"/>
    </row>
    <row r="934" spans="27:27" x14ac:dyDescent="0.2">
      <c r="AA934" s="913"/>
    </row>
    <row r="935" spans="27:27" x14ac:dyDescent="0.2">
      <c r="AA935" s="913"/>
    </row>
    <row r="936" spans="27:27" x14ac:dyDescent="0.2">
      <c r="AA936" s="913"/>
    </row>
    <row r="937" spans="27:27" x14ac:dyDescent="0.2">
      <c r="AA937" s="913"/>
    </row>
    <row r="938" spans="27:27" x14ac:dyDescent="0.2">
      <c r="AA938" s="913"/>
    </row>
    <row r="939" spans="27:27" x14ac:dyDescent="0.2">
      <c r="AA939" s="913"/>
    </row>
    <row r="940" spans="27:27" x14ac:dyDescent="0.2">
      <c r="AA940" s="913"/>
    </row>
    <row r="941" spans="27:27" x14ac:dyDescent="0.2">
      <c r="AA941" s="913"/>
    </row>
    <row r="942" spans="27:27" x14ac:dyDescent="0.2">
      <c r="AA942" s="913"/>
    </row>
    <row r="943" spans="27:27" x14ac:dyDescent="0.2">
      <c r="AA943" s="913"/>
    </row>
    <row r="944" spans="27:27" x14ac:dyDescent="0.2">
      <c r="AA944" s="913"/>
    </row>
    <row r="945" spans="27:27" x14ac:dyDescent="0.2">
      <c r="AA945" s="913"/>
    </row>
    <row r="946" spans="27:27" x14ac:dyDescent="0.2">
      <c r="AA946" s="913"/>
    </row>
    <row r="947" spans="27:27" x14ac:dyDescent="0.2">
      <c r="AA947" s="913"/>
    </row>
    <row r="948" spans="27:27" x14ac:dyDescent="0.2">
      <c r="AA948" s="913"/>
    </row>
    <row r="949" spans="27:27" x14ac:dyDescent="0.2">
      <c r="AA949" s="913"/>
    </row>
    <row r="950" spans="27:27" x14ac:dyDescent="0.2">
      <c r="AA950" s="913"/>
    </row>
    <row r="951" spans="27:27" x14ac:dyDescent="0.2">
      <c r="AA951" s="913"/>
    </row>
    <row r="952" spans="27:27" x14ac:dyDescent="0.2">
      <c r="AA952" s="913"/>
    </row>
    <row r="953" spans="27:27" x14ac:dyDescent="0.2">
      <c r="AA953" s="913"/>
    </row>
    <row r="954" spans="27:27" x14ac:dyDescent="0.2">
      <c r="AA954" s="913"/>
    </row>
    <row r="955" spans="27:27" x14ac:dyDescent="0.2">
      <c r="AA955" s="913"/>
    </row>
    <row r="956" spans="27:27" x14ac:dyDescent="0.2">
      <c r="AA956" s="913"/>
    </row>
    <row r="957" spans="27:27" x14ac:dyDescent="0.2">
      <c r="AA957" s="913"/>
    </row>
    <row r="958" spans="27:27" x14ac:dyDescent="0.2">
      <c r="AA958" s="913"/>
    </row>
    <row r="959" spans="27:27" x14ac:dyDescent="0.2">
      <c r="AA959" s="913"/>
    </row>
    <row r="960" spans="27:27" x14ac:dyDescent="0.2">
      <c r="AA960" s="913"/>
    </row>
    <row r="961" spans="27:27" x14ac:dyDescent="0.2">
      <c r="AA961" s="913"/>
    </row>
    <row r="962" spans="27:27" x14ac:dyDescent="0.2">
      <c r="AA962" s="913"/>
    </row>
    <row r="963" spans="27:27" x14ac:dyDescent="0.2">
      <c r="AA963" s="913"/>
    </row>
    <row r="964" spans="27:27" x14ac:dyDescent="0.2">
      <c r="AA964" s="913"/>
    </row>
    <row r="965" spans="27:27" x14ac:dyDescent="0.2">
      <c r="AA965" s="913"/>
    </row>
    <row r="966" spans="27:27" x14ac:dyDescent="0.2">
      <c r="AA966" s="913"/>
    </row>
    <row r="967" spans="27:27" x14ac:dyDescent="0.2">
      <c r="AA967" s="913"/>
    </row>
    <row r="968" spans="27:27" x14ac:dyDescent="0.2">
      <c r="AA968" s="913"/>
    </row>
    <row r="969" spans="27:27" x14ac:dyDescent="0.2">
      <c r="AA969" s="913"/>
    </row>
    <row r="970" spans="27:27" x14ac:dyDescent="0.2">
      <c r="AA970" s="913"/>
    </row>
    <row r="971" spans="27:27" x14ac:dyDescent="0.2">
      <c r="AA971" s="913"/>
    </row>
    <row r="972" spans="27:27" x14ac:dyDescent="0.2">
      <c r="AA972" s="913"/>
    </row>
    <row r="973" spans="27:27" x14ac:dyDescent="0.2">
      <c r="AA973" s="913"/>
    </row>
    <row r="974" spans="27:27" x14ac:dyDescent="0.2">
      <c r="AA974" s="913"/>
    </row>
    <row r="975" spans="27:27" x14ac:dyDescent="0.2">
      <c r="AA975" s="913"/>
    </row>
    <row r="976" spans="27:27" x14ac:dyDescent="0.2">
      <c r="AA976" s="913"/>
    </row>
    <row r="977" spans="27:27" x14ac:dyDescent="0.2">
      <c r="AA977" s="913"/>
    </row>
    <row r="978" spans="27:27" x14ac:dyDescent="0.2">
      <c r="AA978" s="913"/>
    </row>
    <row r="979" spans="27:27" x14ac:dyDescent="0.2">
      <c r="AA979" s="913"/>
    </row>
    <row r="980" spans="27:27" x14ac:dyDescent="0.2">
      <c r="AA980" s="913"/>
    </row>
    <row r="981" spans="27:27" x14ac:dyDescent="0.2">
      <c r="AA981" s="913"/>
    </row>
    <row r="982" spans="27:27" x14ac:dyDescent="0.2">
      <c r="AA982" s="913"/>
    </row>
    <row r="983" spans="27:27" x14ac:dyDescent="0.2">
      <c r="AA983" s="913"/>
    </row>
    <row r="984" spans="27:27" x14ac:dyDescent="0.2">
      <c r="AA984" s="913"/>
    </row>
    <row r="985" spans="27:27" x14ac:dyDescent="0.2">
      <c r="AA985" s="913"/>
    </row>
    <row r="986" spans="27:27" x14ac:dyDescent="0.2">
      <c r="AA986" s="913"/>
    </row>
    <row r="987" spans="27:27" x14ac:dyDescent="0.2">
      <c r="AA987" s="913"/>
    </row>
    <row r="988" spans="27:27" x14ac:dyDescent="0.2">
      <c r="AA988" s="913"/>
    </row>
    <row r="989" spans="27:27" x14ac:dyDescent="0.2">
      <c r="AA989" s="913"/>
    </row>
    <row r="990" spans="27:27" x14ac:dyDescent="0.2">
      <c r="AA990" s="913"/>
    </row>
    <row r="991" spans="27:27" x14ac:dyDescent="0.2">
      <c r="AA991" s="913"/>
    </row>
    <row r="992" spans="27:27" x14ac:dyDescent="0.2">
      <c r="AA992" s="913"/>
    </row>
    <row r="993" spans="27:27" x14ac:dyDescent="0.2">
      <c r="AA993" s="913"/>
    </row>
    <row r="994" spans="27:27" x14ac:dyDescent="0.2">
      <c r="AA994" s="913"/>
    </row>
    <row r="995" spans="27:27" x14ac:dyDescent="0.2">
      <c r="AA995" s="913"/>
    </row>
    <row r="996" spans="27:27" x14ac:dyDescent="0.2">
      <c r="AA996" s="913"/>
    </row>
    <row r="997" spans="27:27" x14ac:dyDescent="0.2">
      <c r="AA997" s="913"/>
    </row>
    <row r="998" spans="27:27" x14ac:dyDescent="0.2">
      <c r="AA998" s="913"/>
    </row>
    <row r="999" spans="27:27" x14ac:dyDescent="0.2">
      <c r="AA999" s="913"/>
    </row>
    <row r="1000" spans="27:27" x14ac:dyDescent="0.2">
      <c r="AA1000" s="913"/>
    </row>
    <row r="1001" spans="27:27" x14ac:dyDescent="0.2">
      <c r="AA1001" s="913"/>
    </row>
    <row r="1002" spans="27:27" x14ac:dyDescent="0.2">
      <c r="AA1002" s="913"/>
    </row>
    <row r="1003" spans="27:27" x14ac:dyDescent="0.2">
      <c r="AA1003" s="913"/>
    </row>
    <row r="1004" spans="27:27" x14ac:dyDescent="0.2">
      <c r="AA1004" s="913"/>
    </row>
    <row r="1005" spans="27:27" x14ac:dyDescent="0.2">
      <c r="AA1005" s="913"/>
    </row>
    <row r="1006" spans="27:27" x14ac:dyDescent="0.2">
      <c r="AA1006" s="913"/>
    </row>
    <row r="1007" spans="27:27" x14ac:dyDescent="0.2">
      <c r="AA1007" s="913"/>
    </row>
    <row r="1008" spans="27:27" x14ac:dyDescent="0.2">
      <c r="AA1008" s="913"/>
    </row>
    <row r="1009" spans="27:27" x14ac:dyDescent="0.2">
      <c r="AA1009" s="913"/>
    </row>
    <row r="1010" spans="27:27" x14ac:dyDescent="0.2">
      <c r="AA1010" s="913"/>
    </row>
    <row r="1011" spans="27:27" x14ac:dyDescent="0.2">
      <c r="AA1011" s="913"/>
    </row>
    <row r="1012" spans="27:27" x14ac:dyDescent="0.2">
      <c r="AA1012" s="913"/>
    </row>
    <row r="1013" spans="27:27" x14ac:dyDescent="0.2">
      <c r="AA1013" s="913"/>
    </row>
    <row r="1014" spans="27:27" x14ac:dyDescent="0.2">
      <c r="AA1014" s="913"/>
    </row>
    <row r="1015" spans="27:27" x14ac:dyDescent="0.2">
      <c r="AA1015" s="913"/>
    </row>
    <row r="1016" spans="27:27" x14ac:dyDescent="0.2">
      <c r="AA1016" s="913"/>
    </row>
    <row r="1017" spans="27:27" x14ac:dyDescent="0.2">
      <c r="AA1017" s="913"/>
    </row>
    <row r="1018" spans="27:27" x14ac:dyDescent="0.2">
      <c r="AA1018" s="913"/>
    </row>
    <row r="1019" spans="27:27" x14ac:dyDescent="0.2">
      <c r="AA1019" s="913"/>
    </row>
    <row r="1020" spans="27:27" x14ac:dyDescent="0.2">
      <c r="AA1020" s="913"/>
    </row>
    <row r="1021" spans="27:27" x14ac:dyDescent="0.2">
      <c r="AA1021" s="913"/>
    </row>
    <row r="1022" spans="27:27" x14ac:dyDescent="0.2">
      <c r="AA1022" s="913"/>
    </row>
    <row r="1023" spans="27:27" x14ac:dyDescent="0.2">
      <c r="AA1023" s="913"/>
    </row>
    <row r="1024" spans="27:27" x14ac:dyDescent="0.2">
      <c r="AA1024" s="913"/>
    </row>
    <row r="1025" spans="27:27" x14ac:dyDescent="0.2">
      <c r="AA1025" s="913"/>
    </row>
    <row r="1026" spans="27:27" x14ac:dyDescent="0.2">
      <c r="AA1026" s="913"/>
    </row>
    <row r="1027" spans="27:27" x14ac:dyDescent="0.2">
      <c r="AA1027" s="913"/>
    </row>
    <row r="1028" spans="27:27" x14ac:dyDescent="0.2">
      <c r="AA1028" s="913"/>
    </row>
    <row r="1029" spans="27:27" x14ac:dyDescent="0.2">
      <c r="AA1029" s="913"/>
    </row>
    <row r="1030" spans="27:27" x14ac:dyDescent="0.2">
      <c r="AA1030" s="913"/>
    </row>
    <row r="1031" spans="27:27" x14ac:dyDescent="0.2">
      <c r="AA1031" s="913"/>
    </row>
    <row r="1032" spans="27:27" x14ac:dyDescent="0.2">
      <c r="AA1032" s="913"/>
    </row>
    <row r="1033" spans="27:27" x14ac:dyDescent="0.2">
      <c r="AA1033" s="913"/>
    </row>
    <row r="1034" spans="27:27" x14ac:dyDescent="0.2">
      <c r="AA1034" s="913"/>
    </row>
    <row r="1035" spans="27:27" x14ac:dyDescent="0.2">
      <c r="AA1035" s="913"/>
    </row>
    <row r="1036" spans="27:27" x14ac:dyDescent="0.2">
      <c r="AA1036" s="913"/>
    </row>
    <row r="1037" spans="27:27" x14ac:dyDescent="0.2">
      <c r="AA1037" s="913"/>
    </row>
    <row r="1038" spans="27:27" x14ac:dyDescent="0.2">
      <c r="AA1038" s="913"/>
    </row>
    <row r="1039" spans="27:27" x14ac:dyDescent="0.2">
      <c r="AA1039" s="913"/>
    </row>
    <row r="1040" spans="27:27" x14ac:dyDescent="0.2">
      <c r="AA1040" s="913"/>
    </row>
    <row r="1041" spans="27:27" x14ac:dyDescent="0.2">
      <c r="AA1041" s="913"/>
    </row>
    <row r="1042" spans="27:27" x14ac:dyDescent="0.2">
      <c r="AA1042" s="913"/>
    </row>
    <row r="1043" spans="27:27" x14ac:dyDescent="0.2">
      <c r="AA1043" s="913"/>
    </row>
    <row r="1044" spans="27:27" x14ac:dyDescent="0.2">
      <c r="AA1044" s="913"/>
    </row>
    <row r="1045" spans="27:27" x14ac:dyDescent="0.2">
      <c r="AA1045" s="913"/>
    </row>
    <row r="1046" spans="27:27" x14ac:dyDescent="0.2">
      <c r="AA1046" s="913"/>
    </row>
    <row r="1047" spans="27:27" x14ac:dyDescent="0.2">
      <c r="AA1047" s="913"/>
    </row>
    <row r="1048" spans="27:27" x14ac:dyDescent="0.2">
      <c r="AA1048" s="913"/>
    </row>
    <row r="1049" spans="27:27" x14ac:dyDescent="0.2">
      <c r="AA1049" s="913"/>
    </row>
    <row r="1050" spans="27:27" x14ac:dyDescent="0.2">
      <c r="AA1050" s="913"/>
    </row>
    <row r="1051" spans="27:27" x14ac:dyDescent="0.2">
      <c r="AA1051" s="913"/>
    </row>
    <row r="1052" spans="27:27" x14ac:dyDescent="0.2">
      <c r="AA1052" s="913"/>
    </row>
    <row r="1053" spans="27:27" x14ac:dyDescent="0.2">
      <c r="AA1053" s="913"/>
    </row>
    <row r="1054" spans="27:27" x14ac:dyDescent="0.2">
      <c r="AA1054" s="913"/>
    </row>
    <row r="1055" spans="27:27" x14ac:dyDescent="0.2">
      <c r="AA1055" s="913"/>
    </row>
    <row r="1056" spans="27:27" x14ac:dyDescent="0.2">
      <c r="AA1056" s="913"/>
    </row>
    <row r="1057" spans="27:27" x14ac:dyDescent="0.2">
      <c r="AA1057" s="913"/>
    </row>
    <row r="1058" spans="27:27" x14ac:dyDescent="0.2">
      <c r="AA1058" s="913"/>
    </row>
    <row r="1059" spans="27:27" x14ac:dyDescent="0.2">
      <c r="AA1059" s="913"/>
    </row>
    <row r="1060" spans="27:27" x14ac:dyDescent="0.2">
      <c r="AA1060" s="913"/>
    </row>
    <row r="1061" spans="27:27" x14ac:dyDescent="0.2">
      <c r="AA1061" s="913"/>
    </row>
    <row r="1062" spans="27:27" x14ac:dyDescent="0.2">
      <c r="AA1062" s="913"/>
    </row>
    <row r="1063" spans="27:27" x14ac:dyDescent="0.2">
      <c r="AA1063" s="913"/>
    </row>
    <row r="1064" spans="27:27" x14ac:dyDescent="0.2">
      <c r="AA1064" s="913"/>
    </row>
    <row r="1065" spans="27:27" x14ac:dyDescent="0.2">
      <c r="AA1065" s="913"/>
    </row>
    <row r="1066" spans="27:27" x14ac:dyDescent="0.2">
      <c r="AA1066" s="913"/>
    </row>
    <row r="1067" spans="27:27" x14ac:dyDescent="0.2">
      <c r="AA1067" s="913"/>
    </row>
    <row r="1068" spans="27:27" x14ac:dyDescent="0.2">
      <c r="AA1068" s="913"/>
    </row>
    <row r="1069" spans="27:27" x14ac:dyDescent="0.2">
      <c r="AA1069" s="913"/>
    </row>
    <row r="1070" spans="27:27" x14ac:dyDescent="0.2">
      <c r="AA1070" s="913"/>
    </row>
    <row r="1071" spans="27:27" x14ac:dyDescent="0.2">
      <c r="AA1071" s="913"/>
    </row>
    <row r="1072" spans="27:27" x14ac:dyDescent="0.2">
      <c r="AA1072" s="913"/>
    </row>
    <row r="1073" spans="27:27" x14ac:dyDescent="0.2">
      <c r="AA1073" s="913"/>
    </row>
    <row r="1074" spans="27:27" x14ac:dyDescent="0.2">
      <c r="AA1074" s="913"/>
    </row>
    <row r="1075" spans="27:27" x14ac:dyDescent="0.2">
      <c r="AA1075" s="913"/>
    </row>
    <row r="1076" spans="27:27" x14ac:dyDescent="0.2">
      <c r="AA1076" s="913"/>
    </row>
    <row r="1077" spans="27:27" x14ac:dyDescent="0.2">
      <c r="AA1077" s="913"/>
    </row>
    <row r="1078" spans="27:27" x14ac:dyDescent="0.2">
      <c r="AA1078" s="913"/>
    </row>
    <row r="1079" spans="27:27" x14ac:dyDescent="0.2">
      <c r="AA1079" s="913"/>
    </row>
    <row r="1080" spans="27:27" x14ac:dyDescent="0.2">
      <c r="AA1080" s="913"/>
    </row>
    <row r="1081" spans="27:27" x14ac:dyDescent="0.2">
      <c r="AA1081" s="913"/>
    </row>
    <row r="1082" spans="27:27" x14ac:dyDescent="0.2">
      <c r="AA1082" s="913"/>
    </row>
    <row r="1083" spans="27:27" x14ac:dyDescent="0.2">
      <c r="AA1083" s="913"/>
    </row>
    <row r="1084" spans="27:27" x14ac:dyDescent="0.2">
      <c r="AA1084" s="913"/>
    </row>
    <row r="1085" spans="27:27" x14ac:dyDescent="0.2">
      <c r="AA1085" s="913"/>
    </row>
    <row r="1086" spans="27:27" x14ac:dyDescent="0.2">
      <c r="AA1086" s="913"/>
    </row>
    <row r="1087" spans="27:27" x14ac:dyDescent="0.2">
      <c r="AA1087" s="913"/>
    </row>
    <row r="1088" spans="27:27" x14ac:dyDescent="0.2">
      <c r="AA1088" s="913"/>
    </row>
    <row r="1089" spans="27:27" x14ac:dyDescent="0.2">
      <c r="AA1089" s="913"/>
    </row>
    <row r="1090" spans="27:27" x14ac:dyDescent="0.2">
      <c r="AA1090" s="913"/>
    </row>
    <row r="1091" spans="27:27" x14ac:dyDescent="0.2">
      <c r="AA1091" s="913"/>
    </row>
    <row r="1092" spans="27:27" x14ac:dyDescent="0.2">
      <c r="AA1092" s="913"/>
    </row>
    <row r="1093" spans="27:27" x14ac:dyDescent="0.2">
      <c r="AA1093" s="913"/>
    </row>
    <row r="1094" spans="27:27" x14ac:dyDescent="0.2">
      <c r="AA1094" s="913"/>
    </row>
    <row r="1095" spans="27:27" x14ac:dyDescent="0.2">
      <c r="AA1095" s="913"/>
    </row>
    <row r="1096" spans="27:27" x14ac:dyDescent="0.2">
      <c r="AA1096" s="913"/>
    </row>
    <row r="1097" spans="27:27" x14ac:dyDescent="0.2">
      <c r="AA1097" s="913"/>
    </row>
    <row r="1098" spans="27:27" x14ac:dyDescent="0.2">
      <c r="AA1098" s="913"/>
    </row>
    <row r="1099" spans="27:27" x14ac:dyDescent="0.2">
      <c r="AA1099" s="913"/>
    </row>
    <row r="1100" spans="27:27" x14ac:dyDescent="0.2">
      <c r="AA1100" s="913"/>
    </row>
    <row r="1101" spans="27:27" x14ac:dyDescent="0.2">
      <c r="AA1101" s="913"/>
    </row>
    <row r="1102" spans="27:27" x14ac:dyDescent="0.2">
      <c r="AA1102" s="913"/>
    </row>
    <row r="1103" spans="27:27" x14ac:dyDescent="0.2">
      <c r="AA1103" s="913"/>
    </row>
    <row r="1104" spans="27:27" x14ac:dyDescent="0.2">
      <c r="AA1104" s="913"/>
    </row>
    <row r="1105" spans="27:27" x14ac:dyDescent="0.2">
      <c r="AA1105" s="913"/>
    </row>
    <row r="1106" spans="27:27" x14ac:dyDescent="0.2">
      <c r="AA1106" s="913"/>
    </row>
    <row r="1107" spans="27:27" x14ac:dyDescent="0.2">
      <c r="AA1107" s="913"/>
    </row>
    <row r="1108" spans="27:27" x14ac:dyDescent="0.2">
      <c r="AA1108" s="913"/>
    </row>
    <row r="1109" spans="27:27" x14ac:dyDescent="0.2">
      <c r="AA1109" s="913"/>
    </row>
    <row r="1110" spans="27:27" x14ac:dyDescent="0.2">
      <c r="AA1110" s="913"/>
    </row>
    <row r="1111" spans="27:27" x14ac:dyDescent="0.2">
      <c r="AA1111" s="913"/>
    </row>
    <row r="1112" spans="27:27" x14ac:dyDescent="0.2">
      <c r="AA1112" s="913"/>
    </row>
    <row r="1113" spans="27:27" x14ac:dyDescent="0.2">
      <c r="AA1113" s="913"/>
    </row>
    <row r="1114" spans="27:27" x14ac:dyDescent="0.2">
      <c r="AA1114" s="913"/>
    </row>
    <row r="1115" spans="27:27" x14ac:dyDescent="0.2">
      <c r="AA1115" s="913"/>
    </row>
    <row r="1116" spans="27:27" x14ac:dyDescent="0.2">
      <c r="AA1116" s="913"/>
    </row>
    <row r="1117" spans="27:27" x14ac:dyDescent="0.2">
      <c r="AA1117" s="913"/>
    </row>
    <row r="1118" spans="27:27" x14ac:dyDescent="0.2">
      <c r="AA1118" s="913"/>
    </row>
    <row r="1119" spans="27:27" x14ac:dyDescent="0.2">
      <c r="AA1119" s="913"/>
    </row>
    <row r="1120" spans="27:27" x14ac:dyDescent="0.2">
      <c r="AA1120" s="913"/>
    </row>
    <row r="1121" spans="27:27" x14ac:dyDescent="0.2">
      <c r="AA1121" s="913"/>
    </row>
    <row r="1122" spans="27:27" x14ac:dyDescent="0.2">
      <c r="AA1122" s="913"/>
    </row>
    <row r="1123" spans="27:27" x14ac:dyDescent="0.2">
      <c r="AA1123" s="913"/>
    </row>
    <row r="1124" spans="27:27" x14ac:dyDescent="0.2">
      <c r="AA1124" s="913"/>
    </row>
    <row r="1125" spans="27:27" x14ac:dyDescent="0.2">
      <c r="AA1125" s="913"/>
    </row>
    <row r="1126" spans="27:27" x14ac:dyDescent="0.2">
      <c r="AA1126" s="913"/>
    </row>
    <row r="1127" spans="27:27" x14ac:dyDescent="0.2">
      <c r="AA1127" s="913"/>
    </row>
    <row r="1128" spans="27:27" x14ac:dyDescent="0.2">
      <c r="AA1128" s="913"/>
    </row>
    <row r="1129" spans="27:27" x14ac:dyDescent="0.2">
      <c r="AA1129" s="913"/>
    </row>
    <row r="1130" spans="27:27" x14ac:dyDescent="0.2">
      <c r="AA1130" s="913"/>
    </row>
    <row r="1131" spans="27:27" x14ac:dyDescent="0.2">
      <c r="AA1131" s="913"/>
    </row>
    <row r="1132" spans="27:27" x14ac:dyDescent="0.2">
      <c r="AA1132" s="913"/>
    </row>
    <row r="1133" spans="27:27" x14ac:dyDescent="0.2">
      <c r="AA1133" s="913"/>
    </row>
    <row r="1134" spans="27:27" x14ac:dyDescent="0.2">
      <c r="AA1134" s="913"/>
    </row>
    <row r="1135" spans="27:27" x14ac:dyDescent="0.2">
      <c r="AA1135" s="913"/>
    </row>
    <row r="1136" spans="27:27" x14ac:dyDescent="0.2">
      <c r="AA1136" s="913"/>
    </row>
    <row r="1137" spans="27:27" x14ac:dyDescent="0.2">
      <c r="AA1137" s="913"/>
    </row>
    <row r="1138" spans="27:27" x14ac:dyDescent="0.2">
      <c r="AA1138" s="913"/>
    </row>
    <row r="1139" spans="27:27" x14ac:dyDescent="0.2">
      <c r="AA1139" s="913"/>
    </row>
    <row r="1140" spans="27:27" x14ac:dyDescent="0.2">
      <c r="AA1140" s="913"/>
    </row>
    <row r="1141" spans="27:27" x14ac:dyDescent="0.2">
      <c r="AA1141" s="913"/>
    </row>
    <row r="1142" spans="27:27" x14ac:dyDescent="0.2">
      <c r="AA1142" s="913"/>
    </row>
    <row r="1143" spans="27:27" x14ac:dyDescent="0.2">
      <c r="AA1143" s="913"/>
    </row>
    <row r="1144" spans="27:27" x14ac:dyDescent="0.2">
      <c r="AA1144" s="913"/>
    </row>
    <row r="1145" spans="27:27" x14ac:dyDescent="0.2">
      <c r="AA1145" s="913"/>
    </row>
    <row r="1146" spans="27:27" x14ac:dyDescent="0.2">
      <c r="AA1146" s="913"/>
    </row>
    <row r="1147" spans="27:27" x14ac:dyDescent="0.2">
      <c r="AA1147" s="913"/>
    </row>
    <row r="1148" spans="27:27" x14ac:dyDescent="0.2">
      <c r="AA1148" s="913"/>
    </row>
    <row r="1149" spans="27:27" x14ac:dyDescent="0.2">
      <c r="AA1149" s="913"/>
    </row>
    <row r="1150" spans="27:27" x14ac:dyDescent="0.2">
      <c r="AA1150" s="913"/>
    </row>
    <row r="1151" spans="27:27" x14ac:dyDescent="0.2">
      <c r="AA1151" s="913"/>
    </row>
    <row r="1152" spans="27:27" x14ac:dyDescent="0.2">
      <c r="AA1152" s="913"/>
    </row>
    <row r="1153" spans="27:27" x14ac:dyDescent="0.2">
      <c r="AA1153" s="913"/>
    </row>
    <row r="1154" spans="27:27" x14ac:dyDescent="0.2">
      <c r="AA1154" s="913"/>
    </row>
    <row r="1155" spans="27:27" x14ac:dyDescent="0.2">
      <c r="AA1155" s="913"/>
    </row>
    <row r="1156" spans="27:27" x14ac:dyDescent="0.2">
      <c r="AA1156" s="913"/>
    </row>
    <row r="1157" spans="27:27" x14ac:dyDescent="0.2">
      <c r="AA1157" s="913"/>
    </row>
    <row r="1158" spans="27:27" x14ac:dyDescent="0.2">
      <c r="AA1158" s="913"/>
    </row>
    <row r="1159" spans="27:27" x14ac:dyDescent="0.2">
      <c r="AA1159" s="913"/>
    </row>
    <row r="1160" spans="27:27" x14ac:dyDescent="0.2">
      <c r="AA1160" s="913"/>
    </row>
    <row r="1161" spans="27:27" x14ac:dyDescent="0.2">
      <c r="AA1161" s="913"/>
    </row>
    <row r="1162" spans="27:27" x14ac:dyDescent="0.2">
      <c r="AA1162" s="913"/>
    </row>
    <row r="1163" spans="27:27" x14ac:dyDescent="0.2">
      <c r="AA1163" s="913"/>
    </row>
    <row r="1164" spans="27:27" x14ac:dyDescent="0.2">
      <c r="AA1164" s="913"/>
    </row>
    <row r="1165" spans="27:27" x14ac:dyDescent="0.2">
      <c r="AA1165" s="913"/>
    </row>
    <row r="1166" spans="27:27" x14ac:dyDescent="0.2">
      <c r="AA1166" s="913"/>
    </row>
    <row r="1167" spans="27:27" x14ac:dyDescent="0.2">
      <c r="AA1167" s="913"/>
    </row>
    <row r="1168" spans="27:27" x14ac:dyDescent="0.2">
      <c r="AA1168" s="913"/>
    </row>
    <row r="1169" spans="27:27" x14ac:dyDescent="0.2">
      <c r="AA1169" s="913"/>
    </row>
    <row r="1170" spans="27:27" x14ac:dyDescent="0.2">
      <c r="AA1170" s="913"/>
    </row>
    <row r="1171" spans="27:27" x14ac:dyDescent="0.2">
      <c r="AA1171" s="913"/>
    </row>
    <row r="1172" spans="27:27" x14ac:dyDescent="0.2">
      <c r="AA1172" s="913"/>
    </row>
    <row r="1173" spans="27:27" x14ac:dyDescent="0.2">
      <c r="AA1173" s="913"/>
    </row>
    <row r="1174" spans="27:27" x14ac:dyDescent="0.2">
      <c r="AA1174" s="913"/>
    </row>
    <row r="1175" spans="27:27" x14ac:dyDescent="0.2">
      <c r="AA1175" s="913"/>
    </row>
    <row r="1176" spans="27:27" x14ac:dyDescent="0.2">
      <c r="AA1176" s="913"/>
    </row>
    <row r="1177" spans="27:27" x14ac:dyDescent="0.2">
      <c r="AA1177" s="913"/>
    </row>
    <row r="1178" spans="27:27" x14ac:dyDescent="0.2">
      <c r="AA1178" s="913"/>
    </row>
    <row r="1179" spans="27:27" x14ac:dyDescent="0.2">
      <c r="AA1179" s="913"/>
    </row>
    <row r="1180" spans="27:27" x14ac:dyDescent="0.2">
      <c r="AA1180" s="913"/>
    </row>
    <row r="1181" spans="27:27" x14ac:dyDescent="0.2">
      <c r="AA1181" s="913"/>
    </row>
    <row r="1182" spans="27:27" x14ac:dyDescent="0.2">
      <c r="AA1182" s="913"/>
    </row>
    <row r="1183" spans="27:27" x14ac:dyDescent="0.2">
      <c r="AA1183" s="913"/>
    </row>
    <row r="1184" spans="27:27" x14ac:dyDescent="0.2">
      <c r="AA1184" s="913"/>
    </row>
    <row r="1185" spans="27:27" x14ac:dyDescent="0.2">
      <c r="AA1185" s="913"/>
    </row>
    <row r="1186" spans="27:27" x14ac:dyDescent="0.2">
      <c r="AA1186" s="913"/>
    </row>
    <row r="1187" spans="27:27" x14ac:dyDescent="0.2">
      <c r="AA1187" s="913"/>
    </row>
    <row r="1188" spans="27:27" x14ac:dyDescent="0.2">
      <c r="AA1188" s="913"/>
    </row>
    <row r="1189" spans="27:27" x14ac:dyDescent="0.2">
      <c r="AA1189" s="913"/>
    </row>
    <row r="1190" spans="27:27" x14ac:dyDescent="0.2">
      <c r="AA1190" s="913"/>
    </row>
    <row r="1191" spans="27:27" x14ac:dyDescent="0.2">
      <c r="AA1191" s="913"/>
    </row>
    <row r="1192" spans="27:27" x14ac:dyDescent="0.2">
      <c r="AA1192" s="913"/>
    </row>
    <row r="1193" spans="27:27" x14ac:dyDescent="0.2">
      <c r="AA1193" s="913"/>
    </row>
    <row r="1194" spans="27:27" x14ac:dyDescent="0.2">
      <c r="AA1194" s="913"/>
    </row>
    <row r="1195" spans="27:27" x14ac:dyDescent="0.2">
      <c r="AA1195" s="913"/>
    </row>
    <row r="1196" spans="27:27" x14ac:dyDescent="0.2">
      <c r="AA1196" s="913"/>
    </row>
    <row r="1197" spans="27:27" x14ac:dyDescent="0.2">
      <c r="AA1197" s="913"/>
    </row>
    <row r="1198" spans="27:27" x14ac:dyDescent="0.2">
      <c r="AA1198" s="913"/>
    </row>
    <row r="1199" spans="27:27" x14ac:dyDescent="0.2">
      <c r="AA1199" s="913"/>
    </row>
    <row r="1200" spans="27:27" x14ac:dyDescent="0.2">
      <c r="AA1200" s="913"/>
    </row>
    <row r="1201" spans="27:27" x14ac:dyDescent="0.2">
      <c r="AA1201" s="913"/>
    </row>
    <row r="1202" spans="27:27" x14ac:dyDescent="0.2">
      <c r="AA1202" s="913"/>
    </row>
    <row r="1203" spans="27:27" x14ac:dyDescent="0.2">
      <c r="AA1203" s="913"/>
    </row>
    <row r="1204" spans="27:27" x14ac:dyDescent="0.2">
      <c r="AA1204" s="913"/>
    </row>
    <row r="1205" spans="27:27" x14ac:dyDescent="0.2">
      <c r="AA1205" s="913"/>
    </row>
    <row r="1206" spans="27:27" x14ac:dyDescent="0.2">
      <c r="AA1206" s="913"/>
    </row>
    <row r="1207" spans="27:27" x14ac:dyDescent="0.2">
      <c r="AA1207" s="913"/>
    </row>
    <row r="1208" spans="27:27" x14ac:dyDescent="0.2">
      <c r="AA1208" s="913"/>
    </row>
    <row r="1209" spans="27:27" x14ac:dyDescent="0.2">
      <c r="AA1209" s="913"/>
    </row>
    <row r="1210" spans="27:27" x14ac:dyDescent="0.2">
      <c r="AA1210" s="913"/>
    </row>
    <row r="1211" spans="27:27" x14ac:dyDescent="0.2">
      <c r="AA1211" s="913"/>
    </row>
    <row r="1212" spans="27:27" x14ac:dyDescent="0.2">
      <c r="AA1212" s="913"/>
    </row>
    <row r="1213" spans="27:27" x14ac:dyDescent="0.2">
      <c r="AA1213" s="913"/>
    </row>
    <row r="1214" spans="27:27" x14ac:dyDescent="0.2">
      <c r="AA1214" s="913"/>
    </row>
    <row r="1215" spans="27:27" x14ac:dyDescent="0.2">
      <c r="AA1215" s="913"/>
    </row>
    <row r="1216" spans="27:27" x14ac:dyDescent="0.2">
      <c r="AA1216" s="913"/>
    </row>
    <row r="1217" spans="27:27" x14ac:dyDescent="0.2">
      <c r="AA1217" s="913"/>
    </row>
    <row r="1218" spans="27:27" x14ac:dyDescent="0.2">
      <c r="AA1218" s="913"/>
    </row>
    <row r="1219" spans="27:27" x14ac:dyDescent="0.2">
      <c r="AA1219" s="913"/>
    </row>
    <row r="1220" spans="27:27" x14ac:dyDescent="0.2">
      <c r="AA1220" s="913"/>
    </row>
    <row r="1221" spans="27:27" x14ac:dyDescent="0.2">
      <c r="AA1221" s="913"/>
    </row>
    <row r="1222" spans="27:27" x14ac:dyDescent="0.2">
      <c r="AA1222" s="913"/>
    </row>
    <row r="1223" spans="27:27" x14ac:dyDescent="0.2">
      <c r="AA1223" s="913"/>
    </row>
    <row r="1224" spans="27:27" x14ac:dyDescent="0.2">
      <c r="AA1224" s="913"/>
    </row>
    <row r="1225" spans="27:27" x14ac:dyDescent="0.2">
      <c r="AA1225" s="913"/>
    </row>
    <row r="1226" spans="27:27" x14ac:dyDescent="0.2">
      <c r="AA1226" s="913"/>
    </row>
    <row r="1227" spans="27:27" x14ac:dyDescent="0.2">
      <c r="AA1227" s="913"/>
    </row>
    <row r="1228" spans="27:27" x14ac:dyDescent="0.2">
      <c r="AA1228" s="913"/>
    </row>
    <row r="1229" spans="27:27" x14ac:dyDescent="0.2">
      <c r="AA1229" s="913"/>
    </row>
    <row r="1230" spans="27:27" x14ac:dyDescent="0.2">
      <c r="AA1230" s="913"/>
    </row>
    <row r="1231" spans="27:27" x14ac:dyDescent="0.2">
      <c r="AA1231" s="913"/>
    </row>
    <row r="1232" spans="27:27" x14ac:dyDescent="0.2">
      <c r="AA1232" s="913"/>
    </row>
    <row r="1233" spans="27:27" x14ac:dyDescent="0.2">
      <c r="AA1233" s="913"/>
    </row>
    <row r="1234" spans="27:27" x14ac:dyDescent="0.2">
      <c r="AA1234" s="913"/>
    </row>
    <row r="1235" spans="27:27" x14ac:dyDescent="0.2">
      <c r="AA1235" s="913"/>
    </row>
    <row r="1236" spans="27:27" x14ac:dyDescent="0.2">
      <c r="AA1236" s="913"/>
    </row>
    <row r="1237" spans="27:27" x14ac:dyDescent="0.2">
      <c r="AA1237" s="913"/>
    </row>
    <row r="1238" spans="27:27" x14ac:dyDescent="0.2">
      <c r="AA1238" s="913"/>
    </row>
    <row r="1239" spans="27:27" x14ac:dyDescent="0.2">
      <c r="AA1239" s="913"/>
    </row>
    <row r="1240" spans="27:27" x14ac:dyDescent="0.2">
      <c r="AA1240" s="913"/>
    </row>
    <row r="1241" spans="27:27" x14ac:dyDescent="0.2">
      <c r="AA1241" s="913"/>
    </row>
    <row r="1242" spans="27:27" x14ac:dyDescent="0.2">
      <c r="AA1242" s="913"/>
    </row>
    <row r="1243" spans="27:27" x14ac:dyDescent="0.2">
      <c r="AA1243" s="913"/>
    </row>
    <row r="1244" spans="27:27" x14ac:dyDescent="0.2">
      <c r="AA1244" s="913"/>
    </row>
    <row r="1245" spans="27:27" x14ac:dyDescent="0.2">
      <c r="AA1245" s="913"/>
    </row>
    <row r="1246" spans="27:27" x14ac:dyDescent="0.2">
      <c r="AA1246" s="913"/>
    </row>
    <row r="1247" spans="27:27" x14ac:dyDescent="0.2">
      <c r="AA1247" s="913"/>
    </row>
    <row r="1248" spans="27:27" x14ac:dyDescent="0.2">
      <c r="AA1248" s="913"/>
    </row>
    <row r="1249" spans="27:27" x14ac:dyDescent="0.2">
      <c r="AA1249" s="913"/>
    </row>
    <row r="1250" spans="27:27" x14ac:dyDescent="0.2">
      <c r="AA1250" s="913"/>
    </row>
    <row r="1251" spans="27:27" x14ac:dyDescent="0.2">
      <c r="AA1251" s="913"/>
    </row>
    <row r="1252" spans="27:27" x14ac:dyDescent="0.2">
      <c r="AA1252" s="913"/>
    </row>
    <row r="1253" spans="27:27" x14ac:dyDescent="0.2">
      <c r="AA1253" s="913"/>
    </row>
    <row r="1254" spans="27:27" x14ac:dyDescent="0.2">
      <c r="AA1254" s="913"/>
    </row>
    <row r="1255" spans="27:27" x14ac:dyDescent="0.2">
      <c r="AA1255" s="913"/>
    </row>
    <row r="1256" spans="27:27" x14ac:dyDescent="0.2">
      <c r="AA1256" s="913"/>
    </row>
    <row r="1257" spans="27:27" x14ac:dyDescent="0.2">
      <c r="AA1257" s="913"/>
    </row>
    <row r="1258" spans="27:27" x14ac:dyDescent="0.2">
      <c r="AA1258" s="913"/>
    </row>
    <row r="1259" spans="27:27" x14ac:dyDescent="0.2">
      <c r="AA1259" s="913"/>
    </row>
    <row r="1260" spans="27:27" x14ac:dyDescent="0.2">
      <c r="AA1260" s="913"/>
    </row>
    <row r="1261" spans="27:27" x14ac:dyDescent="0.2">
      <c r="AA1261" s="913"/>
    </row>
    <row r="1262" spans="27:27" x14ac:dyDescent="0.2">
      <c r="AA1262" s="913"/>
    </row>
    <row r="1263" spans="27:27" x14ac:dyDescent="0.2">
      <c r="AA1263" s="913"/>
    </row>
    <row r="1264" spans="27:27" x14ac:dyDescent="0.2">
      <c r="AA1264" s="913"/>
    </row>
    <row r="1265" spans="27:27" x14ac:dyDescent="0.2">
      <c r="AA1265" s="913"/>
    </row>
    <row r="1266" spans="27:27" x14ac:dyDescent="0.2">
      <c r="AA1266" s="913"/>
    </row>
    <row r="1267" spans="27:27" x14ac:dyDescent="0.2">
      <c r="AA1267" s="913"/>
    </row>
    <row r="1268" spans="27:27" x14ac:dyDescent="0.2">
      <c r="AA1268" s="913"/>
    </row>
    <row r="1269" spans="27:27" x14ac:dyDescent="0.2">
      <c r="AA1269" s="913"/>
    </row>
    <row r="1270" spans="27:27" x14ac:dyDescent="0.2">
      <c r="AA1270" s="913"/>
    </row>
    <row r="1271" spans="27:27" x14ac:dyDescent="0.2">
      <c r="AA1271" s="913"/>
    </row>
    <row r="1272" spans="27:27" x14ac:dyDescent="0.2">
      <c r="AA1272" s="913"/>
    </row>
    <row r="1273" spans="27:27" x14ac:dyDescent="0.2">
      <c r="AA1273" s="913"/>
    </row>
    <row r="1274" spans="27:27" x14ac:dyDescent="0.2">
      <c r="AA1274" s="913"/>
    </row>
    <row r="1275" spans="27:27" x14ac:dyDescent="0.2">
      <c r="AA1275" s="913"/>
    </row>
    <row r="1276" spans="27:27" x14ac:dyDescent="0.2">
      <c r="AA1276" s="913"/>
    </row>
    <row r="1277" spans="27:27" x14ac:dyDescent="0.2">
      <c r="AA1277" s="913"/>
    </row>
    <row r="1278" spans="27:27" x14ac:dyDescent="0.2">
      <c r="AA1278" s="913"/>
    </row>
    <row r="1279" spans="27:27" x14ac:dyDescent="0.2">
      <c r="AA1279" s="913"/>
    </row>
    <row r="1280" spans="27:27" x14ac:dyDescent="0.2">
      <c r="AA1280" s="913"/>
    </row>
    <row r="1281" spans="27:27" x14ac:dyDescent="0.2">
      <c r="AA1281" s="913"/>
    </row>
    <row r="1282" spans="27:27" x14ac:dyDescent="0.2">
      <c r="AA1282" s="913"/>
    </row>
    <row r="1283" spans="27:27" x14ac:dyDescent="0.2">
      <c r="AA1283" s="913"/>
    </row>
    <row r="1284" spans="27:27" x14ac:dyDescent="0.2">
      <c r="AA1284" s="913"/>
    </row>
    <row r="1285" spans="27:27" x14ac:dyDescent="0.2">
      <c r="AA1285" s="913"/>
    </row>
    <row r="1286" spans="27:27" x14ac:dyDescent="0.2">
      <c r="AA1286" s="913"/>
    </row>
    <row r="1287" spans="27:27" x14ac:dyDescent="0.2">
      <c r="AA1287" s="913"/>
    </row>
    <row r="1288" spans="27:27" x14ac:dyDescent="0.2">
      <c r="AA1288" s="913"/>
    </row>
    <row r="1289" spans="27:27" x14ac:dyDescent="0.2">
      <c r="AA1289" s="913"/>
    </row>
    <row r="1290" spans="27:27" x14ac:dyDescent="0.2">
      <c r="AA1290" s="913"/>
    </row>
    <row r="1291" spans="27:27" x14ac:dyDescent="0.2">
      <c r="AA1291" s="913"/>
    </row>
    <row r="1292" spans="27:27" x14ac:dyDescent="0.2">
      <c r="AA1292" s="913"/>
    </row>
    <row r="1293" spans="27:27" x14ac:dyDescent="0.2">
      <c r="AA1293" s="913"/>
    </row>
    <row r="1294" spans="27:27" x14ac:dyDescent="0.2">
      <c r="AA1294" s="913"/>
    </row>
    <row r="1295" spans="27:27" x14ac:dyDescent="0.2">
      <c r="AA1295" s="913"/>
    </row>
    <row r="1296" spans="27:27" x14ac:dyDescent="0.2">
      <c r="AA1296" s="913"/>
    </row>
    <row r="1297" spans="27:27" x14ac:dyDescent="0.2">
      <c r="AA1297" s="913"/>
    </row>
    <row r="1298" spans="27:27" x14ac:dyDescent="0.2">
      <c r="AA1298" s="913"/>
    </row>
    <row r="1299" spans="27:27" x14ac:dyDescent="0.2">
      <c r="AA1299" s="913"/>
    </row>
    <row r="1300" spans="27:27" x14ac:dyDescent="0.2">
      <c r="AA1300" s="913"/>
    </row>
    <row r="1301" spans="27:27" x14ac:dyDescent="0.2">
      <c r="AA1301" s="913"/>
    </row>
    <row r="1302" spans="27:27" x14ac:dyDescent="0.2">
      <c r="AA1302" s="913"/>
    </row>
    <row r="1303" spans="27:27" x14ac:dyDescent="0.2">
      <c r="AA1303" s="913"/>
    </row>
    <row r="1304" spans="27:27" x14ac:dyDescent="0.2">
      <c r="AA1304" s="913"/>
    </row>
    <row r="1305" spans="27:27" x14ac:dyDescent="0.2">
      <c r="AA1305" s="913"/>
    </row>
    <row r="1306" spans="27:27" x14ac:dyDescent="0.2">
      <c r="AA1306" s="913"/>
    </row>
    <row r="1307" spans="27:27" x14ac:dyDescent="0.2">
      <c r="AA1307" s="913"/>
    </row>
    <row r="1308" spans="27:27" x14ac:dyDescent="0.2">
      <c r="AA1308" s="913"/>
    </row>
    <row r="1309" spans="27:27" x14ac:dyDescent="0.2">
      <c r="AA1309" s="913"/>
    </row>
    <row r="1310" spans="27:27" x14ac:dyDescent="0.2">
      <c r="AA1310" s="913"/>
    </row>
    <row r="1311" spans="27:27" x14ac:dyDescent="0.2">
      <c r="AA1311" s="913"/>
    </row>
    <row r="1312" spans="27:27" x14ac:dyDescent="0.2">
      <c r="AA1312" s="913"/>
    </row>
    <row r="1313" spans="27:27" x14ac:dyDescent="0.2">
      <c r="AA1313" s="913"/>
    </row>
    <row r="1314" spans="27:27" x14ac:dyDescent="0.2">
      <c r="AA1314" s="913"/>
    </row>
    <row r="1315" spans="27:27" x14ac:dyDescent="0.2">
      <c r="AA1315" s="913"/>
    </row>
    <row r="1316" spans="27:27" x14ac:dyDescent="0.2">
      <c r="AA1316" s="913"/>
    </row>
    <row r="1317" spans="27:27" x14ac:dyDescent="0.2">
      <c r="AA1317" s="913"/>
    </row>
    <row r="1318" spans="27:27" x14ac:dyDescent="0.2">
      <c r="AA1318" s="913"/>
    </row>
    <row r="1319" spans="27:27" x14ac:dyDescent="0.2">
      <c r="AA1319" s="913"/>
    </row>
    <row r="1320" spans="27:27" x14ac:dyDescent="0.2">
      <c r="AA1320" s="913"/>
    </row>
    <row r="1321" spans="27:27" x14ac:dyDescent="0.2">
      <c r="AA1321" s="913"/>
    </row>
    <row r="1322" spans="27:27" x14ac:dyDescent="0.2">
      <c r="AA1322" s="913"/>
    </row>
    <row r="1323" spans="27:27" x14ac:dyDescent="0.2">
      <c r="AA1323" s="913"/>
    </row>
    <row r="1324" spans="27:27" x14ac:dyDescent="0.2">
      <c r="AA1324" s="913"/>
    </row>
    <row r="1325" spans="27:27" x14ac:dyDescent="0.2">
      <c r="AA1325" s="913"/>
    </row>
    <row r="1326" spans="27:27" x14ac:dyDescent="0.2">
      <c r="AA1326" s="913"/>
    </row>
    <row r="1327" spans="27:27" x14ac:dyDescent="0.2">
      <c r="AA1327" s="913"/>
    </row>
    <row r="1328" spans="27:27" x14ac:dyDescent="0.2">
      <c r="AA1328" s="913"/>
    </row>
    <row r="1329" spans="27:27" x14ac:dyDescent="0.2">
      <c r="AA1329" s="913"/>
    </row>
    <row r="1330" spans="27:27" x14ac:dyDescent="0.2">
      <c r="AA1330" s="913"/>
    </row>
    <row r="1331" spans="27:27" x14ac:dyDescent="0.2">
      <c r="AA1331" s="913"/>
    </row>
    <row r="1332" spans="27:27" x14ac:dyDescent="0.2">
      <c r="AA1332" s="913"/>
    </row>
    <row r="1333" spans="27:27" x14ac:dyDescent="0.2">
      <c r="AA1333" s="913"/>
    </row>
    <row r="1334" spans="27:27" x14ac:dyDescent="0.2">
      <c r="AA1334" s="913"/>
    </row>
    <row r="1335" spans="27:27" x14ac:dyDescent="0.2">
      <c r="AA1335" s="913"/>
    </row>
    <row r="1336" spans="27:27" x14ac:dyDescent="0.2">
      <c r="AA1336" s="913"/>
    </row>
    <row r="1337" spans="27:27" x14ac:dyDescent="0.2">
      <c r="AA1337" s="913"/>
    </row>
    <row r="1338" spans="27:27" x14ac:dyDescent="0.2">
      <c r="AA1338" s="913"/>
    </row>
    <row r="1339" spans="27:27" x14ac:dyDescent="0.2">
      <c r="AA1339" s="913"/>
    </row>
    <row r="1340" spans="27:27" x14ac:dyDescent="0.2">
      <c r="AA1340" s="913"/>
    </row>
    <row r="1341" spans="27:27" x14ac:dyDescent="0.2">
      <c r="AA1341" s="913"/>
    </row>
    <row r="1342" spans="27:27" x14ac:dyDescent="0.2">
      <c r="AA1342" s="913"/>
    </row>
    <row r="1343" spans="27:27" x14ac:dyDescent="0.2">
      <c r="AA1343" s="913"/>
    </row>
    <row r="1344" spans="27:27" x14ac:dyDescent="0.2">
      <c r="AA1344" s="913"/>
    </row>
    <row r="1345" spans="27:27" x14ac:dyDescent="0.2">
      <c r="AA1345" s="913"/>
    </row>
    <row r="1346" spans="27:27" x14ac:dyDescent="0.2">
      <c r="AA1346" s="913"/>
    </row>
    <row r="1347" spans="27:27" x14ac:dyDescent="0.2">
      <c r="AA1347" s="913"/>
    </row>
    <row r="1348" spans="27:27" x14ac:dyDescent="0.2">
      <c r="AA1348" s="913"/>
    </row>
    <row r="1349" spans="27:27" x14ac:dyDescent="0.2">
      <c r="AA1349" s="913"/>
    </row>
    <row r="1350" spans="27:27" x14ac:dyDescent="0.2">
      <c r="AA1350" s="913"/>
    </row>
    <row r="1351" spans="27:27" x14ac:dyDescent="0.2">
      <c r="AA1351" s="913"/>
    </row>
    <row r="1352" spans="27:27" x14ac:dyDescent="0.2">
      <c r="AA1352" s="913"/>
    </row>
    <row r="1353" spans="27:27" x14ac:dyDescent="0.2">
      <c r="AA1353" s="913"/>
    </row>
    <row r="1354" spans="27:27" x14ac:dyDescent="0.2">
      <c r="AA1354" s="913"/>
    </row>
    <row r="1355" spans="27:27" x14ac:dyDescent="0.2">
      <c r="AA1355" s="913"/>
    </row>
    <row r="1356" spans="27:27" x14ac:dyDescent="0.2">
      <c r="AA1356" s="913"/>
    </row>
    <row r="1357" spans="27:27" x14ac:dyDescent="0.2">
      <c r="AA1357" s="913"/>
    </row>
    <row r="1358" spans="27:27" x14ac:dyDescent="0.2">
      <c r="AA1358" s="913"/>
    </row>
    <row r="1359" spans="27:27" x14ac:dyDescent="0.2">
      <c r="AA1359" s="913"/>
    </row>
    <row r="1360" spans="27:27" x14ac:dyDescent="0.2">
      <c r="AA1360" s="913"/>
    </row>
    <row r="1361" spans="27:27" x14ac:dyDescent="0.2">
      <c r="AA1361" s="913"/>
    </row>
    <row r="1362" spans="27:27" x14ac:dyDescent="0.2">
      <c r="AA1362" s="913"/>
    </row>
    <row r="1363" spans="27:27" x14ac:dyDescent="0.2">
      <c r="AA1363" s="913"/>
    </row>
    <row r="1364" spans="27:27" x14ac:dyDescent="0.2">
      <c r="AA1364" s="913"/>
    </row>
    <row r="1365" spans="27:27" x14ac:dyDescent="0.2">
      <c r="AA1365" s="913"/>
    </row>
    <row r="1366" spans="27:27" x14ac:dyDescent="0.2">
      <c r="AA1366" s="913"/>
    </row>
    <row r="1367" spans="27:27" x14ac:dyDescent="0.2">
      <c r="AA1367" s="913"/>
    </row>
    <row r="1368" spans="27:27" x14ac:dyDescent="0.2">
      <c r="AA1368" s="913"/>
    </row>
    <row r="1369" spans="27:27" x14ac:dyDescent="0.2">
      <c r="AA1369" s="913"/>
    </row>
    <row r="1370" spans="27:27" x14ac:dyDescent="0.2">
      <c r="AA1370" s="913"/>
    </row>
    <row r="1371" spans="27:27" x14ac:dyDescent="0.2">
      <c r="AA1371" s="913"/>
    </row>
    <row r="1372" spans="27:27" x14ac:dyDescent="0.2">
      <c r="AA1372" s="913"/>
    </row>
    <row r="1373" spans="27:27" x14ac:dyDescent="0.2">
      <c r="AA1373" s="913"/>
    </row>
    <row r="1374" spans="27:27" x14ac:dyDescent="0.2">
      <c r="AA1374" s="913"/>
    </row>
    <row r="1375" spans="27:27" x14ac:dyDescent="0.2">
      <c r="AA1375" s="913"/>
    </row>
    <row r="1376" spans="27:27" x14ac:dyDescent="0.2">
      <c r="AA1376" s="913"/>
    </row>
    <row r="1377" spans="27:27" x14ac:dyDescent="0.2">
      <c r="AA1377" s="913"/>
    </row>
    <row r="1378" spans="27:27" x14ac:dyDescent="0.2">
      <c r="AA1378" s="913"/>
    </row>
    <row r="1379" spans="27:27" x14ac:dyDescent="0.2">
      <c r="AA1379" s="913"/>
    </row>
    <row r="1380" spans="27:27" x14ac:dyDescent="0.2">
      <c r="AA1380" s="913"/>
    </row>
    <row r="1381" spans="27:27" x14ac:dyDescent="0.2">
      <c r="AA1381" s="913"/>
    </row>
    <row r="1382" spans="27:27" x14ac:dyDescent="0.2">
      <c r="AA1382" s="913"/>
    </row>
    <row r="1383" spans="27:27" x14ac:dyDescent="0.2">
      <c r="AA1383" s="913"/>
    </row>
    <row r="1384" spans="27:27" x14ac:dyDescent="0.2">
      <c r="AA1384" s="913"/>
    </row>
    <row r="1385" spans="27:27" x14ac:dyDescent="0.2">
      <c r="AA1385" s="913"/>
    </row>
    <row r="1386" spans="27:27" x14ac:dyDescent="0.2">
      <c r="AA1386" s="913"/>
    </row>
    <row r="1387" spans="27:27" x14ac:dyDescent="0.2">
      <c r="AA1387" s="913"/>
    </row>
    <row r="1388" spans="27:27" x14ac:dyDescent="0.2">
      <c r="AA1388" s="913"/>
    </row>
    <row r="1389" spans="27:27" x14ac:dyDescent="0.2">
      <c r="AA1389" s="913"/>
    </row>
    <row r="1390" spans="27:27" x14ac:dyDescent="0.2">
      <c r="AA1390" s="913"/>
    </row>
    <row r="1391" spans="27:27" x14ac:dyDescent="0.2">
      <c r="AA1391" s="913"/>
    </row>
    <row r="1392" spans="27:27" x14ac:dyDescent="0.2">
      <c r="AA1392" s="913"/>
    </row>
    <row r="1393" spans="27:27" x14ac:dyDescent="0.2">
      <c r="AA1393" s="913"/>
    </row>
    <row r="1394" spans="27:27" x14ac:dyDescent="0.2">
      <c r="AA1394" s="913"/>
    </row>
    <row r="1395" spans="27:27" x14ac:dyDescent="0.2">
      <c r="AA1395" s="913"/>
    </row>
    <row r="1396" spans="27:27" x14ac:dyDescent="0.2">
      <c r="AA1396" s="913"/>
    </row>
    <row r="1397" spans="27:27" x14ac:dyDescent="0.2">
      <c r="AA1397" s="913"/>
    </row>
    <row r="1398" spans="27:27" x14ac:dyDescent="0.2">
      <c r="AA1398" s="913"/>
    </row>
    <row r="1399" spans="27:27" x14ac:dyDescent="0.2">
      <c r="AA1399" s="913"/>
    </row>
    <row r="1400" spans="27:27" x14ac:dyDescent="0.2">
      <c r="AA1400" s="913"/>
    </row>
    <row r="1401" spans="27:27" x14ac:dyDescent="0.2">
      <c r="AA1401" s="913"/>
    </row>
    <row r="1402" spans="27:27" x14ac:dyDescent="0.2">
      <c r="AA1402" s="913"/>
    </row>
    <row r="1403" spans="27:27" x14ac:dyDescent="0.2">
      <c r="AA1403" s="913"/>
    </row>
    <row r="1404" spans="27:27" x14ac:dyDescent="0.2">
      <c r="AA1404" s="913"/>
    </row>
    <row r="1405" spans="27:27" x14ac:dyDescent="0.2">
      <c r="AA1405" s="913"/>
    </row>
    <row r="1406" spans="27:27" x14ac:dyDescent="0.2">
      <c r="AA1406" s="913"/>
    </row>
    <row r="1407" spans="27:27" x14ac:dyDescent="0.2">
      <c r="AA1407" s="913"/>
    </row>
    <row r="1408" spans="27:27" x14ac:dyDescent="0.2">
      <c r="AA1408" s="913"/>
    </row>
    <row r="1409" spans="27:27" x14ac:dyDescent="0.2">
      <c r="AA1409" s="913"/>
    </row>
    <row r="1410" spans="27:27" x14ac:dyDescent="0.2">
      <c r="AA1410" s="913"/>
    </row>
    <row r="1411" spans="27:27" x14ac:dyDescent="0.2">
      <c r="AA1411" s="913"/>
    </row>
    <row r="1412" spans="27:27" x14ac:dyDescent="0.2">
      <c r="AA1412" s="913"/>
    </row>
    <row r="1413" spans="27:27" x14ac:dyDescent="0.2">
      <c r="AA1413" s="913"/>
    </row>
    <row r="1414" spans="27:27" x14ac:dyDescent="0.2">
      <c r="AA1414" s="913"/>
    </row>
    <row r="1415" spans="27:27" x14ac:dyDescent="0.2">
      <c r="AA1415" s="913"/>
    </row>
    <row r="1416" spans="27:27" x14ac:dyDescent="0.2">
      <c r="AA1416" s="913"/>
    </row>
    <row r="1417" spans="27:27" x14ac:dyDescent="0.2">
      <c r="AA1417" s="913"/>
    </row>
    <row r="1418" spans="27:27" x14ac:dyDescent="0.2">
      <c r="AA1418" s="913"/>
    </row>
    <row r="1419" spans="27:27" x14ac:dyDescent="0.2">
      <c r="AA1419" s="913"/>
    </row>
    <row r="1420" spans="27:27" x14ac:dyDescent="0.2">
      <c r="AA1420" s="913"/>
    </row>
    <row r="1421" spans="27:27" x14ac:dyDescent="0.2">
      <c r="AA1421" s="913"/>
    </row>
    <row r="1422" spans="27:27" x14ac:dyDescent="0.2">
      <c r="AA1422" s="913"/>
    </row>
    <row r="1423" spans="27:27" x14ac:dyDescent="0.2">
      <c r="AA1423" s="913"/>
    </row>
    <row r="1424" spans="27:27" x14ac:dyDescent="0.2">
      <c r="AA1424" s="913"/>
    </row>
    <row r="1425" spans="27:27" x14ac:dyDescent="0.2">
      <c r="AA1425" s="913"/>
    </row>
    <row r="1426" spans="27:27" x14ac:dyDescent="0.2">
      <c r="AA1426" s="913"/>
    </row>
    <row r="1427" spans="27:27" x14ac:dyDescent="0.2">
      <c r="AA1427" s="913"/>
    </row>
    <row r="1428" spans="27:27" x14ac:dyDescent="0.2">
      <c r="AA1428" s="913"/>
    </row>
    <row r="1429" spans="27:27" x14ac:dyDescent="0.2">
      <c r="AA1429" s="913"/>
    </row>
    <row r="1430" spans="27:27" x14ac:dyDescent="0.2">
      <c r="AA1430" s="913"/>
    </row>
    <row r="1431" spans="27:27" x14ac:dyDescent="0.2">
      <c r="AA1431" s="913"/>
    </row>
    <row r="1432" spans="27:27" x14ac:dyDescent="0.2">
      <c r="AA1432" s="913"/>
    </row>
    <row r="1433" spans="27:27" x14ac:dyDescent="0.2">
      <c r="AA1433" s="913"/>
    </row>
    <row r="1434" spans="27:27" x14ac:dyDescent="0.2">
      <c r="AA1434" s="913"/>
    </row>
    <row r="1435" spans="27:27" x14ac:dyDescent="0.2">
      <c r="AA1435" s="913"/>
    </row>
    <row r="1436" spans="27:27" x14ac:dyDescent="0.2">
      <c r="AA1436" s="913"/>
    </row>
    <row r="1437" spans="27:27" x14ac:dyDescent="0.2">
      <c r="AA1437" s="913"/>
    </row>
    <row r="1438" spans="27:27" x14ac:dyDescent="0.2">
      <c r="AA1438" s="913"/>
    </row>
    <row r="1439" spans="27:27" x14ac:dyDescent="0.2">
      <c r="AA1439" s="913"/>
    </row>
    <row r="1440" spans="27:27" x14ac:dyDescent="0.2">
      <c r="AA1440" s="913"/>
    </row>
    <row r="1441" spans="27:27" x14ac:dyDescent="0.2">
      <c r="AA1441" s="913"/>
    </row>
    <row r="1442" spans="27:27" x14ac:dyDescent="0.2">
      <c r="AA1442" s="913"/>
    </row>
    <row r="1443" spans="27:27" x14ac:dyDescent="0.2">
      <c r="AA1443" s="913"/>
    </row>
    <row r="1444" spans="27:27" x14ac:dyDescent="0.2">
      <c r="AA1444" s="913"/>
    </row>
    <row r="1445" spans="27:27" x14ac:dyDescent="0.2">
      <c r="AA1445" s="913"/>
    </row>
    <row r="1446" spans="27:27" x14ac:dyDescent="0.2">
      <c r="AA1446" s="913"/>
    </row>
    <row r="1447" spans="27:27" x14ac:dyDescent="0.2">
      <c r="AA1447" s="913"/>
    </row>
    <row r="1448" spans="27:27" x14ac:dyDescent="0.2">
      <c r="AA1448" s="913"/>
    </row>
    <row r="1449" spans="27:27" x14ac:dyDescent="0.2">
      <c r="AA1449" s="913"/>
    </row>
    <row r="1450" spans="27:27" x14ac:dyDescent="0.2">
      <c r="AA1450" s="913"/>
    </row>
    <row r="1451" spans="27:27" x14ac:dyDescent="0.2">
      <c r="AA1451" s="913"/>
    </row>
    <row r="1452" spans="27:27" x14ac:dyDescent="0.2">
      <c r="AA1452" s="913"/>
    </row>
    <row r="1453" spans="27:27" x14ac:dyDescent="0.2">
      <c r="AA1453" s="913"/>
    </row>
    <row r="1454" spans="27:27" x14ac:dyDescent="0.2">
      <c r="AA1454" s="913"/>
    </row>
    <row r="1455" spans="27:27" x14ac:dyDescent="0.2">
      <c r="AA1455" s="913"/>
    </row>
    <row r="1456" spans="27:27" x14ac:dyDescent="0.2">
      <c r="AA1456" s="913"/>
    </row>
    <row r="1457" spans="27:27" x14ac:dyDescent="0.2">
      <c r="AA1457" s="913"/>
    </row>
    <row r="1458" spans="27:27" x14ac:dyDescent="0.2">
      <c r="AA1458" s="913"/>
    </row>
    <row r="1459" spans="27:27" x14ac:dyDescent="0.2">
      <c r="AA1459" s="913"/>
    </row>
    <row r="1460" spans="27:27" x14ac:dyDescent="0.2">
      <c r="AA1460" s="913"/>
    </row>
    <row r="1461" spans="27:27" x14ac:dyDescent="0.2">
      <c r="AA1461" s="913"/>
    </row>
    <row r="1462" spans="27:27" x14ac:dyDescent="0.2">
      <c r="AA1462" s="913"/>
    </row>
    <row r="1463" spans="27:27" x14ac:dyDescent="0.2">
      <c r="AA1463" s="913"/>
    </row>
    <row r="1464" spans="27:27" x14ac:dyDescent="0.2">
      <c r="AA1464" s="913"/>
    </row>
    <row r="1465" spans="27:27" x14ac:dyDescent="0.2">
      <c r="AA1465" s="913"/>
    </row>
    <row r="1466" spans="27:27" x14ac:dyDescent="0.2">
      <c r="AA1466" s="913"/>
    </row>
    <row r="1467" spans="27:27" x14ac:dyDescent="0.2">
      <c r="AA1467" s="913"/>
    </row>
    <row r="1468" spans="27:27" x14ac:dyDescent="0.2">
      <c r="AA1468" s="913"/>
    </row>
    <row r="1469" spans="27:27" x14ac:dyDescent="0.2">
      <c r="AA1469" s="913"/>
    </row>
    <row r="1470" spans="27:27" x14ac:dyDescent="0.2">
      <c r="AA1470" s="913"/>
    </row>
    <row r="1471" spans="27:27" x14ac:dyDescent="0.2">
      <c r="AA1471" s="913"/>
    </row>
    <row r="1472" spans="27:27" x14ac:dyDescent="0.2">
      <c r="AA1472" s="913"/>
    </row>
    <row r="1473" spans="27:27" x14ac:dyDescent="0.2">
      <c r="AA1473" s="913"/>
    </row>
    <row r="1474" spans="27:27" x14ac:dyDescent="0.2">
      <c r="AA1474" s="913"/>
    </row>
    <row r="1475" spans="27:27" x14ac:dyDescent="0.2">
      <c r="AA1475" s="913"/>
    </row>
    <row r="1476" spans="27:27" x14ac:dyDescent="0.2">
      <c r="AA1476" s="913"/>
    </row>
    <row r="1477" spans="27:27" x14ac:dyDescent="0.2">
      <c r="AA1477" s="913"/>
    </row>
    <row r="1478" spans="27:27" x14ac:dyDescent="0.2">
      <c r="AA1478" s="913"/>
    </row>
    <row r="1479" spans="27:27" x14ac:dyDescent="0.2">
      <c r="AA1479" s="913"/>
    </row>
    <row r="1480" spans="27:27" x14ac:dyDescent="0.2">
      <c r="AA1480" s="913"/>
    </row>
    <row r="1481" spans="27:27" x14ac:dyDescent="0.2">
      <c r="AA1481" s="913"/>
    </row>
    <row r="1482" spans="27:27" x14ac:dyDescent="0.2">
      <c r="AA1482" s="913"/>
    </row>
    <row r="1483" spans="27:27" x14ac:dyDescent="0.2">
      <c r="AA1483" s="913"/>
    </row>
    <row r="1484" spans="27:27" x14ac:dyDescent="0.2">
      <c r="AA1484" s="913"/>
    </row>
    <row r="1485" spans="27:27" x14ac:dyDescent="0.2">
      <c r="AA1485" s="913"/>
    </row>
    <row r="1486" spans="27:27" x14ac:dyDescent="0.2">
      <c r="AA1486" s="913"/>
    </row>
    <row r="1487" spans="27:27" x14ac:dyDescent="0.2">
      <c r="AA1487" s="913"/>
    </row>
    <row r="1488" spans="27:27" x14ac:dyDescent="0.2">
      <c r="AA1488" s="913"/>
    </row>
    <row r="1489" spans="27:27" x14ac:dyDescent="0.2">
      <c r="AA1489" s="913"/>
    </row>
    <row r="1490" spans="27:27" x14ac:dyDescent="0.2">
      <c r="AA1490" s="913"/>
    </row>
    <row r="1491" spans="27:27" x14ac:dyDescent="0.2">
      <c r="AA1491" s="913"/>
    </row>
    <row r="1492" spans="27:27" x14ac:dyDescent="0.2">
      <c r="AA1492" s="913"/>
    </row>
    <row r="1493" spans="27:27" x14ac:dyDescent="0.2">
      <c r="AA1493" s="913"/>
    </row>
    <row r="1494" spans="27:27" x14ac:dyDescent="0.2">
      <c r="AA1494" s="913"/>
    </row>
    <row r="1495" spans="27:27" x14ac:dyDescent="0.2">
      <c r="AA1495" s="913"/>
    </row>
    <row r="1496" spans="27:27" x14ac:dyDescent="0.2">
      <c r="AA1496" s="913"/>
    </row>
    <row r="1497" spans="27:27" x14ac:dyDescent="0.2">
      <c r="AA1497" s="913"/>
    </row>
    <row r="1498" spans="27:27" x14ac:dyDescent="0.2">
      <c r="AA1498" s="913"/>
    </row>
    <row r="1499" spans="27:27" x14ac:dyDescent="0.2">
      <c r="AA1499" s="913"/>
    </row>
    <row r="1500" spans="27:27" x14ac:dyDescent="0.2">
      <c r="AA1500" s="913"/>
    </row>
    <row r="1501" spans="27:27" x14ac:dyDescent="0.2">
      <c r="AA1501" s="913"/>
    </row>
    <row r="1502" spans="27:27" x14ac:dyDescent="0.2">
      <c r="AA1502" s="913"/>
    </row>
    <row r="1503" spans="27:27" x14ac:dyDescent="0.2">
      <c r="AA1503" s="913"/>
    </row>
    <row r="1504" spans="27:27" x14ac:dyDescent="0.2">
      <c r="AA1504" s="913"/>
    </row>
    <row r="1505" spans="27:27" x14ac:dyDescent="0.2">
      <c r="AA1505" s="913"/>
    </row>
    <row r="1506" spans="27:27" x14ac:dyDescent="0.2">
      <c r="AA1506" s="913"/>
    </row>
    <row r="1507" spans="27:27" x14ac:dyDescent="0.2">
      <c r="AA1507" s="913"/>
    </row>
    <row r="1508" spans="27:27" x14ac:dyDescent="0.2">
      <c r="AA1508" s="913"/>
    </row>
    <row r="1509" spans="27:27" x14ac:dyDescent="0.2">
      <c r="AA1509" s="913"/>
    </row>
    <row r="1510" spans="27:27" x14ac:dyDescent="0.2">
      <c r="AA1510" s="913"/>
    </row>
    <row r="1511" spans="27:27" x14ac:dyDescent="0.2">
      <c r="AA1511" s="913"/>
    </row>
    <row r="1512" spans="27:27" x14ac:dyDescent="0.2">
      <c r="AA1512" s="913"/>
    </row>
    <row r="1513" spans="27:27" x14ac:dyDescent="0.2">
      <c r="AA1513" s="913"/>
    </row>
    <row r="1514" spans="27:27" x14ac:dyDescent="0.2">
      <c r="AA1514" s="913"/>
    </row>
    <row r="1515" spans="27:27" x14ac:dyDescent="0.2">
      <c r="AA1515" s="913"/>
    </row>
    <row r="1516" spans="27:27" x14ac:dyDescent="0.2">
      <c r="AA1516" s="913"/>
    </row>
  </sheetData>
  <mergeCells count="2">
    <mergeCell ref="B3:I3"/>
    <mergeCell ref="K3:W3"/>
  </mergeCells>
  <printOptions horizontalCentered="1"/>
  <pageMargins left="0" right="0" top="0.27559055118110198" bottom="0" header="0" footer="0"/>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O62"/>
  <sheetViews>
    <sheetView showGridLines="0" zoomScaleNormal="100" workbookViewId="0">
      <selection activeCell="J13" sqref="J13"/>
    </sheetView>
  </sheetViews>
  <sheetFormatPr defaultRowHeight="15" x14ac:dyDescent="0.2"/>
  <cols>
    <col min="1" max="1" width="4.28515625" style="957" customWidth="1"/>
    <col min="2" max="2" width="29.85546875" style="957" customWidth="1"/>
    <col min="3" max="3" width="13.5703125" style="970" customWidth="1"/>
    <col min="4" max="5" width="13.5703125" style="957" customWidth="1"/>
    <col min="6" max="6" width="13.7109375" style="1042" customWidth="1"/>
    <col min="7" max="7" width="11.140625" style="970" customWidth="1"/>
    <col min="8" max="8" width="11.28515625" style="957" customWidth="1"/>
    <col min="9" max="15" width="10.140625" style="957" customWidth="1"/>
    <col min="16" max="16" width="11" style="957" bestFit="1" customWidth="1"/>
    <col min="17" max="256" width="9.140625" style="957"/>
    <col min="257" max="257" width="4.28515625" style="957" customWidth="1"/>
    <col min="258" max="258" width="28.28515625" style="957" customWidth="1"/>
    <col min="259" max="259" width="9.7109375" style="957" customWidth="1"/>
    <col min="260" max="260" width="9.42578125" style="957" customWidth="1"/>
    <col min="261" max="261" width="9.140625" style="957" customWidth="1"/>
    <col min="262" max="262" width="9.5703125" style="957" customWidth="1"/>
    <col min="263" max="263" width="9.42578125" style="957" customWidth="1"/>
    <col min="264" max="264" width="8.7109375" style="957" customWidth="1"/>
    <col min="265" max="265" width="8.140625" style="957" customWidth="1"/>
    <col min="266" max="266" width="8.28515625" style="957" customWidth="1"/>
    <col min="267" max="267" width="7.140625" style="957" customWidth="1"/>
    <col min="268" max="270" width="7" style="957" bestFit="1" customWidth="1"/>
    <col min="271" max="271" width="8" style="957" customWidth="1"/>
    <col min="272" max="512" width="9.140625" style="957"/>
    <col min="513" max="513" width="4.28515625" style="957" customWidth="1"/>
    <col min="514" max="514" width="28.28515625" style="957" customWidth="1"/>
    <col min="515" max="515" width="9.7109375" style="957" customWidth="1"/>
    <col min="516" max="516" width="9.42578125" style="957" customWidth="1"/>
    <col min="517" max="517" width="9.140625" style="957" customWidth="1"/>
    <col min="518" max="518" width="9.5703125" style="957" customWidth="1"/>
    <col min="519" max="519" width="9.42578125" style="957" customWidth="1"/>
    <col min="520" max="520" width="8.7109375" style="957" customWidth="1"/>
    <col min="521" max="521" width="8.140625" style="957" customWidth="1"/>
    <col min="522" max="522" width="8.28515625" style="957" customWidth="1"/>
    <col min="523" max="523" width="7.140625" style="957" customWidth="1"/>
    <col min="524" max="526" width="7" style="957" bestFit="1" customWidth="1"/>
    <col min="527" max="527" width="8" style="957" customWidth="1"/>
    <col min="528" max="768" width="9.140625" style="957"/>
    <col min="769" max="769" width="4.28515625" style="957" customWidth="1"/>
    <col min="770" max="770" width="28.28515625" style="957" customWidth="1"/>
    <col min="771" max="771" width="9.7109375" style="957" customWidth="1"/>
    <col min="772" max="772" width="9.42578125" style="957" customWidth="1"/>
    <col min="773" max="773" width="9.140625" style="957" customWidth="1"/>
    <col min="774" max="774" width="9.5703125" style="957" customWidth="1"/>
    <col min="775" max="775" width="9.42578125" style="957" customWidth="1"/>
    <col min="776" max="776" width="8.7109375" style="957" customWidth="1"/>
    <col min="777" max="777" width="8.140625" style="957" customWidth="1"/>
    <col min="778" max="778" width="8.28515625" style="957" customWidth="1"/>
    <col min="779" max="779" width="7.140625" style="957" customWidth="1"/>
    <col min="780" max="782" width="7" style="957" bestFit="1" customWidth="1"/>
    <col min="783" max="783" width="8" style="957" customWidth="1"/>
    <col min="784" max="1024" width="9.140625" style="957"/>
    <col min="1025" max="1025" width="4.28515625" style="957" customWidth="1"/>
    <col min="1026" max="1026" width="28.28515625" style="957" customWidth="1"/>
    <col min="1027" max="1027" width="9.7109375" style="957" customWidth="1"/>
    <col min="1028" max="1028" width="9.42578125" style="957" customWidth="1"/>
    <col min="1029" max="1029" width="9.140625" style="957" customWidth="1"/>
    <col min="1030" max="1030" width="9.5703125" style="957" customWidth="1"/>
    <col min="1031" max="1031" width="9.42578125" style="957" customWidth="1"/>
    <col min="1032" max="1032" width="8.7109375" style="957" customWidth="1"/>
    <col min="1033" max="1033" width="8.140625" style="957" customWidth="1"/>
    <col min="1034" max="1034" width="8.28515625" style="957" customWidth="1"/>
    <col min="1035" max="1035" width="7.140625" style="957" customWidth="1"/>
    <col min="1036" max="1038" width="7" style="957" bestFit="1" customWidth="1"/>
    <col min="1039" max="1039" width="8" style="957" customWidth="1"/>
    <col min="1040" max="1280" width="9.140625" style="957"/>
    <col min="1281" max="1281" width="4.28515625" style="957" customWidth="1"/>
    <col min="1282" max="1282" width="28.28515625" style="957" customWidth="1"/>
    <col min="1283" max="1283" width="9.7109375" style="957" customWidth="1"/>
    <col min="1284" max="1284" width="9.42578125" style="957" customWidth="1"/>
    <col min="1285" max="1285" width="9.140625" style="957" customWidth="1"/>
    <col min="1286" max="1286" width="9.5703125" style="957" customWidth="1"/>
    <col min="1287" max="1287" width="9.42578125" style="957" customWidth="1"/>
    <col min="1288" max="1288" width="8.7109375" style="957" customWidth="1"/>
    <col min="1289" max="1289" width="8.140625" style="957" customWidth="1"/>
    <col min="1290" max="1290" width="8.28515625" style="957" customWidth="1"/>
    <col min="1291" max="1291" width="7.140625" style="957" customWidth="1"/>
    <col min="1292" max="1294" width="7" style="957" bestFit="1" customWidth="1"/>
    <col min="1295" max="1295" width="8" style="957" customWidth="1"/>
    <col min="1296" max="1536" width="9.140625" style="957"/>
    <col min="1537" max="1537" width="4.28515625" style="957" customWidth="1"/>
    <col min="1538" max="1538" width="28.28515625" style="957" customWidth="1"/>
    <col min="1539" max="1539" width="9.7109375" style="957" customWidth="1"/>
    <col min="1540" max="1540" width="9.42578125" style="957" customWidth="1"/>
    <col min="1541" max="1541" width="9.140625" style="957" customWidth="1"/>
    <col min="1542" max="1542" width="9.5703125" style="957" customWidth="1"/>
    <col min="1543" max="1543" width="9.42578125" style="957" customWidth="1"/>
    <col min="1544" max="1544" width="8.7109375" style="957" customWidth="1"/>
    <col min="1545" max="1545" width="8.140625" style="957" customWidth="1"/>
    <col min="1546" max="1546" width="8.28515625" style="957" customWidth="1"/>
    <col min="1547" max="1547" width="7.140625" style="957" customWidth="1"/>
    <col min="1548" max="1550" width="7" style="957" bestFit="1" customWidth="1"/>
    <col min="1551" max="1551" width="8" style="957" customWidth="1"/>
    <col min="1552" max="1792" width="9.140625" style="957"/>
    <col min="1793" max="1793" width="4.28515625" style="957" customWidth="1"/>
    <col min="1794" max="1794" width="28.28515625" style="957" customWidth="1"/>
    <col min="1795" max="1795" width="9.7109375" style="957" customWidth="1"/>
    <col min="1796" max="1796" width="9.42578125" style="957" customWidth="1"/>
    <col min="1797" max="1797" width="9.140625" style="957" customWidth="1"/>
    <col min="1798" max="1798" width="9.5703125" style="957" customWidth="1"/>
    <col min="1799" max="1799" width="9.42578125" style="957" customWidth="1"/>
    <col min="1800" max="1800" width="8.7109375" style="957" customWidth="1"/>
    <col min="1801" max="1801" width="8.140625" style="957" customWidth="1"/>
    <col min="1802" max="1802" width="8.28515625" style="957" customWidth="1"/>
    <col min="1803" max="1803" width="7.140625" style="957" customWidth="1"/>
    <col min="1804" max="1806" width="7" style="957" bestFit="1" customWidth="1"/>
    <col min="1807" max="1807" width="8" style="957" customWidth="1"/>
    <col min="1808" max="2048" width="9.140625" style="957"/>
    <col min="2049" max="2049" width="4.28515625" style="957" customWidth="1"/>
    <col min="2050" max="2050" width="28.28515625" style="957" customWidth="1"/>
    <col min="2051" max="2051" width="9.7109375" style="957" customWidth="1"/>
    <col min="2052" max="2052" width="9.42578125" style="957" customWidth="1"/>
    <col min="2053" max="2053" width="9.140625" style="957" customWidth="1"/>
    <col min="2054" max="2054" width="9.5703125" style="957" customWidth="1"/>
    <col min="2055" max="2055" width="9.42578125" style="957" customWidth="1"/>
    <col min="2056" max="2056" width="8.7109375" style="957" customWidth="1"/>
    <col min="2057" max="2057" width="8.140625" style="957" customWidth="1"/>
    <col min="2058" max="2058" width="8.28515625" style="957" customWidth="1"/>
    <col min="2059" max="2059" width="7.140625" style="957" customWidth="1"/>
    <col min="2060" max="2062" width="7" style="957" bestFit="1" customWidth="1"/>
    <col min="2063" max="2063" width="8" style="957" customWidth="1"/>
    <col min="2064" max="2304" width="9.140625" style="957"/>
    <col min="2305" max="2305" width="4.28515625" style="957" customWidth="1"/>
    <col min="2306" max="2306" width="28.28515625" style="957" customWidth="1"/>
    <col min="2307" max="2307" width="9.7109375" style="957" customWidth="1"/>
    <col min="2308" max="2308" width="9.42578125" style="957" customWidth="1"/>
    <col min="2309" max="2309" width="9.140625" style="957" customWidth="1"/>
    <col min="2310" max="2310" width="9.5703125" style="957" customWidth="1"/>
    <col min="2311" max="2311" width="9.42578125" style="957" customWidth="1"/>
    <col min="2312" max="2312" width="8.7109375" style="957" customWidth="1"/>
    <col min="2313" max="2313" width="8.140625" style="957" customWidth="1"/>
    <col min="2314" max="2314" width="8.28515625" style="957" customWidth="1"/>
    <col min="2315" max="2315" width="7.140625" style="957" customWidth="1"/>
    <col min="2316" max="2318" width="7" style="957" bestFit="1" customWidth="1"/>
    <col min="2319" max="2319" width="8" style="957" customWidth="1"/>
    <col min="2320" max="2560" width="9.140625" style="957"/>
    <col min="2561" max="2561" width="4.28515625" style="957" customWidth="1"/>
    <col min="2562" max="2562" width="28.28515625" style="957" customWidth="1"/>
    <col min="2563" max="2563" width="9.7109375" style="957" customWidth="1"/>
    <col min="2564" max="2564" width="9.42578125" style="957" customWidth="1"/>
    <col min="2565" max="2565" width="9.140625" style="957" customWidth="1"/>
    <col min="2566" max="2566" width="9.5703125" style="957" customWidth="1"/>
    <col min="2567" max="2567" width="9.42578125" style="957" customWidth="1"/>
    <col min="2568" max="2568" width="8.7109375" style="957" customWidth="1"/>
    <col min="2569" max="2569" width="8.140625" style="957" customWidth="1"/>
    <col min="2570" max="2570" width="8.28515625" style="957" customWidth="1"/>
    <col min="2571" max="2571" width="7.140625" style="957" customWidth="1"/>
    <col min="2572" max="2574" width="7" style="957" bestFit="1" customWidth="1"/>
    <col min="2575" max="2575" width="8" style="957" customWidth="1"/>
    <col min="2576" max="2816" width="9.140625" style="957"/>
    <col min="2817" max="2817" width="4.28515625" style="957" customWidth="1"/>
    <col min="2818" max="2818" width="28.28515625" style="957" customWidth="1"/>
    <col min="2819" max="2819" width="9.7109375" style="957" customWidth="1"/>
    <col min="2820" max="2820" width="9.42578125" style="957" customWidth="1"/>
    <col min="2821" max="2821" width="9.140625" style="957" customWidth="1"/>
    <col min="2822" max="2822" width="9.5703125" style="957" customWidth="1"/>
    <col min="2823" max="2823" width="9.42578125" style="957" customWidth="1"/>
    <col min="2824" max="2824" width="8.7109375" style="957" customWidth="1"/>
    <col min="2825" max="2825" width="8.140625" style="957" customWidth="1"/>
    <col min="2826" max="2826" width="8.28515625" style="957" customWidth="1"/>
    <col min="2827" max="2827" width="7.140625" style="957" customWidth="1"/>
    <col min="2828" max="2830" width="7" style="957" bestFit="1" customWidth="1"/>
    <col min="2831" max="2831" width="8" style="957" customWidth="1"/>
    <col min="2832" max="3072" width="9.140625" style="957"/>
    <col min="3073" max="3073" width="4.28515625" style="957" customWidth="1"/>
    <col min="3074" max="3074" width="28.28515625" style="957" customWidth="1"/>
    <col min="3075" max="3075" width="9.7109375" style="957" customWidth="1"/>
    <col min="3076" max="3076" width="9.42578125" style="957" customWidth="1"/>
    <col min="3077" max="3077" width="9.140625" style="957" customWidth="1"/>
    <col min="3078" max="3078" width="9.5703125" style="957" customWidth="1"/>
    <col min="3079" max="3079" width="9.42578125" style="957" customWidth="1"/>
    <col min="3080" max="3080" width="8.7109375" style="957" customWidth="1"/>
    <col min="3081" max="3081" width="8.140625" style="957" customWidth="1"/>
    <col min="3082" max="3082" width="8.28515625" style="957" customWidth="1"/>
    <col min="3083" max="3083" width="7.140625" style="957" customWidth="1"/>
    <col min="3084" max="3086" width="7" style="957" bestFit="1" customWidth="1"/>
    <col min="3087" max="3087" width="8" style="957" customWidth="1"/>
    <col min="3088" max="3328" width="9.140625" style="957"/>
    <col min="3329" max="3329" width="4.28515625" style="957" customWidth="1"/>
    <col min="3330" max="3330" width="28.28515625" style="957" customWidth="1"/>
    <col min="3331" max="3331" width="9.7109375" style="957" customWidth="1"/>
    <col min="3332" max="3332" width="9.42578125" style="957" customWidth="1"/>
    <col min="3333" max="3333" width="9.140625" style="957" customWidth="1"/>
    <col min="3334" max="3334" width="9.5703125" style="957" customWidth="1"/>
    <col min="3335" max="3335" width="9.42578125" style="957" customWidth="1"/>
    <col min="3336" max="3336" width="8.7109375" style="957" customWidth="1"/>
    <col min="3337" max="3337" width="8.140625" style="957" customWidth="1"/>
    <col min="3338" max="3338" width="8.28515625" style="957" customWidth="1"/>
    <col min="3339" max="3339" width="7.140625" style="957" customWidth="1"/>
    <col min="3340" max="3342" width="7" style="957" bestFit="1" customWidth="1"/>
    <col min="3343" max="3343" width="8" style="957" customWidth="1"/>
    <col min="3344" max="3584" width="9.140625" style="957"/>
    <col min="3585" max="3585" width="4.28515625" style="957" customWidth="1"/>
    <col min="3586" max="3586" width="28.28515625" style="957" customWidth="1"/>
    <col min="3587" max="3587" width="9.7109375" style="957" customWidth="1"/>
    <col min="3588" max="3588" width="9.42578125" style="957" customWidth="1"/>
    <col min="3589" max="3589" width="9.140625" style="957" customWidth="1"/>
    <col min="3590" max="3590" width="9.5703125" style="957" customWidth="1"/>
    <col min="3591" max="3591" width="9.42578125" style="957" customWidth="1"/>
    <col min="3592" max="3592" width="8.7109375" style="957" customWidth="1"/>
    <col min="3593" max="3593" width="8.140625" style="957" customWidth="1"/>
    <col min="3594" max="3594" width="8.28515625" style="957" customWidth="1"/>
    <col min="3595" max="3595" width="7.140625" style="957" customWidth="1"/>
    <col min="3596" max="3598" width="7" style="957" bestFit="1" customWidth="1"/>
    <col min="3599" max="3599" width="8" style="957" customWidth="1"/>
    <col min="3600" max="3840" width="9.140625" style="957"/>
    <col min="3841" max="3841" width="4.28515625" style="957" customWidth="1"/>
    <col min="3842" max="3842" width="28.28515625" style="957" customWidth="1"/>
    <col min="3843" max="3843" width="9.7109375" style="957" customWidth="1"/>
    <col min="3844" max="3844" width="9.42578125" style="957" customWidth="1"/>
    <col min="3845" max="3845" width="9.140625" style="957" customWidth="1"/>
    <col min="3846" max="3846" width="9.5703125" style="957" customWidth="1"/>
    <col min="3847" max="3847" width="9.42578125" style="957" customWidth="1"/>
    <col min="3848" max="3848" width="8.7109375" style="957" customWidth="1"/>
    <col min="3849" max="3849" width="8.140625" style="957" customWidth="1"/>
    <col min="3850" max="3850" width="8.28515625" style="957" customWidth="1"/>
    <col min="3851" max="3851" width="7.140625" style="957" customWidth="1"/>
    <col min="3852" max="3854" width="7" style="957" bestFit="1" customWidth="1"/>
    <col min="3855" max="3855" width="8" style="957" customWidth="1"/>
    <col min="3856" max="4096" width="9.140625" style="957"/>
    <col min="4097" max="4097" width="4.28515625" style="957" customWidth="1"/>
    <col min="4098" max="4098" width="28.28515625" style="957" customWidth="1"/>
    <col min="4099" max="4099" width="9.7109375" style="957" customWidth="1"/>
    <col min="4100" max="4100" width="9.42578125" style="957" customWidth="1"/>
    <col min="4101" max="4101" width="9.140625" style="957" customWidth="1"/>
    <col min="4102" max="4102" width="9.5703125" style="957" customWidth="1"/>
    <col min="4103" max="4103" width="9.42578125" style="957" customWidth="1"/>
    <col min="4104" max="4104" width="8.7109375" style="957" customWidth="1"/>
    <col min="4105" max="4105" width="8.140625" style="957" customWidth="1"/>
    <col min="4106" max="4106" width="8.28515625" style="957" customWidth="1"/>
    <col min="4107" max="4107" width="7.140625" style="957" customWidth="1"/>
    <col min="4108" max="4110" width="7" style="957" bestFit="1" customWidth="1"/>
    <col min="4111" max="4111" width="8" style="957" customWidth="1"/>
    <col min="4112" max="4352" width="9.140625" style="957"/>
    <col min="4353" max="4353" width="4.28515625" style="957" customWidth="1"/>
    <col min="4354" max="4354" width="28.28515625" style="957" customWidth="1"/>
    <col min="4355" max="4355" width="9.7109375" style="957" customWidth="1"/>
    <col min="4356" max="4356" width="9.42578125" style="957" customWidth="1"/>
    <col min="4357" max="4357" width="9.140625" style="957" customWidth="1"/>
    <col min="4358" max="4358" width="9.5703125" style="957" customWidth="1"/>
    <col min="4359" max="4359" width="9.42578125" style="957" customWidth="1"/>
    <col min="4360" max="4360" width="8.7109375" style="957" customWidth="1"/>
    <col min="4361" max="4361" width="8.140625" style="957" customWidth="1"/>
    <col min="4362" max="4362" width="8.28515625" style="957" customWidth="1"/>
    <col min="4363" max="4363" width="7.140625" style="957" customWidth="1"/>
    <col min="4364" max="4366" width="7" style="957" bestFit="1" customWidth="1"/>
    <col min="4367" max="4367" width="8" style="957" customWidth="1"/>
    <col min="4368" max="4608" width="9.140625" style="957"/>
    <col min="4609" max="4609" width="4.28515625" style="957" customWidth="1"/>
    <col min="4610" max="4610" width="28.28515625" style="957" customWidth="1"/>
    <col min="4611" max="4611" width="9.7109375" style="957" customWidth="1"/>
    <col min="4612" max="4612" width="9.42578125" style="957" customWidth="1"/>
    <col min="4613" max="4613" width="9.140625" style="957" customWidth="1"/>
    <col min="4614" max="4614" width="9.5703125" style="957" customWidth="1"/>
    <col min="4615" max="4615" width="9.42578125" style="957" customWidth="1"/>
    <col min="4616" max="4616" width="8.7109375" style="957" customWidth="1"/>
    <col min="4617" max="4617" width="8.140625" style="957" customWidth="1"/>
    <col min="4618" max="4618" width="8.28515625" style="957" customWidth="1"/>
    <col min="4619" max="4619" width="7.140625" style="957" customWidth="1"/>
    <col min="4620" max="4622" width="7" style="957" bestFit="1" customWidth="1"/>
    <col min="4623" max="4623" width="8" style="957" customWidth="1"/>
    <col min="4624" max="4864" width="9.140625" style="957"/>
    <col min="4865" max="4865" width="4.28515625" style="957" customWidth="1"/>
    <col min="4866" max="4866" width="28.28515625" style="957" customWidth="1"/>
    <col min="4867" max="4867" width="9.7109375" style="957" customWidth="1"/>
    <col min="4868" max="4868" width="9.42578125" style="957" customWidth="1"/>
    <col min="4869" max="4869" width="9.140625" style="957" customWidth="1"/>
    <col min="4870" max="4870" width="9.5703125" style="957" customWidth="1"/>
    <col min="4871" max="4871" width="9.42578125" style="957" customWidth="1"/>
    <col min="4872" max="4872" width="8.7109375" style="957" customWidth="1"/>
    <col min="4873" max="4873" width="8.140625" style="957" customWidth="1"/>
    <col min="4874" max="4874" width="8.28515625" style="957" customWidth="1"/>
    <col min="4875" max="4875" width="7.140625" style="957" customWidth="1"/>
    <col min="4876" max="4878" width="7" style="957" bestFit="1" customWidth="1"/>
    <col min="4879" max="4879" width="8" style="957" customWidth="1"/>
    <col min="4880" max="5120" width="9.140625" style="957"/>
    <col min="5121" max="5121" width="4.28515625" style="957" customWidth="1"/>
    <col min="5122" max="5122" width="28.28515625" style="957" customWidth="1"/>
    <col min="5123" max="5123" width="9.7109375" style="957" customWidth="1"/>
    <col min="5124" max="5124" width="9.42578125" style="957" customWidth="1"/>
    <col min="5125" max="5125" width="9.140625" style="957" customWidth="1"/>
    <col min="5126" max="5126" width="9.5703125" style="957" customWidth="1"/>
    <col min="5127" max="5127" width="9.42578125" style="957" customWidth="1"/>
    <col min="5128" max="5128" width="8.7109375" style="957" customWidth="1"/>
    <col min="5129" max="5129" width="8.140625" style="957" customWidth="1"/>
    <col min="5130" max="5130" width="8.28515625" style="957" customWidth="1"/>
    <col min="5131" max="5131" width="7.140625" style="957" customWidth="1"/>
    <col min="5132" max="5134" width="7" style="957" bestFit="1" customWidth="1"/>
    <col min="5135" max="5135" width="8" style="957" customWidth="1"/>
    <col min="5136" max="5376" width="9.140625" style="957"/>
    <col min="5377" max="5377" width="4.28515625" style="957" customWidth="1"/>
    <col min="5378" max="5378" width="28.28515625" style="957" customWidth="1"/>
    <col min="5379" max="5379" width="9.7109375" style="957" customWidth="1"/>
    <col min="5380" max="5380" width="9.42578125" style="957" customWidth="1"/>
    <col min="5381" max="5381" width="9.140625" style="957" customWidth="1"/>
    <col min="5382" max="5382" width="9.5703125" style="957" customWidth="1"/>
    <col min="5383" max="5383" width="9.42578125" style="957" customWidth="1"/>
    <col min="5384" max="5384" width="8.7109375" style="957" customWidth="1"/>
    <col min="5385" max="5385" width="8.140625" style="957" customWidth="1"/>
    <col min="5386" max="5386" width="8.28515625" style="957" customWidth="1"/>
    <col min="5387" max="5387" width="7.140625" style="957" customWidth="1"/>
    <col min="5388" max="5390" width="7" style="957" bestFit="1" customWidth="1"/>
    <col min="5391" max="5391" width="8" style="957" customWidth="1"/>
    <col min="5392" max="5632" width="9.140625" style="957"/>
    <col min="5633" max="5633" width="4.28515625" style="957" customWidth="1"/>
    <col min="5634" max="5634" width="28.28515625" style="957" customWidth="1"/>
    <col min="5635" max="5635" width="9.7109375" style="957" customWidth="1"/>
    <col min="5636" max="5636" width="9.42578125" style="957" customWidth="1"/>
    <col min="5637" max="5637" width="9.140625" style="957" customWidth="1"/>
    <col min="5638" max="5638" width="9.5703125" style="957" customWidth="1"/>
    <col min="5639" max="5639" width="9.42578125" style="957" customWidth="1"/>
    <col min="5640" max="5640" width="8.7109375" style="957" customWidth="1"/>
    <col min="5641" max="5641" width="8.140625" style="957" customWidth="1"/>
    <col min="5642" max="5642" width="8.28515625" style="957" customWidth="1"/>
    <col min="5643" max="5643" width="7.140625" style="957" customWidth="1"/>
    <col min="5644" max="5646" width="7" style="957" bestFit="1" customWidth="1"/>
    <col min="5647" max="5647" width="8" style="957" customWidth="1"/>
    <col min="5648" max="5888" width="9.140625" style="957"/>
    <col min="5889" max="5889" width="4.28515625" style="957" customWidth="1"/>
    <col min="5890" max="5890" width="28.28515625" style="957" customWidth="1"/>
    <col min="5891" max="5891" width="9.7109375" style="957" customWidth="1"/>
    <col min="5892" max="5892" width="9.42578125" style="957" customWidth="1"/>
    <col min="5893" max="5893" width="9.140625" style="957" customWidth="1"/>
    <col min="5894" max="5894" width="9.5703125" style="957" customWidth="1"/>
    <col min="5895" max="5895" width="9.42578125" style="957" customWidth="1"/>
    <col min="5896" max="5896" width="8.7109375" style="957" customWidth="1"/>
    <col min="5897" max="5897" width="8.140625" style="957" customWidth="1"/>
    <col min="5898" max="5898" width="8.28515625" style="957" customWidth="1"/>
    <col min="5899" max="5899" width="7.140625" style="957" customWidth="1"/>
    <col min="5900" max="5902" width="7" style="957" bestFit="1" customWidth="1"/>
    <col min="5903" max="5903" width="8" style="957" customWidth="1"/>
    <col min="5904" max="6144" width="9.140625" style="957"/>
    <col min="6145" max="6145" width="4.28515625" style="957" customWidth="1"/>
    <col min="6146" max="6146" width="28.28515625" style="957" customWidth="1"/>
    <col min="6147" max="6147" width="9.7109375" style="957" customWidth="1"/>
    <col min="6148" max="6148" width="9.42578125" style="957" customWidth="1"/>
    <col min="6149" max="6149" width="9.140625" style="957" customWidth="1"/>
    <col min="6150" max="6150" width="9.5703125" style="957" customWidth="1"/>
    <col min="6151" max="6151" width="9.42578125" style="957" customWidth="1"/>
    <col min="6152" max="6152" width="8.7109375" style="957" customWidth="1"/>
    <col min="6153" max="6153" width="8.140625" style="957" customWidth="1"/>
    <col min="6154" max="6154" width="8.28515625" style="957" customWidth="1"/>
    <col min="6155" max="6155" width="7.140625" style="957" customWidth="1"/>
    <col min="6156" max="6158" width="7" style="957" bestFit="1" customWidth="1"/>
    <col min="6159" max="6159" width="8" style="957" customWidth="1"/>
    <col min="6160" max="6400" width="9.140625" style="957"/>
    <col min="6401" max="6401" width="4.28515625" style="957" customWidth="1"/>
    <col min="6402" max="6402" width="28.28515625" style="957" customWidth="1"/>
    <col min="6403" max="6403" width="9.7109375" style="957" customWidth="1"/>
    <col min="6404" max="6404" width="9.42578125" style="957" customWidth="1"/>
    <col min="6405" max="6405" width="9.140625" style="957" customWidth="1"/>
    <col min="6406" max="6406" width="9.5703125" style="957" customWidth="1"/>
    <col min="6407" max="6407" width="9.42578125" style="957" customWidth="1"/>
    <col min="6408" max="6408" width="8.7109375" style="957" customWidth="1"/>
    <col min="6409" max="6409" width="8.140625" style="957" customWidth="1"/>
    <col min="6410" max="6410" width="8.28515625" style="957" customWidth="1"/>
    <col min="6411" max="6411" width="7.140625" style="957" customWidth="1"/>
    <col min="6412" max="6414" width="7" style="957" bestFit="1" customWidth="1"/>
    <col min="6415" max="6415" width="8" style="957" customWidth="1"/>
    <col min="6416" max="6656" width="9.140625" style="957"/>
    <col min="6657" max="6657" width="4.28515625" style="957" customWidth="1"/>
    <col min="6658" max="6658" width="28.28515625" style="957" customWidth="1"/>
    <col min="6659" max="6659" width="9.7109375" style="957" customWidth="1"/>
    <col min="6660" max="6660" width="9.42578125" style="957" customWidth="1"/>
    <col min="6661" max="6661" width="9.140625" style="957" customWidth="1"/>
    <col min="6662" max="6662" width="9.5703125" style="957" customWidth="1"/>
    <col min="6663" max="6663" width="9.42578125" style="957" customWidth="1"/>
    <col min="6664" max="6664" width="8.7109375" style="957" customWidth="1"/>
    <col min="6665" max="6665" width="8.140625" style="957" customWidth="1"/>
    <col min="6666" max="6666" width="8.28515625" style="957" customWidth="1"/>
    <col min="6667" max="6667" width="7.140625" style="957" customWidth="1"/>
    <col min="6668" max="6670" width="7" style="957" bestFit="1" customWidth="1"/>
    <col min="6671" max="6671" width="8" style="957" customWidth="1"/>
    <col min="6672" max="6912" width="9.140625" style="957"/>
    <col min="6913" max="6913" width="4.28515625" style="957" customWidth="1"/>
    <col min="6914" max="6914" width="28.28515625" style="957" customWidth="1"/>
    <col min="6915" max="6915" width="9.7109375" style="957" customWidth="1"/>
    <col min="6916" max="6916" width="9.42578125" style="957" customWidth="1"/>
    <col min="6917" max="6917" width="9.140625" style="957" customWidth="1"/>
    <col min="6918" max="6918" width="9.5703125" style="957" customWidth="1"/>
    <col min="6919" max="6919" width="9.42578125" style="957" customWidth="1"/>
    <col min="6920" max="6920" width="8.7109375" style="957" customWidth="1"/>
    <col min="6921" max="6921" width="8.140625" style="957" customWidth="1"/>
    <col min="6922" max="6922" width="8.28515625" style="957" customWidth="1"/>
    <col min="6923" max="6923" width="7.140625" style="957" customWidth="1"/>
    <col min="6924" max="6926" width="7" style="957" bestFit="1" customWidth="1"/>
    <col min="6927" max="6927" width="8" style="957" customWidth="1"/>
    <col min="6928" max="7168" width="9.140625" style="957"/>
    <col min="7169" max="7169" width="4.28515625" style="957" customWidth="1"/>
    <col min="7170" max="7170" width="28.28515625" style="957" customWidth="1"/>
    <col min="7171" max="7171" width="9.7109375" style="957" customWidth="1"/>
    <col min="7172" max="7172" width="9.42578125" style="957" customWidth="1"/>
    <col min="7173" max="7173" width="9.140625" style="957" customWidth="1"/>
    <col min="7174" max="7174" width="9.5703125" style="957" customWidth="1"/>
    <col min="7175" max="7175" width="9.42578125" style="957" customWidth="1"/>
    <col min="7176" max="7176" width="8.7109375" style="957" customWidth="1"/>
    <col min="7177" max="7177" width="8.140625" style="957" customWidth="1"/>
    <col min="7178" max="7178" width="8.28515625" style="957" customWidth="1"/>
    <col min="7179" max="7179" width="7.140625" style="957" customWidth="1"/>
    <col min="7180" max="7182" width="7" style="957" bestFit="1" customWidth="1"/>
    <col min="7183" max="7183" width="8" style="957" customWidth="1"/>
    <col min="7184" max="7424" width="9.140625" style="957"/>
    <col min="7425" max="7425" width="4.28515625" style="957" customWidth="1"/>
    <col min="7426" max="7426" width="28.28515625" style="957" customWidth="1"/>
    <col min="7427" max="7427" width="9.7109375" style="957" customWidth="1"/>
    <col min="7428" max="7428" width="9.42578125" style="957" customWidth="1"/>
    <col min="7429" max="7429" width="9.140625" style="957" customWidth="1"/>
    <col min="7430" max="7430" width="9.5703125" style="957" customWidth="1"/>
    <col min="7431" max="7431" width="9.42578125" style="957" customWidth="1"/>
    <col min="7432" max="7432" width="8.7109375" style="957" customWidth="1"/>
    <col min="7433" max="7433" width="8.140625" style="957" customWidth="1"/>
    <col min="7434" max="7434" width="8.28515625" style="957" customWidth="1"/>
    <col min="7435" max="7435" width="7.140625" style="957" customWidth="1"/>
    <col min="7436" max="7438" width="7" style="957" bestFit="1" customWidth="1"/>
    <col min="7439" max="7439" width="8" style="957" customWidth="1"/>
    <col min="7440" max="7680" width="9.140625" style="957"/>
    <col min="7681" max="7681" width="4.28515625" style="957" customWidth="1"/>
    <col min="7682" max="7682" width="28.28515625" style="957" customWidth="1"/>
    <col min="7683" max="7683" width="9.7109375" style="957" customWidth="1"/>
    <col min="7684" max="7684" width="9.42578125" style="957" customWidth="1"/>
    <col min="7685" max="7685" width="9.140625" style="957" customWidth="1"/>
    <col min="7686" max="7686" width="9.5703125" style="957" customWidth="1"/>
    <col min="7687" max="7687" width="9.42578125" style="957" customWidth="1"/>
    <col min="7688" max="7688" width="8.7109375" style="957" customWidth="1"/>
    <col min="7689" max="7689" width="8.140625" style="957" customWidth="1"/>
    <col min="7690" max="7690" width="8.28515625" style="957" customWidth="1"/>
    <col min="7691" max="7691" width="7.140625" style="957" customWidth="1"/>
    <col min="7692" max="7694" width="7" style="957" bestFit="1" customWidth="1"/>
    <col min="7695" max="7695" width="8" style="957" customWidth="1"/>
    <col min="7696" max="7936" width="9.140625" style="957"/>
    <col min="7937" max="7937" width="4.28515625" style="957" customWidth="1"/>
    <col min="7938" max="7938" width="28.28515625" style="957" customWidth="1"/>
    <col min="7939" max="7939" width="9.7109375" style="957" customWidth="1"/>
    <col min="7940" max="7940" width="9.42578125" style="957" customWidth="1"/>
    <col min="7941" max="7941" width="9.140625" style="957" customWidth="1"/>
    <col min="7942" max="7942" width="9.5703125" style="957" customWidth="1"/>
    <col min="7943" max="7943" width="9.42578125" style="957" customWidth="1"/>
    <col min="7944" max="7944" width="8.7109375" style="957" customWidth="1"/>
    <col min="7945" max="7945" width="8.140625" style="957" customWidth="1"/>
    <col min="7946" max="7946" width="8.28515625" style="957" customWidth="1"/>
    <col min="7947" max="7947" width="7.140625" style="957" customWidth="1"/>
    <col min="7948" max="7950" width="7" style="957" bestFit="1" customWidth="1"/>
    <col min="7951" max="7951" width="8" style="957" customWidth="1"/>
    <col min="7952" max="8192" width="9.140625" style="957"/>
    <col min="8193" max="8193" width="4.28515625" style="957" customWidth="1"/>
    <col min="8194" max="8194" width="28.28515625" style="957" customWidth="1"/>
    <col min="8195" max="8195" width="9.7109375" style="957" customWidth="1"/>
    <col min="8196" max="8196" width="9.42578125" style="957" customWidth="1"/>
    <col min="8197" max="8197" width="9.140625" style="957" customWidth="1"/>
    <col min="8198" max="8198" width="9.5703125" style="957" customWidth="1"/>
    <col min="8199" max="8199" width="9.42578125" style="957" customWidth="1"/>
    <col min="8200" max="8200" width="8.7109375" style="957" customWidth="1"/>
    <col min="8201" max="8201" width="8.140625" style="957" customWidth="1"/>
    <col min="8202" max="8202" width="8.28515625" style="957" customWidth="1"/>
    <col min="8203" max="8203" width="7.140625" style="957" customWidth="1"/>
    <col min="8204" max="8206" width="7" style="957" bestFit="1" customWidth="1"/>
    <col min="8207" max="8207" width="8" style="957" customWidth="1"/>
    <col min="8208" max="8448" width="9.140625" style="957"/>
    <col min="8449" max="8449" width="4.28515625" style="957" customWidth="1"/>
    <col min="8450" max="8450" width="28.28515625" style="957" customWidth="1"/>
    <col min="8451" max="8451" width="9.7109375" style="957" customWidth="1"/>
    <col min="8452" max="8452" width="9.42578125" style="957" customWidth="1"/>
    <col min="8453" max="8453" width="9.140625" style="957" customWidth="1"/>
    <col min="8454" max="8454" width="9.5703125" style="957" customWidth="1"/>
    <col min="8455" max="8455" width="9.42578125" style="957" customWidth="1"/>
    <col min="8456" max="8456" width="8.7109375" style="957" customWidth="1"/>
    <col min="8457" max="8457" width="8.140625" style="957" customWidth="1"/>
    <col min="8458" max="8458" width="8.28515625" style="957" customWidth="1"/>
    <col min="8459" max="8459" width="7.140625" style="957" customWidth="1"/>
    <col min="8460" max="8462" width="7" style="957" bestFit="1" customWidth="1"/>
    <col min="8463" max="8463" width="8" style="957" customWidth="1"/>
    <col min="8464" max="8704" width="9.140625" style="957"/>
    <col min="8705" max="8705" width="4.28515625" style="957" customWidth="1"/>
    <col min="8706" max="8706" width="28.28515625" style="957" customWidth="1"/>
    <col min="8707" max="8707" width="9.7109375" style="957" customWidth="1"/>
    <col min="8708" max="8708" width="9.42578125" style="957" customWidth="1"/>
    <col min="8709" max="8709" width="9.140625" style="957" customWidth="1"/>
    <col min="8710" max="8710" width="9.5703125" style="957" customWidth="1"/>
    <col min="8711" max="8711" width="9.42578125" style="957" customWidth="1"/>
    <col min="8712" max="8712" width="8.7109375" style="957" customWidth="1"/>
    <col min="8713" max="8713" width="8.140625" style="957" customWidth="1"/>
    <col min="8714" max="8714" width="8.28515625" style="957" customWidth="1"/>
    <col min="8715" max="8715" width="7.140625" style="957" customWidth="1"/>
    <col min="8716" max="8718" width="7" style="957" bestFit="1" customWidth="1"/>
    <col min="8719" max="8719" width="8" style="957" customWidth="1"/>
    <col min="8720" max="8960" width="9.140625" style="957"/>
    <col min="8961" max="8961" width="4.28515625" style="957" customWidth="1"/>
    <col min="8962" max="8962" width="28.28515625" style="957" customWidth="1"/>
    <col min="8963" max="8963" width="9.7109375" style="957" customWidth="1"/>
    <col min="8964" max="8964" width="9.42578125" style="957" customWidth="1"/>
    <col min="8965" max="8965" width="9.140625" style="957" customWidth="1"/>
    <col min="8966" max="8966" width="9.5703125" style="957" customWidth="1"/>
    <col min="8967" max="8967" width="9.42578125" style="957" customWidth="1"/>
    <col min="8968" max="8968" width="8.7109375" style="957" customWidth="1"/>
    <col min="8969" max="8969" width="8.140625" style="957" customWidth="1"/>
    <col min="8970" max="8970" width="8.28515625" style="957" customWidth="1"/>
    <col min="8971" max="8971" width="7.140625" style="957" customWidth="1"/>
    <col min="8972" max="8974" width="7" style="957" bestFit="1" customWidth="1"/>
    <col min="8975" max="8975" width="8" style="957" customWidth="1"/>
    <col min="8976" max="9216" width="9.140625" style="957"/>
    <col min="9217" max="9217" width="4.28515625" style="957" customWidth="1"/>
    <col min="9218" max="9218" width="28.28515625" style="957" customWidth="1"/>
    <col min="9219" max="9219" width="9.7109375" style="957" customWidth="1"/>
    <col min="9220" max="9220" width="9.42578125" style="957" customWidth="1"/>
    <col min="9221" max="9221" width="9.140625" style="957" customWidth="1"/>
    <col min="9222" max="9222" width="9.5703125" style="957" customWidth="1"/>
    <col min="9223" max="9223" width="9.42578125" style="957" customWidth="1"/>
    <col min="9224" max="9224" width="8.7109375" style="957" customWidth="1"/>
    <col min="9225" max="9225" width="8.140625" style="957" customWidth="1"/>
    <col min="9226" max="9226" width="8.28515625" style="957" customWidth="1"/>
    <col min="9227" max="9227" width="7.140625" style="957" customWidth="1"/>
    <col min="9228" max="9230" width="7" style="957" bestFit="1" customWidth="1"/>
    <col min="9231" max="9231" width="8" style="957" customWidth="1"/>
    <col min="9232" max="9472" width="9.140625" style="957"/>
    <col min="9473" max="9473" width="4.28515625" style="957" customWidth="1"/>
    <col min="9474" max="9474" width="28.28515625" style="957" customWidth="1"/>
    <col min="9475" max="9475" width="9.7109375" style="957" customWidth="1"/>
    <col min="9476" max="9476" width="9.42578125" style="957" customWidth="1"/>
    <col min="9477" max="9477" width="9.140625" style="957" customWidth="1"/>
    <col min="9478" max="9478" width="9.5703125" style="957" customWidth="1"/>
    <col min="9479" max="9479" width="9.42578125" style="957" customWidth="1"/>
    <col min="9480" max="9480" width="8.7109375" style="957" customWidth="1"/>
    <col min="9481" max="9481" width="8.140625" style="957" customWidth="1"/>
    <col min="9482" max="9482" width="8.28515625" style="957" customWidth="1"/>
    <col min="9483" max="9483" width="7.140625" style="957" customWidth="1"/>
    <col min="9484" max="9486" width="7" style="957" bestFit="1" customWidth="1"/>
    <col min="9487" max="9487" width="8" style="957" customWidth="1"/>
    <col min="9488" max="9728" width="9.140625" style="957"/>
    <col min="9729" max="9729" width="4.28515625" style="957" customWidth="1"/>
    <col min="9730" max="9730" width="28.28515625" style="957" customWidth="1"/>
    <col min="9731" max="9731" width="9.7109375" style="957" customWidth="1"/>
    <col min="9732" max="9732" width="9.42578125" style="957" customWidth="1"/>
    <col min="9733" max="9733" width="9.140625" style="957" customWidth="1"/>
    <col min="9734" max="9734" width="9.5703125" style="957" customWidth="1"/>
    <col min="9735" max="9735" width="9.42578125" style="957" customWidth="1"/>
    <col min="9736" max="9736" width="8.7109375" style="957" customWidth="1"/>
    <col min="9737" max="9737" width="8.140625" style="957" customWidth="1"/>
    <col min="9738" max="9738" width="8.28515625" style="957" customWidth="1"/>
    <col min="9739" max="9739" width="7.140625" style="957" customWidth="1"/>
    <col min="9740" max="9742" width="7" style="957" bestFit="1" customWidth="1"/>
    <col min="9743" max="9743" width="8" style="957" customWidth="1"/>
    <col min="9744" max="9984" width="9.140625" style="957"/>
    <col min="9985" max="9985" width="4.28515625" style="957" customWidth="1"/>
    <col min="9986" max="9986" width="28.28515625" style="957" customWidth="1"/>
    <col min="9987" max="9987" width="9.7109375" style="957" customWidth="1"/>
    <col min="9988" max="9988" width="9.42578125" style="957" customWidth="1"/>
    <col min="9989" max="9989" width="9.140625" style="957" customWidth="1"/>
    <col min="9990" max="9990" width="9.5703125" style="957" customWidth="1"/>
    <col min="9991" max="9991" width="9.42578125" style="957" customWidth="1"/>
    <col min="9992" max="9992" width="8.7109375" style="957" customWidth="1"/>
    <col min="9993" max="9993" width="8.140625" style="957" customWidth="1"/>
    <col min="9994" max="9994" width="8.28515625" style="957" customWidth="1"/>
    <col min="9995" max="9995" width="7.140625" style="957" customWidth="1"/>
    <col min="9996" max="9998" width="7" style="957" bestFit="1" customWidth="1"/>
    <col min="9999" max="9999" width="8" style="957" customWidth="1"/>
    <col min="10000" max="10240" width="9.140625" style="957"/>
    <col min="10241" max="10241" width="4.28515625" style="957" customWidth="1"/>
    <col min="10242" max="10242" width="28.28515625" style="957" customWidth="1"/>
    <col min="10243" max="10243" width="9.7109375" style="957" customWidth="1"/>
    <col min="10244" max="10244" width="9.42578125" style="957" customWidth="1"/>
    <col min="10245" max="10245" width="9.140625" style="957" customWidth="1"/>
    <col min="10246" max="10246" width="9.5703125" style="957" customWidth="1"/>
    <col min="10247" max="10247" width="9.42578125" style="957" customWidth="1"/>
    <col min="10248" max="10248" width="8.7109375" style="957" customWidth="1"/>
    <col min="10249" max="10249" width="8.140625" style="957" customWidth="1"/>
    <col min="10250" max="10250" width="8.28515625" style="957" customWidth="1"/>
    <col min="10251" max="10251" width="7.140625" style="957" customWidth="1"/>
    <col min="10252" max="10254" width="7" style="957" bestFit="1" customWidth="1"/>
    <col min="10255" max="10255" width="8" style="957" customWidth="1"/>
    <col min="10256" max="10496" width="9.140625" style="957"/>
    <col min="10497" max="10497" width="4.28515625" style="957" customWidth="1"/>
    <col min="10498" max="10498" width="28.28515625" style="957" customWidth="1"/>
    <col min="10499" max="10499" width="9.7109375" style="957" customWidth="1"/>
    <col min="10500" max="10500" width="9.42578125" style="957" customWidth="1"/>
    <col min="10501" max="10501" width="9.140625" style="957" customWidth="1"/>
    <col min="10502" max="10502" width="9.5703125" style="957" customWidth="1"/>
    <col min="10503" max="10503" width="9.42578125" style="957" customWidth="1"/>
    <col min="10504" max="10504" width="8.7109375" style="957" customWidth="1"/>
    <col min="10505" max="10505" width="8.140625" style="957" customWidth="1"/>
    <col min="10506" max="10506" width="8.28515625" style="957" customWidth="1"/>
    <col min="10507" max="10507" width="7.140625" style="957" customWidth="1"/>
    <col min="10508" max="10510" width="7" style="957" bestFit="1" customWidth="1"/>
    <col min="10511" max="10511" width="8" style="957" customWidth="1"/>
    <col min="10512" max="10752" width="9.140625" style="957"/>
    <col min="10753" max="10753" width="4.28515625" style="957" customWidth="1"/>
    <col min="10754" max="10754" width="28.28515625" style="957" customWidth="1"/>
    <col min="10755" max="10755" width="9.7109375" style="957" customWidth="1"/>
    <col min="10756" max="10756" width="9.42578125" style="957" customWidth="1"/>
    <col min="10757" max="10757" width="9.140625" style="957" customWidth="1"/>
    <col min="10758" max="10758" width="9.5703125" style="957" customWidth="1"/>
    <col min="10759" max="10759" width="9.42578125" style="957" customWidth="1"/>
    <col min="10760" max="10760" width="8.7109375" style="957" customWidth="1"/>
    <col min="10761" max="10761" width="8.140625" style="957" customWidth="1"/>
    <col min="10762" max="10762" width="8.28515625" style="957" customWidth="1"/>
    <col min="10763" max="10763" width="7.140625" style="957" customWidth="1"/>
    <col min="10764" max="10766" width="7" style="957" bestFit="1" customWidth="1"/>
    <col min="10767" max="10767" width="8" style="957" customWidth="1"/>
    <col min="10768" max="11008" width="9.140625" style="957"/>
    <col min="11009" max="11009" width="4.28515625" style="957" customWidth="1"/>
    <col min="11010" max="11010" width="28.28515625" style="957" customWidth="1"/>
    <col min="11011" max="11011" width="9.7109375" style="957" customWidth="1"/>
    <col min="11012" max="11012" width="9.42578125" style="957" customWidth="1"/>
    <col min="11013" max="11013" width="9.140625" style="957" customWidth="1"/>
    <col min="11014" max="11014" width="9.5703125" style="957" customWidth="1"/>
    <col min="11015" max="11015" width="9.42578125" style="957" customWidth="1"/>
    <col min="11016" max="11016" width="8.7109375" style="957" customWidth="1"/>
    <col min="11017" max="11017" width="8.140625" style="957" customWidth="1"/>
    <col min="11018" max="11018" width="8.28515625" style="957" customWidth="1"/>
    <col min="11019" max="11019" width="7.140625" style="957" customWidth="1"/>
    <col min="11020" max="11022" width="7" style="957" bestFit="1" customWidth="1"/>
    <col min="11023" max="11023" width="8" style="957" customWidth="1"/>
    <col min="11024" max="11264" width="9.140625" style="957"/>
    <col min="11265" max="11265" width="4.28515625" style="957" customWidth="1"/>
    <col min="11266" max="11266" width="28.28515625" style="957" customWidth="1"/>
    <col min="11267" max="11267" width="9.7109375" style="957" customWidth="1"/>
    <col min="11268" max="11268" width="9.42578125" style="957" customWidth="1"/>
    <col min="11269" max="11269" width="9.140625" style="957" customWidth="1"/>
    <col min="11270" max="11270" width="9.5703125" style="957" customWidth="1"/>
    <col min="11271" max="11271" width="9.42578125" style="957" customWidth="1"/>
    <col min="11272" max="11272" width="8.7109375" style="957" customWidth="1"/>
    <col min="11273" max="11273" width="8.140625" style="957" customWidth="1"/>
    <col min="11274" max="11274" width="8.28515625" style="957" customWidth="1"/>
    <col min="11275" max="11275" width="7.140625" style="957" customWidth="1"/>
    <col min="11276" max="11278" width="7" style="957" bestFit="1" customWidth="1"/>
    <col min="11279" max="11279" width="8" style="957" customWidth="1"/>
    <col min="11280" max="11520" width="9.140625" style="957"/>
    <col min="11521" max="11521" width="4.28515625" style="957" customWidth="1"/>
    <col min="11522" max="11522" width="28.28515625" style="957" customWidth="1"/>
    <col min="11523" max="11523" width="9.7109375" style="957" customWidth="1"/>
    <col min="11524" max="11524" width="9.42578125" style="957" customWidth="1"/>
    <col min="11525" max="11525" width="9.140625" style="957" customWidth="1"/>
    <col min="11526" max="11526" width="9.5703125" style="957" customWidth="1"/>
    <col min="11527" max="11527" width="9.42578125" style="957" customWidth="1"/>
    <col min="11528" max="11528" width="8.7109375" style="957" customWidth="1"/>
    <col min="11529" max="11529" width="8.140625" style="957" customWidth="1"/>
    <col min="11530" max="11530" width="8.28515625" style="957" customWidth="1"/>
    <col min="11531" max="11531" width="7.140625" style="957" customWidth="1"/>
    <col min="11532" max="11534" width="7" style="957" bestFit="1" customWidth="1"/>
    <col min="11535" max="11535" width="8" style="957" customWidth="1"/>
    <col min="11536" max="11776" width="9.140625" style="957"/>
    <col min="11777" max="11777" width="4.28515625" style="957" customWidth="1"/>
    <col min="11778" max="11778" width="28.28515625" style="957" customWidth="1"/>
    <col min="11779" max="11779" width="9.7109375" style="957" customWidth="1"/>
    <col min="11780" max="11780" width="9.42578125" style="957" customWidth="1"/>
    <col min="11781" max="11781" width="9.140625" style="957" customWidth="1"/>
    <col min="11782" max="11782" width="9.5703125" style="957" customWidth="1"/>
    <col min="11783" max="11783" width="9.42578125" style="957" customWidth="1"/>
    <col min="11784" max="11784" width="8.7109375" style="957" customWidth="1"/>
    <col min="11785" max="11785" width="8.140625" style="957" customWidth="1"/>
    <col min="11786" max="11786" width="8.28515625" style="957" customWidth="1"/>
    <col min="11787" max="11787" width="7.140625" style="957" customWidth="1"/>
    <col min="11788" max="11790" width="7" style="957" bestFit="1" customWidth="1"/>
    <col min="11791" max="11791" width="8" style="957" customWidth="1"/>
    <col min="11792" max="12032" width="9.140625" style="957"/>
    <col min="12033" max="12033" width="4.28515625" style="957" customWidth="1"/>
    <col min="12034" max="12034" width="28.28515625" style="957" customWidth="1"/>
    <col min="12035" max="12035" width="9.7109375" style="957" customWidth="1"/>
    <col min="12036" max="12036" width="9.42578125" style="957" customWidth="1"/>
    <col min="12037" max="12037" width="9.140625" style="957" customWidth="1"/>
    <col min="12038" max="12038" width="9.5703125" style="957" customWidth="1"/>
    <col min="12039" max="12039" width="9.42578125" style="957" customWidth="1"/>
    <col min="12040" max="12040" width="8.7109375" style="957" customWidth="1"/>
    <col min="12041" max="12041" width="8.140625" style="957" customWidth="1"/>
    <col min="12042" max="12042" width="8.28515625" style="957" customWidth="1"/>
    <col min="12043" max="12043" width="7.140625" style="957" customWidth="1"/>
    <col min="12044" max="12046" width="7" style="957" bestFit="1" customWidth="1"/>
    <col min="12047" max="12047" width="8" style="957" customWidth="1"/>
    <col min="12048" max="12288" width="9.140625" style="957"/>
    <col min="12289" max="12289" width="4.28515625" style="957" customWidth="1"/>
    <col min="12290" max="12290" width="28.28515625" style="957" customWidth="1"/>
    <col min="12291" max="12291" width="9.7109375" style="957" customWidth="1"/>
    <col min="12292" max="12292" width="9.42578125" style="957" customWidth="1"/>
    <col min="12293" max="12293" width="9.140625" style="957" customWidth="1"/>
    <col min="12294" max="12294" width="9.5703125" style="957" customWidth="1"/>
    <col min="12295" max="12295" width="9.42578125" style="957" customWidth="1"/>
    <col min="12296" max="12296" width="8.7109375" style="957" customWidth="1"/>
    <col min="12297" max="12297" width="8.140625" style="957" customWidth="1"/>
    <col min="12298" max="12298" width="8.28515625" style="957" customWidth="1"/>
    <col min="12299" max="12299" width="7.140625" style="957" customWidth="1"/>
    <col min="12300" max="12302" width="7" style="957" bestFit="1" customWidth="1"/>
    <col min="12303" max="12303" width="8" style="957" customWidth="1"/>
    <col min="12304" max="12544" width="9.140625" style="957"/>
    <col min="12545" max="12545" width="4.28515625" style="957" customWidth="1"/>
    <col min="12546" max="12546" width="28.28515625" style="957" customWidth="1"/>
    <col min="12547" max="12547" width="9.7109375" style="957" customWidth="1"/>
    <col min="12548" max="12548" width="9.42578125" style="957" customWidth="1"/>
    <col min="12549" max="12549" width="9.140625" style="957" customWidth="1"/>
    <col min="12550" max="12550" width="9.5703125" style="957" customWidth="1"/>
    <col min="12551" max="12551" width="9.42578125" style="957" customWidth="1"/>
    <col min="12552" max="12552" width="8.7109375" style="957" customWidth="1"/>
    <col min="12553" max="12553" width="8.140625" style="957" customWidth="1"/>
    <col min="12554" max="12554" width="8.28515625" style="957" customWidth="1"/>
    <col min="12555" max="12555" width="7.140625" style="957" customWidth="1"/>
    <col min="12556" max="12558" width="7" style="957" bestFit="1" customWidth="1"/>
    <col min="12559" max="12559" width="8" style="957" customWidth="1"/>
    <col min="12560" max="12800" width="9.140625" style="957"/>
    <col min="12801" max="12801" width="4.28515625" style="957" customWidth="1"/>
    <col min="12802" max="12802" width="28.28515625" style="957" customWidth="1"/>
    <col min="12803" max="12803" width="9.7109375" style="957" customWidth="1"/>
    <col min="12804" max="12804" width="9.42578125" style="957" customWidth="1"/>
    <col min="12805" max="12805" width="9.140625" style="957" customWidth="1"/>
    <col min="12806" max="12806" width="9.5703125" style="957" customWidth="1"/>
    <col min="12807" max="12807" width="9.42578125" style="957" customWidth="1"/>
    <col min="12808" max="12808" width="8.7109375" style="957" customWidth="1"/>
    <col min="12809" max="12809" width="8.140625" style="957" customWidth="1"/>
    <col min="12810" max="12810" width="8.28515625" style="957" customWidth="1"/>
    <col min="12811" max="12811" width="7.140625" style="957" customWidth="1"/>
    <col min="12812" max="12814" width="7" style="957" bestFit="1" customWidth="1"/>
    <col min="12815" max="12815" width="8" style="957" customWidth="1"/>
    <col min="12816" max="13056" width="9.140625" style="957"/>
    <col min="13057" max="13057" width="4.28515625" style="957" customWidth="1"/>
    <col min="13058" max="13058" width="28.28515625" style="957" customWidth="1"/>
    <col min="13059" max="13059" width="9.7109375" style="957" customWidth="1"/>
    <col min="13060" max="13060" width="9.42578125" style="957" customWidth="1"/>
    <col min="13061" max="13061" width="9.140625" style="957" customWidth="1"/>
    <col min="13062" max="13062" width="9.5703125" style="957" customWidth="1"/>
    <col min="13063" max="13063" width="9.42578125" style="957" customWidth="1"/>
    <col min="13064" max="13064" width="8.7109375" style="957" customWidth="1"/>
    <col min="13065" max="13065" width="8.140625" style="957" customWidth="1"/>
    <col min="13066" max="13066" width="8.28515625" style="957" customWidth="1"/>
    <col min="13067" max="13067" width="7.140625" style="957" customWidth="1"/>
    <col min="13068" max="13070" width="7" style="957" bestFit="1" customWidth="1"/>
    <col min="13071" max="13071" width="8" style="957" customWidth="1"/>
    <col min="13072" max="13312" width="9.140625" style="957"/>
    <col min="13313" max="13313" width="4.28515625" style="957" customWidth="1"/>
    <col min="13314" max="13314" width="28.28515625" style="957" customWidth="1"/>
    <col min="13315" max="13315" width="9.7109375" style="957" customWidth="1"/>
    <col min="13316" max="13316" width="9.42578125" style="957" customWidth="1"/>
    <col min="13317" max="13317" width="9.140625" style="957" customWidth="1"/>
    <col min="13318" max="13318" width="9.5703125" style="957" customWidth="1"/>
    <col min="13319" max="13319" width="9.42578125" style="957" customWidth="1"/>
    <col min="13320" max="13320" width="8.7109375" style="957" customWidth="1"/>
    <col min="13321" max="13321" width="8.140625" style="957" customWidth="1"/>
    <col min="13322" max="13322" width="8.28515625" style="957" customWidth="1"/>
    <col min="13323" max="13323" width="7.140625" style="957" customWidth="1"/>
    <col min="13324" max="13326" width="7" style="957" bestFit="1" customWidth="1"/>
    <col min="13327" max="13327" width="8" style="957" customWidth="1"/>
    <col min="13328" max="13568" width="9.140625" style="957"/>
    <col min="13569" max="13569" width="4.28515625" style="957" customWidth="1"/>
    <col min="13570" max="13570" width="28.28515625" style="957" customWidth="1"/>
    <col min="13571" max="13571" width="9.7109375" style="957" customWidth="1"/>
    <col min="13572" max="13572" width="9.42578125" style="957" customWidth="1"/>
    <col min="13573" max="13573" width="9.140625" style="957" customWidth="1"/>
    <col min="13574" max="13574" width="9.5703125" style="957" customWidth="1"/>
    <col min="13575" max="13575" width="9.42578125" style="957" customWidth="1"/>
    <col min="13576" max="13576" width="8.7109375" style="957" customWidth="1"/>
    <col min="13577" max="13577" width="8.140625" style="957" customWidth="1"/>
    <col min="13578" max="13578" width="8.28515625" style="957" customWidth="1"/>
    <col min="13579" max="13579" width="7.140625" style="957" customWidth="1"/>
    <col min="13580" max="13582" width="7" style="957" bestFit="1" customWidth="1"/>
    <col min="13583" max="13583" width="8" style="957" customWidth="1"/>
    <col min="13584" max="13824" width="9.140625" style="957"/>
    <col min="13825" max="13825" width="4.28515625" style="957" customWidth="1"/>
    <col min="13826" max="13826" width="28.28515625" style="957" customWidth="1"/>
    <col min="13827" max="13827" width="9.7109375" style="957" customWidth="1"/>
    <col min="13828" max="13828" width="9.42578125" style="957" customWidth="1"/>
    <col min="13829" max="13829" width="9.140625" style="957" customWidth="1"/>
    <col min="13830" max="13830" width="9.5703125" style="957" customWidth="1"/>
    <col min="13831" max="13831" width="9.42578125" style="957" customWidth="1"/>
    <col min="13832" max="13832" width="8.7109375" style="957" customWidth="1"/>
    <col min="13833" max="13833" width="8.140625" style="957" customWidth="1"/>
    <col min="13834" max="13834" width="8.28515625" style="957" customWidth="1"/>
    <col min="13835" max="13835" width="7.140625" style="957" customWidth="1"/>
    <col min="13836" max="13838" width="7" style="957" bestFit="1" customWidth="1"/>
    <col min="13839" max="13839" width="8" style="957" customWidth="1"/>
    <col min="13840" max="14080" width="9.140625" style="957"/>
    <col min="14081" max="14081" width="4.28515625" style="957" customWidth="1"/>
    <col min="14082" max="14082" width="28.28515625" style="957" customWidth="1"/>
    <col min="14083" max="14083" width="9.7109375" style="957" customWidth="1"/>
    <col min="14084" max="14084" width="9.42578125" style="957" customWidth="1"/>
    <col min="14085" max="14085" width="9.140625" style="957" customWidth="1"/>
    <col min="14086" max="14086" width="9.5703125" style="957" customWidth="1"/>
    <col min="14087" max="14087" width="9.42578125" style="957" customWidth="1"/>
    <col min="14088" max="14088" width="8.7109375" style="957" customWidth="1"/>
    <col min="14089" max="14089" width="8.140625" style="957" customWidth="1"/>
    <col min="14090" max="14090" width="8.28515625" style="957" customWidth="1"/>
    <col min="14091" max="14091" width="7.140625" style="957" customWidth="1"/>
    <col min="14092" max="14094" width="7" style="957" bestFit="1" customWidth="1"/>
    <col min="14095" max="14095" width="8" style="957" customWidth="1"/>
    <col min="14096" max="14336" width="9.140625" style="957"/>
    <col min="14337" max="14337" width="4.28515625" style="957" customWidth="1"/>
    <col min="14338" max="14338" width="28.28515625" style="957" customWidth="1"/>
    <col min="14339" max="14339" width="9.7109375" style="957" customWidth="1"/>
    <col min="14340" max="14340" width="9.42578125" style="957" customWidth="1"/>
    <col min="14341" max="14341" width="9.140625" style="957" customWidth="1"/>
    <col min="14342" max="14342" width="9.5703125" style="957" customWidth="1"/>
    <col min="14343" max="14343" width="9.42578125" style="957" customWidth="1"/>
    <col min="14344" max="14344" width="8.7109375" style="957" customWidth="1"/>
    <col min="14345" max="14345" width="8.140625" style="957" customWidth="1"/>
    <col min="14346" max="14346" width="8.28515625" style="957" customWidth="1"/>
    <col min="14347" max="14347" width="7.140625" style="957" customWidth="1"/>
    <col min="14348" max="14350" width="7" style="957" bestFit="1" customWidth="1"/>
    <col min="14351" max="14351" width="8" style="957" customWidth="1"/>
    <col min="14352" max="14592" width="9.140625" style="957"/>
    <col min="14593" max="14593" width="4.28515625" style="957" customWidth="1"/>
    <col min="14594" max="14594" width="28.28515625" style="957" customWidth="1"/>
    <col min="14595" max="14595" width="9.7109375" style="957" customWidth="1"/>
    <col min="14596" max="14596" width="9.42578125" style="957" customWidth="1"/>
    <col min="14597" max="14597" width="9.140625" style="957" customWidth="1"/>
    <col min="14598" max="14598" width="9.5703125" style="957" customWidth="1"/>
    <col min="14599" max="14599" width="9.42578125" style="957" customWidth="1"/>
    <col min="14600" max="14600" width="8.7109375" style="957" customWidth="1"/>
    <col min="14601" max="14601" width="8.140625" style="957" customWidth="1"/>
    <col min="14602" max="14602" width="8.28515625" style="957" customWidth="1"/>
    <col min="14603" max="14603" width="7.140625" style="957" customWidth="1"/>
    <col min="14604" max="14606" width="7" style="957" bestFit="1" customWidth="1"/>
    <col min="14607" max="14607" width="8" style="957" customWidth="1"/>
    <col min="14608" max="14848" width="9.140625" style="957"/>
    <col min="14849" max="14849" width="4.28515625" style="957" customWidth="1"/>
    <col min="14850" max="14850" width="28.28515625" style="957" customWidth="1"/>
    <col min="14851" max="14851" width="9.7109375" style="957" customWidth="1"/>
    <col min="14852" max="14852" width="9.42578125" style="957" customWidth="1"/>
    <col min="14853" max="14853" width="9.140625" style="957" customWidth="1"/>
    <col min="14854" max="14854" width="9.5703125" style="957" customWidth="1"/>
    <col min="14855" max="14855" width="9.42578125" style="957" customWidth="1"/>
    <col min="14856" max="14856" width="8.7109375" style="957" customWidth="1"/>
    <col min="14857" max="14857" width="8.140625" style="957" customWidth="1"/>
    <col min="14858" max="14858" width="8.28515625" style="957" customWidth="1"/>
    <col min="14859" max="14859" width="7.140625" style="957" customWidth="1"/>
    <col min="14860" max="14862" width="7" style="957" bestFit="1" customWidth="1"/>
    <col min="14863" max="14863" width="8" style="957" customWidth="1"/>
    <col min="14864" max="15104" width="9.140625" style="957"/>
    <col min="15105" max="15105" width="4.28515625" style="957" customWidth="1"/>
    <col min="15106" max="15106" width="28.28515625" style="957" customWidth="1"/>
    <col min="15107" max="15107" width="9.7109375" style="957" customWidth="1"/>
    <col min="15108" max="15108" width="9.42578125" style="957" customWidth="1"/>
    <col min="15109" max="15109" width="9.140625" style="957" customWidth="1"/>
    <col min="15110" max="15110" width="9.5703125" style="957" customWidth="1"/>
    <col min="15111" max="15111" width="9.42578125" style="957" customWidth="1"/>
    <col min="15112" max="15112" width="8.7109375" style="957" customWidth="1"/>
    <col min="15113" max="15113" width="8.140625" style="957" customWidth="1"/>
    <col min="15114" max="15114" width="8.28515625" style="957" customWidth="1"/>
    <col min="15115" max="15115" width="7.140625" style="957" customWidth="1"/>
    <col min="15116" max="15118" width="7" style="957" bestFit="1" customWidth="1"/>
    <col min="15119" max="15119" width="8" style="957" customWidth="1"/>
    <col min="15120" max="15360" width="9.140625" style="957"/>
    <col min="15361" max="15361" width="4.28515625" style="957" customWidth="1"/>
    <col min="15362" max="15362" width="28.28515625" style="957" customWidth="1"/>
    <col min="15363" max="15363" width="9.7109375" style="957" customWidth="1"/>
    <col min="15364" max="15364" width="9.42578125" style="957" customWidth="1"/>
    <col min="15365" max="15365" width="9.140625" style="957" customWidth="1"/>
    <col min="15366" max="15366" width="9.5703125" style="957" customWidth="1"/>
    <col min="15367" max="15367" width="9.42578125" style="957" customWidth="1"/>
    <col min="15368" max="15368" width="8.7109375" style="957" customWidth="1"/>
    <col min="15369" max="15369" width="8.140625" style="957" customWidth="1"/>
    <col min="15370" max="15370" width="8.28515625" style="957" customWidth="1"/>
    <col min="15371" max="15371" width="7.140625" style="957" customWidth="1"/>
    <col min="15372" max="15374" width="7" style="957" bestFit="1" customWidth="1"/>
    <col min="15375" max="15375" width="8" style="957" customWidth="1"/>
    <col min="15376" max="15616" width="9.140625" style="957"/>
    <col min="15617" max="15617" width="4.28515625" style="957" customWidth="1"/>
    <col min="15618" max="15618" width="28.28515625" style="957" customWidth="1"/>
    <col min="15619" max="15619" width="9.7109375" style="957" customWidth="1"/>
    <col min="15620" max="15620" width="9.42578125" style="957" customWidth="1"/>
    <col min="15621" max="15621" width="9.140625" style="957" customWidth="1"/>
    <col min="15622" max="15622" width="9.5703125" style="957" customWidth="1"/>
    <col min="15623" max="15623" width="9.42578125" style="957" customWidth="1"/>
    <col min="15624" max="15624" width="8.7109375" style="957" customWidth="1"/>
    <col min="15625" max="15625" width="8.140625" style="957" customWidth="1"/>
    <col min="15626" max="15626" width="8.28515625" style="957" customWidth="1"/>
    <col min="15627" max="15627" width="7.140625" style="957" customWidth="1"/>
    <col min="15628" max="15630" width="7" style="957" bestFit="1" customWidth="1"/>
    <col min="15631" max="15631" width="8" style="957" customWidth="1"/>
    <col min="15632" max="15872" width="9.140625" style="957"/>
    <col min="15873" max="15873" width="4.28515625" style="957" customWidth="1"/>
    <col min="15874" max="15874" width="28.28515625" style="957" customWidth="1"/>
    <col min="15875" max="15875" width="9.7109375" style="957" customWidth="1"/>
    <col min="15876" max="15876" width="9.42578125" style="957" customWidth="1"/>
    <col min="15877" max="15877" width="9.140625" style="957" customWidth="1"/>
    <col min="15878" max="15878" width="9.5703125" style="957" customWidth="1"/>
    <col min="15879" max="15879" width="9.42578125" style="957" customWidth="1"/>
    <col min="15880" max="15880" width="8.7109375" style="957" customWidth="1"/>
    <col min="15881" max="15881" width="8.140625" style="957" customWidth="1"/>
    <col min="15882" max="15882" width="8.28515625" style="957" customWidth="1"/>
    <col min="15883" max="15883" width="7.140625" style="957" customWidth="1"/>
    <col min="15884" max="15886" width="7" style="957" bestFit="1" customWidth="1"/>
    <col min="15887" max="15887" width="8" style="957" customWidth="1"/>
    <col min="15888" max="16128" width="9.140625" style="957"/>
    <col min="16129" max="16129" width="4.28515625" style="957" customWidth="1"/>
    <col min="16130" max="16130" width="28.28515625" style="957" customWidth="1"/>
    <col min="16131" max="16131" width="9.7109375" style="957" customWidth="1"/>
    <col min="16132" max="16132" width="9.42578125" style="957" customWidth="1"/>
    <col min="16133" max="16133" width="9.140625" style="957" customWidth="1"/>
    <col min="16134" max="16134" width="9.5703125" style="957" customWidth="1"/>
    <col min="16135" max="16135" width="9.42578125" style="957" customWidth="1"/>
    <col min="16136" max="16136" width="8.7109375" style="957" customWidth="1"/>
    <col min="16137" max="16137" width="8.140625" style="957" customWidth="1"/>
    <col min="16138" max="16138" width="8.28515625" style="957" customWidth="1"/>
    <col min="16139" max="16139" width="7.140625" style="957" customWidth="1"/>
    <col min="16140" max="16142" width="7" style="957" bestFit="1" customWidth="1"/>
    <col min="16143" max="16143" width="8" style="957" customWidth="1"/>
    <col min="16144" max="16384" width="9.140625" style="957"/>
  </cols>
  <sheetData>
    <row r="1" spans="1:41" ht="15.75" x14ac:dyDescent="0.2">
      <c r="A1" s="953" t="s">
        <v>644</v>
      </c>
      <c r="B1" s="954"/>
      <c r="C1" s="955"/>
      <c r="D1" s="954"/>
      <c r="E1" s="954"/>
      <c r="F1" s="955"/>
      <c r="G1" s="955"/>
      <c r="H1" s="954"/>
      <c r="I1" s="954"/>
      <c r="J1" s="954"/>
      <c r="K1" s="956"/>
    </row>
    <row r="2" spans="1:41" ht="15.75" customHeight="1" thickBot="1" x14ac:dyDescent="0.25">
      <c r="A2" s="954"/>
      <c r="B2" s="954"/>
      <c r="C2" s="3232" t="s">
        <v>645</v>
      </c>
      <c r="D2" s="3232"/>
      <c r="E2" s="3232"/>
      <c r="F2" s="3232"/>
      <c r="G2" s="3232"/>
      <c r="H2" s="3232"/>
      <c r="I2" s="958"/>
      <c r="J2" s="959"/>
      <c r="L2" s="960"/>
      <c r="M2" s="961"/>
      <c r="N2" s="956"/>
      <c r="O2" s="956"/>
    </row>
    <row r="3" spans="1:41" ht="15" customHeight="1" thickBot="1" x14ac:dyDescent="0.25">
      <c r="A3" s="3233"/>
      <c r="B3" s="3234"/>
      <c r="C3" s="3235" t="s">
        <v>646</v>
      </c>
      <c r="D3" s="3236"/>
      <c r="E3" s="3236"/>
      <c r="F3" s="3237"/>
      <c r="G3" s="962" t="s">
        <v>197</v>
      </c>
      <c r="H3" s="963" t="s">
        <v>197</v>
      </c>
      <c r="L3" s="964"/>
      <c r="M3" s="964"/>
    </row>
    <row r="4" spans="1:41" ht="26.25" customHeight="1" thickBot="1" x14ac:dyDescent="0.25">
      <c r="A4" s="965"/>
      <c r="B4" s="966"/>
      <c r="C4" s="967" t="s">
        <v>647</v>
      </c>
      <c r="D4" s="967" t="s">
        <v>648</v>
      </c>
      <c r="E4" s="967" t="s">
        <v>649</v>
      </c>
      <c r="F4" s="967" t="s">
        <v>650</v>
      </c>
      <c r="G4" s="968">
        <v>42461</v>
      </c>
      <c r="H4" s="969">
        <v>42491</v>
      </c>
      <c r="L4" s="964"/>
      <c r="M4" s="964"/>
      <c r="N4" s="970"/>
      <c r="O4" s="970"/>
      <c r="P4" s="970"/>
      <c r="Q4" s="970"/>
      <c r="R4" s="970"/>
      <c r="S4" s="970"/>
      <c r="T4" s="970"/>
      <c r="U4" s="970"/>
      <c r="V4" s="970"/>
      <c r="W4" s="970"/>
      <c r="X4" s="970"/>
      <c r="Y4" s="970"/>
      <c r="Z4" s="970"/>
      <c r="AA4" s="970"/>
      <c r="AB4" s="970"/>
      <c r="AC4" s="970"/>
    </row>
    <row r="5" spans="1:41" ht="7.5" customHeight="1" x14ac:dyDescent="0.2">
      <c r="A5" s="971"/>
      <c r="B5" s="972"/>
      <c r="C5" s="973" t="s">
        <v>25</v>
      </c>
      <c r="D5" s="973"/>
      <c r="E5" s="974"/>
      <c r="F5" s="975"/>
      <c r="G5" s="976"/>
      <c r="H5" s="977"/>
      <c r="L5" s="964"/>
      <c r="M5" s="964"/>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970"/>
    </row>
    <row r="6" spans="1:41" ht="16.5" customHeight="1" x14ac:dyDescent="0.2">
      <c r="A6" s="978">
        <v>1</v>
      </c>
      <c r="B6" s="979" t="s">
        <v>651</v>
      </c>
      <c r="C6" s="980">
        <v>800</v>
      </c>
      <c r="D6" s="981">
        <v>800</v>
      </c>
      <c r="E6" s="981">
        <v>900</v>
      </c>
      <c r="F6" s="980">
        <v>1400</v>
      </c>
      <c r="G6" s="982">
        <v>4600</v>
      </c>
      <c r="H6" s="983">
        <f>SUM(C6:F6)</f>
        <v>3900</v>
      </c>
      <c r="L6" s="964"/>
      <c r="M6" s="964"/>
      <c r="N6" s="984"/>
      <c r="O6" s="984"/>
    </row>
    <row r="7" spans="1:41" ht="16.5" customHeight="1" x14ac:dyDescent="0.2">
      <c r="A7" s="978">
        <v>2</v>
      </c>
      <c r="B7" s="979" t="s">
        <v>652</v>
      </c>
      <c r="C7" s="980">
        <v>2350</v>
      </c>
      <c r="D7" s="981">
        <v>3340</v>
      </c>
      <c r="E7" s="981">
        <v>3335</v>
      </c>
      <c r="F7" s="980">
        <v>5635</v>
      </c>
      <c r="G7" s="982">
        <v>9060</v>
      </c>
      <c r="H7" s="983">
        <f t="shared" ref="H7:H10" si="0">SUM(C7:F7)</f>
        <v>14660</v>
      </c>
      <c r="L7" s="964"/>
      <c r="M7" s="964"/>
      <c r="N7" s="984"/>
      <c r="O7" s="984"/>
    </row>
    <row r="8" spans="1:41" ht="16.5" customHeight="1" x14ac:dyDescent="0.2">
      <c r="A8" s="978">
        <v>3</v>
      </c>
      <c r="B8" s="985" t="s">
        <v>653</v>
      </c>
      <c r="C8" s="980">
        <v>800</v>
      </c>
      <c r="D8" s="981">
        <v>800</v>
      </c>
      <c r="E8" s="981">
        <v>900</v>
      </c>
      <c r="F8" s="980">
        <v>1400</v>
      </c>
      <c r="G8" s="982">
        <v>4600</v>
      </c>
      <c r="H8" s="983">
        <f t="shared" si="0"/>
        <v>3900</v>
      </c>
      <c r="L8" s="964"/>
      <c r="M8" s="986"/>
    </row>
    <row r="9" spans="1:41" ht="16.5" customHeight="1" x14ac:dyDescent="0.2">
      <c r="A9" s="978">
        <v>4</v>
      </c>
      <c r="B9" s="979" t="s">
        <v>654</v>
      </c>
      <c r="C9" s="987">
        <v>1875.2</v>
      </c>
      <c r="D9" s="988">
        <v>1047</v>
      </c>
      <c r="E9" s="989">
        <v>1150.8</v>
      </c>
      <c r="F9" s="987">
        <v>2042.8</v>
      </c>
      <c r="G9" s="990">
        <v>4061.2</v>
      </c>
      <c r="H9" s="991">
        <f t="shared" si="0"/>
        <v>6115.8</v>
      </c>
      <c r="L9" s="964"/>
      <c r="M9" s="984"/>
      <c r="N9" s="984"/>
      <c r="O9" s="984"/>
    </row>
    <row r="10" spans="1:41" ht="16.5" customHeight="1" x14ac:dyDescent="0.2">
      <c r="A10" s="978">
        <v>5</v>
      </c>
      <c r="B10" s="979" t="s">
        <v>655</v>
      </c>
      <c r="C10" s="992">
        <f>C8-C9</f>
        <v>-1075.2</v>
      </c>
      <c r="D10" s="992">
        <f>D8-D9</f>
        <v>-247</v>
      </c>
      <c r="E10" s="992">
        <f t="shared" ref="E10" si="1">E8-E9</f>
        <v>-250.79999999999995</v>
      </c>
      <c r="F10" s="993">
        <f>F8-F9</f>
        <v>-642.79999999999995</v>
      </c>
      <c r="G10" s="994">
        <v>538.79999999999995</v>
      </c>
      <c r="H10" s="995">
        <f t="shared" si="0"/>
        <v>-2215.8000000000002</v>
      </c>
      <c r="L10" s="964"/>
      <c r="M10" s="964"/>
      <c r="N10" s="984"/>
      <c r="O10" s="984"/>
    </row>
    <row r="11" spans="1:41" ht="5.25" customHeight="1" thickBot="1" x14ac:dyDescent="0.25">
      <c r="A11" s="996"/>
      <c r="B11" s="997"/>
      <c r="C11" s="998"/>
      <c r="D11" s="998"/>
      <c r="E11" s="998"/>
      <c r="F11" s="999"/>
      <c r="G11" s="1000"/>
      <c r="H11" s="1001"/>
      <c r="L11" s="1002"/>
    </row>
    <row r="12" spans="1:41" s="1004" customFormat="1" ht="14.25" customHeight="1" x14ac:dyDescent="0.2">
      <c r="A12" s="1003" t="s">
        <v>239</v>
      </c>
      <c r="C12" s="1005"/>
      <c r="D12" s="1006"/>
      <c r="E12" s="1006"/>
      <c r="F12" s="1005"/>
      <c r="G12" s="1006"/>
      <c r="H12" s="1006"/>
      <c r="J12" s="1006"/>
      <c r="K12" s="1006"/>
      <c r="L12" s="1004" t="s">
        <v>25</v>
      </c>
      <c r="M12" s="1007"/>
    </row>
    <row r="13" spans="1:41" s="1004" customFormat="1" ht="13.5" x14ac:dyDescent="0.2">
      <c r="A13" s="1003" t="s">
        <v>656</v>
      </c>
      <c r="B13" s="1003"/>
      <c r="C13" s="1008"/>
      <c r="D13" s="1008"/>
      <c r="E13" s="1008"/>
      <c r="F13" s="1008"/>
      <c r="G13" s="1008"/>
      <c r="H13" s="1008"/>
    </row>
    <row r="14" spans="1:41" ht="6" customHeight="1" x14ac:dyDescent="0.2">
      <c r="D14" s="970"/>
      <c r="E14" s="970"/>
      <c r="F14" s="970"/>
      <c r="H14" s="970"/>
      <c r="I14" s="970"/>
      <c r="J14" s="970"/>
    </row>
    <row r="15" spans="1:41" ht="18.75" customHeight="1" x14ac:dyDescent="0.2">
      <c r="A15" s="953" t="s">
        <v>657</v>
      </c>
      <c r="B15" s="954"/>
      <c r="C15" s="955"/>
      <c r="D15" s="954"/>
      <c r="E15" s="954"/>
      <c r="F15" s="955"/>
      <c r="G15" s="955"/>
      <c r="H15" s="954"/>
      <c r="I15" s="954"/>
      <c r="J15" s="954"/>
      <c r="K15" s="956"/>
    </row>
    <row r="16" spans="1:41" ht="4.5" customHeight="1" thickBot="1" x14ac:dyDescent="0.25">
      <c r="F16" s="970"/>
      <c r="H16" s="970"/>
    </row>
    <row r="17" spans="1:15" ht="25.5" customHeight="1" thickBot="1" x14ac:dyDescent="0.25">
      <c r="A17" s="1009"/>
      <c r="B17" s="1010"/>
      <c r="C17" s="1011">
        <v>42125</v>
      </c>
      <c r="D17" s="1011">
        <v>42156</v>
      </c>
      <c r="E17" s="1011">
        <v>42186</v>
      </c>
      <c r="F17" s="1011">
        <v>42217</v>
      </c>
      <c r="G17" s="1011">
        <v>42248</v>
      </c>
      <c r="H17" s="1011">
        <v>42278</v>
      </c>
      <c r="I17" s="1011">
        <v>42309</v>
      </c>
      <c r="J17" s="1011">
        <v>42339</v>
      </c>
      <c r="K17" s="1011">
        <v>42370</v>
      </c>
      <c r="L17" s="1011">
        <v>42401</v>
      </c>
      <c r="M17" s="1011">
        <v>42430</v>
      </c>
      <c r="N17" s="1011">
        <v>42461</v>
      </c>
      <c r="O17" s="1011">
        <v>42491</v>
      </c>
    </row>
    <row r="18" spans="1:15" s="1013" customFormat="1" ht="18.75" customHeight="1" thickBot="1" x14ac:dyDescent="0.25">
      <c r="A18" s="1012"/>
      <c r="B18" s="3238" t="s">
        <v>658</v>
      </c>
      <c r="C18" s="3238"/>
      <c r="D18" s="3238"/>
      <c r="E18" s="3238"/>
      <c r="F18" s="3238"/>
      <c r="G18" s="3238"/>
      <c r="H18" s="3238"/>
      <c r="I18" s="3238"/>
      <c r="J18" s="3238"/>
      <c r="K18" s="3238"/>
      <c r="L18" s="3238"/>
      <c r="M18" s="3238"/>
      <c r="N18" s="3238"/>
      <c r="O18" s="3239"/>
    </row>
    <row r="19" spans="1:15" ht="6" customHeight="1" thickTop="1" x14ac:dyDescent="0.2">
      <c r="A19" s="1014"/>
      <c r="B19" s="1015"/>
      <c r="C19" s="1016"/>
      <c r="D19" s="1016"/>
      <c r="E19" s="1016"/>
      <c r="F19" s="1016"/>
      <c r="G19" s="1016"/>
      <c r="H19" s="1016"/>
      <c r="I19" s="1016"/>
      <c r="J19" s="1016"/>
      <c r="K19" s="1016"/>
      <c r="L19" s="1016"/>
      <c r="M19" s="1016"/>
      <c r="N19" s="1016"/>
      <c r="O19" s="1016"/>
    </row>
    <row r="20" spans="1:15" ht="15.75" x14ac:dyDescent="0.2">
      <c r="A20" s="1017">
        <v>1</v>
      </c>
      <c r="B20" s="1018" t="s">
        <v>659</v>
      </c>
      <c r="C20" s="1019">
        <v>4100</v>
      </c>
      <c r="D20" s="1019">
        <v>3600</v>
      </c>
      <c r="E20" s="1019">
        <v>3600</v>
      </c>
      <c r="F20" s="1019">
        <v>2400</v>
      </c>
      <c r="G20" s="1019">
        <v>3600</v>
      </c>
      <c r="H20" s="1019">
        <v>5000</v>
      </c>
      <c r="I20" s="1019">
        <v>5400</v>
      </c>
      <c r="J20" s="1019">
        <v>5200</v>
      </c>
      <c r="K20" s="1019">
        <v>7400</v>
      </c>
      <c r="L20" s="1019">
        <v>6800</v>
      </c>
      <c r="M20" s="1019">
        <v>5800</v>
      </c>
      <c r="N20" s="1019">
        <v>4600</v>
      </c>
      <c r="O20" s="1019">
        <v>3900</v>
      </c>
    </row>
    <row r="21" spans="1:15" ht="5.25" customHeight="1" x14ac:dyDescent="0.2">
      <c r="A21" s="1020"/>
      <c r="B21" s="1018"/>
      <c r="C21" s="1021"/>
      <c r="D21" s="1021"/>
      <c r="E21" s="1021"/>
      <c r="F21" s="1021"/>
      <c r="G21" s="1021"/>
      <c r="H21" s="1021"/>
      <c r="I21" s="1021"/>
      <c r="J21" s="1021"/>
      <c r="K21" s="1021"/>
      <c r="L21" s="1021"/>
      <c r="M21" s="1021"/>
      <c r="N21" s="1021"/>
      <c r="O21" s="1021"/>
    </row>
    <row r="22" spans="1:15" ht="16.5" customHeight="1" x14ac:dyDescent="0.2">
      <c r="A22" s="1017">
        <v>2</v>
      </c>
      <c r="B22" s="1018" t="s">
        <v>660</v>
      </c>
      <c r="C22" s="1022">
        <v>12960</v>
      </c>
      <c r="D22" s="1022">
        <v>11565</v>
      </c>
      <c r="E22" s="1022">
        <v>13190</v>
      </c>
      <c r="F22" s="1022">
        <v>6400</v>
      </c>
      <c r="G22" s="1022">
        <v>8692</v>
      </c>
      <c r="H22" s="1022">
        <v>10823</v>
      </c>
      <c r="I22" s="1022">
        <v>8755</v>
      </c>
      <c r="J22" s="1022">
        <v>7570</v>
      </c>
      <c r="K22" s="1022">
        <v>22491</v>
      </c>
      <c r="L22" s="1022">
        <v>14081</v>
      </c>
      <c r="M22" s="1023">
        <v>10966</v>
      </c>
      <c r="N22" s="1023">
        <f>SUM(N23:N26)</f>
        <v>9060</v>
      </c>
      <c r="O22" s="1023">
        <v>14660</v>
      </c>
    </row>
    <row r="23" spans="1:15" ht="16.5" customHeight="1" x14ac:dyDescent="0.2">
      <c r="A23" s="1020"/>
      <c r="B23" s="1024" t="s">
        <v>661</v>
      </c>
      <c r="C23" s="981">
        <v>3110</v>
      </c>
      <c r="D23" s="981">
        <v>3685</v>
      </c>
      <c r="E23" s="981">
        <v>5235</v>
      </c>
      <c r="F23" s="981">
        <v>1355</v>
      </c>
      <c r="G23" s="981">
        <v>5057</v>
      </c>
      <c r="H23" s="981">
        <v>6283</v>
      </c>
      <c r="I23" s="981">
        <v>3665</v>
      </c>
      <c r="J23" s="981">
        <v>4805</v>
      </c>
      <c r="K23" s="981">
        <v>7350</v>
      </c>
      <c r="L23" s="981">
        <v>5646</v>
      </c>
      <c r="M23" s="981">
        <v>4505</v>
      </c>
      <c r="N23" s="981">
        <v>3825</v>
      </c>
      <c r="O23" s="981">
        <v>5695</v>
      </c>
    </row>
    <row r="24" spans="1:15" ht="16.5" customHeight="1" x14ac:dyDescent="0.2">
      <c r="A24" s="1020"/>
      <c r="B24" s="1018" t="s">
        <v>662</v>
      </c>
      <c r="C24" s="981">
        <v>2440</v>
      </c>
      <c r="D24" s="981">
        <v>5280</v>
      </c>
      <c r="E24" s="981">
        <v>2515</v>
      </c>
      <c r="F24" s="981">
        <v>3320</v>
      </c>
      <c r="G24" s="981">
        <v>1615</v>
      </c>
      <c r="H24" s="981">
        <v>1975</v>
      </c>
      <c r="I24" s="981">
        <v>2255</v>
      </c>
      <c r="J24" s="981">
        <v>1185</v>
      </c>
      <c r="K24" s="981">
        <v>6705</v>
      </c>
      <c r="L24" s="981">
        <v>3235</v>
      </c>
      <c r="M24" s="981">
        <v>3305</v>
      </c>
      <c r="N24" s="981">
        <v>2540</v>
      </c>
      <c r="O24" s="981">
        <v>5835</v>
      </c>
    </row>
    <row r="25" spans="1:15" ht="16.5" customHeight="1" x14ac:dyDescent="0.2">
      <c r="A25" s="1020"/>
      <c r="B25" s="1018" t="s">
        <v>663</v>
      </c>
      <c r="C25" s="981">
        <v>1920</v>
      </c>
      <c r="D25" s="981" t="s">
        <v>664</v>
      </c>
      <c r="E25" s="981" t="s">
        <v>664</v>
      </c>
      <c r="F25" s="981" t="s">
        <v>664</v>
      </c>
      <c r="G25" s="981" t="s">
        <v>664</v>
      </c>
      <c r="H25" s="981" t="s">
        <v>664</v>
      </c>
      <c r="I25" s="981" t="s">
        <v>664</v>
      </c>
      <c r="J25" s="981" t="s">
        <v>664</v>
      </c>
      <c r="K25" s="981" t="s">
        <v>664</v>
      </c>
      <c r="L25" s="1025" t="s">
        <v>664</v>
      </c>
      <c r="M25" s="1025" t="s">
        <v>664</v>
      </c>
      <c r="N25" s="1025" t="s">
        <v>664</v>
      </c>
      <c r="O25" s="1025" t="s">
        <v>664</v>
      </c>
    </row>
    <row r="26" spans="1:15" ht="16.5" customHeight="1" x14ac:dyDescent="0.2">
      <c r="A26" s="1020"/>
      <c r="B26" s="1018" t="s">
        <v>665</v>
      </c>
      <c r="C26" s="981">
        <v>5490</v>
      </c>
      <c r="D26" s="981">
        <v>2600</v>
      </c>
      <c r="E26" s="981">
        <v>5440</v>
      </c>
      <c r="F26" s="981">
        <v>1725</v>
      </c>
      <c r="G26" s="981">
        <v>2020</v>
      </c>
      <c r="H26" s="981">
        <v>2565</v>
      </c>
      <c r="I26" s="981">
        <v>2835</v>
      </c>
      <c r="J26" s="981">
        <v>1580</v>
      </c>
      <c r="K26" s="981">
        <v>8436</v>
      </c>
      <c r="L26" s="981">
        <v>5200</v>
      </c>
      <c r="M26" s="981">
        <v>3156</v>
      </c>
      <c r="N26" s="981">
        <v>2695</v>
      </c>
      <c r="O26" s="981">
        <v>3130</v>
      </c>
    </row>
    <row r="27" spans="1:15" ht="16.5" customHeight="1" x14ac:dyDescent="0.2">
      <c r="A27" s="1017">
        <v>3</v>
      </c>
      <c r="B27" s="1024" t="s">
        <v>666</v>
      </c>
      <c r="C27" s="1023">
        <v>4100</v>
      </c>
      <c r="D27" s="1023">
        <v>3600</v>
      </c>
      <c r="E27" s="1023">
        <v>3600</v>
      </c>
      <c r="F27" s="1023">
        <v>2400</v>
      </c>
      <c r="G27" s="1023">
        <v>3600</v>
      </c>
      <c r="H27" s="1023">
        <v>5000</v>
      </c>
      <c r="I27" s="1023">
        <v>5400</v>
      </c>
      <c r="J27" s="1023">
        <v>3680</v>
      </c>
      <c r="K27" s="1023">
        <v>7399.9999999999991</v>
      </c>
      <c r="L27" s="1023">
        <v>6800</v>
      </c>
      <c r="M27" s="1023">
        <v>5800</v>
      </c>
      <c r="N27" s="1023">
        <f>SUM(N28:N31)</f>
        <v>4600</v>
      </c>
      <c r="O27" s="1023">
        <f>SUM(O28:O31)</f>
        <v>3900</v>
      </c>
    </row>
    <row r="28" spans="1:15" ht="16.5" customHeight="1" x14ac:dyDescent="0.2">
      <c r="A28" s="1020"/>
      <c r="B28" s="1024" t="s">
        <v>661</v>
      </c>
      <c r="C28" s="981">
        <v>700</v>
      </c>
      <c r="D28" s="981">
        <v>800</v>
      </c>
      <c r="E28" s="981">
        <v>1500</v>
      </c>
      <c r="F28" s="981">
        <v>600</v>
      </c>
      <c r="G28" s="981">
        <v>2062.9</v>
      </c>
      <c r="H28" s="981">
        <v>3001.3</v>
      </c>
      <c r="I28" s="981">
        <v>2218.1999999999998</v>
      </c>
      <c r="J28" s="981">
        <v>2285.9</v>
      </c>
      <c r="K28" s="988">
        <v>2509.1</v>
      </c>
      <c r="L28" s="1026">
        <v>3033.4</v>
      </c>
      <c r="M28" s="1026">
        <v>2381.3000000000002</v>
      </c>
      <c r="N28" s="1026">
        <v>1925.8</v>
      </c>
      <c r="O28" s="1026">
        <v>1507.1</v>
      </c>
    </row>
    <row r="29" spans="1:15" ht="16.5" customHeight="1" x14ac:dyDescent="0.2">
      <c r="A29" s="1020"/>
      <c r="B29" s="1018" t="s">
        <v>662</v>
      </c>
      <c r="C29" s="981">
        <v>900</v>
      </c>
      <c r="D29" s="981">
        <v>1800</v>
      </c>
      <c r="E29" s="981">
        <v>700</v>
      </c>
      <c r="F29" s="981">
        <v>1200</v>
      </c>
      <c r="G29" s="981">
        <v>700.1</v>
      </c>
      <c r="H29" s="981">
        <v>852.1</v>
      </c>
      <c r="I29" s="981">
        <v>1382.4</v>
      </c>
      <c r="J29" s="981">
        <v>546</v>
      </c>
      <c r="K29" s="988">
        <v>2184.6999999999998</v>
      </c>
      <c r="L29" s="1026">
        <v>1250.7</v>
      </c>
      <c r="M29" s="1026">
        <v>1713.1</v>
      </c>
      <c r="N29" s="1026">
        <v>1279.4000000000001</v>
      </c>
      <c r="O29" s="1026">
        <v>1540.4</v>
      </c>
    </row>
    <row r="30" spans="1:15" ht="16.5" customHeight="1" x14ac:dyDescent="0.2">
      <c r="A30" s="1020"/>
      <c r="B30" s="1018" t="s">
        <v>663</v>
      </c>
      <c r="C30" s="981">
        <v>800</v>
      </c>
      <c r="D30" s="981" t="s">
        <v>664</v>
      </c>
      <c r="E30" s="981" t="s">
        <v>664</v>
      </c>
      <c r="F30" s="981" t="s">
        <v>664</v>
      </c>
      <c r="G30" s="981" t="s">
        <v>664</v>
      </c>
      <c r="H30" s="981" t="s">
        <v>664</v>
      </c>
      <c r="I30" s="981" t="s">
        <v>664</v>
      </c>
      <c r="J30" s="981" t="s">
        <v>664</v>
      </c>
      <c r="K30" s="988" t="s">
        <v>664</v>
      </c>
      <c r="L30" s="1026" t="s">
        <v>664</v>
      </c>
      <c r="M30" s="1025" t="s">
        <v>664</v>
      </c>
      <c r="N30" s="1025" t="s">
        <v>664</v>
      </c>
      <c r="O30" s="1025" t="s">
        <v>664</v>
      </c>
    </row>
    <row r="31" spans="1:15" ht="16.5" customHeight="1" x14ac:dyDescent="0.2">
      <c r="A31" s="1020"/>
      <c r="B31" s="1018" t="s">
        <v>665</v>
      </c>
      <c r="C31" s="981">
        <v>1700</v>
      </c>
      <c r="D31" s="981">
        <v>1000</v>
      </c>
      <c r="E31" s="981">
        <v>1400</v>
      </c>
      <c r="F31" s="981">
        <v>600</v>
      </c>
      <c r="G31" s="981">
        <v>837</v>
      </c>
      <c r="H31" s="981">
        <v>1146.5999999999999</v>
      </c>
      <c r="I31" s="981">
        <v>1799.4</v>
      </c>
      <c r="J31" s="981">
        <v>848.1</v>
      </c>
      <c r="K31" s="981">
        <v>2706.2</v>
      </c>
      <c r="L31" s="1026">
        <v>2515.9</v>
      </c>
      <c r="M31" s="1026">
        <v>1705.6</v>
      </c>
      <c r="N31" s="1026">
        <v>1394.8</v>
      </c>
      <c r="O31" s="1026">
        <v>852.5</v>
      </c>
    </row>
    <row r="32" spans="1:15" hidden="1" x14ac:dyDescent="0.2">
      <c r="A32" s="1020"/>
      <c r="B32" s="1027" t="s">
        <v>667</v>
      </c>
      <c r="C32" s="1028"/>
      <c r="D32" s="1028"/>
      <c r="E32" s="1028"/>
      <c r="F32" s="1028"/>
      <c r="G32" s="1028"/>
      <c r="H32" s="1028"/>
      <c r="I32" s="1028"/>
      <c r="J32" s="1028"/>
      <c r="K32" s="1028"/>
      <c r="L32" s="1028"/>
      <c r="M32" s="1028"/>
      <c r="N32" s="1028"/>
      <c r="O32" s="1028"/>
    </row>
    <row r="33" spans="1:15" ht="6.75" customHeight="1" thickBot="1" x14ac:dyDescent="0.25">
      <c r="A33" s="1020"/>
      <c r="B33" s="1029"/>
      <c r="C33" s="1028"/>
      <c r="D33" s="1028"/>
      <c r="E33" s="1028"/>
      <c r="F33" s="1028"/>
      <c r="G33" s="1028"/>
      <c r="H33" s="1028"/>
      <c r="I33" s="1028"/>
      <c r="J33" s="1028"/>
      <c r="K33" s="1028"/>
      <c r="L33" s="1028"/>
      <c r="M33" s="1028"/>
      <c r="N33" s="1028"/>
      <c r="O33" s="1028"/>
    </row>
    <row r="34" spans="1:15" s="1013" customFormat="1" ht="15.75" customHeight="1" thickBot="1" x14ac:dyDescent="0.25">
      <c r="A34" s="3240" t="s">
        <v>668</v>
      </c>
      <c r="B34" s="3241"/>
      <c r="C34" s="3241"/>
      <c r="D34" s="3241"/>
      <c r="E34" s="3241"/>
      <c r="F34" s="3241"/>
      <c r="G34" s="3241"/>
      <c r="H34" s="3241"/>
      <c r="I34" s="3241"/>
      <c r="J34" s="3241"/>
      <c r="K34" s="3241"/>
      <c r="L34" s="3241"/>
      <c r="M34" s="3241"/>
      <c r="N34" s="3241"/>
      <c r="O34" s="3242"/>
    </row>
    <row r="35" spans="1:15" ht="16.5" customHeight="1" x14ac:dyDescent="0.2">
      <c r="A35" s="1017">
        <v>4</v>
      </c>
      <c r="B35" s="1030" t="s">
        <v>669</v>
      </c>
      <c r="C35" s="1031"/>
      <c r="D35" s="1031"/>
      <c r="E35" s="1031"/>
      <c r="F35" s="1031"/>
      <c r="G35" s="1031"/>
      <c r="H35" s="1031"/>
      <c r="I35" s="1031"/>
      <c r="J35" s="1031"/>
      <c r="K35" s="1031"/>
      <c r="L35" s="1031"/>
      <c r="M35" s="1031"/>
      <c r="N35" s="1031"/>
      <c r="O35" s="1031"/>
    </row>
    <row r="36" spans="1:15" ht="16.5" customHeight="1" x14ac:dyDescent="0.2">
      <c r="A36" s="1020"/>
      <c r="B36" s="1032" t="s">
        <v>661</v>
      </c>
      <c r="C36" s="1033">
        <v>0.93</v>
      </c>
      <c r="D36" s="1033">
        <v>1.34</v>
      </c>
      <c r="E36" s="1033">
        <v>1.31</v>
      </c>
      <c r="F36" s="1033">
        <v>1.17</v>
      </c>
      <c r="G36" s="1033">
        <v>1.6</v>
      </c>
      <c r="H36" s="1033">
        <v>2.0499999999999998</v>
      </c>
      <c r="I36" s="1033">
        <v>2.41</v>
      </c>
      <c r="J36" s="1033">
        <v>3.29</v>
      </c>
      <c r="K36" s="1033">
        <v>2.93</v>
      </c>
      <c r="L36" s="1033">
        <v>2.36</v>
      </c>
      <c r="M36" s="1033">
        <v>2.66</v>
      </c>
      <c r="N36" s="1033">
        <v>2.75</v>
      </c>
      <c r="O36" s="1033">
        <v>2.5</v>
      </c>
    </row>
    <row r="37" spans="1:15" ht="16.5" customHeight="1" x14ac:dyDescent="0.2">
      <c r="A37" s="1020"/>
      <c r="B37" s="1034" t="s">
        <v>662</v>
      </c>
      <c r="C37" s="1035">
        <v>1.1399999999999999</v>
      </c>
      <c r="D37" s="1035">
        <v>1.74</v>
      </c>
      <c r="E37" s="1035">
        <v>1.65</v>
      </c>
      <c r="F37" s="1035">
        <v>1.67</v>
      </c>
      <c r="G37" s="1035">
        <v>1.95</v>
      </c>
      <c r="H37" s="1035">
        <v>2.27</v>
      </c>
      <c r="I37" s="1035">
        <v>2.58</v>
      </c>
      <c r="J37" s="1035">
        <v>3.44</v>
      </c>
      <c r="K37" s="1035">
        <v>3.12</v>
      </c>
      <c r="L37" s="1035">
        <v>2.52</v>
      </c>
      <c r="M37" s="1035">
        <v>2.71</v>
      </c>
      <c r="N37" s="1035">
        <v>2.84</v>
      </c>
      <c r="O37" s="1035">
        <v>2.66</v>
      </c>
    </row>
    <row r="38" spans="1:15" ht="16.5" customHeight="1" x14ac:dyDescent="0.25">
      <c r="A38" s="1020"/>
      <c r="B38" s="1034" t="s">
        <v>663</v>
      </c>
      <c r="C38" s="1035">
        <v>1.67</v>
      </c>
      <c r="D38" s="1033" t="s">
        <v>664</v>
      </c>
      <c r="E38" s="1036" t="s">
        <v>664</v>
      </c>
      <c r="F38" s="1033" t="s">
        <v>664</v>
      </c>
      <c r="G38" s="1033" t="s">
        <v>664</v>
      </c>
      <c r="H38" s="1033" t="s">
        <v>664</v>
      </c>
      <c r="I38" s="1033" t="s">
        <v>664</v>
      </c>
      <c r="J38" s="1033" t="s">
        <v>664</v>
      </c>
      <c r="K38" s="1033" t="s">
        <v>664</v>
      </c>
      <c r="L38" s="1033" t="s">
        <v>664</v>
      </c>
      <c r="M38" s="1033" t="s">
        <v>664</v>
      </c>
      <c r="N38" s="1033" t="s">
        <v>664</v>
      </c>
      <c r="O38" s="1033" t="s">
        <v>664</v>
      </c>
    </row>
    <row r="39" spans="1:15" ht="16.5" customHeight="1" x14ac:dyDescent="0.2">
      <c r="A39" s="1020"/>
      <c r="B39" s="1034" t="s">
        <v>665</v>
      </c>
      <c r="C39" s="1035">
        <v>1.7</v>
      </c>
      <c r="D39" s="1035">
        <v>2.21</v>
      </c>
      <c r="E39" s="1035">
        <v>2.38</v>
      </c>
      <c r="F39" s="1035">
        <v>2.1800000000000002</v>
      </c>
      <c r="G39" s="1035">
        <v>2.86</v>
      </c>
      <c r="H39" s="1035">
        <v>3.16</v>
      </c>
      <c r="I39" s="1035">
        <v>3.26</v>
      </c>
      <c r="J39" s="1035">
        <v>3.89</v>
      </c>
      <c r="K39" s="1035">
        <v>3.46</v>
      </c>
      <c r="L39" s="1035">
        <v>2.71</v>
      </c>
      <c r="M39" s="1035">
        <v>2.9</v>
      </c>
      <c r="N39" s="1035">
        <v>2.97</v>
      </c>
      <c r="O39" s="1035">
        <v>2.88</v>
      </c>
    </row>
    <row r="40" spans="1:15" ht="16.5" customHeight="1" x14ac:dyDescent="0.2">
      <c r="A40" s="1017">
        <v>5</v>
      </c>
      <c r="B40" s="1034" t="s">
        <v>670</v>
      </c>
      <c r="C40" s="1035">
        <v>1.44</v>
      </c>
      <c r="D40" s="1035">
        <v>1.78</v>
      </c>
      <c r="E40" s="1035">
        <v>1.79</v>
      </c>
      <c r="F40" s="1035">
        <v>1.67</v>
      </c>
      <c r="G40" s="1035">
        <v>1.96</v>
      </c>
      <c r="H40" s="1035">
        <v>2.34</v>
      </c>
      <c r="I40" s="1035">
        <v>2.74</v>
      </c>
      <c r="J40" s="1035">
        <v>3.45</v>
      </c>
      <c r="K40" s="1035">
        <v>3.18</v>
      </c>
      <c r="L40" s="1035">
        <v>2.52</v>
      </c>
      <c r="M40" s="1035">
        <v>2.75</v>
      </c>
      <c r="N40" s="1035">
        <v>2.84</v>
      </c>
      <c r="O40" s="1035">
        <v>2.65</v>
      </c>
    </row>
    <row r="41" spans="1:15" ht="6.75" customHeight="1" thickBot="1" x14ac:dyDescent="0.25">
      <c r="A41" s="1037"/>
      <c r="B41" s="1038"/>
      <c r="C41" s="1039"/>
      <c r="D41" s="1039"/>
      <c r="E41" s="1039"/>
      <c r="F41" s="1039"/>
      <c r="G41" s="1039"/>
      <c r="H41" s="1039"/>
      <c r="I41" s="1039"/>
      <c r="J41" s="1039"/>
      <c r="K41" s="1039"/>
      <c r="L41" s="1039"/>
      <c r="M41" s="1039"/>
      <c r="N41" s="1039"/>
      <c r="O41" s="1039"/>
    </row>
    <row r="42" spans="1:15" ht="17.25" customHeight="1" x14ac:dyDescent="0.2">
      <c r="A42" s="1003" t="s">
        <v>239</v>
      </c>
      <c r="B42" s="1003"/>
      <c r="C42" s="1008"/>
      <c r="D42" s="1003"/>
      <c r="E42" s="1003"/>
      <c r="F42" s="1040"/>
      <c r="G42" s="1008"/>
      <c r="H42" s="1003"/>
      <c r="I42" s="1003"/>
      <c r="J42" s="1003"/>
      <c r="K42" s="1041"/>
    </row>
    <row r="43" spans="1:15" x14ac:dyDescent="0.2">
      <c r="A43" s="1003" t="s">
        <v>656</v>
      </c>
      <c r="B43" s="1003"/>
      <c r="C43" s="1008"/>
      <c r="D43" s="1008"/>
      <c r="E43" s="1008"/>
      <c r="F43" s="1008"/>
      <c r="G43" s="1008"/>
      <c r="H43" s="1008"/>
      <c r="I43" s="1003"/>
      <c r="J43" s="1003"/>
      <c r="K43" s="1041"/>
    </row>
    <row r="44" spans="1:15" x14ac:dyDescent="0.2">
      <c r="A44" s="1003" t="s">
        <v>671</v>
      </c>
      <c r="B44" s="1003"/>
      <c r="C44" s="1008"/>
      <c r="D44" s="1008"/>
      <c r="E44" s="1008"/>
      <c r="F44" s="1008"/>
      <c r="G44" s="1008"/>
      <c r="H44" s="1008"/>
      <c r="I44" s="1003"/>
      <c r="J44" s="1003"/>
      <c r="K44" s="1041"/>
    </row>
    <row r="45" spans="1:15" x14ac:dyDescent="0.2">
      <c r="D45" s="970"/>
      <c r="E45" s="970"/>
      <c r="F45" s="970"/>
      <c r="H45" s="970"/>
    </row>
    <row r="46" spans="1:15" x14ac:dyDescent="0.2">
      <c r="D46" s="970"/>
      <c r="E46" s="970"/>
      <c r="F46" s="970"/>
      <c r="H46" s="970"/>
      <c r="I46" s="970"/>
      <c r="J46" s="970"/>
    </row>
    <row r="47" spans="1:15" x14ac:dyDescent="0.2">
      <c r="D47" s="970"/>
      <c r="E47" s="970"/>
      <c r="F47" s="970"/>
      <c r="H47" s="970"/>
      <c r="I47" s="970"/>
      <c r="J47" s="970"/>
    </row>
    <row r="48" spans="1:15" x14ac:dyDescent="0.2">
      <c r="D48" s="970"/>
      <c r="E48" s="970"/>
      <c r="F48" s="970"/>
      <c r="H48" s="970"/>
      <c r="I48" s="970"/>
      <c r="J48" s="970" t="s">
        <v>672</v>
      </c>
    </row>
    <row r="49" spans="4:10" x14ac:dyDescent="0.2">
      <c r="D49" s="970"/>
      <c r="E49" s="970"/>
      <c r="F49" s="970"/>
      <c r="H49" s="970"/>
      <c r="I49" s="970"/>
      <c r="J49" s="970"/>
    </row>
    <row r="50" spans="4:10" x14ac:dyDescent="0.2">
      <c r="D50" s="970"/>
      <c r="E50" s="970"/>
      <c r="F50" s="970"/>
      <c r="H50" s="970"/>
      <c r="I50" s="970"/>
      <c r="J50" s="970"/>
    </row>
    <row r="51" spans="4:10" x14ac:dyDescent="0.2">
      <c r="D51" s="970"/>
      <c r="E51" s="970"/>
      <c r="F51" s="970"/>
      <c r="H51" s="970"/>
      <c r="I51" s="970"/>
      <c r="J51" s="970"/>
    </row>
    <row r="52" spans="4:10" x14ac:dyDescent="0.2">
      <c r="D52" s="970"/>
      <c r="E52" s="970"/>
      <c r="F52" s="970"/>
      <c r="H52" s="970"/>
      <c r="I52" s="970"/>
      <c r="J52" s="970"/>
    </row>
    <row r="53" spans="4:10" x14ac:dyDescent="0.2">
      <c r="F53" s="970"/>
    </row>
    <row r="54" spans="4:10" x14ac:dyDescent="0.2">
      <c r="F54" s="970"/>
    </row>
    <row r="55" spans="4:10" x14ac:dyDescent="0.2">
      <c r="F55" s="970"/>
    </row>
    <row r="56" spans="4:10" x14ac:dyDescent="0.2">
      <c r="F56" s="970"/>
    </row>
    <row r="57" spans="4:10" x14ac:dyDescent="0.2">
      <c r="F57" s="970"/>
    </row>
    <row r="58" spans="4:10" x14ac:dyDescent="0.2">
      <c r="F58" s="970"/>
    </row>
    <row r="59" spans="4:10" x14ac:dyDescent="0.2">
      <c r="F59" s="970"/>
    </row>
    <row r="60" spans="4:10" x14ac:dyDescent="0.2">
      <c r="F60" s="970"/>
    </row>
    <row r="61" spans="4:10" x14ac:dyDescent="0.2">
      <c r="F61" s="970"/>
    </row>
    <row r="62" spans="4:10" x14ac:dyDescent="0.2">
      <c r="F62" s="970"/>
    </row>
  </sheetData>
  <mergeCells count="5">
    <mergeCell ref="C2:H2"/>
    <mergeCell ref="A3:B3"/>
    <mergeCell ref="C3:F3"/>
    <mergeCell ref="B18:O18"/>
    <mergeCell ref="A34:O34"/>
  </mergeCells>
  <printOptions horizontalCentered="1" verticalCentered="1"/>
  <pageMargins left="0.196850393700787" right="0.196850393700787" top="6.4960630000000005E-2" bottom="0" header="0.511811023622047" footer="0.196850393700787"/>
  <pageSetup paperSize="9" scale="8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C43" sqref="C43"/>
    </sheetView>
  </sheetViews>
  <sheetFormatPr defaultRowHeight="12.75" x14ac:dyDescent="0.2"/>
  <cols>
    <col min="1" max="1" width="34.42578125" customWidth="1"/>
    <col min="2" max="2" width="4.7109375" customWidth="1"/>
    <col min="3" max="3" width="16" customWidth="1"/>
    <col min="4" max="4" width="6.140625" customWidth="1"/>
    <col min="5" max="5" width="15.42578125" customWidth="1"/>
    <col min="6" max="6" width="7" customWidth="1"/>
    <col min="7" max="7" width="4.42578125" customWidth="1"/>
    <col min="8" max="8" width="14.42578125" bestFit="1" customWidth="1"/>
  </cols>
  <sheetData>
    <row r="1" spans="1:7" ht="15" x14ac:dyDescent="0.25">
      <c r="A1" s="20" t="s">
        <v>28</v>
      </c>
      <c r="B1" s="5"/>
      <c r="C1" s="6"/>
      <c r="D1" s="7"/>
      <c r="E1" s="6"/>
      <c r="F1" s="1"/>
      <c r="G1" s="8"/>
    </row>
    <row r="2" spans="1:7" ht="14.25" x14ac:dyDescent="0.2">
      <c r="B2" s="6"/>
      <c r="C2" s="6"/>
      <c r="D2" s="6"/>
      <c r="E2" s="6"/>
      <c r="F2" s="2"/>
      <c r="G2" s="8"/>
    </row>
    <row r="3" spans="1:7" ht="15" thickBot="1" x14ac:dyDescent="0.25">
      <c r="A3" s="26"/>
      <c r="B3" s="6"/>
      <c r="C3" s="6"/>
      <c r="D3" s="6"/>
      <c r="E3" s="57"/>
      <c r="F3" s="2"/>
      <c r="G3" s="8"/>
    </row>
    <row r="4" spans="1:7" ht="14.25" x14ac:dyDescent="0.2">
      <c r="A4" s="29"/>
      <c r="B4" s="30"/>
      <c r="C4" s="31">
        <v>42491</v>
      </c>
      <c r="D4" s="32"/>
      <c r="E4" s="31">
        <v>42461</v>
      </c>
      <c r="F4" s="33"/>
      <c r="G4" s="21"/>
    </row>
    <row r="5" spans="1:7" ht="14.25" x14ac:dyDescent="0.2">
      <c r="A5" s="34"/>
      <c r="B5" s="50"/>
      <c r="C5" s="51"/>
      <c r="D5" s="52"/>
      <c r="E5" s="59"/>
      <c r="F5" s="22"/>
      <c r="G5" s="21"/>
    </row>
    <row r="6" spans="1:7" ht="14.25" x14ac:dyDescent="0.2">
      <c r="A6" s="34"/>
      <c r="B6" s="35"/>
      <c r="C6" s="36" t="s">
        <v>19</v>
      </c>
      <c r="D6" s="35"/>
      <c r="E6" s="36" t="s">
        <v>19</v>
      </c>
      <c r="F6" s="22"/>
      <c r="G6" s="21"/>
    </row>
    <row r="7" spans="1:7" ht="14.25" x14ac:dyDescent="0.2">
      <c r="A7" s="34" t="s">
        <v>0</v>
      </c>
      <c r="B7" s="7"/>
      <c r="C7" s="37"/>
      <c r="D7" s="7"/>
      <c r="E7" s="37"/>
      <c r="F7" s="23"/>
      <c r="G7" s="21"/>
    </row>
    <row r="8" spans="1:7" ht="9" customHeight="1" x14ac:dyDescent="0.2">
      <c r="A8" s="34"/>
      <c r="B8" s="7"/>
      <c r="C8" s="37"/>
      <c r="D8" s="7"/>
      <c r="E8" s="37"/>
      <c r="F8" s="23"/>
      <c r="G8" s="24"/>
    </row>
    <row r="9" spans="1:7" ht="14.25" x14ac:dyDescent="0.2">
      <c r="A9" s="38" t="s">
        <v>21</v>
      </c>
      <c r="B9" s="7"/>
      <c r="C9" s="53">
        <v>2000000000</v>
      </c>
      <c r="D9" s="7"/>
      <c r="E9" s="53">
        <v>2000000000</v>
      </c>
      <c r="F9" s="23"/>
      <c r="G9" s="21"/>
    </row>
    <row r="10" spans="1:7" ht="14.25" x14ac:dyDescent="0.2">
      <c r="A10" s="38" t="s">
        <v>27</v>
      </c>
      <c r="B10" s="39"/>
      <c r="C10" s="54">
        <v>21718973810.02</v>
      </c>
      <c r="D10" s="7"/>
      <c r="E10" s="54">
        <v>21718973810.02</v>
      </c>
      <c r="F10" s="23"/>
      <c r="G10" s="21"/>
    </row>
    <row r="11" spans="1:7" ht="14.25" x14ac:dyDescent="0.2">
      <c r="A11" s="38"/>
      <c r="B11" s="7"/>
      <c r="C11" s="53">
        <v>23718973810.02</v>
      </c>
      <c r="D11" s="7"/>
      <c r="E11" s="53">
        <v>23718973810.02</v>
      </c>
      <c r="F11" s="23"/>
      <c r="G11" s="24"/>
    </row>
    <row r="12" spans="1:7" ht="14.25" customHeight="1" x14ac:dyDescent="0.25">
      <c r="A12" s="38" t="s">
        <v>26</v>
      </c>
      <c r="B12" s="40"/>
      <c r="C12" s="56">
        <v>-203749630</v>
      </c>
      <c r="D12" s="7"/>
      <c r="E12" s="56">
        <v>-727577647</v>
      </c>
      <c r="F12" s="23"/>
      <c r="G12" s="21"/>
    </row>
    <row r="13" spans="1:7" ht="14.25" customHeight="1" thickBot="1" x14ac:dyDescent="0.3">
      <c r="A13" s="41"/>
      <c r="B13" s="40"/>
      <c r="C13" s="55">
        <v>23515224180.02</v>
      </c>
      <c r="D13" s="7"/>
      <c r="E13" s="55">
        <v>22991396163.02</v>
      </c>
      <c r="F13" s="23"/>
      <c r="G13" s="24"/>
    </row>
    <row r="14" spans="1:7" ht="15" thickTop="1" x14ac:dyDescent="0.2">
      <c r="A14" s="42" t="s">
        <v>1</v>
      </c>
      <c r="B14" s="43"/>
      <c r="C14" s="44"/>
      <c r="D14" s="7"/>
      <c r="E14" s="44"/>
      <c r="F14" s="23"/>
      <c r="G14" s="21"/>
    </row>
    <row r="15" spans="1:7" ht="3.75" customHeight="1" x14ac:dyDescent="0.2">
      <c r="A15" s="38"/>
      <c r="B15" s="43"/>
      <c r="C15" s="44"/>
      <c r="D15" s="7"/>
      <c r="E15" s="44"/>
      <c r="F15" s="23"/>
      <c r="G15" s="24"/>
    </row>
    <row r="16" spans="1:7" ht="14.25" x14ac:dyDescent="0.2">
      <c r="A16" s="38" t="s">
        <v>2</v>
      </c>
      <c r="B16" s="43"/>
      <c r="C16" s="44"/>
      <c r="D16" s="27"/>
      <c r="E16" s="44"/>
      <c r="F16" s="23"/>
      <c r="G16" s="25"/>
    </row>
    <row r="17" spans="1:8" ht="14.25" x14ac:dyDescent="0.2">
      <c r="A17" s="38" t="s">
        <v>17</v>
      </c>
      <c r="B17" s="43"/>
      <c r="C17" s="13">
        <v>63528654645</v>
      </c>
      <c r="D17" s="27"/>
      <c r="E17" s="13">
        <v>64571681880</v>
      </c>
      <c r="F17" s="23"/>
      <c r="G17" s="24"/>
    </row>
    <row r="18" spans="1:8" ht="14.25" x14ac:dyDescent="0.2">
      <c r="A18" s="38" t="s">
        <v>3</v>
      </c>
      <c r="B18" s="43"/>
      <c r="C18" s="14">
        <v>4475471215</v>
      </c>
      <c r="D18" s="27"/>
      <c r="E18" s="14">
        <v>4444478586</v>
      </c>
      <c r="F18" s="23"/>
      <c r="G18" s="24"/>
    </row>
    <row r="19" spans="1:8" ht="14.25" x14ac:dyDescent="0.2">
      <c r="A19" s="38" t="s">
        <v>4</v>
      </c>
      <c r="B19" s="43"/>
      <c r="C19" s="14">
        <v>91440274827</v>
      </c>
      <c r="D19" s="27"/>
      <c r="E19" s="14">
        <v>87226838095</v>
      </c>
      <c r="F19" s="23"/>
      <c r="G19" s="24"/>
    </row>
    <row r="20" spans="1:8" ht="14.25" customHeight="1" x14ac:dyDescent="0.2">
      <c r="A20" s="38" t="s">
        <v>14</v>
      </c>
      <c r="B20" s="43"/>
      <c r="C20" s="15">
        <v>621745113</v>
      </c>
      <c r="D20" s="27"/>
      <c r="E20" s="15">
        <v>581926486</v>
      </c>
      <c r="F20" s="23"/>
      <c r="G20" s="24"/>
      <c r="H20" s="58"/>
    </row>
    <row r="21" spans="1:8" ht="14.25" x14ac:dyDescent="0.2">
      <c r="A21" s="38"/>
      <c r="B21" s="43"/>
      <c r="C21" s="17">
        <v>160066145800</v>
      </c>
      <c r="D21" s="27"/>
      <c r="E21" s="17">
        <v>156824925047</v>
      </c>
      <c r="F21" s="23"/>
      <c r="G21" s="24"/>
      <c r="H21" s="58"/>
    </row>
    <row r="22" spans="1:8" ht="14.25" x14ac:dyDescent="0.2">
      <c r="A22" s="38" t="s">
        <v>15</v>
      </c>
      <c r="B22" s="43"/>
      <c r="C22" s="16">
        <v>4493282789</v>
      </c>
      <c r="D22" s="27"/>
      <c r="E22" s="16">
        <v>4503349443</v>
      </c>
      <c r="F22" s="23"/>
      <c r="G22" s="24"/>
    </row>
    <row r="23" spans="1:8" ht="14.25" x14ac:dyDescent="0.2">
      <c r="A23" s="38" t="s">
        <v>20</v>
      </c>
      <c r="B23" s="43"/>
      <c r="C23" s="16">
        <v>1253120950</v>
      </c>
      <c r="D23" s="27"/>
      <c r="E23" s="16">
        <v>1249702763</v>
      </c>
      <c r="F23" s="23"/>
      <c r="G23" s="24"/>
    </row>
    <row r="24" spans="1:8" ht="14.25" x14ac:dyDescent="0.2">
      <c r="A24" s="38" t="s">
        <v>16</v>
      </c>
      <c r="B24" s="43"/>
      <c r="C24" s="16">
        <v>1789153191</v>
      </c>
      <c r="D24" s="27"/>
      <c r="E24" s="16">
        <v>1785887031</v>
      </c>
      <c r="F24" s="23"/>
      <c r="G24" s="24"/>
    </row>
    <row r="25" spans="1:8" ht="14.25" x14ac:dyDescent="0.2">
      <c r="A25" s="38" t="s">
        <v>23</v>
      </c>
      <c r="B25" s="43"/>
      <c r="C25" s="11">
        <v>484745785</v>
      </c>
      <c r="D25" s="27"/>
      <c r="E25" s="11">
        <v>401455565</v>
      </c>
      <c r="F25" s="23"/>
      <c r="G25" s="24"/>
      <c r="H25" s="58"/>
    </row>
    <row r="26" spans="1:8" ht="14.25" x14ac:dyDescent="0.2">
      <c r="A26" s="38"/>
      <c r="B26" s="43"/>
      <c r="C26" s="16">
        <v>168086448515</v>
      </c>
      <c r="D26" s="27"/>
      <c r="E26" s="16">
        <v>164765319849</v>
      </c>
      <c r="F26" s="23"/>
      <c r="G26" s="24"/>
    </row>
    <row r="27" spans="1:8" ht="15" customHeight="1" x14ac:dyDescent="0.2">
      <c r="A27" s="38" t="s">
        <v>5</v>
      </c>
      <c r="B27" s="43"/>
      <c r="C27" s="44"/>
      <c r="D27" s="27"/>
      <c r="E27" s="44"/>
      <c r="F27" s="23"/>
      <c r="G27" s="24"/>
    </row>
    <row r="28" spans="1:8" ht="12" customHeight="1" x14ac:dyDescent="0.2">
      <c r="A28" s="38"/>
      <c r="B28" s="43"/>
      <c r="C28" s="44"/>
      <c r="D28" s="27"/>
      <c r="E28" s="44"/>
      <c r="F28" s="23"/>
      <c r="G28" s="24"/>
    </row>
    <row r="29" spans="1:8" ht="18" customHeight="1" x14ac:dyDescent="0.2">
      <c r="A29" s="42" t="s">
        <v>6</v>
      </c>
      <c r="B29" s="43"/>
      <c r="C29" s="44"/>
      <c r="D29" s="27"/>
      <c r="E29" s="44"/>
      <c r="F29" s="23"/>
      <c r="G29" s="24"/>
    </row>
    <row r="30" spans="1:8" ht="6" customHeight="1" x14ac:dyDescent="0.2">
      <c r="A30" s="45"/>
      <c r="B30" s="43"/>
      <c r="C30" s="44"/>
      <c r="D30" s="27"/>
      <c r="E30" s="44"/>
      <c r="F30" s="23"/>
      <c r="G30" s="24"/>
    </row>
    <row r="31" spans="1:8" ht="18" customHeight="1" x14ac:dyDescent="0.2">
      <c r="A31" s="38" t="s">
        <v>7</v>
      </c>
      <c r="B31" s="43"/>
      <c r="C31" s="13">
        <v>29879906665</v>
      </c>
      <c r="D31" s="7"/>
      <c r="E31" s="13">
        <v>29758024010</v>
      </c>
      <c r="F31" s="23"/>
      <c r="G31" s="24"/>
    </row>
    <row r="32" spans="1:8" ht="15" customHeight="1" x14ac:dyDescent="0.2">
      <c r="A32" s="38" t="s">
        <v>8</v>
      </c>
      <c r="B32" s="43"/>
      <c r="C32" s="15">
        <v>929295550</v>
      </c>
      <c r="D32" s="7"/>
      <c r="E32" s="15">
        <v>927227736</v>
      </c>
      <c r="F32" s="23"/>
      <c r="G32" s="24"/>
    </row>
    <row r="33" spans="1:8" ht="15" customHeight="1" x14ac:dyDescent="0.2">
      <c r="A33" s="38"/>
      <c r="B33" s="43"/>
      <c r="C33" s="16">
        <v>30809202215</v>
      </c>
      <c r="D33" s="7"/>
      <c r="E33" s="16">
        <v>30685251746</v>
      </c>
      <c r="F33" s="23"/>
      <c r="G33" s="24"/>
      <c r="H33" s="58"/>
    </row>
    <row r="34" spans="1:8" ht="15" customHeight="1" x14ac:dyDescent="0.2">
      <c r="A34" s="38" t="s">
        <v>9</v>
      </c>
      <c r="B34" s="43"/>
      <c r="C34" s="44"/>
      <c r="D34" s="7"/>
      <c r="E34" s="44"/>
      <c r="F34" s="23"/>
      <c r="G34" s="24"/>
    </row>
    <row r="35" spans="1:8" ht="15" customHeight="1" x14ac:dyDescent="0.2">
      <c r="A35" s="38" t="s">
        <v>10</v>
      </c>
      <c r="B35" s="43"/>
      <c r="C35" s="13">
        <v>21142758083</v>
      </c>
      <c r="D35" s="7"/>
      <c r="E35" s="13">
        <v>25324959291</v>
      </c>
      <c r="F35" s="23"/>
      <c r="G35" s="24"/>
    </row>
    <row r="36" spans="1:8" ht="15" customHeight="1" x14ac:dyDescent="0.2">
      <c r="A36" s="38" t="s">
        <v>22</v>
      </c>
      <c r="B36" s="43"/>
      <c r="C36" s="14">
        <v>45411241121</v>
      </c>
      <c r="D36" s="7"/>
      <c r="E36" s="14">
        <v>36805113869</v>
      </c>
      <c r="F36" s="23"/>
      <c r="G36" s="24"/>
    </row>
    <row r="37" spans="1:8" ht="15" customHeight="1" x14ac:dyDescent="0.2">
      <c r="A37" s="38" t="s">
        <v>11</v>
      </c>
      <c r="B37" s="43"/>
      <c r="C37" s="14">
        <v>311915555</v>
      </c>
      <c r="D37" s="7"/>
      <c r="E37" s="14">
        <v>165024086</v>
      </c>
      <c r="F37" s="23"/>
      <c r="G37" s="24"/>
    </row>
    <row r="38" spans="1:8" ht="15" customHeight="1" x14ac:dyDescent="0.2">
      <c r="A38" s="38" t="s">
        <v>12</v>
      </c>
      <c r="B38" s="43"/>
      <c r="C38" s="15">
        <v>368390885</v>
      </c>
      <c r="D38" s="7"/>
      <c r="E38" s="15">
        <v>402013948</v>
      </c>
      <c r="F38" s="23"/>
      <c r="G38" s="24"/>
    </row>
    <row r="39" spans="1:8" ht="14.25" x14ac:dyDescent="0.2">
      <c r="A39" s="38"/>
      <c r="B39" s="43"/>
      <c r="C39" s="16">
        <v>67234305644</v>
      </c>
      <c r="D39" s="7"/>
      <c r="E39" s="16">
        <v>62697111194</v>
      </c>
      <c r="F39" s="23"/>
      <c r="G39" s="24"/>
      <c r="H39" s="58"/>
    </row>
    <row r="40" spans="1:8" ht="14.25" x14ac:dyDescent="0.2">
      <c r="A40" s="38" t="s">
        <v>13</v>
      </c>
      <c r="B40" s="43"/>
      <c r="C40" s="16">
        <v>33352238689</v>
      </c>
      <c r="D40" s="7"/>
      <c r="E40" s="16">
        <v>34147862303</v>
      </c>
      <c r="F40" s="23"/>
      <c r="G40" s="24"/>
    </row>
    <row r="41" spans="1:8" ht="14.25" x14ac:dyDescent="0.2">
      <c r="A41" s="38" t="s">
        <v>18</v>
      </c>
      <c r="B41" s="43"/>
      <c r="C41" s="11">
        <v>13175477787</v>
      </c>
      <c r="D41" s="7"/>
      <c r="E41" s="11">
        <v>14243698443</v>
      </c>
      <c r="F41" s="23"/>
      <c r="G41" s="21"/>
    </row>
    <row r="42" spans="1:8" ht="20.25" customHeight="1" x14ac:dyDescent="0.2">
      <c r="A42" s="38"/>
      <c r="B42" s="7"/>
      <c r="C42" s="11">
        <v>144571224335</v>
      </c>
      <c r="D42" s="16"/>
      <c r="E42" s="11">
        <v>141773923686</v>
      </c>
      <c r="F42" s="23"/>
      <c r="G42" s="24"/>
      <c r="H42" s="58"/>
    </row>
    <row r="43" spans="1:8" ht="25.5" customHeight="1" thickBot="1" x14ac:dyDescent="0.25">
      <c r="A43" s="45"/>
      <c r="B43" s="7"/>
      <c r="C43" s="12">
        <v>23515224180</v>
      </c>
      <c r="D43" s="27"/>
      <c r="E43" s="12">
        <v>22991396163</v>
      </c>
      <c r="F43" s="23"/>
      <c r="G43" s="24"/>
      <c r="H43" s="58"/>
    </row>
    <row r="44" spans="1:8" ht="9.75" customHeight="1" thickTop="1" thickBot="1" x14ac:dyDescent="0.25">
      <c r="A44" s="46"/>
      <c r="B44" s="47"/>
      <c r="C44" s="47" t="s">
        <v>25</v>
      </c>
      <c r="D44" s="48"/>
      <c r="E44" s="47"/>
      <c r="F44" s="49"/>
      <c r="G44" s="24"/>
    </row>
    <row r="45" spans="1:8" ht="5.25" customHeight="1" x14ac:dyDescent="0.2">
      <c r="A45" s="7"/>
      <c r="B45" s="7"/>
      <c r="C45" s="7"/>
      <c r="D45" s="27"/>
      <c r="E45" s="7"/>
      <c r="F45" s="28"/>
      <c r="G45" s="10"/>
    </row>
    <row r="46" spans="1:8" ht="9.75" customHeight="1" x14ac:dyDescent="0.2">
      <c r="A46" s="7"/>
      <c r="B46" s="7"/>
      <c r="C46" s="16"/>
      <c r="D46" s="27"/>
      <c r="E46" s="7"/>
      <c r="F46" s="28"/>
      <c r="G46" s="10"/>
    </row>
    <row r="47" spans="1:8" ht="18.75" customHeight="1" x14ac:dyDescent="0.2">
      <c r="B47" s="7"/>
      <c r="C47" s="16"/>
      <c r="D47" s="27"/>
      <c r="E47" s="16"/>
      <c r="F47" s="28"/>
      <c r="G47" s="10"/>
    </row>
    <row r="48" spans="1:8" s="19" customFormat="1" x14ac:dyDescent="0.2">
      <c r="A48" s="18" t="s">
        <v>24</v>
      </c>
      <c r="B48" s="3"/>
      <c r="C48" s="4"/>
      <c r="D48" s="9"/>
      <c r="E48" s="4"/>
      <c r="F48" s="3"/>
      <c r="G48" s="10"/>
    </row>
    <row r="49" spans="1:7" s="19" customFormat="1" x14ac:dyDescent="0.2">
      <c r="A49" s="3"/>
      <c r="B49" s="3"/>
      <c r="C49" s="4"/>
      <c r="D49" s="4"/>
      <c r="E49" s="4"/>
      <c r="F49" s="3"/>
      <c r="G49" s="10"/>
    </row>
    <row r="50" spans="1:7" x14ac:dyDescent="0.2">
      <c r="A50" s="3"/>
      <c r="B50" s="3"/>
      <c r="C50" s="60"/>
      <c r="D50" s="4"/>
      <c r="E50" s="4"/>
      <c r="F50" s="3"/>
      <c r="G50" s="10"/>
    </row>
    <row r="51" spans="1:7" x14ac:dyDescent="0.2">
      <c r="A51" s="3"/>
      <c r="B51" s="3"/>
      <c r="C51" s="4"/>
      <c r="D51" s="4"/>
      <c r="E51" s="4"/>
      <c r="F51" s="3"/>
    </row>
    <row r="53" spans="1:7" ht="20.25" customHeight="1" x14ac:dyDescent="0.2">
      <c r="C53" s="8"/>
      <c r="E53" s="8"/>
    </row>
    <row r="54" spans="1:7" x14ac:dyDescent="0.2">
      <c r="C54" s="8"/>
      <c r="E54" s="8"/>
    </row>
    <row r="55" spans="1:7" x14ac:dyDescent="0.2">
      <c r="C55" s="8"/>
      <c r="E55" s="8"/>
    </row>
    <row r="56" spans="1:7" x14ac:dyDescent="0.2">
      <c r="C56" s="8"/>
      <c r="E56" s="8"/>
    </row>
  </sheetData>
  <phoneticPr fontId="0" type="noConversion"/>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52"/>
  <sheetViews>
    <sheetView showGridLines="0" topLeftCell="A31" zoomScaleNormal="100" workbookViewId="0">
      <pane xSplit="1" topLeftCell="B1" activePane="topRight" state="frozen"/>
      <selection activeCell="A13" sqref="A13"/>
      <selection pane="topRight" activeCell="F53" sqref="F53"/>
    </sheetView>
  </sheetViews>
  <sheetFormatPr defaultRowHeight="15" x14ac:dyDescent="0.2"/>
  <cols>
    <col min="1" max="1" width="3.140625" style="1046" customWidth="1"/>
    <col min="2" max="2" width="49.85546875" style="1046" customWidth="1"/>
    <col min="3" max="3" width="14.28515625" style="1046" customWidth="1"/>
    <col min="4" max="4" width="14" style="1046" customWidth="1"/>
    <col min="5" max="5" width="13.5703125" style="1046" customWidth="1"/>
    <col min="6" max="6" width="14.28515625" style="1046" customWidth="1"/>
    <col min="7" max="7" width="13.85546875" style="1046" customWidth="1"/>
    <col min="8" max="8" width="14" style="1046" customWidth="1"/>
    <col min="9" max="9" width="13.28515625" style="1046" customWidth="1"/>
    <col min="10" max="10" width="9.85546875" style="1046" customWidth="1"/>
    <col min="11" max="11" width="9.85546875" style="1046" bestFit="1" customWidth="1"/>
    <col min="12" max="12" width="9.140625" style="1046"/>
    <col min="13" max="13" width="9.42578125" style="1046" bestFit="1" customWidth="1"/>
    <col min="14" max="15" width="9.28515625" style="1046" bestFit="1" customWidth="1"/>
    <col min="16" max="18" width="9.28515625" style="1046" customWidth="1"/>
    <col min="19" max="19" width="9.28515625" style="1046" bestFit="1" customWidth="1"/>
    <col min="20" max="255" width="9.140625" style="1046"/>
    <col min="256" max="256" width="3.140625" style="1046" customWidth="1"/>
    <col min="257" max="257" width="47.7109375" style="1046" customWidth="1"/>
    <col min="258" max="258" width="12.28515625" style="1046" customWidth="1"/>
    <col min="259" max="259" width="13.140625" style="1046" customWidth="1"/>
    <col min="260" max="260" width="11.7109375" style="1046" customWidth="1"/>
    <col min="261" max="261" width="12.85546875" style="1046" customWidth="1"/>
    <col min="262" max="262" width="11.5703125" style="1046" customWidth="1"/>
    <col min="263" max="263" width="10.5703125" style="1046" customWidth="1"/>
    <col min="264" max="264" width="11.28515625" style="1046" customWidth="1"/>
    <col min="265" max="266" width="9.85546875" style="1046" customWidth="1"/>
    <col min="267" max="267" width="9.85546875" style="1046" bestFit="1" customWidth="1"/>
    <col min="268" max="268" width="9.140625" style="1046"/>
    <col min="269" max="269" width="9.42578125" style="1046" bestFit="1" customWidth="1"/>
    <col min="270" max="271" width="9.28515625" style="1046" bestFit="1" customWidth="1"/>
    <col min="272" max="274" width="9.28515625" style="1046" customWidth="1"/>
    <col min="275" max="275" width="9.28515625" style="1046" bestFit="1" customWidth="1"/>
    <col min="276" max="511" width="9.140625" style="1046"/>
    <col min="512" max="512" width="3.140625" style="1046" customWidth="1"/>
    <col min="513" max="513" width="47.7109375" style="1046" customWidth="1"/>
    <col min="514" max="514" width="12.28515625" style="1046" customWidth="1"/>
    <col min="515" max="515" width="13.140625" style="1046" customWidth="1"/>
    <col min="516" max="516" width="11.7109375" style="1046" customWidth="1"/>
    <col min="517" max="517" width="12.85546875" style="1046" customWidth="1"/>
    <col min="518" max="518" width="11.5703125" style="1046" customWidth="1"/>
    <col min="519" max="519" width="10.5703125" style="1046" customWidth="1"/>
    <col min="520" max="520" width="11.28515625" style="1046" customWidth="1"/>
    <col min="521" max="522" width="9.85546875" style="1046" customWidth="1"/>
    <col min="523" max="523" width="9.85546875" style="1046" bestFit="1" customWidth="1"/>
    <col min="524" max="524" width="9.140625" style="1046"/>
    <col min="525" max="525" width="9.42578125" style="1046" bestFit="1" customWidth="1"/>
    <col min="526" max="527" width="9.28515625" style="1046" bestFit="1" customWidth="1"/>
    <col min="528" max="530" width="9.28515625" style="1046" customWidth="1"/>
    <col min="531" max="531" width="9.28515625" style="1046" bestFit="1" customWidth="1"/>
    <col min="532" max="767" width="9.140625" style="1046"/>
    <col min="768" max="768" width="3.140625" style="1046" customWidth="1"/>
    <col min="769" max="769" width="47.7109375" style="1046" customWidth="1"/>
    <col min="770" max="770" width="12.28515625" style="1046" customWidth="1"/>
    <col min="771" max="771" width="13.140625" style="1046" customWidth="1"/>
    <col min="772" max="772" width="11.7109375" style="1046" customWidth="1"/>
    <col min="773" max="773" width="12.85546875" style="1046" customWidth="1"/>
    <col min="774" max="774" width="11.5703125" style="1046" customWidth="1"/>
    <col min="775" max="775" width="10.5703125" style="1046" customWidth="1"/>
    <col min="776" max="776" width="11.28515625" style="1046" customWidth="1"/>
    <col min="777" max="778" width="9.85546875" style="1046" customWidth="1"/>
    <col min="779" max="779" width="9.85546875" style="1046" bestFit="1" customWidth="1"/>
    <col min="780" max="780" width="9.140625" style="1046"/>
    <col min="781" max="781" width="9.42578125" style="1046" bestFit="1" customWidth="1"/>
    <col min="782" max="783" width="9.28515625" style="1046" bestFit="1" customWidth="1"/>
    <col min="784" max="786" width="9.28515625" style="1046" customWidth="1"/>
    <col min="787" max="787" width="9.28515625" style="1046" bestFit="1" customWidth="1"/>
    <col min="788" max="1023" width="9.140625" style="1046"/>
    <col min="1024" max="1024" width="3.140625" style="1046" customWidth="1"/>
    <col min="1025" max="1025" width="47.7109375" style="1046" customWidth="1"/>
    <col min="1026" max="1026" width="12.28515625" style="1046" customWidth="1"/>
    <col min="1027" max="1027" width="13.140625" style="1046" customWidth="1"/>
    <col min="1028" max="1028" width="11.7109375" style="1046" customWidth="1"/>
    <col min="1029" max="1029" width="12.85546875" style="1046" customWidth="1"/>
    <col min="1030" max="1030" width="11.5703125" style="1046" customWidth="1"/>
    <col min="1031" max="1031" width="10.5703125" style="1046" customWidth="1"/>
    <col min="1032" max="1032" width="11.28515625" style="1046" customWidth="1"/>
    <col min="1033" max="1034" width="9.85546875" style="1046" customWidth="1"/>
    <col min="1035" max="1035" width="9.85546875" style="1046" bestFit="1" customWidth="1"/>
    <col min="1036" max="1036" width="9.140625" style="1046"/>
    <col min="1037" max="1037" width="9.42578125" style="1046" bestFit="1" customWidth="1"/>
    <col min="1038" max="1039" width="9.28515625" style="1046" bestFit="1" customWidth="1"/>
    <col min="1040" max="1042" width="9.28515625" style="1046" customWidth="1"/>
    <col min="1043" max="1043" width="9.28515625" style="1046" bestFit="1" customWidth="1"/>
    <col min="1044" max="1279" width="9.140625" style="1046"/>
    <col min="1280" max="1280" width="3.140625" style="1046" customWidth="1"/>
    <col min="1281" max="1281" width="47.7109375" style="1046" customWidth="1"/>
    <col min="1282" max="1282" width="12.28515625" style="1046" customWidth="1"/>
    <col min="1283" max="1283" width="13.140625" style="1046" customWidth="1"/>
    <col min="1284" max="1284" width="11.7109375" style="1046" customWidth="1"/>
    <col min="1285" max="1285" width="12.85546875" style="1046" customWidth="1"/>
    <col min="1286" max="1286" width="11.5703125" style="1046" customWidth="1"/>
    <col min="1287" max="1287" width="10.5703125" style="1046" customWidth="1"/>
    <col min="1288" max="1288" width="11.28515625" style="1046" customWidth="1"/>
    <col min="1289" max="1290" width="9.85546875" style="1046" customWidth="1"/>
    <col min="1291" max="1291" width="9.85546875" style="1046" bestFit="1" customWidth="1"/>
    <col min="1292" max="1292" width="9.140625" style="1046"/>
    <col min="1293" max="1293" width="9.42578125" style="1046" bestFit="1" customWidth="1"/>
    <col min="1294" max="1295" width="9.28515625" style="1046" bestFit="1" customWidth="1"/>
    <col min="1296" max="1298" width="9.28515625" style="1046" customWidth="1"/>
    <col min="1299" max="1299" width="9.28515625" style="1046" bestFit="1" customWidth="1"/>
    <col min="1300" max="1535" width="9.140625" style="1046"/>
    <col min="1536" max="1536" width="3.140625" style="1046" customWidth="1"/>
    <col min="1537" max="1537" width="47.7109375" style="1046" customWidth="1"/>
    <col min="1538" max="1538" width="12.28515625" style="1046" customWidth="1"/>
    <col min="1539" max="1539" width="13.140625" style="1046" customWidth="1"/>
    <col min="1540" max="1540" width="11.7109375" style="1046" customWidth="1"/>
    <col min="1541" max="1541" width="12.85546875" style="1046" customWidth="1"/>
    <col min="1542" max="1542" width="11.5703125" style="1046" customWidth="1"/>
    <col min="1543" max="1543" width="10.5703125" style="1046" customWidth="1"/>
    <col min="1544" max="1544" width="11.28515625" style="1046" customWidth="1"/>
    <col min="1545" max="1546" width="9.85546875" style="1046" customWidth="1"/>
    <col min="1547" max="1547" width="9.85546875" style="1046" bestFit="1" customWidth="1"/>
    <col min="1548" max="1548" width="9.140625" style="1046"/>
    <col min="1549" max="1549" width="9.42578125" style="1046" bestFit="1" customWidth="1"/>
    <col min="1550" max="1551" width="9.28515625" style="1046" bestFit="1" customWidth="1"/>
    <col min="1552" max="1554" width="9.28515625" style="1046" customWidth="1"/>
    <col min="1555" max="1555" width="9.28515625" style="1046" bestFit="1" customWidth="1"/>
    <col min="1556" max="1791" width="9.140625" style="1046"/>
    <col min="1792" max="1792" width="3.140625" style="1046" customWidth="1"/>
    <col min="1793" max="1793" width="47.7109375" style="1046" customWidth="1"/>
    <col min="1794" max="1794" width="12.28515625" style="1046" customWidth="1"/>
    <col min="1795" max="1795" width="13.140625" style="1046" customWidth="1"/>
    <col min="1796" max="1796" width="11.7109375" style="1046" customWidth="1"/>
    <col min="1797" max="1797" width="12.85546875" style="1046" customWidth="1"/>
    <col min="1798" max="1798" width="11.5703125" style="1046" customWidth="1"/>
    <col min="1799" max="1799" width="10.5703125" style="1046" customWidth="1"/>
    <col min="1800" max="1800" width="11.28515625" style="1046" customWidth="1"/>
    <col min="1801" max="1802" width="9.85546875" style="1046" customWidth="1"/>
    <col min="1803" max="1803" width="9.85546875" style="1046" bestFit="1" customWidth="1"/>
    <col min="1804" max="1804" width="9.140625" style="1046"/>
    <col min="1805" max="1805" width="9.42578125" style="1046" bestFit="1" customWidth="1"/>
    <col min="1806" max="1807" width="9.28515625" style="1046" bestFit="1" customWidth="1"/>
    <col min="1808" max="1810" width="9.28515625" style="1046" customWidth="1"/>
    <col min="1811" max="1811" width="9.28515625" style="1046" bestFit="1" customWidth="1"/>
    <col min="1812" max="2047" width="9.140625" style="1046"/>
    <col min="2048" max="2048" width="3.140625" style="1046" customWidth="1"/>
    <col min="2049" max="2049" width="47.7109375" style="1046" customWidth="1"/>
    <col min="2050" max="2050" width="12.28515625" style="1046" customWidth="1"/>
    <col min="2051" max="2051" width="13.140625" style="1046" customWidth="1"/>
    <col min="2052" max="2052" width="11.7109375" style="1046" customWidth="1"/>
    <col min="2053" max="2053" width="12.85546875" style="1046" customWidth="1"/>
    <col min="2054" max="2054" width="11.5703125" style="1046" customWidth="1"/>
    <col min="2055" max="2055" width="10.5703125" style="1046" customWidth="1"/>
    <col min="2056" max="2056" width="11.28515625" style="1046" customWidth="1"/>
    <col min="2057" max="2058" width="9.85546875" style="1046" customWidth="1"/>
    <col min="2059" max="2059" width="9.85546875" style="1046" bestFit="1" customWidth="1"/>
    <col min="2060" max="2060" width="9.140625" style="1046"/>
    <col min="2061" max="2061" width="9.42578125" style="1046" bestFit="1" customWidth="1"/>
    <col min="2062" max="2063" width="9.28515625" style="1046" bestFit="1" customWidth="1"/>
    <col min="2064" max="2066" width="9.28515625" style="1046" customWidth="1"/>
    <col min="2067" max="2067" width="9.28515625" style="1046" bestFit="1" customWidth="1"/>
    <col min="2068" max="2303" width="9.140625" style="1046"/>
    <col min="2304" max="2304" width="3.140625" style="1046" customWidth="1"/>
    <col min="2305" max="2305" width="47.7109375" style="1046" customWidth="1"/>
    <col min="2306" max="2306" width="12.28515625" style="1046" customWidth="1"/>
    <col min="2307" max="2307" width="13.140625" style="1046" customWidth="1"/>
    <col min="2308" max="2308" width="11.7109375" style="1046" customWidth="1"/>
    <col min="2309" max="2309" width="12.85546875" style="1046" customWidth="1"/>
    <col min="2310" max="2310" width="11.5703125" style="1046" customWidth="1"/>
    <col min="2311" max="2311" width="10.5703125" style="1046" customWidth="1"/>
    <col min="2312" max="2312" width="11.28515625" style="1046" customWidth="1"/>
    <col min="2313" max="2314" width="9.85546875" style="1046" customWidth="1"/>
    <col min="2315" max="2315" width="9.85546875" style="1046" bestFit="1" customWidth="1"/>
    <col min="2316" max="2316" width="9.140625" style="1046"/>
    <col min="2317" max="2317" width="9.42578125" style="1046" bestFit="1" customWidth="1"/>
    <col min="2318" max="2319" width="9.28515625" style="1046" bestFit="1" customWidth="1"/>
    <col min="2320" max="2322" width="9.28515625" style="1046" customWidth="1"/>
    <col min="2323" max="2323" width="9.28515625" style="1046" bestFit="1" customWidth="1"/>
    <col min="2324" max="2559" width="9.140625" style="1046"/>
    <col min="2560" max="2560" width="3.140625" style="1046" customWidth="1"/>
    <col min="2561" max="2561" width="47.7109375" style="1046" customWidth="1"/>
    <col min="2562" max="2562" width="12.28515625" style="1046" customWidth="1"/>
    <col min="2563" max="2563" width="13.140625" style="1046" customWidth="1"/>
    <col min="2564" max="2564" width="11.7109375" style="1046" customWidth="1"/>
    <col min="2565" max="2565" width="12.85546875" style="1046" customWidth="1"/>
    <col min="2566" max="2566" width="11.5703125" style="1046" customWidth="1"/>
    <col min="2567" max="2567" width="10.5703125" style="1046" customWidth="1"/>
    <col min="2568" max="2568" width="11.28515625" style="1046" customWidth="1"/>
    <col min="2569" max="2570" width="9.85546875" style="1046" customWidth="1"/>
    <col min="2571" max="2571" width="9.85546875" style="1046" bestFit="1" customWidth="1"/>
    <col min="2572" max="2572" width="9.140625" style="1046"/>
    <col min="2573" max="2573" width="9.42578125" style="1046" bestFit="1" customWidth="1"/>
    <col min="2574" max="2575" width="9.28515625" style="1046" bestFit="1" customWidth="1"/>
    <col min="2576" max="2578" width="9.28515625" style="1046" customWidth="1"/>
    <col min="2579" max="2579" width="9.28515625" style="1046" bestFit="1" customWidth="1"/>
    <col min="2580" max="2815" width="9.140625" style="1046"/>
    <col min="2816" max="2816" width="3.140625" style="1046" customWidth="1"/>
    <col min="2817" max="2817" width="47.7109375" style="1046" customWidth="1"/>
    <col min="2818" max="2818" width="12.28515625" style="1046" customWidth="1"/>
    <col min="2819" max="2819" width="13.140625" style="1046" customWidth="1"/>
    <col min="2820" max="2820" width="11.7109375" style="1046" customWidth="1"/>
    <col min="2821" max="2821" width="12.85546875" style="1046" customWidth="1"/>
    <col min="2822" max="2822" width="11.5703125" style="1046" customWidth="1"/>
    <col min="2823" max="2823" width="10.5703125" style="1046" customWidth="1"/>
    <col min="2824" max="2824" width="11.28515625" style="1046" customWidth="1"/>
    <col min="2825" max="2826" width="9.85546875" style="1046" customWidth="1"/>
    <col min="2827" max="2827" width="9.85546875" style="1046" bestFit="1" customWidth="1"/>
    <col min="2828" max="2828" width="9.140625" style="1046"/>
    <col min="2829" max="2829" width="9.42578125" style="1046" bestFit="1" customWidth="1"/>
    <col min="2830" max="2831" width="9.28515625" style="1046" bestFit="1" customWidth="1"/>
    <col min="2832" max="2834" width="9.28515625" style="1046" customWidth="1"/>
    <col min="2835" max="2835" width="9.28515625" style="1046" bestFit="1" customWidth="1"/>
    <col min="2836" max="3071" width="9.140625" style="1046"/>
    <col min="3072" max="3072" width="3.140625" style="1046" customWidth="1"/>
    <col min="3073" max="3073" width="47.7109375" style="1046" customWidth="1"/>
    <col min="3074" max="3074" width="12.28515625" style="1046" customWidth="1"/>
    <col min="3075" max="3075" width="13.140625" style="1046" customWidth="1"/>
    <col min="3076" max="3076" width="11.7109375" style="1046" customWidth="1"/>
    <col min="3077" max="3077" width="12.85546875" style="1046" customWidth="1"/>
    <col min="3078" max="3078" width="11.5703125" style="1046" customWidth="1"/>
    <col min="3079" max="3079" width="10.5703125" style="1046" customWidth="1"/>
    <col min="3080" max="3080" width="11.28515625" style="1046" customWidth="1"/>
    <col min="3081" max="3082" width="9.85546875" style="1046" customWidth="1"/>
    <col min="3083" max="3083" width="9.85546875" style="1046" bestFit="1" customWidth="1"/>
    <col min="3084" max="3084" width="9.140625" style="1046"/>
    <col min="3085" max="3085" width="9.42578125" style="1046" bestFit="1" customWidth="1"/>
    <col min="3086" max="3087" width="9.28515625" style="1046" bestFit="1" customWidth="1"/>
    <col min="3088" max="3090" width="9.28515625" style="1046" customWidth="1"/>
    <col min="3091" max="3091" width="9.28515625" style="1046" bestFit="1" customWidth="1"/>
    <col min="3092" max="3327" width="9.140625" style="1046"/>
    <col min="3328" max="3328" width="3.140625" style="1046" customWidth="1"/>
    <col min="3329" max="3329" width="47.7109375" style="1046" customWidth="1"/>
    <col min="3330" max="3330" width="12.28515625" style="1046" customWidth="1"/>
    <col min="3331" max="3331" width="13.140625" style="1046" customWidth="1"/>
    <col min="3332" max="3332" width="11.7109375" style="1046" customWidth="1"/>
    <col min="3333" max="3333" width="12.85546875" style="1046" customWidth="1"/>
    <col min="3334" max="3334" width="11.5703125" style="1046" customWidth="1"/>
    <col min="3335" max="3335" width="10.5703125" style="1046" customWidth="1"/>
    <col min="3336" max="3336" width="11.28515625" style="1046" customWidth="1"/>
    <col min="3337" max="3338" width="9.85546875" style="1046" customWidth="1"/>
    <col min="3339" max="3339" width="9.85546875" style="1046" bestFit="1" customWidth="1"/>
    <col min="3340" max="3340" width="9.140625" style="1046"/>
    <col min="3341" max="3341" width="9.42578125" style="1046" bestFit="1" customWidth="1"/>
    <col min="3342" max="3343" width="9.28515625" style="1046" bestFit="1" customWidth="1"/>
    <col min="3344" max="3346" width="9.28515625" style="1046" customWidth="1"/>
    <col min="3347" max="3347" width="9.28515625" style="1046" bestFit="1" customWidth="1"/>
    <col min="3348" max="3583" width="9.140625" style="1046"/>
    <col min="3584" max="3584" width="3.140625" style="1046" customWidth="1"/>
    <col min="3585" max="3585" width="47.7109375" style="1046" customWidth="1"/>
    <col min="3586" max="3586" width="12.28515625" style="1046" customWidth="1"/>
    <col min="3587" max="3587" width="13.140625" style="1046" customWidth="1"/>
    <col min="3588" max="3588" width="11.7109375" style="1046" customWidth="1"/>
    <col min="3589" max="3589" width="12.85546875" style="1046" customWidth="1"/>
    <col min="3590" max="3590" width="11.5703125" style="1046" customWidth="1"/>
    <col min="3591" max="3591" width="10.5703125" style="1046" customWidth="1"/>
    <col min="3592" max="3592" width="11.28515625" style="1046" customWidth="1"/>
    <col min="3593" max="3594" width="9.85546875" style="1046" customWidth="1"/>
    <col min="3595" max="3595" width="9.85546875" style="1046" bestFit="1" customWidth="1"/>
    <col min="3596" max="3596" width="9.140625" style="1046"/>
    <col min="3597" max="3597" width="9.42578125" style="1046" bestFit="1" customWidth="1"/>
    <col min="3598" max="3599" width="9.28515625" style="1046" bestFit="1" customWidth="1"/>
    <col min="3600" max="3602" width="9.28515625" style="1046" customWidth="1"/>
    <col min="3603" max="3603" width="9.28515625" style="1046" bestFit="1" customWidth="1"/>
    <col min="3604" max="3839" width="9.140625" style="1046"/>
    <col min="3840" max="3840" width="3.140625" style="1046" customWidth="1"/>
    <col min="3841" max="3841" width="47.7109375" style="1046" customWidth="1"/>
    <col min="3842" max="3842" width="12.28515625" style="1046" customWidth="1"/>
    <col min="3843" max="3843" width="13.140625" style="1046" customWidth="1"/>
    <col min="3844" max="3844" width="11.7109375" style="1046" customWidth="1"/>
    <col min="3845" max="3845" width="12.85546875" style="1046" customWidth="1"/>
    <col min="3846" max="3846" width="11.5703125" style="1046" customWidth="1"/>
    <col min="3847" max="3847" width="10.5703125" style="1046" customWidth="1"/>
    <col min="3848" max="3848" width="11.28515625" style="1046" customWidth="1"/>
    <col min="3849" max="3850" width="9.85546875" style="1046" customWidth="1"/>
    <col min="3851" max="3851" width="9.85546875" style="1046" bestFit="1" customWidth="1"/>
    <col min="3852" max="3852" width="9.140625" style="1046"/>
    <col min="3853" max="3853" width="9.42578125" style="1046" bestFit="1" customWidth="1"/>
    <col min="3854" max="3855" width="9.28515625" style="1046" bestFit="1" customWidth="1"/>
    <col min="3856" max="3858" width="9.28515625" style="1046" customWidth="1"/>
    <col min="3859" max="3859" width="9.28515625" style="1046" bestFit="1" customWidth="1"/>
    <col min="3860" max="4095" width="9.140625" style="1046"/>
    <col min="4096" max="4096" width="3.140625" style="1046" customWidth="1"/>
    <col min="4097" max="4097" width="47.7109375" style="1046" customWidth="1"/>
    <col min="4098" max="4098" width="12.28515625" style="1046" customWidth="1"/>
    <col min="4099" max="4099" width="13.140625" style="1046" customWidth="1"/>
    <col min="4100" max="4100" width="11.7109375" style="1046" customWidth="1"/>
    <col min="4101" max="4101" width="12.85546875" style="1046" customWidth="1"/>
    <col min="4102" max="4102" width="11.5703125" style="1046" customWidth="1"/>
    <col min="4103" max="4103" width="10.5703125" style="1046" customWidth="1"/>
    <col min="4104" max="4104" width="11.28515625" style="1046" customWidth="1"/>
    <col min="4105" max="4106" width="9.85546875" style="1046" customWidth="1"/>
    <col min="4107" max="4107" width="9.85546875" style="1046" bestFit="1" customWidth="1"/>
    <col min="4108" max="4108" width="9.140625" style="1046"/>
    <col min="4109" max="4109" width="9.42578125" style="1046" bestFit="1" customWidth="1"/>
    <col min="4110" max="4111" width="9.28515625" style="1046" bestFit="1" customWidth="1"/>
    <col min="4112" max="4114" width="9.28515625" style="1046" customWidth="1"/>
    <col min="4115" max="4115" width="9.28515625" style="1046" bestFit="1" customWidth="1"/>
    <col min="4116" max="4351" width="9.140625" style="1046"/>
    <col min="4352" max="4352" width="3.140625" style="1046" customWidth="1"/>
    <col min="4353" max="4353" width="47.7109375" style="1046" customWidth="1"/>
    <col min="4354" max="4354" width="12.28515625" style="1046" customWidth="1"/>
    <col min="4355" max="4355" width="13.140625" style="1046" customWidth="1"/>
    <col min="4356" max="4356" width="11.7109375" style="1046" customWidth="1"/>
    <col min="4357" max="4357" width="12.85546875" style="1046" customWidth="1"/>
    <col min="4358" max="4358" width="11.5703125" style="1046" customWidth="1"/>
    <col min="4359" max="4359" width="10.5703125" style="1046" customWidth="1"/>
    <col min="4360" max="4360" width="11.28515625" style="1046" customWidth="1"/>
    <col min="4361" max="4362" width="9.85546875" style="1046" customWidth="1"/>
    <col min="4363" max="4363" width="9.85546875" style="1046" bestFit="1" customWidth="1"/>
    <col min="4364" max="4364" width="9.140625" style="1046"/>
    <col min="4365" max="4365" width="9.42578125" style="1046" bestFit="1" customWidth="1"/>
    <col min="4366" max="4367" width="9.28515625" style="1046" bestFit="1" customWidth="1"/>
    <col min="4368" max="4370" width="9.28515625" style="1046" customWidth="1"/>
    <col min="4371" max="4371" width="9.28515625" style="1046" bestFit="1" customWidth="1"/>
    <col min="4372" max="4607" width="9.140625" style="1046"/>
    <col min="4608" max="4608" width="3.140625" style="1046" customWidth="1"/>
    <col min="4609" max="4609" width="47.7109375" style="1046" customWidth="1"/>
    <col min="4610" max="4610" width="12.28515625" style="1046" customWidth="1"/>
    <col min="4611" max="4611" width="13.140625" style="1046" customWidth="1"/>
    <col min="4612" max="4612" width="11.7109375" style="1046" customWidth="1"/>
    <col min="4613" max="4613" width="12.85546875" style="1046" customWidth="1"/>
    <col min="4614" max="4614" width="11.5703125" style="1046" customWidth="1"/>
    <col min="4615" max="4615" width="10.5703125" style="1046" customWidth="1"/>
    <col min="4616" max="4616" width="11.28515625" style="1046" customWidth="1"/>
    <col min="4617" max="4618" width="9.85546875" style="1046" customWidth="1"/>
    <col min="4619" max="4619" width="9.85546875" style="1046" bestFit="1" customWidth="1"/>
    <col min="4620" max="4620" width="9.140625" style="1046"/>
    <col min="4621" max="4621" width="9.42578125" style="1046" bestFit="1" customWidth="1"/>
    <col min="4622" max="4623" width="9.28515625" style="1046" bestFit="1" customWidth="1"/>
    <col min="4624" max="4626" width="9.28515625" style="1046" customWidth="1"/>
    <col min="4627" max="4627" width="9.28515625" style="1046" bestFit="1" customWidth="1"/>
    <col min="4628" max="4863" width="9.140625" style="1046"/>
    <col min="4864" max="4864" width="3.140625" style="1046" customWidth="1"/>
    <col min="4865" max="4865" width="47.7109375" style="1046" customWidth="1"/>
    <col min="4866" max="4866" width="12.28515625" style="1046" customWidth="1"/>
    <col min="4867" max="4867" width="13.140625" style="1046" customWidth="1"/>
    <col min="4868" max="4868" width="11.7109375" style="1046" customWidth="1"/>
    <col min="4869" max="4869" width="12.85546875" style="1046" customWidth="1"/>
    <col min="4870" max="4870" width="11.5703125" style="1046" customWidth="1"/>
    <col min="4871" max="4871" width="10.5703125" style="1046" customWidth="1"/>
    <col min="4872" max="4872" width="11.28515625" style="1046" customWidth="1"/>
    <col min="4873" max="4874" width="9.85546875" style="1046" customWidth="1"/>
    <col min="4875" max="4875" width="9.85546875" style="1046" bestFit="1" customWidth="1"/>
    <col min="4876" max="4876" width="9.140625" style="1046"/>
    <col min="4877" max="4877" width="9.42578125" style="1046" bestFit="1" customWidth="1"/>
    <col min="4878" max="4879" width="9.28515625" style="1046" bestFit="1" customWidth="1"/>
    <col min="4880" max="4882" width="9.28515625" style="1046" customWidth="1"/>
    <col min="4883" max="4883" width="9.28515625" style="1046" bestFit="1" customWidth="1"/>
    <col min="4884" max="5119" width="9.140625" style="1046"/>
    <col min="5120" max="5120" width="3.140625" style="1046" customWidth="1"/>
    <col min="5121" max="5121" width="47.7109375" style="1046" customWidth="1"/>
    <col min="5122" max="5122" width="12.28515625" style="1046" customWidth="1"/>
    <col min="5123" max="5123" width="13.140625" style="1046" customWidth="1"/>
    <col min="5124" max="5124" width="11.7109375" style="1046" customWidth="1"/>
    <col min="5125" max="5125" width="12.85546875" style="1046" customWidth="1"/>
    <col min="5126" max="5126" width="11.5703125" style="1046" customWidth="1"/>
    <col min="5127" max="5127" width="10.5703125" style="1046" customWidth="1"/>
    <col min="5128" max="5128" width="11.28515625" style="1046" customWidth="1"/>
    <col min="5129" max="5130" width="9.85546875" style="1046" customWidth="1"/>
    <col min="5131" max="5131" width="9.85546875" style="1046" bestFit="1" customWidth="1"/>
    <col min="5132" max="5132" width="9.140625" style="1046"/>
    <col min="5133" max="5133" width="9.42578125" style="1046" bestFit="1" customWidth="1"/>
    <col min="5134" max="5135" width="9.28515625" style="1046" bestFit="1" customWidth="1"/>
    <col min="5136" max="5138" width="9.28515625" style="1046" customWidth="1"/>
    <col min="5139" max="5139" width="9.28515625" style="1046" bestFit="1" customWidth="1"/>
    <col min="5140" max="5375" width="9.140625" style="1046"/>
    <col min="5376" max="5376" width="3.140625" style="1046" customWidth="1"/>
    <col min="5377" max="5377" width="47.7109375" style="1046" customWidth="1"/>
    <col min="5378" max="5378" width="12.28515625" style="1046" customWidth="1"/>
    <col min="5379" max="5379" width="13.140625" style="1046" customWidth="1"/>
    <col min="5380" max="5380" width="11.7109375" style="1046" customWidth="1"/>
    <col min="5381" max="5381" width="12.85546875" style="1046" customWidth="1"/>
    <col min="5382" max="5382" width="11.5703125" style="1046" customWidth="1"/>
    <col min="5383" max="5383" width="10.5703125" style="1046" customWidth="1"/>
    <col min="5384" max="5384" width="11.28515625" style="1046" customWidth="1"/>
    <col min="5385" max="5386" width="9.85546875" style="1046" customWidth="1"/>
    <col min="5387" max="5387" width="9.85546875" style="1046" bestFit="1" customWidth="1"/>
    <col min="5388" max="5388" width="9.140625" style="1046"/>
    <col min="5389" max="5389" width="9.42578125" style="1046" bestFit="1" customWidth="1"/>
    <col min="5390" max="5391" width="9.28515625" style="1046" bestFit="1" customWidth="1"/>
    <col min="5392" max="5394" width="9.28515625" style="1046" customWidth="1"/>
    <col min="5395" max="5395" width="9.28515625" style="1046" bestFit="1" customWidth="1"/>
    <col min="5396" max="5631" width="9.140625" style="1046"/>
    <col min="5632" max="5632" width="3.140625" style="1046" customWidth="1"/>
    <col min="5633" max="5633" width="47.7109375" style="1046" customWidth="1"/>
    <col min="5634" max="5634" width="12.28515625" style="1046" customWidth="1"/>
    <col min="5635" max="5635" width="13.140625" style="1046" customWidth="1"/>
    <col min="5636" max="5636" width="11.7109375" style="1046" customWidth="1"/>
    <col min="5637" max="5637" width="12.85546875" style="1046" customWidth="1"/>
    <col min="5638" max="5638" width="11.5703125" style="1046" customWidth="1"/>
    <col min="5639" max="5639" width="10.5703125" style="1046" customWidth="1"/>
    <col min="5640" max="5640" width="11.28515625" style="1046" customWidth="1"/>
    <col min="5641" max="5642" width="9.85546875" style="1046" customWidth="1"/>
    <col min="5643" max="5643" width="9.85546875" style="1046" bestFit="1" customWidth="1"/>
    <col min="5644" max="5644" width="9.140625" style="1046"/>
    <col min="5645" max="5645" width="9.42578125" style="1046" bestFit="1" customWidth="1"/>
    <col min="5646" max="5647" width="9.28515625" style="1046" bestFit="1" customWidth="1"/>
    <col min="5648" max="5650" width="9.28515625" style="1046" customWidth="1"/>
    <col min="5651" max="5651" width="9.28515625" style="1046" bestFit="1" customWidth="1"/>
    <col min="5652" max="5887" width="9.140625" style="1046"/>
    <col min="5888" max="5888" width="3.140625" style="1046" customWidth="1"/>
    <col min="5889" max="5889" width="47.7109375" style="1046" customWidth="1"/>
    <col min="5890" max="5890" width="12.28515625" style="1046" customWidth="1"/>
    <col min="5891" max="5891" width="13.140625" style="1046" customWidth="1"/>
    <col min="5892" max="5892" width="11.7109375" style="1046" customWidth="1"/>
    <col min="5893" max="5893" width="12.85546875" style="1046" customWidth="1"/>
    <col min="5894" max="5894" width="11.5703125" style="1046" customWidth="1"/>
    <col min="5895" max="5895" width="10.5703125" style="1046" customWidth="1"/>
    <col min="5896" max="5896" width="11.28515625" style="1046" customWidth="1"/>
    <col min="5897" max="5898" width="9.85546875" style="1046" customWidth="1"/>
    <col min="5899" max="5899" width="9.85546875" style="1046" bestFit="1" customWidth="1"/>
    <col min="5900" max="5900" width="9.140625" style="1046"/>
    <col min="5901" max="5901" width="9.42578125" style="1046" bestFit="1" customWidth="1"/>
    <col min="5902" max="5903" width="9.28515625" style="1046" bestFit="1" customWidth="1"/>
    <col min="5904" max="5906" width="9.28515625" style="1046" customWidth="1"/>
    <col min="5907" max="5907" width="9.28515625" style="1046" bestFit="1" customWidth="1"/>
    <col min="5908" max="6143" width="9.140625" style="1046"/>
    <col min="6144" max="6144" width="3.140625" style="1046" customWidth="1"/>
    <col min="6145" max="6145" width="47.7109375" style="1046" customWidth="1"/>
    <col min="6146" max="6146" width="12.28515625" style="1046" customWidth="1"/>
    <col min="6147" max="6147" width="13.140625" style="1046" customWidth="1"/>
    <col min="6148" max="6148" width="11.7109375" style="1046" customWidth="1"/>
    <col min="6149" max="6149" width="12.85546875" style="1046" customWidth="1"/>
    <col min="6150" max="6150" width="11.5703125" style="1046" customWidth="1"/>
    <col min="6151" max="6151" width="10.5703125" style="1046" customWidth="1"/>
    <col min="6152" max="6152" width="11.28515625" style="1046" customWidth="1"/>
    <col min="6153" max="6154" width="9.85546875" style="1046" customWidth="1"/>
    <col min="6155" max="6155" width="9.85546875" style="1046" bestFit="1" customWidth="1"/>
    <col min="6156" max="6156" width="9.140625" style="1046"/>
    <col min="6157" max="6157" width="9.42578125" style="1046" bestFit="1" customWidth="1"/>
    <col min="6158" max="6159" width="9.28515625" style="1046" bestFit="1" customWidth="1"/>
    <col min="6160" max="6162" width="9.28515625" style="1046" customWidth="1"/>
    <col min="6163" max="6163" width="9.28515625" style="1046" bestFit="1" customWidth="1"/>
    <col min="6164" max="6399" width="9.140625" style="1046"/>
    <col min="6400" max="6400" width="3.140625" style="1046" customWidth="1"/>
    <col min="6401" max="6401" width="47.7109375" style="1046" customWidth="1"/>
    <col min="6402" max="6402" width="12.28515625" style="1046" customWidth="1"/>
    <col min="6403" max="6403" width="13.140625" style="1046" customWidth="1"/>
    <col min="6404" max="6404" width="11.7109375" style="1046" customWidth="1"/>
    <col min="6405" max="6405" width="12.85546875" style="1046" customWidth="1"/>
    <col min="6406" max="6406" width="11.5703125" style="1046" customWidth="1"/>
    <col min="6407" max="6407" width="10.5703125" style="1046" customWidth="1"/>
    <col min="6408" max="6408" width="11.28515625" style="1046" customWidth="1"/>
    <col min="6409" max="6410" width="9.85546875" style="1046" customWidth="1"/>
    <col min="6411" max="6411" width="9.85546875" style="1046" bestFit="1" customWidth="1"/>
    <col min="6412" max="6412" width="9.140625" style="1046"/>
    <col min="6413" max="6413" width="9.42578125" style="1046" bestFit="1" customWidth="1"/>
    <col min="6414" max="6415" width="9.28515625" style="1046" bestFit="1" customWidth="1"/>
    <col min="6416" max="6418" width="9.28515625" style="1046" customWidth="1"/>
    <col min="6419" max="6419" width="9.28515625" style="1046" bestFit="1" customWidth="1"/>
    <col min="6420" max="6655" width="9.140625" style="1046"/>
    <col min="6656" max="6656" width="3.140625" style="1046" customWidth="1"/>
    <col min="6657" max="6657" width="47.7109375" style="1046" customWidth="1"/>
    <col min="6658" max="6658" width="12.28515625" style="1046" customWidth="1"/>
    <col min="6659" max="6659" width="13.140625" style="1046" customWidth="1"/>
    <col min="6660" max="6660" width="11.7109375" style="1046" customWidth="1"/>
    <col min="6661" max="6661" width="12.85546875" style="1046" customWidth="1"/>
    <col min="6662" max="6662" width="11.5703125" style="1046" customWidth="1"/>
    <col min="6663" max="6663" width="10.5703125" style="1046" customWidth="1"/>
    <col min="6664" max="6664" width="11.28515625" style="1046" customWidth="1"/>
    <col min="6665" max="6666" width="9.85546875" style="1046" customWidth="1"/>
    <col min="6667" max="6667" width="9.85546875" style="1046" bestFit="1" customWidth="1"/>
    <col min="6668" max="6668" width="9.140625" style="1046"/>
    <col min="6669" max="6669" width="9.42578125" style="1046" bestFit="1" customWidth="1"/>
    <col min="6670" max="6671" width="9.28515625" style="1046" bestFit="1" customWidth="1"/>
    <col min="6672" max="6674" width="9.28515625" style="1046" customWidth="1"/>
    <col min="6675" max="6675" width="9.28515625" style="1046" bestFit="1" customWidth="1"/>
    <col min="6676" max="6911" width="9.140625" style="1046"/>
    <col min="6912" max="6912" width="3.140625" style="1046" customWidth="1"/>
    <col min="6913" max="6913" width="47.7109375" style="1046" customWidth="1"/>
    <col min="6914" max="6914" width="12.28515625" style="1046" customWidth="1"/>
    <col min="6915" max="6915" width="13.140625" style="1046" customWidth="1"/>
    <col min="6916" max="6916" width="11.7109375" style="1046" customWidth="1"/>
    <col min="6917" max="6917" width="12.85546875" style="1046" customWidth="1"/>
    <col min="6918" max="6918" width="11.5703125" style="1046" customWidth="1"/>
    <col min="6919" max="6919" width="10.5703125" style="1046" customWidth="1"/>
    <col min="6920" max="6920" width="11.28515625" style="1046" customWidth="1"/>
    <col min="6921" max="6922" width="9.85546875" style="1046" customWidth="1"/>
    <col min="6923" max="6923" width="9.85546875" style="1046" bestFit="1" customWidth="1"/>
    <col min="6924" max="6924" width="9.140625" style="1046"/>
    <col min="6925" max="6925" width="9.42578125" style="1046" bestFit="1" customWidth="1"/>
    <col min="6926" max="6927" width="9.28515625" style="1046" bestFit="1" customWidth="1"/>
    <col min="6928" max="6930" width="9.28515625" style="1046" customWidth="1"/>
    <col min="6931" max="6931" width="9.28515625" style="1046" bestFit="1" customWidth="1"/>
    <col min="6932" max="7167" width="9.140625" style="1046"/>
    <col min="7168" max="7168" width="3.140625" style="1046" customWidth="1"/>
    <col min="7169" max="7169" width="47.7109375" style="1046" customWidth="1"/>
    <col min="7170" max="7170" width="12.28515625" style="1046" customWidth="1"/>
    <col min="7171" max="7171" width="13.140625" style="1046" customWidth="1"/>
    <col min="7172" max="7172" width="11.7109375" style="1046" customWidth="1"/>
    <col min="7173" max="7173" width="12.85546875" style="1046" customWidth="1"/>
    <col min="7174" max="7174" width="11.5703125" style="1046" customWidth="1"/>
    <col min="7175" max="7175" width="10.5703125" style="1046" customWidth="1"/>
    <col min="7176" max="7176" width="11.28515625" style="1046" customWidth="1"/>
    <col min="7177" max="7178" width="9.85546875" style="1046" customWidth="1"/>
    <col min="7179" max="7179" width="9.85546875" style="1046" bestFit="1" customWidth="1"/>
    <col min="7180" max="7180" width="9.140625" style="1046"/>
    <col min="7181" max="7181" width="9.42578125" style="1046" bestFit="1" customWidth="1"/>
    <col min="7182" max="7183" width="9.28515625" style="1046" bestFit="1" customWidth="1"/>
    <col min="7184" max="7186" width="9.28515625" style="1046" customWidth="1"/>
    <col min="7187" max="7187" width="9.28515625" style="1046" bestFit="1" customWidth="1"/>
    <col min="7188" max="7423" width="9.140625" style="1046"/>
    <col min="7424" max="7424" width="3.140625" style="1046" customWidth="1"/>
    <col min="7425" max="7425" width="47.7109375" style="1046" customWidth="1"/>
    <col min="7426" max="7426" width="12.28515625" style="1046" customWidth="1"/>
    <col min="7427" max="7427" width="13.140625" style="1046" customWidth="1"/>
    <col min="7428" max="7428" width="11.7109375" style="1046" customWidth="1"/>
    <col min="7429" max="7429" width="12.85546875" style="1046" customWidth="1"/>
    <col min="7430" max="7430" width="11.5703125" style="1046" customWidth="1"/>
    <col min="7431" max="7431" width="10.5703125" style="1046" customWidth="1"/>
    <col min="7432" max="7432" width="11.28515625" style="1046" customWidth="1"/>
    <col min="7433" max="7434" width="9.85546875" style="1046" customWidth="1"/>
    <col min="7435" max="7435" width="9.85546875" style="1046" bestFit="1" customWidth="1"/>
    <col min="7436" max="7436" width="9.140625" style="1046"/>
    <col min="7437" max="7437" width="9.42578125" style="1046" bestFit="1" customWidth="1"/>
    <col min="7438" max="7439" width="9.28515625" style="1046" bestFit="1" customWidth="1"/>
    <col min="7440" max="7442" width="9.28515625" style="1046" customWidth="1"/>
    <col min="7443" max="7443" width="9.28515625" style="1046" bestFit="1" customWidth="1"/>
    <col min="7444" max="7679" width="9.140625" style="1046"/>
    <col min="7680" max="7680" width="3.140625" style="1046" customWidth="1"/>
    <col min="7681" max="7681" width="47.7109375" style="1046" customWidth="1"/>
    <col min="7682" max="7682" width="12.28515625" style="1046" customWidth="1"/>
    <col min="7683" max="7683" width="13.140625" style="1046" customWidth="1"/>
    <col min="7684" max="7684" width="11.7109375" style="1046" customWidth="1"/>
    <col min="7685" max="7685" width="12.85546875" style="1046" customWidth="1"/>
    <col min="7686" max="7686" width="11.5703125" style="1046" customWidth="1"/>
    <col min="7687" max="7687" width="10.5703125" style="1046" customWidth="1"/>
    <col min="7688" max="7688" width="11.28515625" style="1046" customWidth="1"/>
    <col min="7689" max="7690" width="9.85546875" style="1046" customWidth="1"/>
    <col min="7691" max="7691" width="9.85546875" style="1046" bestFit="1" customWidth="1"/>
    <col min="7692" max="7692" width="9.140625" style="1046"/>
    <col min="7693" max="7693" width="9.42578125" style="1046" bestFit="1" customWidth="1"/>
    <col min="7694" max="7695" width="9.28515625" style="1046" bestFit="1" customWidth="1"/>
    <col min="7696" max="7698" width="9.28515625" style="1046" customWidth="1"/>
    <col min="7699" max="7699" width="9.28515625" style="1046" bestFit="1" customWidth="1"/>
    <col min="7700" max="7935" width="9.140625" style="1046"/>
    <col min="7936" max="7936" width="3.140625" style="1046" customWidth="1"/>
    <col min="7937" max="7937" width="47.7109375" style="1046" customWidth="1"/>
    <col min="7938" max="7938" width="12.28515625" style="1046" customWidth="1"/>
    <col min="7939" max="7939" width="13.140625" style="1046" customWidth="1"/>
    <col min="7940" max="7940" width="11.7109375" style="1046" customWidth="1"/>
    <col min="7941" max="7941" width="12.85546875" style="1046" customWidth="1"/>
    <col min="7942" max="7942" width="11.5703125" style="1046" customWidth="1"/>
    <col min="7943" max="7943" width="10.5703125" style="1046" customWidth="1"/>
    <col min="7944" max="7944" width="11.28515625" style="1046" customWidth="1"/>
    <col min="7945" max="7946" width="9.85546875" style="1046" customWidth="1"/>
    <col min="7947" max="7947" width="9.85546875" style="1046" bestFit="1" customWidth="1"/>
    <col min="7948" max="7948" width="9.140625" style="1046"/>
    <col min="7949" max="7949" width="9.42578125" style="1046" bestFit="1" customWidth="1"/>
    <col min="7950" max="7951" width="9.28515625" style="1046" bestFit="1" customWidth="1"/>
    <col min="7952" max="7954" width="9.28515625" style="1046" customWidth="1"/>
    <col min="7955" max="7955" width="9.28515625" style="1046" bestFit="1" customWidth="1"/>
    <col min="7956" max="8191" width="9.140625" style="1046"/>
    <col min="8192" max="8192" width="3.140625" style="1046" customWidth="1"/>
    <col min="8193" max="8193" width="47.7109375" style="1046" customWidth="1"/>
    <col min="8194" max="8194" width="12.28515625" style="1046" customWidth="1"/>
    <col min="8195" max="8195" width="13.140625" style="1046" customWidth="1"/>
    <col min="8196" max="8196" width="11.7109375" style="1046" customWidth="1"/>
    <col min="8197" max="8197" width="12.85546875" style="1046" customWidth="1"/>
    <col min="8198" max="8198" width="11.5703125" style="1046" customWidth="1"/>
    <col min="8199" max="8199" width="10.5703125" style="1046" customWidth="1"/>
    <col min="8200" max="8200" width="11.28515625" style="1046" customWidth="1"/>
    <col min="8201" max="8202" width="9.85546875" style="1046" customWidth="1"/>
    <col min="8203" max="8203" width="9.85546875" style="1046" bestFit="1" customWidth="1"/>
    <col min="8204" max="8204" width="9.140625" style="1046"/>
    <col min="8205" max="8205" width="9.42578125" style="1046" bestFit="1" customWidth="1"/>
    <col min="8206" max="8207" width="9.28515625" style="1046" bestFit="1" customWidth="1"/>
    <col min="8208" max="8210" width="9.28515625" style="1046" customWidth="1"/>
    <col min="8211" max="8211" width="9.28515625" style="1046" bestFit="1" customWidth="1"/>
    <col min="8212" max="8447" width="9.140625" style="1046"/>
    <col min="8448" max="8448" width="3.140625" style="1046" customWidth="1"/>
    <col min="8449" max="8449" width="47.7109375" style="1046" customWidth="1"/>
    <col min="8450" max="8450" width="12.28515625" style="1046" customWidth="1"/>
    <col min="8451" max="8451" width="13.140625" style="1046" customWidth="1"/>
    <col min="8452" max="8452" width="11.7109375" style="1046" customWidth="1"/>
    <col min="8453" max="8453" width="12.85546875" style="1046" customWidth="1"/>
    <col min="8454" max="8454" width="11.5703125" style="1046" customWidth="1"/>
    <col min="8455" max="8455" width="10.5703125" style="1046" customWidth="1"/>
    <col min="8456" max="8456" width="11.28515625" style="1046" customWidth="1"/>
    <col min="8457" max="8458" width="9.85546875" style="1046" customWidth="1"/>
    <col min="8459" max="8459" width="9.85546875" style="1046" bestFit="1" customWidth="1"/>
    <col min="8460" max="8460" width="9.140625" style="1046"/>
    <col min="8461" max="8461" width="9.42578125" style="1046" bestFit="1" customWidth="1"/>
    <col min="8462" max="8463" width="9.28515625" style="1046" bestFit="1" customWidth="1"/>
    <col min="8464" max="8466" width="9.28515625" style="1046" customWidth="1"/>
    <col min="8467" max="8467" width="9.28515625" style="1046" bestFit="1" customWidth="1"/>
    <col min="8468" max="8703" width="9.140625" style="1046"/>
    <col min="8704" max="8704" width="3.140625" style="1046" customWidth="1"/>
    <col min="8705" max="8705" width="47.7109375" style="1046" customWidth="1"/>
    <col min="8706" max="8706" width="12.28515625" style="1046" customWidth="1"/>
    <col min="8707" max="8707" width="13.140625" style="1046" customWidth="1"/>
    <col min="8708" max="8708" width="11.7109375" style="1046" customWidth="1"/>
    <col min="8709" max="8709" width="12.85546875" style="1046" customWidth="1"/>
    <col min="8710" max="8710" width="11.5703125" style="1046" customWidth="1"/>
    <col min="8711" max="8711" width="10.5703125" style="1046" customWidth="1"/>
    <col min="8712" max="8712" width="11.28515625" style="1046" customWidth="1"/>
    <col min="8713" max="8714" width="9.85546875" style="1046" customWidth="1"/>
    <col min="8715" max="8715" width="9.85546875" style="1046" bestFit="1" customWidth="1"/>
    <col min="8716" max="8716" width="9.140625" style="1046"/>
    <col min="8717" max="8717" width="9.42578125" style="1046" bestFit="1" customWidth="1"/>
    <col min="8718" max="8719" width="9.28515625" style="1046" bestFit="1" customWidth="1"/>
    <col min="8720" max="8722" width="9.28515625" style="1046" customWidth="1"/>
    <col min="8723" max="8723" width="9.28515625" style="1046" bestFit="1" customWidth="1"/>
    <col min="8724" max="8959" width="9.140625" style="1046"/>
    <col min="8960" max="8960" width="3.140625" style="1046" customWidth="1"/>
    <col min="8961" max="8961" width="47.7109375" style="1046" customWidth="1"/>
    <col min="8962" max="8962" width="12.28515625" style="1046" customWidth="1"/>
    <col min="8963" max="8963" width="13.140625" style="1046" customWidth="1"/>
    <col min="8964" max="8964" width="11.7109375" style="1046" customWidth="1"/>
    <col min="8965" max="8965" width="12.85546875" style="1046" customWidth="1"/>
    <col min="8966" max="8966" width="11.5703125" style="1046" customWidth="1"/>
    <col min="8967" max="8967" width="10.5703125" style="1046" customWidth="1"/>
    <col min="8968" max="8968" width="11.28515625" style="1046" customWidth="1"/>
    <col min="8969" max="8970" width="9.85546875" style="1046" customWidth="1"/>
    <col min="8971" max="8971" width="9.85546875" style="1046" bestFit="1" customWidth="1"/>
    <col min="8972" max="8972" width="9.140625" style="1046"/>
    <col min="8973" max="8973" width="9.42578125" style="1046" bestFit="1" customWidth="1"/>
    <col min="8974" max="8975" width="9.28515625" style="1046" bestFit="1" customWidth="1"/>
    <col min="8976" max="8978" width="9.28515625" style="1046" customWidth="1"/>
    <col min="8979" max="8979" width="9.28515625" style="1046" bestFit="1" customWidth="1"/>
    <col min="8980" max="9215" width="9.140625" style="1046"/>
    <col min="9216" max="9216" width="3.140625" style="1046" customWidth="1"/>
    <col min="9217" max="9217" width="47.7109375" style="1046" customWidth="1"/>
    <col min="9218" max="9218" width="12.28515625" style="1046" customWidth="1"/>
    <col min="9219" max="9219" width="13.140625" style="1046" customWidth="1"/>
    <col min="9220" max="9220" width="11.7109375" style="1046" customWidth="1"/>
    <col min="9221" max="9221" width="12.85546875" style="1046" customWidth="1"/>
    <col min="9222" max="9222" width="11.5703125" style="1046" customWidth="1"/>
    <col min="9223" max="9223" width="10.5703125" style="1046" customWidth="1"/>
    <col min="9224" max="9224" width="11.28515625" style="1046" customWidth="1"/>
    <col min="9225" max="9226" width="9.85546875" style="1046" customWidth="1"/>
    <col min="9227" max="9227" width="9.85546875" style="1046" bestFit="1" customWidth="1"/>
    <col min="9228" max="9228" width="9.140625" style="1046"/>
    <col min="9229" max="9229" width="9.42578125" style="1046" bestFit="1" customWidth="1"/>
    <col min="9230" max="9231" width="9.28515625" style="1046" bestFit="1" customWidth="1"/>
    <col min="9232" max="9234" width="9.28515625" style="1046" customWidth="1"/>
    <col min="9235" max="9235" width="9.28515625" style="1046" bestFit="1" customWidth="1"/>
    <col min="9236" max="9471" width="9.140625" style="1046"/>
    <col min="9472" max="9472" width="3.140625" style="1046" customWidth="1"/>
    <col min="9473" max="9473" width="47.7109375" style="1046" customWidth="1"/>
    <col min="9474" max="9474" width="12.28515625" style="1046" customWidth="1"/>
    <col min="9475" max="9475" width="13.140625" style="1046" customWidth="1"/>
    <col min="9476" max="9476" width="11.7109375" style="1046" customWidth="1"/>
    <col min="9477" max="9477" width="12.85546875" style="1046" customWidth="1"/>
    <col min="9478" max="9478" width="11.5703125" style="1046" customWidth="1"/>
    <col min="9479" max="9479" width="10.5703125" style="1046" customWidth="1"/>
    <col min="9480" max="9480" width="11.28515625" style="1046" customWidth="1"/>
    <col min="9481" max="9482" width="9.85546875" style="1046" customWidth="1"/>
    <col min="9483" max="9483" width="9.85546875" style="1046" bestFit="1" customWidth="1"/>
    <col min="9484" max="9484" width="9.140625" style="1046"/>
    <col min="9485" max="9485" width="9.42578125" style="1046" bestFit="1" customWidth="1"/>
    <col min="9486" max="9487" width="9.28515625" style="1046" bestFit="1" customWidth="1"/>
    <col min="9488" max="9490" width="9.28515625" style="1046" customWidth="1"/>
    <col min="9491" max="9491" width="9.28515625" style="1046" bestFit="1" customWidth="1"/>
    <col min="9492" max="9727" width="9.140625" style="1046"/>
    <col min="9728" max="9728" width="3.140625" style="1046" customWidth="1"/>
    <col min="9729" max="9729" width="47.7109375" style="1046" customWidth="1"/>
    <col min="9730" max="9730" width="12.28515625" style="1046" customWidth="1"/>
    <col min="9731" max="9731" width="13.140625" style="1046" customWidth="1"/>
    <col min="9732" max="9732" width="11.7109375" style="1046" customWidth="1"/>
    <col min="9733" max="9733" width="12.85546875" style="1046" customWidth="1"/>
    <col min="9734" max="9734" width="11.5703125" style="1046" customWidth="1"/>
    <col min="9735" max="9735" width="10.5703125" style="1046" customWidth="1"/>
    <col min="9736" max="9736" width="11.28515625" style="1046" customWidth="1"/>
    <col min="9737" max="9738" width="9.85546875" style="1046" customWidth="1"/>
    <col min="9739" max="9739" width="9.85546875" style="1046" bestFit="1" customWidth="1"/>
    <col min="9740" max="9740" width="9.140625" style="1046"/>
    <col min="9741" max="9741" width="9.42578125" style="1046" bestFit="1" customWidth="1"/>
    <col min="9742" max="9743" width="9.28515625" style="1046" bestFit="1" customWidth="1"/>
    <col min="9744" max="9746" width="9.28515625" style="1046" customWidth="1"/>
    <col min="9747" max="9747" width="9.28515625" style="1046" bestFit="1" customWidth="1"/>
    <col min="9748" max="9983" width="9.140625" style="1046"/>
    <col min="9984" max="9984" width="3.140625" style="1046" customWidth="1"/>
    <col min="9985" max="9985" width="47.7109375" style="1046" customWidth="1"/>
    <col min="9986" max="9986" width="12.28515625" style="1046" customWidth="1"/>
    <col min="9987" max="9987" width="13.140625" style="1046" customWidth="1"/>
    <col min="9988" max="9988" width="11.7109375" style="1046" customWidth="1"/>
    <col min="9989" max="9989" width="12.85546875" style="1046" customWidth="1"/>
    <col min="9990" max="9990" width="11.5703125" style="1046" customWidth="1"/>
    <col min="9991" max="9991" width="10.5703125" style="1046" customWidth="1"/>
    <col min="9992" max="9992" width="11.28515625" style="1046" customWidth="1"/>
    <col min="9993" max="9994" width="9.85546875" style="1046" customWidth="1"/>
    <col min="9995" max="9995" width="9.85546875" style="1046" bestFit="1" customWidth="1"/>
    <col min="9996" max="9996" width="9.140625" style="1046"/>
    <col min="9997" max="9997" width="9.42578125" style="1046" bestFit="1" customWidth="1"/>
    <col min="9998" max="9999" width="9.28515625" style="1046" bestFit="1" customWidth="1"/>
    <col min="10000" max="10002" width="9.28515625" style="1046" customWidth="1"/>
    <col min="10003" max="10003" width="9.28515625" style="1046" bestFit="1" customWidth="1"/>
    <col min="10004" max="10239" width="9.140625" style="1046"/>
    <col min="10240" max="10240" width="3.140625" style="1046" customWidth="1"/>
    <col min="10241" max="10241" width="47.7109375" style="1046" customWidth="1"/>
    <col min="10242" max="10242" width="12.28515625" style="1046" customWidth="1"/>
    <col min="10243" max="10243" width="13.140625" style="1046" customWidth="1"/>
    <col min="10244" max="10244" width="11.7109375" style="1046" customWidth="1"/>
    <col min="10245" max="10245" width="12.85546875" style="1046" customWidth="1"/>
    <col min="10246" max="10246" width="11.5703125" style="1046" customWidth="1"/>
    <col min="10247" max="10247" width="10.5703125" style="1046" customWidth="1"/>
    <col min="10248" max="10248" width="11.28515625" style="1046" customWidth="1"/>
    <col min="10249" max="10250" width="9.85546875" style="1046" customWidth="1"/>
    <col min="10251" max="10251" width="9.85546875" style="1046" bestFit="1" customWidth="1"/>
    <col min="10252" max="10252" width="9.140625" style="1046"/>
    <col min="10253" max="10253" width="9.42578125" style="1046" bestFit="1" customWidth="1"/>
    <col min="10254" max="10255" width="9.28515625" style="1046" bestFit="1" customWidth="1"/>
    <col min="10256" max="10258" width="9.28515625" style="1046" customWidth="1"/>
    <col min="10259" max="10259" width="9.28515625" style="1046" bestFit="1" customWidth="1"/>
    <col min="10260" max="10495" width="9.140625" style="1046"/>
    <col min="10496" max="10496" width="3.140625" style="1046" customWidth="1"/>
    <col min="10497" max="10497" width="47.7109375" style="1046" customWidth="1"/>
    <col min="10498" max="10498" width="12.28515625" style="1046" customWidth="1"/>
    <col min="10499" max="10499" width="13.140625" style="1046" customWidth="1"/>
    <col min="10500" max="10500" width="11.7109375" style="1046" customWidth="1"/>
    <col min="10501" max="10501" width="12.85546875" style="1046" customWidth="1"/>
    <col min="10502" max="10502" width="11.5703125" style="1046" customWidth="1"/>
    <col min="10503" max="10503" width="10.5703125" style="1046" customWidth="1"/>
    <col min="10504" max="10504" width="11.28515625" style="1046" customWidth="1"/>
    <col min="10505" max="10506" width="9.85546875" style="1046" customWidth="1"/>
    <col min="10507" max="10507" width="9.85546875" style="1046" bestFit="1" customWidth="1"/>
    <col min="10508" max="10508" width="9.140625" style="1046"/>
    <col min="10509" max="10509" width="9.42578125" style="1046" bestFit="1" customWidth="1"/>
    <col min="10510" max="10511" width="9.28515625" style="1046" bestFit="1" customWidth="1"/>
    <col min="10512" max="10514" width="9.28515625" style="1046" customWidth="1"/>
    <col min="10515" max="10515" width="9.28515625" style="1046" bestFit="1" customWidth="1"/>
    <col min="10516" max="10751" width="9.140625" style="1046"/>
    <col min="10752" max="10752" width="3.140625" style="1046" customWidth="1"/>
    <col min="10753" max="10753" width="47.7109375" style="1046" customWidth="1"/>
    <col min="10754" max="10754" width="12.28515625" style="1046" customWidth="1"/>
    <col min="10755" max="10755" width="13.140625" style="1046" customWidth="1"/>
    <col min="10756" max="10756" width="11.7109375" style="1046" customWidth="1"/>
    <col min="10757" max="10757" width="12.85546875" style="1046" customWidth="1"/>
    <col min="10758" max="10758" width="11.5703125" style="1046" customWidth="1"/>
    <col min="10759" max="10759" width="10.5703125" style="1046" customWidth="1"/>
    <col min="10760" max="10760" width="11.28515625" style="1046" customWidth="1"/>
    <col min="10761" max="10762" width="9.85546875" style="1046" customWidth="1"/>
    <col min="10763" max="10763" width="9.85546875" style="1046" bestFit="1" customWidth="1"/>
    <col min="10764" max="10764" width="9.140625" style="1046"/>
    <col min="10765" max="10765" width="9.42578125" style="1046" bestFit="1" customWidth="1"/>
    <col min="10766" max="10767" width="9.28515625" style="1046" bestFit="1" customWidth="1"/>
    <col min="10768" max="10770" width="9.28515625" style="1046" customWidth="1"/>
    <col min="10771" max="10771" width="9.28515625" style="1046" bestFit="1" customWidth="1"/>
    <col min="10772" max="11007" width="9.140625" style="1046"/>
    <col min="11008" max="11008" width="3.140625" style="1046" customWidth="1"/>
    <col min="11009" max="11009" width="47.7109375" style="1046" customWidth="1"/>
    <col min="11010" max="11010" width="12.28515625" style="1046" customWidth="1"/>
    <col min="11011" max="11011" width="13.140625" style="1046" customWidth="1"/>
    <col min="11012" max="11012" width="11.7109375" style="1046" customWidth="1"/>
    <col min="11013" max="11013" width="12.85546875" style="1046" customWidth="1"/>
    <col min="11014" max="11014" width="11.5703125" style="1046" customWidth="1"/>
    <col min="11015" max="11015" width="10.5703125" style="1046" customWidth="1"/>
    <col min="11016" max="11016" width="11.28515625" style="1046" customWidth="1"/>
    <col min="11017" max="11018" width="9.85546875" style="1046" customWidth="1"/>
    <col min="11019" max="11019" width="9.85546875" style="1046" bestFit="1" customWidth="1"/>
    <col min="11020" max="11020" width="9.140625" style="1046"/>
    <col min="11021" max="11021" width="9.42578125" style="1046" bestFit="1" customWidth="1"/>
    <col min="11022" max="11023" width="9.28515625" style="1046" bestFit="1" customWidth="1"/>
    <col min="11024" max="11026" width="9.28515625" style="1046" customWidth="1"/>
    <col min="11027" max="11027" width="9.28515625" style="1046" bestFit="1" customWidth="1"/>
    <col min="11028" max="11263" width="9.140625" style="1046"/>
    <col min="11264" max="11264" width="3.140625" style="1046" customWidth="1"/>
    <col min="11265" max="11265" width="47.7109375" style="1046" customWidth="1"/>
    <col min="11266" max="11266" width="12.28515625" style="1046" customWidth="1"/>
    <col min="11267" max="11267" width="13.140625" style="1046" customWidth="1"/>
    <col min="11268" max="11268" width="11.7109375" style="1046" customWidth="1"/>
    <col min="11269" max="11269" width="12.85546875" style="1046" customWidth="1"/>
    <col min="11270" max="11270" width="11.5703125" style="1046" customWidth="1"/>
    <col min="11271" max="11271" width="10.5703125" style="1046" customWidth="1"/>
    <col min="11272" max="11272" width="11.28515625" style="1046" customWidth="1"/>
    <col min="11273" max="11274" width="9.85546875" style="1046" customWidth="1"/>
    <col min="11275" max="11275" width="9.85546875" style="1046" bestFit="1" customWidth="1"/>
    <col min="11276" max="11276" width="9.140625" style="1046"/>
    <col min="11277" max="11277" width="9.42578125" style="1046" bestFit="1" customWidth="1"/>
    <col min="11278" max="11279" width="9.28515625" style="1046" bestFit="1" customWidth="1"/>
    <col min="11280" max="11282" width="9.28515625" style="1046" customWidth="1"/>
    <col min="11283" max="11283" width="9.28515625" style="1046" bestFit="1" customWidth="1"/>
    <col min="11284" max="11519" width="9.140625" style="1046"/>
    <col min="11520" max="11520" width="3.140625" style="1046" customWidth="1"/>
    <col min="11521" max="11521" width="47.7109375" style="1046" customWidth="1"/>
    <col min="11522" max="11522" width="12.28515625" style="1046" customWidth="1"/>
    <col min="11523" max="11523" width="13.140625" style="1046" customWidth="1"/>
    <col min="11524" max="11524" width="11.7109375" style="1046" customWidth="1"/>
    <col min="11525" max="11525" width="12.85546875" style="1046" customWidth="1"/>
    <col min="11526" max="11526" width="11.5703125" style="1046" customWidth="1"/>
    <col min="11527" max="11527" width="10.5703125" style="1046" customWidth="1"/>
    <col min="11528" max="11528" width="11.28515625" style="1046" customWidth="1"/>
    <col min="11529" max="11530" width="9.85546875" style="1046" customWidth="1"/>
    <col min="11531" max="11531" width="9.85546875" style="1046" bestFit="1" customWidth="1"/>
    <col min="11532" max="11532" width="9.140625" style="1046"/>
    <col min="11533" max="11533" width="9.42578125" style="1046" bestFit="1" customWidth="1"/>
    <col min="11534" max="11535" width="9.28515625" style="1046" bestFit="1" customWidth="1"/>
    <col min="11536" max="11538" width="9.28515625" style="1046" customWidth="1"/>
    <col min="11539" max="11539" width="9.28515625" style="1046" bestFit="1" customWidth="1"/>
    <col min="11540" max="11775" width="9.140625" style="1046"/>
    <col min="11776" max="11776" width="3.140625" style="1046" customWidth="1"/>
    <col min="11777" max="11777" width="47.7109375" style="1046" customWidth="1"/>
    <col min="11778" max="11778" width="12.28515625" style="1046" customWidth="1"/>
    <col min="11779" max="11779" width="13.140625" style="1046" customWidth="1"/>
    <col min="11780" max="11780" width="11.7109375" style="1046" customWidth="1"/>
    <col min="11781" max="11781" width="12.85546875" style="1046" customWidth="1"/>
    <col min="11782" max="11782" width="11.5703125" style="1046" customWidth="1"/>
    <col min="11783" max="11783" width="10.5703125" style="1046" customWidth="1"/>
    <col min="11784" max="11784" width="11.28515625" style="1046" customWidth="1"/>
    <col min="11785" max="11786" width="9.85546875" style="1046" customWidth="1"/>
    <col min="11787" max="11787" width="9.85546875" style="1046" bestFit="1" customWidth="1"/>
    <col min="11788" max="11788" width="9.140625" style="1046"/>
    <col min="11789" max="11789" width="9.42578125" style="1046" bestFit="1" customWidth="1"/>
    <col min="11790" max="11791" width="9.28515625" style="1046" bestFit="1" customWidth="1"/>
    <col min="11792" max="11794" width="9.28515625" style="1046" customWidth="1"/>
    <col min="11795" max="11795" width="9.28515625" style="1046" bestFit="1" customWidth="1"/>
    <col min="11796" max="12031" width="9.140625" style="1046"/>
    <col min="12032" max="12032" width="3.140625" style="1046" customWidth="1"/>
    <col min="12033" max="12033" width="47.7109375" style="1046" customWidth="1"/>
    <col min="12034" max="12034" width="12.28515625" style="1046" customWidth="1"/>
    <col min="12035" max="12035" width="13.140625" style="1046" customWidth="1"/>
    <col min="12036" max="12036" width="11.7109375" style="1046" customWidth="1"/>
    <col min="12037" max="12037" width="12.85546875" style="1046" customWidth="1"/>
    <col min="12038" max="12038" width="11.5703125" style="1046" customWidth="1"/>
    <col min="12039" max="12039" width="10.5703125" style="1046" customWidth="1"/>
    <col min="12040" max="12040" width="11.28515625" style="1046" customWidth="1"/>
    <col min="12041" max="12042" width="9.85546875" style="1046" customWidth="1"/>
    <col min="12043" max="12043" width="9.85546875" style="1046" bestFit="1" customWidth="1"/>
    <col min="12044" max="12044" width="9.140625" style="1046"/>
    <col min="12045" max="12045" width="9.42578125" style="1046" bestFit="1" customWidth="1"/>
    <col min="12046" max="12047" width="9.28515625" style="1046" bestFit="1" customWidth="1"/>
    <col min="12048" max="12050" width="9.28515625" style="1046" customWidth="1"/>
    <col min="12051" max="12051" width="9.28515625" style="1046" bestFit="1" customWidth="1"/>
    <col min="12052" max="12287" width="9.140625" style="1046"/>
    <col min="12288" max="12288" width="3.140625" style="1046" customWidth="1"/>
    <col min="12289" max="12289" width="47.7109375" style="1046" customWidth="1"/>
    <col min="12290" max="12290" width="12.28515625" style="1046" customWidth="1"/>
    <col min="12291" max="12291" width="13.140625" style="1046" customWidth="1"/>
    <col min="12292" max="12292" width="11.7109375" style="1046" customWidth="1"/>
    <col min="12293" max="12293" width="12.85546875" style="1046" customWidth="1"/>
    <col min="12294" max="12294" width="11.5703125" style="1046" customWidth="1"/>
    <col min="12295" max="12295" width="10.5703125" style="1046" customWidth="1"/>
    <col min="12296" max="12296" width="11.28515625" style="1046" customWidth="1"/>
    <col min="12297" max="12298" width="9.85546875" style="1046" customWidth="1"/>
    <col min="12299" max="12299" width="9.85546875" style="1046" bestFit="1" customWidth="1"/>
    <col min="12300" max="12300" width="9.140625" style="1046"/>
    <col min="12301" max="12301" width="9.42578125" style="1046" bestFit="1" customWidth="1"/>
    <col min="12302" max="12303" width="9.28515625" style="1046" bestFit="1" customWidth="1"/>
    <col min="12304" max="12306" width="9.28515625" style="1046" customWidth="1"/>
    <col min="12307" max="12307" width="9.28515625" style="1046" bestFit="1" customWidth="1"/>
    <col min="12308" max="12543" width="9.140625" style="1046"/>
    <col min="12544" max="12544" width="3.140625" style="1046" customWidth="1"/>
    <col min="12545" max="12545" width="47.7109375" style="1046" customWidth="1"/>
    <col min="12546" max="12546" width="12.28515625" style="1046" customWidth="1"/>
    <col min="12547" max="12547" width="13.140625" style="1046" customWidth="1"/>
    <col min="12548" max="12548" width="11.7109375" style="1046" customWidth="1"/>
    <col min="12549" max="12549" width="12.85546875" style="1046" customWidth="1"/>
    <col min="12550" max="12550" width="11.5703125" style="1046" customWidth="1"/>
    <col min="12551" max="12551" width="10.5703125" style="1046" customWidth="1"/>
    <col min="12552" max="12552" width="11.28515625" style="1046" customWidth="1"/>
    <col min="12553" max="12554" width="9.85546875" style="1046" customWidth="1"/>
    <col min="12555" max="12555" width="9.85546875" style="1046" bestFit="1" customWidth="1"/>
    <col min="12556" max="12556" width="9.140625" style="1046"/>
    <col min="12557" max="12557" width="9.42578125" style="1046" bestFit="1" customWidth="1"/>
    <col min="12558" max="12559" width="9.28515625" style="1046" bestFit="1" customWidth="1"/>
    <col min="12560" max="12562" width="9.28515625" style="1046" customWidth="1"/>
    <col min="12563" max="12563" width="9.28515625" style="1046" bestFit="1" customWidth="1"/>
    <col min="12564" max="12799" width="9.140625" style="1046"/>
    <col min="12800" max="12800" width="3.140625" style="1046" customWidth="1"/>
    <col min="12801" max="12801" width="47.7109375" style="1046" customWidth="1"/>
    <col min="12802" max="12802" width="12.28515625" style="1046" customWidth="1"/>
    <col min="12803" max="12803" width="13.140625" style="1046" customWidth="1"/>
    <col min="12804" max="12804" width="11.7109375" style="1046" customWidth="1"/>
    <col min="12805" max="12805" width="12.85546875" style="1046" customWidth="1"/>
    <col min="12806" max="12806" width="11.5703125" style="1046" customWidth="1"/>
    <col min="12807" max="12807" width="10.5703125" style="1046" customWidth="1"/>
    <col min="12808" max="12808" width="11.28515625" style="1046" customWidth="1"/>
    <col min="12809" max="12810" width="9.85546875" style="1046" customWidth="1"/>
    <col min="12811" max="12811" width="9.85546875" style="1046" bestFit="1" customWidth="1"/>
    <col min="12812" max="12812" width="9.140625" style="1046"/>
    <col min="12813" max="12813" width="9.42578125" style="1046" bestFit="1" customWidth="1"/>
    <col min="12814" max="12815" width="9.28515625" style="1046" bestFit="1" customWidth="1"/>
    <col min="12816" max="12818" width="9.28515625" style="1046" customWidth="1"/>
    <col min="12819" max="12819" width="9.28515625" style="1046" bestFit="1" customWidth="1"/>
    <col min="12820" max="13055" width="9.140625" style="1046"/>
    <col min="13056" max="13056" width="3.140625" style="1046" customWidth="1"/>
    <col min="13057" max="13057" width="47.7109375" style="1046" customWidth="1"/>
    <col min="13058" max="13058" width="12.28515625" style="1046" customWidth="1"/>
    <col min="13059" max="13059" width="13.140625" style="1046" customWidth="1"/>
    <col min="13060" max="13060" width="11.7109375" style="1046" customWidth="1"/>
    <col min="13061" max="13061" width="12.85546875" style="1046" customWidth="1"/>
    <col min="13062" max="13062" width="11.5703125" style="1046" customWidth="1"/>
    <col min="13063" max="13063" width="10.5703125" style="1046" customWidth="1"/>
    <col min="13064" max="13064" width="11.28515625" style="1046" customWidth="1"/>
    <col min="13065" max="13066" width="9.85546875" style="1046" customWidth="1"/>
    <col min="13067" max="13067" width="9.85546875" style="1046" bestFit="1" customWidth="1"/>
    <col min="13068" max="13068" width="9.140625" style="1046"/>
    <col min="13069" max="13069" width="9.42578125" style="1046" bestFit="1" customWidth="1"/>
    <col min="13070" max="13071" width="9.28515625" style="1046" bestFit="1" customWidth="1"/>
    <col min="13072" max="13074" width="9.28515625" style="1046" customWidth="1"/>
    <col min="13075" max="13075" width="9.28515625" style="1046" bestFit="1" customWidth="1"/>
    <col min="13076" max="13311" width="9.140625" style="1046"/>
    <col min="13312" max="13312" width="3.140625" style="1046" customWidth="1"/>
    <col min="13313" max="13313" width="47.7109375" style="1046" customWidth="1"/>
    <col min="13314" max="13314" width="12.28515625" style="1046" customWidth="1"/>
    <col min="13315" max="13315" width="13.140625" style="1046" customWidth="1"/>
    <col min="13316" max="13316" width="11.7109375" style="1046" customWidth="1"/>
    <col min="13317" max="13317" width="12.85546875" style="1046" customWidth="1"/>
    <col min="13318" max="13318" width="11.5703125" style="1046" customWidth="1"/>
    <col min="13319" max="13319" width="10.5703125" style="1046" customWidth="1"/>
    <col min="13320" max="13320" width="11.28515625" style="1046" customWidth="1"/>
    <col min="13321" max="13322" width="9.85546875" style="1046" customWidth="1"/>
    <col min="13323" max="13323" width="9.85546875" style="1046" bestFit="1" customWidth="1"/>
    <col min="13324" max="13324" width="9.140625" style="1046"/>
    <col min="13325" max="13325" width="9.42578125" style="1046" bestFit="1" customWidth="1"/>
    <col min="13326" max="13327" width="9.28515625" style="1046" bestFit="1" customWidth="1"/>
    <col min="13328" max="13330" width="9.28515625" style="1046" customWidth="1"/>
    <col min="13331" max="13331" width="9.28515625" style="1046" bestFit="1" customWidth="1"/>
    <col min="13332" max="13567" width="9.140625" style="1046"/>
    <col min="13568" max="13568" width="3.140625" style="1046" customWidth="1"/>
    <col min="13569" max="13569" width="47.7109375" style="1046" customWidth="1"/>
    <col min="13570" max="13570" width="12.28515625" style="1046" customWidth="1"/>
    <col min="13571" max="13571" width="13.140625" style="1046" customWidth="1"/>
    <col min="13572" max="13572" width="11.7109375" style="1046" customWidth="1"/>
    <col min="13573" max="13573" width="12.85546875" style="1046" customWidth="1"/>
    <col min="13574" max="13574" width="11.5703125" style="1046" customWidth="1"/>
    <col min="13575" max="13575" width="10.5703125" style="1046" customWidth="1"/>
    <col min="13576" max="13576" width="11.28515625" style="1046" customWidth="1"/>
    <col min="13577" max="13578" width="9.85546875" style="1046" customWidth="1"/>
    <col min="13579" max="13579" width="9.85546875" style="1046" bestFit="1" customWidth="1"/>
    <col min="13580" max="13580" width="9.140625" style="1046"/>
    <col min="13581" max="13581" width="9.42578125" style="1046" bestFit="1" customWidth="1"/>
    <col min="13582" max="13583" width="9.28515625" style="1046" bestFit="1" customWidth="1"/>
    <col min="13584" max="13586" width="9.28515625" style="1046" customWidth="1"/>
    <col min="13587" max="13587" width="9.28515625" style="1046" bestFit="1" customWidth="1"/>
    <col min="13588" max="13823" width="9.140625" style="1046"/>
    <col min="13824" max="13824" width="3.140625" style="1046" customWidth="1"/>
    <col min="13825" max="13825" width="47.7109375" style="1046" customWidth="1"/>
    <col min="13826" max="13826" width="12.28515625" style="1046" customWidth="1"/>
    <col min="13827" max="13827" width="13.140625" style="1046" customWidth="1"/>
    <col min="13828" max="13828" width="11.7109375" style="1046" customWidth="1"/>
    <col min="13829" max="13829" width="12.85546875" style="1046" customWidth="1"/>
    <col min="13830" max="13830" width="11.5703125" style="1046" customWidth="1"/>
    <col min="13831" max="13831" width="10.5703125" style="1046" customWidth="1"/>
    <col min="13832" max="13832" width="11.28515625" style="1046" customWidth="1"/>
    <col min="13833" max="13834" width="9.85546875" style="1046" customWidth="1"/>
    <col min="13835" max="13835" width="9.85546875" style="1046" bestFit="1" customWidth="1"/>
    <col min="13836" max="13836" width="9.140625" style="1046"/>
    <col min="13837" max="13837" width="9.42578125" style="1046" bestFit="1" customWidth="1"/>
    <col min="13838" max="13839" width="9.28515625" style="1046" bestFit="1" customWidth="1"/>
    <col min="13840" max="13842" width="9.28515625" style="1046" customWidth="1"/>
    <col min="13843" max="13843" width="9.28515625" style="1046" bestFit="1" customWidth="1"/>
    <col min="13844" max="14079" width="9.140625" style="1046"/>
    <col min="14080" max="14080" width="3.140625" style="1046" customWidth="1"/>
    <col min="14081" max="14081" width="47.7109375" style="1046" customWidth="1"/>
    <col min="14082" max="14082" width="12.28515625" style="1046" customWidth="1"/>
    <col min="14083" max="14083" width="13.140625" style="1046" customWidth="1"/>
    <col min="14084" max="14084" width="11.7109375" style="1046" customWidth="1"/>
    <col min="14085" max="14085" width="12.85546875" style="1046" customWidth="1"/>
    <col min="14086" max="14086" width="11.5703125" style="1046" customWidth="1"/>
    <col min="14087" max="14087" width="10.5703125" style="1046" customWidth="1"/>
    <col min="14088" max="14088" width="11.28515625" style="1046" customWidth="1"/>
    <col min="14089" max="14090" width="9.85546875" style="1046" customWidth="1"/>
    <col min="14091" max="14091" width="9.85546875" style="1046" bestFit="1" customWidth="1"/>
    <col min="14092" max="14092" width="9.140625" style="1046"/>
    <col min="14093" max="14093" width="9.42578125" style="1046" bestFit="1" customWidth="1"/>
    <col min="14094" max="14095" width="9.28515625" style="1046" bestFit="1" customWidth="1"/>
    <col min="14096" max="14098" width="9.28515625" style="1046" customWidth="1"/>
    <col min="14099" max="14099" width="9.28515625" style="1046" bestFit="1" customWidth="1"/>
    <col min="14100" max="14335" width="9.140625" style="1046"/>
    <col min="14336" max="14336" width="3.140625" style="1046" customWidth="1"/>
    <col min="14337" max="14337" width="47.7109375" style="1046" customWidth="1"/>
    <col min="14338" max="14338" width="12.28515625" style="1046" customWidth="1"/>
    <col min="14339" max="14339" width="13.140625" style="1046" customWidth="1"/>
    <col min="14340" max="14340" width="11.7109375" style="1046" customWidth="1"/>
    <col min="14341" max="14341" width="12.85546875" style="1046" customWidth="1"/>
    <col min="14342" max="14342" width="11.5703125" style="1046" customWidth="1"/>
    <col min="14343" max="14343" width="10.5703125" style="1046" customWidth="1"/>
    <col min="14344" max="14344" width="11.28515625" style="1046" customWidth="1"/>
    <col min="14345" max="14346" width="9.85546875" style="1046" customWidth="1"/>
    <col min="14347" max="14347" width="9.85546875" style="1046" bestFit="1" customWidth="1"/>
    <col min="14348" max="14348" width="9.140625" style="1046"/>
    <col min="14349" max="14349" width="9.42578125" style="1046" bestFit="1" customWidth="1"/>
    <col min="14350" max="14351" width="9.28515625" style="1046" bestFit="1" customWidth="1"/>
    <col min="14352" max="14354" width="9.28515625" style="1046" customWidth="1"/>
    <col min="14355" max="14355" width="9.28515625" style="1046" bestFit="1" customWidth="1"/>
    <col min="14356" max="14591" width="9.140625" style="1046"/>
    <col min="14592" max="14592" width="3.140625" style="1046" customWidth="1"/>
    <col min="14593" max="14593" width="47.7109375" style="1046" customWidth="1"/>
    <col min="14594" max="14594" width="12.28515625" style="1046" customWidth="1"/>
    <col min="14595" max="14595" width="13.140625" style="1046" customWidth="1"/>
    <col min="14596" max="14596" width="11.7109375" style="1046" customWidth="1"/>
    <col min="14597" max="14597" width="12.85546875" style="1046" customWidth="1"/>
    <col min="14598" max="14598" width="11.5703125" style="1046" customWidth="1"/>
    <col min="14599" max="14599" width="10.5703125" style="1046" customWidth="1"/>
    <col min="14600" max="14600" width="11.28515625" style="1046" customWidth="1"/>
    <col min="14601" max="14602" width="9.85546875" style="1046" customWidth="1"/>
    <col min="14603" max="14603" width="9.85546875" style="1046" bestFit="1" customWidth="1"/>
    <col min="14604" max="14604" width="9.140625" style="1046"/>
    <col min="14605" max="14605" width="9.42578125" style="1046" bestFit="1" customWidth="1"/>
    <col min="14606" max="14607" width="9.28515625" style="1046" bestFit="1" customWidth="1"/>
    <col min="14608" max="14610" width="9.28515625" style="1046" customWidth="1"/>
    <col min="14611" max="14611" width="9.28515625" style="1046" bestFit="1" customWidth="1"/>
    <col min="14612" max="14847" width="9.140625" style="1046"/>
    <col min="14848" max="14848" width="3.140625" style="1046" customWidth="1"/>
    <col min="14849" max="14849" width="47.7109375" style="1046" customWidth="1"/>
    <col min="14850" max="14850" width="12.28515625" style="1046" customWidth="1"/>
    <col min="14851" max="14851" width="13.140625" style="1046" customWidth="1"/>
    <col min="14852" max="14852" width="11.7109375" style="1046" customWidth="1"/>
    <col min="14853" max="14853" width="12.85546875" style="1046" customWidth="1"/>
    <col min="14854" max="14854" width="11.5703125" style="1046" customWidth="1"/>
    <col min="14855" max="14855" width="10.5703125" style="1046" customWidth="1"/>
    <col min="14856" max="14856" width="11.28515625" style="1046" customWidth="1"/>
    <col min="14857" max="14858" width="9.85546875" style="1046" customWidth="1"/>
    <col min="14859" max="14859" width="9.85546875" style="1046" bestFit="1" customWidth="1"/>
    <col min="14860" max="14860" width="9.140625" style="1046"/>
    <col min="14861" max="14861" width="9.42578125" style="1046" bestFit="1" customWidth="1"/>
    <col min="14862" max="14863" width="9.28515625" style="1046" bestFit="1" customWidth="1"/>
    <col min="14864" max="14866" width="9.28515625" style="1046" customWidth="1"/>
    <col min="14867" max="14867" width="9.28515625" style="1046" bestFit="1" customWidth="1"/>
    <col min="14868" max="15103" width="9.140625" style="1046"/>
    <col min="15104" max="15104" width="3.140625" style="1046" customWidth="1"/>
    <col min="15105" max="15105" width="47.7109375" style="1046" customWidth="1"/>
    <col min="15106" max="15106" width="12.28515625" style="1046" customWidth="1"/>
    <col min="15107" max="15107" width="13.140625" style="1046" customWidth="1"/>
    <col min="15108" max="15108" width="11.7109375" style="1046" customWidth="1"/>
    <col min="15109" max="15109" width="12.85546875" style="1046" customWidth="1"/>
    <col min="15110" max="15110" width="11.5703125" style="1046" customWidth="1"/>
    <col min="15111" max="15111" width="10.5703125" style="1046" customWidth="1"/>
    <col min="15112" max="15112" width="11.28515625" style="1046" customWidth="1"/>
    <col min="15113" max="15114" width="9.85546875" style="1046" customWidth="1"/>
    <col min="15115" max="15115" width="9.85546875" style="1046" bestFit="1" customWidth="1"/>
    <col min="15116" max="15116" width="9.140625" style="1046"/>
    <col min="15117" max="15117" width="9.42578125" style="1046" bestFit="1" customWidth="1"/>
    <col min="15118" max="15119" width="9.28515625" style="1046" bestFit="1" customWidth="1"/>
    <col min="15120" max="15122" width="9.28515625" style="1046" customWidth="1"/>
    <col min="15123" max="15123" width="9.28515625" style="1046" bestFit="1" customWidth="1"/>
    <col min="15124" max="15359" width="9.140625" style="1046"/>
    <col min="15360" max="15360" width="3.140625" style="1046" customWidth="1"/>
    <col min="15361" max="15361" width="47.7109375" style="1046" customWidth="1"/>
    <col min="15362" max="15362" width="12.28515625" style="1046" customWidth="1"/>
    <col min="15363" max="15363" width="13.140625" style="1046" customWidth="1"/>
    <col min="15364" max="15364" width="11.7109375" style="1046" customWidth="1"/>
    <col min="15365" max="15365" width="12.85546875" style="1046" customWidth="1"/>
    <col min="15366" max="15366" width="11.5703125" style="1046" customWidth="1"/>
    <col min="15367" max="15367" width="10.5703125" style="1046" customWidth="1"/>
    <col min="15368" max="15368" width="11.28515625" style="1046" customWidth="1"/>
    <col min="15369" max="15370" width="9.85546875" style="1046" customWidth="1"/>
    <col min="15371" max="15371" width="9.85546875" style="1046" bestFit="1" customWidth="1"/>
    <col min="15372" max="15372" width="9.140625" style="1046"/>
    <col min="15373" max="15373" width="9.42578125" style="1046" bestFit="1" customWidth="1"/>
    <col min="15374" max="15375" width="9.28515625" style="1046" bestFit="1" customWidth="1"/>
    <col min="15376" max="15378" width="9.28515625" style="1046" customWidth="1"/>
    <col min="15379" max="15379" width="9.28515625" style="1046" bestFit="1" customWidth="1"/>
    <col min="15380" max="15615" width="9.140625" style="1046"/>
    <col min="15616" max="15616" width="3.140625" style="1046" customWidth="1"/>
    <col min="15617" max="15617" width="47.7109375" style="1046" customWidth="1"/>
    <col min="15618" max="15618" width="12.28515625" style="1046" customWidth="1"/>
    <col min="15619" max="15619" width="13.140625" style="1046" customWidth="1"/>
    <col min="15620" max="15620" width="11.7109375" style="1046" customWidth="1"/>
    <col min="15621" max="15621" width="12.85546875" style="1046" customWidth="1"/>
    <col min="15622" max="15622" width="11.5703125" style="1046" customWidth="1"/>
    <col min="15623" max="15623" width="10.5703125" style="1046" customWidth="1"/>
    <col min="15624" max="15624" width="11.28515625" style="1046" customWidth="1"/>
    <col min="15625" max="15626" width="9.85546875" style="1046" customWidth="1"/>
    <col min="15627" max="15627" width="9.85546875" style="1046" bestFit="1" customWidth="1"/>
    <col min="15628" max="15628" width="9.140625" style="1046"/>
    <col min="15629" max="15629" width="9.42578125" style="1046" bestFit="1" customWidth="1"/>
    <col min="15630" max="15631" width="9.28515625" style="1046" bestFit="1" customWidth="1"/>
    <col min="15632" max="15634" width="9.28515625" style="1046" customWidth="1"/>
    <col min="15635" max="15635" width="9.28515625" style="1046" bestFit="1" customWidth="1"/>
    <col min="15636" max="15871" width="9.140625" style="1046"/>
    <col min="15872" max="15872" width="3.140625" style="1046" customWidth="1"/>
    <col min="15873" max="15873" width="47.7109375" style="1046" customWidth="1"/>
    <col min="15874" max="15874" width="12.28515625" style="1046" customWidth="1"/>
    <col min="15875" max="15875" width="13.140625" style="1046" customWidth="1"/>
    <col min="15876" max="15876" width="11.7109375" style="1046" customWidth="1"/>
    <col min="15877" max="15877" width="12.85546875" style="1046" customWidth="1"/>
    <col min="15878" max="15878" width="11.5703125" style="1046" customWidth="1"/>
    <col min="15879" max="15879" width="10.5703125" style="1046" customWidth="1"/>
    <col min="15880" max="15880" width="11.28515625" style="1046" customWidth="1"/>
    <col min="15881" max="15882" width="9.85546875" style="1046" customWidth="1"/>
    <col min="15883" max="15883" width="9.85546875" style="1046" bestFit="1" customWidth="1"/>
    <col min="15884" max="15884" width="9.140625" style="1046"/>
    <col min="15885" max="15885" width="9.42578125" style="1046" bestFit="1" customWidth="1"/>
    <col min="15886" max="15887" width="9.28515625" style="1046" bestFit="1" customWidth="1"/>
    <col min="15888" max="15890" width="9.28515625" style="1046" customWidth="1"/>
    <col min="15891" max="15891" width="9.28515625" style="1046" bestFit="1" customWidth="1"/>
    <col min="15892" max="16127" width="9.140625" style="1046"/>
    <col min="16128" max="16128" width="3.140625" style="1046" customWidth="1"/>
    <col min="16129" max="16129" width="47.7109375" style="1046" customWidth="1"/>
    <col min="16130" max="16130" width="12.28515625" style="1046" customWidth="1"/>
    <col min="16131" max="16131" width="13.140625" style="1046" customWidth="1"/>
    <col min="16132" max="16132" width="11.7109375" style="1046" customWidth="1"/>
    <col min="16133" max="16133" width="12.85546875" style="1046" customWidth="1"/>
    <col min="16134" max="16134" width="11.5703125" style="1046" customWidth="1"/>
    <col min="16135" max="16135" width="10.5703125" style="1046" customWidth="1"/>
    <col min="16136" max="16136" width="11.28515625" style="1046" customWidth="1"/>
    <col min="16137" max="16138" width="9.85546875" style="1046" customWidth="1"/>
    <col min="16139" max="16139" width="9.85546875" style="1046" bestFit="1" customWidth="1"/>
    <col min="16140" max="16140" width="9.140625" style="1046"/>
    <col min="16141" max="16141" width="9.42578125" style="1046" bestFit="1" customWidth="1"/>
    <col min="16142" max="16143" width="9.28515625" style="1046" bestFit="1" customWidth="1"/>
    <col min="16144" max="16146" width="9.28515625" style="1046" customWidth="1"/>
    <col min="16147" max="16147" width="9.28515625" style="1046" bestFit="1" customWidth="1"/>
    <col min="16148" max="16384" width="9.140625" style="1046"/>
  </cols>
  <sheetData>
    <row r="1" spans="1:8" s="1043" customFormat="1" ht="18.75" x14ac:dyDescent="0.2">
      <c r="A1" s="1043" t="s">
        <v>673</v>
      </c>
    </row>
    <row r="2" spans="1:8" ht="19.5" customHeight="1" thickBot="1" x14ac:dyDescent="0.25">
      <c r="A2" s="1044"/>
      <c r="B2" s="1045"/>
      <c r="C2" s="3245" t="s">
        <v>674</v>
      </c>
      <c r="D2" s="3245"/>
      <c r="E2" s="3245"/>
      <c r="F2" s="3245"/>
    </row>
    <row r="3" spans="1:8" ht="16.5" thickBot="1" x14ac:dyDescent="0.25">
      <c r="A3" s="1047"/>
      <c r="B3" s="1048"/>
      <c r="C3" s="3246" t="s">
        <v>675</v>
      </c>
      <c r="D3" s="3247"/>
      <c r="E3" s="3247"/>
      <c r="F3" s="3248"/>
      <c r="G3" s="1049"/>
    </row>
    <row r="4" spans="1:8" ht="21" customHeight="1" thickBot="1" x14ac:dyDescent="0.25">
      <c r="A4" s="1050"/>
      <c r="B4" s="1051"/>
      <c r="C4" s="967">
        <v>42496</v>
      </c>
      <c r="D4" s="967">
        <v>42503</v>
      </c>
      <c r="E4" s="967">
        <v>42510</v>
      </c>
      <c r="F4" s="967">
        <v>42517</v>
      </c>
      <c r="G4" s="1052"/>
    </row>
    <row r="5" spans="1:8" ht="2.25" hidden="1" customHeight="1" x14ac:dyDescent="0.2">
      <c r="A5" s="1053"/>
      <c r="B5" s="1054"/>
      <c r="C5" s="1055"/>
      <c r="D5" s="1056"/>
      <c r="E5" s="1056"/>
      <c r="F5" s="1056"/>
      <c r="G5" s="1057"/>
    </row>
    <row r="6" spans="1:8" ht="18.75" customHeight="1" x14ac:dyDescent="0.2">
      <c r="A6" s="1058"/>
      <c r="B6" s="1059" t="s">
        <v>676</v>
      </c>
      <c r="C6" s="1060"/>
      <c r="D6" s="1061"/>
      <c r="E6" s="1061"/>
      <c r="F6" s="1061"/>
      <c r="G6" s="1057"/>
    </row>
    <row r="7" spans="1:8" ht="18.75" customHeight="1" x14ac:dyDescent="0.2">
      <c r="A7" s="1062"/>
      <c r="B7" s="1063" t="s">
        <v>677</v>
      </c>
      <c r="C7" s="1064">
        <v>2.72</v>
      </c>
      <c r="D7" s="1065">
        <v>2.58</v>
      </c>
      <c r="E7" s="1065">
        <v>2.48</v>
      </c>
      <c r="F7" s="1065">
        <v>2.35</v>
      </c>
      <c r="G7" s="1066"/>
    </row>
    <row r="8" spans="1:8" ht="18.75" customHeight="1" x14ac:dyDescent="0.2">
      <c r="A8" s="1062"/>
      <c r="B8" s="1063" t="s">
        <v>678</v>
      </c>
      <c r="C8" s="1064">
        <v>2.94</v>
      </c>
      <c r="D8" s="1065">
        <v>2.81</v>
      </c>
      <c r="E8" s="1065">
        <v>2.67</v>
      </c>
      <c r="F8" s="1065">
        <v>2.48</v>
      </c>
      <c r="G8" s="1066"/>
    </row>
    <row r="9" spans="1:8" ht="18.75" customHeight="1" x14ac:dyDescent="0.2">
      <c r="A9" s="1062"/>
      <c r="B9" s="1063" t="s">
        <v>679</v>
      </c>
      <c r="C9" s="1064">
        <v>3.05</v>
      </c>
      <c r="D9" s="1065">
        <v>2.94</v>
      </c>
      <c r="E9" s="1065">
        <v>2.89</v>
      </c>
      <c r="F9" s="1065">
        <v>2.62</v>
      </c>
      <c r="G9" s="1066"/>
    </row>
    <row r="10" spans="1:8" ht="8.25" customHeight="1" thickBot="1" x14ac:dyDescent="0.25">
      <c r="A10" s="1067"/>
      <c r="B10" s="1068"/>
      <c r="C10" s="1069"/>
      <c r="D10" s="1070"/>
      <c r="E10" s="1070"/>
      <c r="F10" s="1070"/>
      <c r="G10" s="1071"/>
    </row>
    <row r="11" spans="1:8" s="1072" customFormat="1" ht="21.75" customHeight="1" x14ac:dyDescent="0.2">
      <c r="A11" s="1072" t="s">
        <v>680</v>
      </c>
      <c r="G11" s="1073"/>
    </row>
    <row r="12" spans="1:8" ht="12" customHeight="1" x14ac:dyDescent="0.2"/>
    <row r="13" spans="1:8" ht="21.75" customHeight="1" x14ac:dyDescent="0.2">
      <c r="A13" s="3249" t="s">
        <v>681</v>
      </c>
      <c r="B13" s="3249"/>
      <c r="C13" s="3249"/>
      <c r="D13" s="3249"/>
      <c r="E13" s="3249"/>
      <c r="F13" s="3249"/>
    </row>
    <row r="14" spans="1:8" ht="9.75" customHeight="1" thickBot="1" x14ac:dyDescent="0.25">
      <c r="A14" s="1074"/>
      <c r="B14" s="1074"/>
      <c r="C14" s="1074"/>
      <c r="D14" s="1074"/>
      <c r="E14" s="1074"/>
      <c r="F14" s="1074"/>
    </row>
    <row r="15" spans="1:8" ht="18.75" customHeight="1" thickBot="1" x14ac:dyDescent="0.3">
      <c r="A15" s="1047" t="s">
        <v>682</v>
      </c>
      <c r="B15" s="1048"/>
      <c r="C15" s="3250" t="s">
        <v>683</v>
      </c>
      <c r="D15" s="3251"/>
      <c r="E15" s="3250" t="s">
        <v>684</v>
      </c>
      <c r="F15" s="3251"/>
      <c r="G15" s="433"/>
      <c r="H15" s="433"/>
    </row>
    <row r="16" spans="1:8" ht="20.25" customHeight="1" thickBot="1" x14ac:dyDescent="0.3">
      <c r="A16" s="1050"/>
      <c r="B16" s="1051"/>
      <c r="C16" s="3243" t="s">
        <v>685</v>
      </c>
      <c r="D16" s="3244"/>
      <c r="E16" s="3243" t="s">
        <v>685</v>
      </c>
      <c r="F16" s="3244"/>
      <c r="G16" s="433"/>
      <c r="H16" s="433"/>
    </row>
    <row r="17" spans="1:9" ht="20.25" customHeight="1" x14ac:dyDescent="0.25">
      <c r="A17" s="1058">
        <v>1</v>
      </c>
      <c r="B17" s="1075" t="s">
        <v>686</v>
      </c>
      <c r="C17" s="3252">
        <v>2621.1</v>
      </c>
      <c r="D17" s="3253"/>
      <c r="E17" s="3252">
        <v>2435</v>
      </c>
      <c r="F17" s="3253"/>
      <c r="G17" s="433"/>
      <c r="H17" s="433"/>
    </row>
    <row r="18" spans="1:9" ht="20.25" customHeight="1" x14ac:dyDescent="0.25">
      <c r="A18" s="1058">
        <v>2</v>
      </c>
      <c r="B18" s="1075" t="s">
        <v>687</v>
      </c>
      <c r="C18" s="3254">
        <v>1300</v>
      </c>
      <c r="D18" s="3255"/>
      <c r="E18" s="3254">
        <v>1400</v>
      </c>
      <c r="F18" s="3255"/>
      <c r="G18" s="433"/>
      <c r="H18" s="433"/>
    </row>
    <row r="19" spans="1:9" ht="20.25" customHeight="1" x14ac:dyDescent="0.25">
      <c r="A19" s="1058">
        <v>3</v>
      </c>
      <c r="B19" s="1076" t="s">
        <v>688</v>
      </c>
      <c r="C19" s="3256">
        <v>3.59</v>
      </c>
      <c r="D19" s="3257"/>
      <c r="E19" s="3256">
        <v>3.59</v>
      </c>
      <c r="F19" s="3257"/>
      <c r="G19" s="433"/>
      <c r="H19" s="433"/>
    </row>
    <row r="20" spans="1:9" ht="20.25" customHeight="1" x14ac:dyDescent="0.25">
      <c r="A20" s="1058">
        <v>4</v>
      </c>
      <c r="B20" s="1075" t="s">
        <v>689</v>
      </c>
      <c r="C20" s="3256">
        <v>3.68</v>
      </c>
      <c r="D20" s="3257"/>
      <c r="E20" s="3256">
        <v>3.59</v>
      </c>
      <c r="F20" s="3257"/>
      <c r="G20" s="433"/>
      <c r="H20" s="433"/>
    </row>
    <row r="21" spans="1:9" ht="20.25" customHeight="1" x14ac:dyDescent="0.25">
      <c r="A21" s="1058">
        <v>5</v>
      </c>
      <c r="B21" s="1075" t="s">
        <v>690</v>
      </c>
      <c r="C21" s="3264">
        <v>3.63</v>
      </c>
      <c r="D21" s="3265"/>
      <c r="E21" s="3264">
        <v>3.48</v>
      </c>
      <c r="F21" s="3265"/>
      <c r="G21" s="433"/>
      <c r="H21" s="433"/>
    </row>
    <row r="22" spans="1:9" ht="20.25" customHeight="1" x14ac:dyDescent="0.25">
      <c r="A22" s="1058">
        <v>6</v>
      </c>
      <c r="B22" s="1075" t="s">
        <v>691</v>
      </c>
      <c r="C22" s="3266" t="s">
        <v>692</v>
      </c>
      <c r="D22" s="3267"/>
      <c r="E22" s="3266" t="s">
        <v>693</v>
      </c>
      <c r="F22" s="3267"/>
      <c r="G22" s="433"/>
      <c r="H22" s="433"/>
    </row>
    <row r="23" spans="1:9" ht="11.25" customHeight="1" thickBot="1" x14ac:dyDescent="0.3">
      <c r="A23" s="1077"/>
      <c r="B23" s="1051"/>
      <c r="C23" s="3258"/>
      <c r="D23" s="3259"/>
      <c r="E23" s="3258"/>
      <c r="F23" s="3259"/>
      <c r="G23" s="433"/>
      <c r="H23" s="433"/>
    </row>
    <row r="24" spans="1:9" ht="13.5" customHeight="1" x14ac:dyDescent="0.2">
      <c r="A24" s="1072"/>
      <c r="B24" s="1078" t="s">
        <v>694</v>
      </c>
      <c r="C24" s="1072"/>
      <c r="F24" s="1079"/>
      <c r="G24" s="1079"/>
    </row>
    <row r="25" spans="1:9" ht="17.25" customHeight="1" x14ac:dyDescent="0.2">
      <c r="A25" s="1072"/>
      <c r="B25" s="1078" t="s">
        <v>695</v>
      </c>
      <c r="F25" s="1079"/>
      <c r="G25" s="1079"/>
    </row>
    <row r="26" spans="1:9" ht="19.5" customHeight="1" x14ac:dyDescent="0.2">
      <c r="A26" s="1072"/>
      <c r="B26" s="1078" t="s">
        <v>696</v>
      </c>
      <c r="E26" s="1072"/>
      <c r="F26" s="1079"/>
      <c r="G26" s="1079"/>
    </row>
    <row r="27" spans="1:9" s="1072" customFormat="1" ht="15.75" x14ac:dyDescent="0.2">
      <c r="A27" s="1072" t="s">
        <v>680</v>
      </c>
      <c r="B27" s="1080"/>
      <c r="D27" s="1080"/>
      <c r="E27" s="1080"/>
      <c r="F27" s="1080"/>
    </row>
    <row r="28" spans="1:9" ht="17.25" customHeight="1" x14ac:dyDescent="0.2"/>
    <row r="29" spans="1:9" s="1081" customFormat="1" ht="30.75" customHeight="1" x14ac:dyDescent="0.3">
      <c r="A29" s="3260" t="s">
        <v>697</v>
      </c>
      <c r="B29" s="3260"/>
      <c r="C29" s="3260"/>
      <c r="D29" s="3260"/>
      <c r="E29" s="3260"/>
      <c r="F29" s="3260"/>
      <c r="G29" s="3260"/>
    </row>
    <row r="30" spans="1:9" s="1081" customFormat="1" ht="9.75" customHeight="1" thickBot="1" x14ac:dyDescent="0.35">
      <c r="A30" s="1082"/>
      <c r="B30" s="1082"/>
      <c r="C30" s="1082"/>
      <c r="D30" s="1082"/>
      <c r="E30" s="1082"/>
      <c r="F30" s="1082"/>
      <c r="G30" s="1082"/>
    </row>
    <row r="31" spans="1:9" ht="18" customHeight="1" thickBot="1" x14ac:dyDescent="0.25">
      <c r="A31" s="1083"/>
      <c r="B31" s="1084"/>
      <c r="C31" s="3261" t="s">
        <v>698</v>
      </c>
      <c r="D31" s="3262"/>
      <c r="E31" s="3262"/>
      <c r="F31" s="3262"/>
      <c r="G31" s="3262"/>
      <c r="H31" s="3262"/>
      <c r="I31" s="3263"/>
    </row>
    <row r="32" spans="1:9" ht="24" customHeight="1" thickBot="1" x14ac:dyDescent="0.25">
      <c r="A32" s="1085"/>
      <c r="B32" s="1086"/>
      <c r="C32" s="1087" t="s">
        <v>699</v>
      </c>
      <c r="D32" s="1087" t="s">
        <v>700</v>
      </c>
      <c r="E32" s="1087" t="s">
        <v>701</v>
      </c>
      <c r="F32" s="1087" t="s">
        <v>702</v>
      </c>
      <c r="G32" s="1087" t="s">
        <v>703</v>
      </c>
      <c r="H32" s="1087" t="s">
        <v>704</v>
      </c>
      <c r="I32" s="1087" t="s">
        <v>705</v>
      </c>
    </row>
    <row r="33" spans="1:9" ht="20.25" customHeight="1" x14ac:dyDescent="0.2">
      <c r="A33" s="1088">
        <v>1</v>
      </c>
      <c r="B33" s="1089" t="s">
        <v>706</v>
      </c>
      <c r="C33" s="1090">
        <v>2000</v>
      </c>
      <c r="D33" s="1090">
        <v>1300</v>
      </c>
      <c r="E33" s="1090">
        <v>1300</v>
      </c>
      <c r="F33" s="1090">
        <v>1400</v>
      </c>
      <c r="G33" s="1090">
        <v>1500</v>
      </c>
      <c r="H33" s="1090">
        <v>1400</v>
      </c>
      <c r="I33" s="1090">
        <v>1400</v>
      </c>
    </row>
    <row r="34" spans="1:9" ht="20.25" customHeight="1" x14ac:dyDescent="0.2">
      <c r="A34" s="1088">
        <v>2</v>
      </c>
      <c r="B34" s="1089" t="s">
        <v>707</v>
      </c>
      <c r="C34" s="1090">
        <v>5040</v>
      </c>
      <c r="D34" s="1090">
        <v>2511</v>
      </c>
      <c r="E34" s="1090">
        <v>1439</v>
      </c>
      <c r="F34" s="1090">
        <v>1832.5</v>
      </c>
      <c r="G34" s="1090">
        <v>4812.5</v>
      </c>
      <c r="H34" s="1090">
        <v>2310.1</v>
      </c>
      <c r="I34" s="1090">
        <v>3011.7</v>
      </c>
    </row>
    <row r="35" spans="1:9" ht="20.25" customHeight="1" x14ac:dyDescent="0.2">
      <c r="A35" s="1088">
        <v>3</v>
      </c>
      <c r="B35" s="1089" t="s">
        <v>708</v>
      </c>
      <c r="C35" s="1090">
        <v>2000</v>
      </c>
      <c r="D35" s="1090">
        <v>1300</v>
      </c>
      <c r="E35" s="1090">
        <v>1054</v>
      </c>
      <c r="F35" s="1090">
        <v>1400</v>
      </c>
      <c r="G35" s="1090">
        <v>1500</v>
      </c>
      <c r="H35" s="1090">
        <v>1400</v>
      </c>
      <c r="I35" s="1090">
        <v>1400</v>
      </c>
    </row>
    <row r="36" spans="1:9" ht="20.25" customHeight="1" x14ac:dyDescent="0.2">
      <c r="A36" s="1088">
        <v>4</v>
      </c>
      <c r="B36" s="1089" t="s">
        <v>709</v>
      </c>
      <c r="C36" s="1091">
        <v>4.45</v>
      </c>
      <c r="D36" s="1091">
        <v>4.45</v>
      </c>
      <c r="E36" s="1091">
        <v>4.45</v>
      </c>
      <c r="F36" s="1091">
        <v>4.8499999999999996</v>
      </c>
      <c r="G36" s="1091">
        <v>4.8499999999999996</v>
      </c>
      <c r="H36" s="1091">
        <v>4.8499999999999996</v>
      </c>
      <c r="I36" s="1091">
        <v>4.0999999999999996</v>
      </c>
    </row>
    <row r="37" spans="1:9" ht="20.25" customHeight="1" x14ac:dyDescent="0.2">
      <c r="A37" s="1088">
        <v>5</v>
      </c>
      <c r="B37" s="1092" t="s">
        <v>710</v>
      </c>
      <c r="C37" s="1093">
        <v>4.8499999999999996</v>
      </c>
      <c r="D37" s="1093">
        <v>4.75</v>
      </c>
      <c r="E37" s="1093">
        <v>5.12</v>
      </c>
      <c r="F37" s="1093">
        <v>5.2</v>
      </c>
      <c r="G37" s="1093">
        <v>4.6900000000000004</v>
      </c>
      <c r="H37" s="1093">
        <v>4.5999999999999996</v>
      </c>
      <c r="I37" s="1093">
        <v>4.29</v>
      </c>
    </row>
    <row r="38" spans="1:9" ht="20.25" customHeight="1" x14ac:dyDescent="0.2">
      <c r="A38" s="1088">
        <v>6</v>
      </c>
      <c r="B38" s="1092" t="s">
        <v>711</v>
      </c>
      <c r="C38" s="1093">
        <v>4.7300000000000004</v>
      </c>
      <c r="D38" s="1093">
        <v>4.53</v>
      </c>
      <c r="E38" s="1093">
        <v>4.95</v>
      </c>
      <c r="F38" s="1093">
        <v>5.01</v>
      </c>
      <c r="G38" s="1093">
        <v>4.53</v>
      </c>
      <c r="H38" s="1093">
        <v>4.3</v>
      </c>
      <c r="I38" s="1093">
        <v>4.2300000000000004</v>
      </c>
    </row>
    <row r="39" spans="1:9" ht="20.25" customHeight="1" x14ac:dyDescent="0.2">
      <c r="A39" s="1088">
        <v>7</v>
      </c>
      <c r="B39" s="1092" t="s">
        <v>712</v>
      </c>
      <c r="C39" s="1094">
        <v>98.766000000000005</v>
      </c>
      <c r="D39" s="1094">
        <v>99.650999999999996</v>
      </c>
      <c r="E39" s="1094">
        <v>97.938999999999993</v>
      </c>
      <c r="F39" s="1094">
        <v>99.3</v>
      </c>
      <c r="G39" s="1094">
        <v>101.379</v>
      </c>
      <c r="H39" s="1094">
        <v>102.277</v>
      </c>
      <c r="I39" s="1094">
        <v>99.42</v>
      </c>
    </row>
    <row r="40" spans="1:9" ht="10.5" customHeight="1" thickBot="1" x14ac:dyDescent="0.25">
      <c r="A40" s="1095"/>
      <c r="B40" s="1096"/>
      <c r="C40" s="1097"/>
      <c r="D40" s="1097"/>
      <c r="E40" s="1097"/>
      <c r="F40" s="1097"/>
      <c r="G40" s="1097"/>
      <c r="H40" s="1097"/>
      <c r="I40" s="1097"/>
    </row>
    <row r="41" spans="1:9" ht="8.25" customHeight="1" x14ac:dyDescent="0.2"/>
    <row r="42" spans="1:9" ht="18.75" x14ac:dyDescent="0.2">
      <c r="A42" s="1072"/>
      <c r="B42" s="1098" t="s">
        <v>713</v>
      </c>
      <c r="C42" s="1098" t="s">
        <v>714</v>
      </c>
      <c r="E42" s="1072"/>
      <c r="F42" s="1099"/>
      <c r="G42" s="1079"/>
    </row>
    <row r="43" spans="1:9" ht="18.75" x14ac:dyDescent="0.2">
      <c r="A43" s="1072"/>
      <c r="B43" s="1098" t="s">
        <v>715</v>
      </c>
      <c r="C43" s="1098" t="s">
        <v>716</v>
      </c>
      <c r="D43" s="1072"/>
      <c r="F43" s="1099"/>
      <c r="G43" s="1079"/>
    </row>
    <row r="44" spans="1:9" s="1072" customFormat="1" ht="18" x14ac:dyDescent="0.2">
      <c r="B44" s="1098" t="s">
        <v>717</v>
      </c>
      <c r="C44" s="1098" t="s">
        <v>718</v>
      </c>
      <c r="D44" s="1046"/>
      <c r="E44" s="1046"/>
      <c r="F44" s="1080"/>
    </row>
    <row r="45" spans="1:9" ht="18" x14ac:dyDescent="0.2">
      <c r="A45" s="1072"/>
      <c r="B45" s="1098" t="s">
        <v>719</v>
      </c>
      <c r="C45" s="1098"/>
      <c r="F45" s="1080"/>
    </row>
    <row r="46" spans="1:9" ht="15.75" x14ac:dyDescent="0.2">
      <c r="A46" s="1072" t="s">
        <v>680</v>
      </c>
      <c r="B46" s="1080"/>
      <c r="C46" s="1080"/>
      <c r="D46" s="1080"/>
      <c r="E46" s="1080"/>
      <c r="F46" s="1080"/>
    </row>
    <row r="50" spans="2:3" ht="18" x14ac:dyDescent="0.2">
      <c r="B50" s="1100"/>
      <c r="C50" s="1100"/>
    </row>
    <row r="51" spans="2:3" ht="18" x14ac:dyDescent="0.2">
      <c r="B51" s="1100"/>
      <c r="C51" s="1100"/>
    </row>
    <row r="52" spans="2:3" ht="18" x14ac:dyDescent="0.2">
      <c r="B52" s="1100"/>
      <c r="C52" s="1100"/>
    </row>
  </sheetData>
  <mergeCells count="23">
    <mergeCell ref="C23:D23"/>
    <mergeCell ref="E23:F23"/>
    <mergeCell ref="A29:G29"/>
    <mergeCell ref="C31:I31"/>
    <mergeCell ref="C20:D20"/>
    <mergeCell ref="E20:F20"/>
    <mergeCell ref="C21:D21"/>
    <mergeCell ref="E21:F21"/>
    <mergeCell ref="C22:D22"/>
    <mergeCell ref="E22:F22"/>
    <mergeCell ref="C17:D17"/>
    <mergeCell ref="E17:F17"/>
    <mergeCell ref="C18:D18"/>
    <mergeCell ref="E18:F18"/>
    <mergeCell ref="C19:D19"/>
    <mergeCell ref="E19:F19"/>
    <mergeCell ref="C16:D16"/>
    <mergeCell ref="E16:F16"/>
    <mergeCell ref="C2:F2"/>
    <mergeCell ref="C3:F3"/>
    <mergeCell ref="A13:F13"/>
    <mergeCell ref="C15:D15"/>
    <mergeCell ref="E15:F15"/>
  </mergeCells>
  <printOptions horizontalCentered="1"/>
  <pageMargins left="0" right="0" top="1.3405511809999999" bottom="0.196850393700787" header="0.27559055118110198" footer="0"/>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43"/>
  <sheetViews>
    <sheetView showGridLines="0" topLeftCell="A13" zoomScaleNormal="100" workbookViewId="0">
      <selection activeCell="L24" sqref="L24"/>
    </sheetView>
  </sheetViews>
  <sheetFormatPr defaultRowHeight="18.75" x14ac:dyDescent="0.3"/>
  <cols>
    <col min="1" max="1" width="3.5703125" style="1123" bestFit="1" customWidth="1"/>
    <col min="2" max="2" width="41.140625" style="1123" customWidth="1"/>
    <col min="3" max="3" width="19.5703125" style="1123" customWidth="1"/>
    <col min="4" max="4" width="16" style="1123" customWidth="1"/>
    <col min="5" max="5" width="12.42578125" style="1123" customWidth="1"/>
    <col min="6" max="6" width="16" style="1123" customWidth="1"/>
    <col min="7" max="7" width="11.140625" style="1123" customWidth="1"/>
    <col min="8" max="8" width="0.28515625" style="1120" hidden="1" customWidth="1"/>
    <col min="9" max="9" width="14.5703125" style="1120" customWidth="1"/>
    <col min="10" max="10" width="4.140625" style="1120" customWidth="1"/>
    <col min="11" max="255" width="9.140625" style="1120"/>
    <col min="256" max="256" width="2.7109375" style="1120" bestFit="1" customWidth="1"/>
    <col min="257" max="257" width="41.140625" style="1120" customWidth="1"/>
    <col min="258" max="258" width="12.85546875" style="1120" customWidth="1"/>
    <col min="259" max="260" width="10.42578125" style="1120" bestFit="1" customWidth="1"/>
    <col min="261" max="261" width="9.42578125" style="1120" bestFit="1" customWidth="1"/>
    <col min="262" max="263" width="10.42578125" style="1120" bestFit="1" customWidth="1"/>
    <col min="264" max="264" width="0" style="1120" hidden="1" customWidth="1"/>
    <col min="265" max="265" width="9.140625" style="1120"/>
    <col min="266" max="266" width="4.140625" style="1120" customWidth="1"/>
    <col min="267" max="511" width="9.140625" style="1120"/>
    <col min="512" max="512" width="2.7109375" style="1120" bestFit="1" customWidth="1"/>
    <col min="513" max="513" width="41.140625" style="1120" customWidth="1"/>
    <col min="514" max="514" width="12.85546875" style="1120" customWidth="1"/>
    <col min="515" max="516" width="10.42578125" style="1120" bestFit="1" customWidth="1"/>
    <col min="517" max="517" width="9.42578125" style="1120" bestFit="1" customWidth="1"/>
    <col min="518" max="519" width="10.42578125" style="1120" bestFit="1" customWidth="1"/>
    <col min="520" max="520" width="0" style="1120" hidden="1" customWidth="1"/>
    <col min="521" max="521" width="9.140625" style="1120"/>
    <col min="522" max="522" width="4.140625" style="1120" customWidth="1"/>
    <col min="523" max="767" width="9.140625" style="1120"/>
    <col min="768" max="768" width="2.7109375" style="1120" bestFit="1" customWidth="1"/>
    <col min="769" max="769" width="41.140625" style="1120" customWidth="1"/>
    <col min="770" max="770" width="12.85546875" style="1120" customWidth="1"/>
    <col min="771" max="772" width="10.42578125" style="1120" bestFit="1" customWidth="1"/>
    <col min="773" max="773" width="9.42578125" style="1120" bestFit="1" customWidth="1"/>
    <col min="774" max="775" width="10.42578125" style="1120" bestFit="1" customWidth="1"/>
    <col min="776" max="776" width="0" style="1120" hidden="1" customWidth="1"/>
    <col min="777" max="777" width="9.140625" style="1120"/>
    <col min="778" max="778" width="4.140625" style="1120" customWidth="1"/>
    <col min="779" max="1023" width="9.140625" style="1120"/>
    <col min="1024" max="1024" width="2.7109375" style="1120" bestFit="1" customWidth="1"/>
    <col min="1025" max="1025" width="41.140625" style="1120" customWidth="1"/>
    <col min="1026" max="1026" width="12.85546875" style="1120" customWidth="1"/>
    <col min="1027" max="1028" width="10.42578125" style="1120" bestFit="1" customWidth="1"/>
    <col min="1029" max="1029" width="9.42578125" style="1120" bestFit="1" customWidth="1"/>
    <col min="1030" max="1031" width="10.42578125" style="1120" bestFit="1" customWidth="1"/>
    <col min="1032" max="1032" width="0" style="1120" hidden="1" customWidth="1"/>
    <col min="1033" max="1033" width="9.140625" style="1120"/>
    <col min="1034" max="1034" width="4.140625" style="1120" customWidth="1"/>
    <col min="1035" max="1279" width="9.140625" style="1120"/>
    <col min="1280" max="1280" width="2.7109375" style="1120" bestFit="1" customWidth="1"/>
    <col min="1281" max="1281" width="41.140625" style="1120" customWidth="1"/>
    <col min="1282" max="1282" width="12.85546875" style="1120" customWidth="1"/>
    <col min="1283" max="1284" width="10.42578125" style="1120" bestFit="1" customWidth="1"/>
    <col min="1285" max="1285" width="9.42578125" style="1120" bestFit="1" customWidth="1"/>
    <col min="1286" max="1287" width="10.42578125" style="1120" bestFit="1" customWidth="1"/>
    <col min="1288" max="1288" width="0" style="1120" hidden="1" customWidth="1"/>
    <col min="1289" max="1289" width="9.140625" style="1120"/>
    <col min="1290" max="1290" width="4.140625" style="1120" customWidth="1"/>
    <col min="1291" max="1535" width="9.140625" style="1120"/>
    <col min="1536" max="1536" width="2.7109375" style="1120" bestFit="1" customWidth="1"/>
    <col min="1537" max="1537" width="41.140625" style="1120" customWidth="1"/>
    <col min="1538" max="1538" width="12.85546875" style="1120" customWidth="1"/>
    <col min="1539" max="1540" width="10.42578125" style="1120" bestFit="1" customWidth="1"/>
    <col min="1541" max="1541" width="9.42578125" style="1120" bestFit="1" customWidth="1"/>
    <col min="1542" max="1543" width="10.42578125" style="1120" bestFit="1" customWidth="1"/>
    <col min="1544" max="1544" width="0" style="1120" hidden="1" customWidth="1"/>
    <col min="1545" max="1545" width="9.140625" style="1120"/>
    <col min="1546" max="1546" width="4.140625" style="1120" customWidth="1"/>
    <col min="1547" max="1791" width="9.140625" style="1120"/>
    <col min="1792" max="1792" width="2.7109375" style="1120" bestFit="1" customWidth="1"/>
    <col min="1793" max="1793" width="41.140625" style="1120" customWidth="1"/>
    <col min="1794" max="1794" width="12.85546875" style="1120" customWidth="1"/>
    <col min="1795" max="1796" width="10.42578125" style="1120" bestFit="1" customWidth="1"/>
    <col min="1797" max="1797" width="9.42578125" style="1120" bestFit="1" customWidth="1"/>
    <col min="1798" max="1799" width="10.42578125" style="1120" bestFit="1" customWidth="1"/>
    <col min="1800" max="1800" width="0" style="1120" hidden="1" customWidth="1"/>
    <col min="1801" max="1801" width="9.140625" style="1120"/>
    <col min="1802" max="1802" width="4.140625" style="1120" customWidth="1"/>
    <col min="1803" max="2047" width="9.140625" style="1120"/>
    <col min="2048" max="2048" width="2.7109375" style="1120" bestFit="1" customWidth="1"/>
    <col min="2049" max="2049" width="41.140625" style="1120" customWidth="1"/>
    <col min="2050" max="2050" width="12.85546875" style="1120" customWidth="1"/>
    <col min="2051" max="2052" width="10.42578125" style="1120" bestFit="1" customWidth="1"/>
    <col min="2053" max="2053" width="9.42578125" style="1120" bestFit="1" customWidth="1"/>
    <col min="2054" max="2055" width="10.42578125" style="1120" bestFit="1" customWidth="1"/>
    <col min="2056" max="2056" width="0" style="1120" hidden="1" customWidth="1"/>
    <col min="2057" max="2057" width="9.140625" style="1120"/>
    <col min="2058" max="2058" width="4.140625" style="1120" customWidth="1"/>
    <col min="2059" max="2303" width="9.140625" style="1120"/>
    <col min="2304" max="2304" width="2.7109375" style="1120" bestFit="1" customWidth="1"/>
    <col min="2305" max="2305" width="41.140625" style="1120" customWidth="1"/>
    <col min="2306" max="2306" width="12.85546875" style="1120" customWidth="1"/>
    <col min="2307" max="2308" width="10.42578125" style="1120" bestFit="1" customWidth="1"/>
    <col min="2309" max="2309" width="9.42578125" style="1120" bestFit="1" customWidth="1"/>
    <col min="2310" max="2311" width="10.42578125" style="1120" bestFit="1" customWidth="1"/>
    <col min="2312" max="2312" width="0" style="1120" hidden="1" customWidth="1"/>
    <col min="2313" max="2313" width="9.140625" style="1120"/>
    <col min="2314" max="2314" width="4.140625" style="1120" customWidth="1"/>
    <col min="2315" max="2559" width="9.140625" style="1120"/>
    <col min="2560" max="2560" width="2.7109375" style="1120" bestFit="1" customWidth="1"/>
    <col min="2561" max="2561" width="41.140625" style="1120" customWidth="1"/>
    <col min="2562" max="2562" width="12.85546875" style="1120" customWidth="1"/>
    <col min="2563" max="2564" width="10.42578125" style="1120" bestFit="1" customWidth="1"/>
    <col min="2565" max="2565" width="9.42578125" style="1120" bestFit="1" customWidth="1"/>
    <col min="2566" max="2567" width="10.42578125" style="1120" bestFit="1" customWidth="1"/>
    <col min="2568" max="2568" width="0" style="1120" hidden="1" customWidth="1"/>
    <col min="2569" max="2569" width="9.140625" style="1120"/>
    <col min="2570" max="2570" width="4.140625" style="1120" customWidth="1"/>
    <col min="2571" max="2815" width="9.140625" style="1120"/>
    <col min="2816" max="2816" width="2.7109375" style="1120" bestFit="1" customWidth="1"/>
    <col min="2817" max="2817" width="41.140625" style="1120" customWidth="1"/>
    <col min="2818" max="2818" width="12.85546875" style="1120" customWidth="1"/>
    <col min="2819" max="2820" width="10.42578125" style="1120" bestFit="1" customWidth="1"/>
    <col min="2821" max="2821" width="9.42578125" style="1120" bestFit="1" customWidth="1"/>
    <col min="2822" max="2823" width="10.42578125" style="1120" bestFit="1" customWidth="1"/>
    <col min="2824" max="2824" width="0" style="1120" hidden="1" customWidth="1"/>
    <col min="2825" max="2825" width="9.140625" style="1120"/>
    <col min="2826" max="2826" width="4.140625" style="1120" customWidth="1"/>
    <col min="2827" max="3071" width="9.140625" style="1120"/>
    <col min="3072" max="3072" width="2.7109375" style="1120" bestFit="1" customWidth="1"/>
    <col min="3073" max="3073" width="41.140625" style="1120" customWidth="1"/>
    <col min="3074" max="3074" width="12.85546875" style="1120" customWidth="1"/>
    <col min="3075" max="3076" width="10.42578125" style="1120" bestFit="1" customWidth="1"/>
    <col min="3077" max="3077" width="9.42578125" style="1120" bestFit="1" customWidth="1"/>
    <col min="3078" max="3079" width="10.42578125" style="1120" bestFit="1" customWidth="1"/>
    <col min="3080" max="3080" width="0" style="1120" hidden="1" customWidth="1"/>
    <col min="3081" max="3081" width="9.140625" style="1120"/>
    <col min="3082" max="3082" width="4.140625" style="1120" customWidth="1"/>
    <col min="3083" max="3327" width="9.140625" style="1120"/>
    <col min="3328" max="3328" width="2.7109375" style="1120" bestFit="1" customWidth="1"/>
    <col min="3329" max="3329" width="41.140625" style="1120" customWidth="1"/>
    <col min="3330" max="3330" width="12.85546875" style="1120" customWidth="1"/>
    <col min="3331" max="3332" width="10.42578125" style="1120" bestFit="1" customWidth="1"/>
    <col min="3333" max="3333" width="9.42578125" style="1120" bestFit="1" customWidth="1"/>
    <col min="3334" max="3335" width="10.42578125" style="1120" bestFit="1" customWidth="1"/>
    <col min="3336" max="3336" width="0" style="1120" hidden="1" customWidth="1"/>
    <col min="3337" max="3337" width="9.140625" style="1120"/>
    <col min="3338" max="3338" width="4.140625" style="1120" customWidth="1"/>
    <col min="3339" max="3583" width="9.140625" style="1120"/>
    <col min="3584" max="3584" width="2.7109375" style="1120" bestFit="1" customWidth="1"/>
    <col min="3585" max="3585" width="41.140625" style="1120" customWidth="1"/>
    <col min="3586" max="3586" width="12.85546875" style="1120" customWidth="1"/>
    <col min="3587" max="3588" width="10.42578125" style="1120" bestFit="1" customWidth="1"/>
    <col min="3589" max="3589" width="9.42578125" style="1120" bestFit="1" customWidth="1"/>
    <col min="3590" max="3591" width="10.42578125" style="1120" bestFit="1" customWidth="1"/>
    <col min="3592" max="3592" width="0" style="1120" hidden="1" customWidth="1"/>
    <col min="3593" max="3593" width="9.140625" style="1120"/>
    <col min="3594" max="3594" width="4.140625" style="1120" customWidth="1"/>
    <col min="3595" max="3839" width="9.140625" style="1120"/>
    <col min="3840" max="3840" width="2.7109375" style="1120" bestFit="1" customWidth="1"/>
    <col min="3841" max="3841" width="41.140625" style="1120" customWidth="1"/>
    <col min="3842" max="3842" width="12.85546875" style="1120" customWidth="1"/>
    <col min="3843" max="3844" width="10.42578125" style="1120" bestFit="1" customWidth="1"/>
    <col min="3845" max="3845" width="9.42578125" style="1120" bestFit="1" customWidth="1"/>
    <col min="3846" max="3847" width="10.42578125" style="1120" bestFit="1" customWidth="1"/>
    <col min="3848" max="3848" width="0" style="1120" hidden="1" customWidth="1"/>
    <col min="3849" max="3849" width="9.140625" style="1120"/>
    <col min="3850" max="3850" width="4.140625" style="1120" customWidth="1"/>
    <col min="3851" max="4095" width="9.140625" style="1120"/>
    <col min="4096" max="4096" width="2.7109375" style="1120" bestFit="1" customWidth="1"/>
    <col min="4097" max="4097" width="41.140625" style="1120" customWidth="1"/>
    <col min="4098" max="4098" width="12.85546875" style="1120" customWidth="1"/>
    <col min="4099" max="4100" width="10.42578125" style="1120" bestFit="1" customWidth="1"/>
    <col min="4101" max="4101" width="9.42578125" style="1120" bestFit="1" customWidth="1"/>
    <col min="4102" max="4103" width="10.42578125" style="1120" bestFit="1" customWidth="1"/>
    <col min="4104" max="4104" width="0" style="1120" hidden="1" customWidth="1"/>
    <col min="4105" max="4105" width="9.140625" style="1120"/>
    <col min="4106" max="4106" width="4.140625" style="1120" customWidth="1"/>
    <col min="4107" max="4351" width="9.140625" style="1120"/>
    <col min="4352" max="4352" width="2.7109375" style="1120" bestFit="1" customWidth="1"/>
    <col min="4353" max="4353" width="41.140625" style="1120" customWidth="1"/>
    <col min="4354" max="4354" width="12.85546875" style="1120" customWidth="1"/>
    <col min="4355" max="4356" width="10.42578125" style="1120" bestFit="1" customWidth="1"/>
    <col min="4357" max="4357" width="9.42578125" style="1120" bestFit="1" customWidth="1"/>
    <col min="4358" max="4359" width="10.42578125" style="1120" bestFit="1" customWidth="1"/>
    <col min="4360" max="4360" width="0" style="1120" hidden="1" customWidth="1"/>
    <col min="4361" max="4361" width="9.140625" style="1120"/>
    <col min="4362" max="4362" width="4.140625" style="1120" customWidth="1"/>
    <col min="4363" max="4607" width="9.140625" style="1120"/>
    <col min="4608" max="4608" width="2.7109375" style="1120" bestFit="1" customWidth="1"/>
    <col min="4609" max="4609" width="41.140625" style="1120" customWidth="1"/>
    <col min="4610" max="4610" width="12.85546875" style="1120" customWidth="1"/>
    <col min="4611" max="4612" width="10.42578125" style="1120" bestFit="1" customWidth="1"/>
    <col min="4613" max="4613" width="9.42578125" style="1120" bestFit="1" customWidth="1"/>
    <col min="4614" max="4615" width="10.42578125" style="1120" bestFit="1" customWidth="1"/>
    <col min="4616" max="4616" width="0" style="1120" hidden="1" customWidth="1"/>
    <col min="4617" max="4617" width="9.140625" style="1120"/>
    <col min="4618" max="4618" width="4.140625" style="1120" customWidth="1"/>
    <col min="4619" max="4863" width="9.140625" style="1120"/>
    <col min="4864" max="4864" width="2.7109375" style="1120" bestFit="1" customWidth="1"/>
    <col min="4865" max="4865" width="41.140625" style="1120" customWidth="1"/>
    <col min="4866" max="4866" width="12.85546875" style="1120" customWidth="1"/>
    <col min="4867" max="4868" width="10.42578125" style="1120" bestFit="1" customWidth="1"/>
    <col min="4869" max="4869" width="9.42578125" style="1120" bestFit="1" customWidth="1"/>
    <col min="4870" max="4871" width="10.42578125" style="1120" bestFit="1" customWidth="1"/>
    <col min="4872" max="4872" width="0" style="1120" hidden="1" customWidth="1"/>
    <col min="4873" max="4873" width="9.140625" style="1120"/>
    <col min="4874" max="4874" width="4.140625" style="1120" customWidth="1"/>
    <col min="4875" max="5119" width="9.140625" style="1120"/>
    <col min="5120" max="5120" width="2.7109375" style="1120" bestFit="1" customWidth="1"/>
    <col min="5121" max="5121" width="41.140625" style="1120" customWidth="1"/>
    <col min="5122" max="5122" width="12.85546875" style="1120" customWidth="1"/>
    <col min="5123" max="5124" width="10.42578125" style="1120" bestFit="1" customWidth="1"/>
    <col min="5125" max="5125" width="9.42578125" style="1120" bestFit="1" customWidth="1"/>
    <col min="5126" max="5127" width="10.42578125" style="1120" bestFit="1" customWidth="1"/>
    <col min="5128" max="5128" width="0" style="1120" hidden="1" customWidth="1"/>
    <col min="5129" max="5129" width="9.140625" style="1120"/>
    <col min="5130" max="5130" width="4.140625" style="1120" customWidth="1"/>
    <col min="5131" max="5375" width="9.140625" style="1120"/>
    <col min="5376" max="5376" width="2.7109375" style="1120" bestFit="1" customWidth="1"/>
    <col min="5377" max="5377" width="41.140625" style="1120" customWidth="1"/>
    <col min="5378" max="5378" width="12.85546875" style="1120" customWidth="1"/>
    <col min="5379" max="5380" width="10.42578125" style="1120" bestFit="1" customWidth="1"/>
    <col min="5381" max="5381" width="9.42578125" style="1120" bestFit="1" customWidth="1"/>
    <col min="5382" max="5383" width="10.42578125" style="1120" bestFit="1" customWidth="1"/>
    <col min="5384" max="5384" width="0" style="1120" hidden="1" customWidth="1"/>
    <col min="5385" max="5385" width="9.140625" style="1120"/>
    <col min="5386" max="5386" width="4.140625" style="1120" customWidth="1"/>
    <col min="5387" max="5631" width="9.140625" style="1120"/>
    <col min="5632" max="5632" width="2.7109375" style="1120" bestFit="1" customWidth="1"/>
    <col min="5633" max="5633" width="41.140625" style="1120" customWidth="1"/>
    <col min="5634" max="5634" width="12.85546875" style="1120" customWidth="1"/>
    <col min="5635" max="5636" width="10.42578125" style="1120" bestFit="1" customWidth="1"/>
    <col min="5637" max="5637" width="9.42578125" style="1120" bestFit="1" customWidth="1"/>
    <col min="5638" max="5639" width="10.42578125" style="1120" bestFit="1" customWidth="1"/>
    <col min="5640" max="5640" width="0" style="1120" hidden="1" customWidth="1"/>
    <col min="5641" max="5641" width="9.140625" style="1120"/>
    <col min="5642" max="5642" width="4.140625" style="1120" customWidth="1"/>
    <col min="5643" max="5887" width="9.140625" style="1120"/>
    <col min="5888" max="5888" width="2.7109375" style="1120" bestFit="1" customWidth="1"/>
    <col min="5889" max="5889" width="41.140625" style="1120" customWidth="1"/>
    <col min="5890" max="5890" width="12.85546875" style="1120" customWidth="1"/>
    <col min="5891" max="5892" width="10.42578125" style="1120" bestFit="1" customWidth="1"/>
    <col min="5893" max="5893" width="9.42578125" style="1120" bestFit="1" customWidth="1"/>
    <col min="5894" max="5895" width="10.42578125" style="1120" bestFit="1" customWidth="1"/>
    <col min="5896" max="5896" width="0" style="1120" hidden="1" customWidth="1"/>
    <col min="5897" max="5897" width="9.140625" style="1120"/>
    <col min="5898" max="5898" width="4.140625" style="1120" customWidth="1"/>
    <col min="5899" max="6143" width="9.140625" style="1120"/>
    <col min="6144" max="6144" width="2.7109375" style="1120" bestFit="1" customWidth="1"/>
    <col min="6145" max="6145" width="41.140625" style="1120" customWidth="1"/>
    <col min="6146" max="6146" width="12.85546875" style="1120" customWidth="1"/>
    <col min="6147" max="6148" width="10.42578125" style="1120" bestFit="1" customWidth="1"/>
    <col min="6149" max="6149" width="9.42578125" style="1120" bestFit="1" customWidth="1"/>
    <col min="6150" max="6151" width="10.42578125" style="1120" bestFit="1" customWidth="1"/>
    <col min="6152" max="6152" width="0" style="1120" hidden="1" customWidth="1"/>
    <col min="6153" max="6153" width="9.140625" style="1120"/>
    <col min="6154" max="6154" width="4.140625" style="1120" customWidth="1"/>
    <col min="6155" max="6399" width="9.140625" style="1120"/>
    <col min="6400" max="6400" width="2.7109375" style="1120" bestFit="1" customWidth="1"/>
    <col min="6401" max="6401" width="41.140625" style="1120" customWidth="1"/>
    <col min="6402" max="6402" width="12.85546875" style="1120" customWidth="1"/>
    <col min="6403" max="6404" width="10.42578125" style="1120" bestFit="1" customWidth="1"/>
    <col min="6405" max="6405" width="9.42578125" style="1120" bestFit="1" customWidth="1"/>
    <col min="6406" max="6407" width="10.42578125" style="1120" bestFit="1" customWidth="1"/>
    <col min="6408" max="6408" width="0" style="1120" hidden="1" customWidth="1"/>
    <col min="6409" max="6409" width="9.140625" style="1120"/>
    <col min="6410" max="6410" width="4.140625" style="1120" customWidth="1"/>
    <col min="6411" max="6655" width="9.140625" style="1120"/>
    <col min="6656" max="6656" width="2.7109375" style="1120" bestFit="1" customWidth="1"/>
    <col min="6657" max="6657" width="41.140625" style="1120" customWidth="1"/>
    <col min="6658" max="6658" width="12.85546875" style="1120" customWidth="1"/>
    <col min="6659" max="6660" width="10.42578125" style="1120" bestFit="1" customWidth="1"/>
    <col min="6661" max="6661" width="9.42578125" style="1120" bestFit="1" customWidth="1"/>
    <col min="6662" max="6663" width="10.42578125" style="1120" bestFit="1" customWidth="1"/>
    <col min="6664" max="6664" width="0" style="1120" hidden="1" customWidth="1"/>
    <col min="6665" max="6665" width="9.140625" style="1120"/>
    <col min="6666" max="6666" width="4.140625" style="1120" customWidth="1"/>
    <col min="6667" max="6911" width="9.140625" style="1120"/>
    <col min="6912" max="6912" width="2.7109375" style="1120" bestFit="1" customWidth="1"/>
    <col min="6913" max="6913" width="41.140625" style="1120" customWidth="1"/>
    <col min="6914" max="6914" width="12.85546875" style="1120" customWidth="1"/>
    <col min="6915" max="6916" width="10.42578125" style="1120" bestFit="1" customWidth="1"/>
    <col min="6917" max="6917" width="9.42578125" style="1120" bestFit="1" customWidth="1"/>
    <col min="6918" max="6919" width="10.42578125" style="1120" bestFit="1" customWidth="1"/>
    <col min="6920" max="6920" width="0" style="1120" hidden="1" customWidth="1"/>
    <col min="6921" max="6921" width="9.140625" style="1120"/>
    <col min="6922" max="6922" width="4.140625" style="1120" customWidth="1"/>
    <col min="6923" max="7167" width="9.140625" style="1120"/>
    <col min="7168" max="7168" width="2.7109375" style="1120" bestFit="1" customWidth="1"/>
    <col min="7169" max="7169" width="41.140625" style="1120" customWidth="1"/>
    <col min="7170" max="7170" width="12.85546875" style="1120" customWidth="1"/>
    <col min="7171" max="7172" width="10.42578125" style="1120" bestFit="1" customWidth="1"/>
    <col min="7173" max="7173" width="9.42578125" style="1120" bestFit="1" customWidth="1"/>
    <col min="7174" max="7175" width="10.42578125" style="1120" bestFit="1" customWidth="1"/>
    <col min="7176" max="7176" width="0" style="1120" hidden="1" customWidth="1"/>
    <col min="7177" max="7177" width="9.140625" style="1120"/>
    <col min="7178" max="7178" width="4.140625" style="1120" customWidth="1"/>
    <col min="7179" max="7423" width="9.140625" style="1120"/>
    <col min="7424" max="7424" width="2.7109375" style="1120" bestFit="1" customWidth="1"/>
    <col min="7425" max="7425" width="41.140625" style="1120" customWidth="1"/>
    <col min="7426" max="7426" width="12.85546875" style="1120" customWidth="1"/>
    <col min="7427" max="7428" width="10.42578125" style="1120" bestFit="1" customWidth="1"/>
    <col min="7429" max="7429" width="9.42578125" style="1120" bestFit="1" customWidth="1"/>
    <col min="7430" max="7431" width="10.42578125" style="1120" bestFit="1" customWidth="1"/>
    <col min="7432" max="7432" width="0" style="1120" hidden="1" customWidth="1"/>
    <col min="7433" max="7433" width="9.140625" style="1120"/>
    <col min="7434" max="7434" width="4.140625" style="1120" customWidth="1"/>
    <col min="7435" max="7679" width="9.140625" style="1120"/>
    <col min="7680" max="7680" width="2.7109375" style="1120" bestFit="1" customWidth="1"/>
    <col min="7681" max="7681" width="41.140625" style="1120" customWidth="1"/>
    <col min="7682" max="7682" width="12.85546875" style="1120" customWidth="1"/>
    <col min="7683" max="7684" width="10.42578125" style="1120" bestFit="1" customWidth="1"/>
    <col min="7685" max="7685" width="9.42578125" style="1120" bestFit="1" customWidth="1"/>
    <col min="7686" max="7687" width="10.42578125" style="1120" bestFit="1" customWidth="1"/>
    <col min="7688" max="7688" width="0" style="1120" hidden="1" customWidth="1"/>
    <col min="7689" max="7689" width="9.140625" style="1120"/>
    <col min="7690" max="7690" width="4.140625" style="1120" customWidth="1"/>
    <col min="7691" max="7935" width="9.140625" style="1120"/>
    <col min="7936" max="7936" width="2.7109375" style="1120" bestFit="1" customWidth="1"/>
    <col min="7937" max="7937" width="41.140625" style="1120" customWidth="1"/>
    <col min="7938" max="7938" width="12.85546875" style="1120" customWidth="1"/>
    <col min="7939" max="7940" width="10.42578125" style="1120" bestFit="1" customWidth="1"/>
    <col min="7941" max="7941" width="9.42578125" style="1120" bestFit="1" customWidth="1"/>
    <col min="7942" max="7943" width="10.42578125" style="1120" bestFit="1" customWidth="1"/>
    <col min="7944" max="7944" width="0" style="1120" hidden="1" customWidth="1"/>
    <col min="7945" max="7945" width="9.140625" style="1120"/>
    <col min="7946" max="7946" width="4.140625" style="1120" customWidth="1"/>
    <col min="7947" max="8191" width="9.140625" style="1120"/>
    <col min="8192" max="8192" width="2.7109375" style="1120" bestFit="1" customWidth="1"/>
    <col min="8193" max="8193" width="41.140625" style="1120" customWidth="1"/>
    <col min="8194" max="8194" width="12.85546875" style="1120" customWidth="1"/>
    <col min="8195" max="8196" width="10.42578125" style="1120" bestFit="1" customWidth="1"/>
    <col min="8197" max="8197" width="9.42578125" style="1120" bestFit="1" customWidth="1"/>
    <col min="8198" max="8199" width="10.42578125" style="1120" bestFit="1" customWidth="1"/>
    <col min="8200" max="8200" width="0" style="1120" hidden="1" customWidth="1"/>
    <col min="8201" max="8201" width="9.140625" style="1120"/>
    <col min="8202" max="8202" width="4.140625" style="1120" customWidth="1"/>
    <col min="8203" max="8447" width="9.140625" style="1120"/>
    <col min="8448" max="8448" width="2.7109375" style="1120" bestFit="1" customWidth="1"/>
    <col min="8449" max="8449" width="41.140625" style="1120" customWidth="1"/>
    <col min="8450" max="8450" width="12.85546875" style="1120" customWidth="1"/>
    <col min="8451" max="8452" width="10.42578125" style="1120" bestFit="1" customWidth="1"/>
    <col min="8453" max="8453" width="9.42578125" style="1120" bestFit="1" customWidth="1"/>
    <col min="8454" max="8455" width="10.42578125" style="1120" bestFit="1" customWidth="1"/>
    <col min="8456" max="8456" width="0" style="1120" hidden="1" customWidth="1"/>
    <col min="8457" max="8457" width="9.140625" style="1120"/>
    <col min="8458" max="8458" width="4.140625" style="1120" customWidth="1"/>
    <col min="8459" max="8703" width="9.140625" style="1120"/>
    <col min="8704" max="8704" width="2.7109375" style="1120" bestFit="1" customWidth="1"/>
    <col min="8705" max="8705" width="41.140625" style="1120" customWidth="1"/>
    <col min="8706" max="8706" width="12.85546875" style="1120" customWidth="1"/>
    <col min="8707" max="8708" width="10.42578125" style="1120" bestFit="1" customWidth="1"/>
    <col min="8709" max="8709" width="9.42578125" style="1120" bestFit="1" customWidth="1"/>
    <col min="8710" max="8711" width="10.42578125" style="1120" bestFit="1" customWidth="1"/>
    <col min="8712" max="8712" width="0" style="1120" hidden="1" customWidth="1"/>
    <col min="8713" max="8713" width="9.140625" style="1120"/>
    <col min="8714" max="8714" width="4.140625" style="1120" customWidth="1"/>
    <col min="8715" max="8959" width="9.140625" style="1120"/>
    <col min="8960" max="8960" width="2.7109375" style="1120" bestFit="1" customWidth="1"/>
    <col min="8961" max="8961" width="41.140625" style="1120" customWidth="1"/>
    <col min="8962" max="8962" width="12.85546875" style="1120" customWidth="1"/>
    <col min="8963" max="8964" width="10.42578125" style="1120" bestFit="1" customWidth="1"/>
    <col min="8965" max="8965" width="9.42578125" style="1120" bestFit="1" customWidth="1"/>
    <col min="8966" max="8967" width="10.42578125" style="1120" bestFit="1" customWidth="1"/>
    <col min="8968" max="8968" width="0" style="1120" hidden="1" customWidth="1"/>
    <col min="8969" max="8969" width="9.140625" style="1120"/>
    <col min="8970" max="8970" width="4.140625" style="1120" customWidth="1"/>
    <col min="8971" max="9215" width="9.140625" style="1120"/>
    <col min="9216" max="9216" width="2.7109375" style="1120" bestFit="1" customWidth="1"/>
    <col min="9217" max="9217" width="41.140625" style="1120" customWidth="1"/>
    <col min="9218" max="9218" width="12.85546875" style="1120" customWidth="1"/>
    <col min="9219" max="9220" width="10.42578125" style="1120" bestFit="1" customWidth="1"/>
    <col min="9221" max="9221" width="9.42578125" style="1120" bestFit="1" customWidth="1"/>
    <col min="9222" max="9223" width="10.42578125" style="1120" bestFit="1" customWidth="1"/>
    <col min="9224" max="9224" width="0" style="1120" hidden="1" customWidth="1"/>
    <col min="9225" max="9225" width="9.140625" style="1120"/>
    <col min="9226" max="9226" width="4.140625" style="1120" customWidth="1"/>
    <col min="9227" max="9471" width="9.140625" style="1120"/>
    <col min="9472" max="9472" width="2.7109375" style="1120" bestFit="1" customWidth="1"/>
    <col min="9473" max="9473" width="41.140625" style="1120" customWidth="1"/>
    <col min="9474" max="9474" width="12.85546875" style="1120" customWidth="1"/>
    <col min="9475" max="9476" width="10.42578125" style="1120" bestFit="1" customWidth="1"/>
    <col min="9477" max="9477" width="9.42578125" style="1120" bestFit="1" customWidth="1"/>
    <col min="9478" max="9479" width="10.42578125" style="1120" bestFit="1" customWidth="1"/>
    <col min="9480" max="9480" width="0" style="1120" hidden="1" customWidth="1"/>
    <col min="9481" max="9481" width="9.140625" style="1120"/>
    <col min="9482" max="9482" width="4.140625" style="1120" customWidth="1"/>
    <col min="9483" max="9727" width="9.140625" style="1120"/>
    <col min="9728" max="9728" width="2.7109375" style="1120" bestFit="1" customWidth="1"/>
    <col min="9729" max="9729" width="41.140625" style="1120" customWidth="1"/>
    <col min="9730" max="9730" width="12.85546875" style="1120" customWidth="1"/>
    <col min="9731" max="9732" width="10.42578125" style="1120" bestFit="1" customWidth="1"/>
    <col min="9733" max="9733" width="9.42578125" style="1120" bestFit="1" customWidth="1"/>
    <col min="9734" max="9735" width="10.42578125" style="1120" bestFit="1" customWidth="1"/>
    <col min="9736" max="9736" width="0" style="1120" hidden="1" customWidth="1"/>
    <col min="9737" max="9737" width="9.140625" style="1120"/>
    <col min="9738" max="9738" width="4.140625" style="1120" customWidth="1"/>
    <col min="9739" max="9983" width="9.140625" style="1120"/>
    <col min="9984" max="9984" width="2.7109375" style="1120" bestFit="1" customWidth="1"/>
    <col min="9985" max="9985" width="41.140625" style="1120" customWidth="1"/>
    <col min="9986" max="9986" width="12.85546875" style="1120" customWidth="1"/>
    <col min="9987" max="9988" width="10.42578125" style="1120" bestFit="1" customWidth="1"/>
    <col min="9989" max="9989" width="9.42578125" style="1120" bestFit="1" customWidth="1"/>
    <col min="9990" max="9991" width="10.42578125" style="1120" bestFit="1" customWidth="1"/>
    <col min="9992" max="9992" width="0" style="1120" hidden="1" customWidth="1"/>
    <col min="9993" max="9993" width="9.140625" style="1120"/>
    <col min="9994" max="9994" width="4.140625" style="1120" customWidth="1"/>
    <col min="9995" max="10239" width="9.140625" style="1120"/>
    <col min="10240" max="10240" width="2.7109375" style="1120" bestFit="1" customWidth="1"/>
    <col min="10241" max="10241" width="41.140625" style="1120" customWidth="1"/>
    <col min="10242" max="10242" width="12.85546875" style="1120" customWidth="1"/>
    <col min="10243" max="10244" width="10.42578125" style="1120" bestFit="1" customWidth="1"/>
    <col min="10245" max="10245" width="9.42578125" style="1120" bestFit="1" customWidth="1"/>
    <col min="10246" max="10247" width="10.42578125" style="1120" bestFit="1" customWidth="1"/>
    <col min="10248" max="10248" width="0" style="1120" hidden="1" customWidth="1"/>
    <col min="10249" max="10249" width="9.140625" style="1120"/>
    <col min="10250" max="10250" width="4.140625" style="1120" customWidth="1"/>
    <col min="10251" max="10495" width="9.140625" style="1120"/>
    <col min="10496" max="10496" width="2.7109375" style="1120" bestFit="1" customWidth="1"/>
    <col min="10497" max="10497" width="41.140625" style="1120" customWidth="1"/>
    <col min="10498" max="10498" width="12.85546875" style="1120" customWidth="1"/>
    <col min="10499" max="10500" width="10.42578125" style="1120" bestFit="1" customWidth="1"/>
    <col min="10501" max="10501" width="9.42578125" style="1120" bestFit="1" customWidth="1"/>
    <col min="10502" max="10503" width="10.42578125" style="1120" bestFit="1" customWidth="1"/>
    <col min="10504" max="10504" width="0" style="1120" hidden="1" customWidth="1"/>
    <col min="10505" max="10505" width="9.140625" style="1120"/>
    <col min="10506" max="10506" width="4.140625" style="1120" customWidth="1"/>
    <col min="10507" max="10751" width="9.140625" style="1120"/>
    <col min="10752" max="10752" width="2.7109375" style="1120" bestFit="1" customWidth="1"/>
    <col min="10753" max="10753" width="41.140625" style="1120" customWidth="1"/>
    <col min="10754" max="10754" width="12.85546875" style="1120" customWidth="1"/>
    <col min="10755" max="10756" width="10.42578125" style="1120" bestFit="1" customWidth="1"/>
    <col min="10757" max="10757" width="9.42578125" style="1120" bestFit="1" customWidth="1"/>
    <col min="10758" max="10759" width="10.42578125" style="1120" bestFit="1" customWidth="1"/>
    <col min="10760" max="10760" width="0" style="1120" hidden="1" customWidth="1"/>
    <col min="10761" max="10761" width="9.140625" style="1120"/>
    <col min="10762" max="10762" width="4.140625" style="1120" customWidth="1"/>
    <col min="10763" max="11007" width="9.140625" style="1120"/>
    <col min="11008" max="11008" width="2.7109375" style="1120" bestFit="1" customWidth="1"/>
    <col min="11009" max="11009" width="41.140625" style="1120" customWidth="1"/>
    <col min="11010" max="11010" width="12.85546875" style="1120" customWidth="1"/>
    <col min="11011" max="11012" width="10.42578125" style="1120" bestFit="1" customWidth="1"/>
    <col min="11013" max="11013" width="9.42578125" style="1120" bestFit="1" customWidth="1"/>
    <col min="11014" max="11015" width="10.42578125" style="1120" bestFit="1" customWidth="1"/>
    <col min="11016" max="11016" width="0" style="1120" hidden="1" customWidth="1"/>
    <col min="11017" max="11017" width="9.140625" style="1120"/>
    <col min="11018" max="11018" width="4.140625" style="1120" customWidth="1"/>
    <col min="11019" max="11263" width="9.140625" style="1120"/>
    <col min="11264" max="11264" width="2.7109375" style="1120" bestFit="1" customWidth="1"/>
    <col min="11265" max="11265" width="41.140625" style="1120" customWidth="1"/>
    <col min="11266" max="11266" width="12.85546875" style="1120" customWidth="1"/>
    <col min="11267" max="11268" width="10.42578125" style="1120" bestFit="1" customWidth="1"/>
    <col min="11269" max="11269" width="9.42578125" style="1120" bestFit="1" customWidth="1"/>
    <col min="11270" max="11271" width="10.42578125" style="1120" bestFit="1" customWidth="1"/>
    <col min="11272" max="11272" width="0" style="1120" hidden="1" customWidth="1"/>
    <col min="11273" max="11273" width="9.140625" style="1120"/>
    <col min="11274" max="11274" width="4.140625" style="1120" customWidth="1"/>
    <col min="11275" max="11519" width="9.140625" style="1120"/>
    <col min="11520" max="11520" width="2.7109375" style="1120" bestFit="1" customWidth="1"/>
    <col min="11521" max="11521" width="41.140625" style="1120" customWidth="1"/>
    <col min="11522" max="11522" width="12.85546875" style="1120" customWidth="1"/>
    <col min="11523" max="11524" width="10.42578125" style="1120" bestFit="1" customWidth="1"/>
    <col min="11525" max="11525" width="9.42578125" style="1120" bestFit="1" customWidth="1"/>
    <col min="11526" max="11527" width="10.42578125" style="1120" bestFit="1" customWidth="1"/>
    <col min="11528" max="11528" width="0" style="1120" hidden="1" customWidth="1"/>
    <col min="11529" max="11529" width="9.140625" style="1120"/>
    <col min="11530" max="11530" width="4.140625" style="1120" customWidth="1"/>
    <col min="11531" max="11775" width="9.140625" style="1120"/>
    <col min="11776" max="11776" width="2.7109375" style="1120" bestFit="1" customWidth="1"/>
    <col min="11777" max="11777" width="41.140625" style="1120" customWidth="1"/>
    <col min="11778" max="11778" width="12.85546875" style="1120" customWidth="1"/>
    <col min="11779" max="11780" width="10.42578125" style="1120" bestFit="1" customWidth="1"/>
    <col min="11781" max="11781" width="9.42578125" style="1120" bestFit="1" customWidth="1"/>
    <col min="11782" max="11783" width="10.42578125" style="1120" bestFit="1" customWidth="1"/>
    <col min="11784" max="11784" width="0" style="1120" hidden="1" customWidth="1"/>
    <col min="11785" max="11785" width="9.140625" style="1120"/>
    <col min="11786" max="11786" width="4.140625" style="1120" customWidth="1"/>
    <col min="11787" max="12031" width="9.140625" style="1120"/>
    <col min="12032" max="12032" width="2.7109375" style="1120" bestFit="1" customWidth="1"/>
    <col min="12033" max="12033" width="41.140625" style="1120" customWidth="1"/>
    <col min="12034" max="12034" width="12.85546875" style="1120" customWidth="1"/>
    <col min="12035" max="12036" width="10.42578125" style="1120" bestFit="1" customWidth="1"/>
    <col min="12037" max="12037" width="9.42578125" style="1120" bestFit="1" customWidth="1"/>
    <col min="12038" max="12039" width="10.42578125" style="1120" bestFit="1" customWidth="1"/>
    <col min="12040" max="12040" width="0" style="1120" hidden="1" customWidth="1"/>
    <col min="12041" max="12041" width="9.140625" style="1120"/>
    <col min="12042" max="12042" width="4.140625" style="1120" customWidth="1"/>
    <col min="12043" max="12287" width="9.140625" style="1120"/>
    <col min="12288" max="12288" width="2.7109375" style="1120" bestFit="1" customWidth="1"/>
    <col min="12289" max="12289" width="41.140625" style="1120" customWidth="1"/>
    <col min="12290" max="12290" width="12.85546875" style="1120" customWidth="1"/>
    <col min="12291" max="12292" width="10.42578125" style="1120" bestFit="1" customWidth="1"/>
    <col min="12293" max="12293" width="9.42578125" style="1120" bestFit="1" customWidth="1"/>
    <col min="12294" max="12295" width="10.42578125" style="1120" bestFit="1" customWidth="1"/>
    <col min="12296" max="12296" width="0" style="1120" hidden="1" customWidth="1"/>
    <col min="12297" max="12297" width="9.140625" style="1120"/>
    <col min="12298" max="12298" width="4.140625" style="1120" customWidth="1"/>
    <col min="12299" max="12543" width="9.140625" style="1120"/>
    <col min="12544" max="12544" width="2.7109375" style="1120" bestFit="1" customWidth="1"/>
    <col min="12545" max="12545" width="41.140625" style="1120" customWidth="1"/>
    <col min="12546" max="12546" width="12.85546875" style="1120" customWidth="1"/>
    <col min="12547" max="12548" width="10.42578125" style="1120" bestFit="1" customWidth="1"/>
    <col min="12549" max="12549" width="9.42578125" style="1120" bestFit="1" customWidth="1"/>
    <col min="12550" max="12551" width="10.42578125" style="1120" bestFit="1" customWidth="1"/>
    <col min="12552" max="12552" width="0" style="1120" hidden="1" customWidth="1"/>
    <col min="12553" max="12553" width="9.140625" style="1120"/>
    <col min="12554" max="12554" width="4.140625" style="1120" customWidth="1"/>
    <col min="12555" max="12799" width="9.140625" style="1120"/>
    <col min="12800" max="12800" width="2.7109375" style="1120" bestFit="1" customWidth="1"/>
    <col min="12801" max="12801" width="41.140625" style="1120" customWidth="1"/>
    <col min="12802" max="12802" width="12.85546875" style="1120" customWidth="1"/>
    <col min="12803" max="12804" width="10.42578125" style="1120" bestFit="1" customWidth="1"/>
    <col min="12805" max="12805" width="9.42578125" style="1120" bestFit="1" customWidth="1"/>
    <col min="12806" max="12807" width="10.42578125" style="1120" bestFit="1" customWidth="1"/>
    <col min="12808" max="12808" width="0" style="1120" hidden="1" customWidth="1"/>
    <col min="12809" max="12809" width="9.140625" style="1120"/>
    <col min="12810" max="12810" width="4.140625" style="1120" customWidth="1"/>
    <col min="12811" max="13055" width="9.140625" style="1120"/>
    <col min="13056" max="13056" width="2.7109375" style="1120" bestFit="1" customWidth="1"/>
    <col min="13057" max="13057" width="41.140625" style="1120" customWidth="1"/>
    <col min="13058" max="13058" width="12.85546875" style="1120" customWidth="1"/>
    <col min="13059" max="13060" width="10.42578125" style="1120" bestFit="1" customWidth="1"/>
    <col min="13061" max="13061" width="9.42578125" style="1120" bestFit="1" customWidth="1"/>
    <col min="13062" max="13063" width="10.42578125" style="1120" bestFit="1" customWidth="1"/>
    <col min="13064" max="13064" width="0" style="1120" hidden="1" customWidth="1"/>
    <col min="13065" max="13065" width="9.140625" style="1120"/>
    <col min="13066" max="13066" width="4.140625" style="1120" customWidth="1"/>
    <col min="13067" max="13311" width="9.140625" style="1120"/>
    <col min="13312" max="13312" width="2.7109375" style="1120" bestFit="1" customWidth="1"/>
    <col min="13313" max="13313" width="41.140625" style="1120" customWidth="1"/>
    <col min="13314" max="13314" width="12.85546875" style="1120" customWidth="1"/>
    <col min="13315" max="13316" width="10.42578125" style="1120" bestFit="1" customWidth="1"/>
    <col min="13317" max="13317" width="9.42578125" style="1120" bestFit="1" customWidth="1"/>
    <col min="13318" max="13319" width="10.42578125" style="1120" bestFit="1" customWidth="1"/>
    <col min="13320" max="13320" width="0" style="1120" hidden="1" customWidth="1"/>
    <col min="13321" max="13321" width="9.140625" style="1120"/>
    <col min="13322" max="13322" width="4.140625" style="1120" customWidth="1"/>
    <col min="13323" max="13567" width="9.140625" style="1120"/>
    <col min="13568" max="13568" width="2.7109375" style="1120" bestFit="1" customWidth="1"/>
    <col min="13569" max="13569" width="41.140625" style="1120" customWidth="1"/>
    <col min="13570" max="13570" width="12.85546875" style="1120" customWidth="1"/>
    <col min="13571" max="13572" width="10.42578125" style="1120" bestFit="1" customWidth="1"/>
    <col min="13573" max="13573" width="9.42578125" style="1120" bestFit="1" customWidth="1"/>
    <col min="13574" max="13575" width="10.42578125" style="1120" bestFit="1" customWidth="1"/>
    <col min="13576" max="13576" width="0" style="1120" hidden="1" customWidth="1"/>
    <col min="13577" max="13577" width="9.140625" style="1120"/>
    <col min="13578" max="13578" width="4.140625" style="1120" customWidth="1"/>
    <col min="13579" max="13823" width="9.140625" style="1120"/>
    <col min="13824" max="13824" width="2.7109375" style="1120" bestFit="1" customWidth="1"/>
    <col min="13825" max="13825" width="41.140625" style="1120" customWidth="1"/>
    <col min="13826" max="13826" width="12.85546875" style="1120" customWidth="1"/>
    <col min="13827" max="13828" width="10.42578125" style="1120" bestFit="1" customWidth="1"/>
    <col min="13829" max="13829" width="9.42578125" style="1120" bestFit="1" customWidth="1"/>
    <col min="13830" max="13831" width="10.42578125" style="1120" bestFit="1" customWidth="1"/>
    <col min="13832" max="13832" width="0" style="1120" hidden="1" customWidth="1"/>
    <col min="13833" max="13833" width="9.140625" style="1120"/>
    <col min="13834" max="13834" width="4.140625" style="1120" customWidth="1"/>
    <col min="13835" max="14079" width="9.140625" style="1120"/>
    <col min="14080" max="14080" width="2.7109375" style="1120" bestFit="1" customWidth="1"/>
    <col min="14081" max="14081" width="41.140625" style="1120" customWidth="1"/>
    <col min="14082" max="14082" width="12.85546875" style="1120" customWidth="1"/>
    <col min="14083" max="14084" width="10.42578125" style="1120" bestFit="1" customWidth="1"/>
    <col min="14085" max="14085" width="9.42578125" style="1120" bestFit="1" customWidth="1"/>
    <col min="14086" max="14087" width="10.42578125" style="1120" bestFit="1" customWidth="1"/>
    <col min="14088" max="14088" width="0" style="1120" hidden="1" customWidth="1"/>
    <col min="14089" max="14089" width="9.140625" style="1120"/>
    <col min="14090" max="14090" width="4.140625" style="1120" customWidth="1"/>
    <col min="14091" max="14335" width="9.140625" style="1120"/>
    <col min="14336" max="14336" width="2.7109375" style="1120" bestFit="1" customWidth="1"/>
    <col min="14337" max="14337" width="41.140625" style="1120" customWidth="1"/>
    <col min="14338" max="14338" width="12.85546875" style="1120" customWidth="1"/>
    <col min="14339" max="14340" width="10.42578125" style="1120" bestFit="1" customWidth="1"/>
    <col min="14341" max="14341" width="9.42578125" style="1120" bestFit="1" customWidth="1"/>
    <col min="14342" max="14343" width="10.42578125" style="1120" bestFit="1" customWidth="1"/>
    <col min="14344" max="14344" width="0" style="1120" hidden="1" customWidth="1"/>
    <col min="14345" max="14345" width="9.140625" style="1120"/>
    <col min="14346" max="14346" width="4.140625" style="1120" customWidth="1"/>
    <col min="14347" max="14591" width="9.140625" style="1120"/>
    <col min="14592" max="14592" width="2.7109375" style="1120" bestFit="1" customWidth="1"/>
    <col min="14593" max="14593" width="41.140625" style="1120" customWidth="1"/>
    <col min="14594" max="14594" width="12.85546875" style="1120" customWidth="1"/>
    <col min="14595" max="14596" width="10.42578125" style="1120" bestFit="1" customWidth="1"/>
    <col min="14597" max="14597" width="9.42578125" style="1120" bestFit="1" customWidth="1"/>
    <col min="14598" max="14599" width="10.42578125" style="1120" bestFit="1" customWidth="1"/>
    <col min="14600" max="14600" width="0" style="1120" hidden="1" customWidth="1"/>
    <col min="14601" max="14601" width="9.140625" style="1120"/>
    <col min="14602" max="14602" width="4.140625" style="1120" customWidth="1"/>
    <col min="14603" max="14847" width="9.140625" style="1120"/>
    <col min="14848" max="14848" width="2.7109375" style="1120" bestFit="1" customWidth="1"/>
    <col min="14849" max="14849" width="41.140625" style="1120" customWidth="1"/>
    <col min="14850" max="14850" width="12.85546875" style="1120" customWidth="1"/>
    <col min="14851" max="14852" width="10.42578125" style="1120" bestFit="1" customWidth="1"/>
    <col min="14853" max="14853" width="9.42578125" style="1120" bestFit="1" customWidth="1"/>
    <col min="14854" max="14855" width="10.42578125" style="1120" bestFit="1" customWidth="1"/>
    <col min="14856" max="14856" width="0" style="1120" hidden="1" customWidth="1"/>
    <col min="14857" max="14857" width="9.140625" style="1120"/>
    <col min="14858" max="14858" width="4.140625" style="1120" customWidth="1"/>
    <col min="14859" max="15103" width="9.140625" style="1120"/>
    <col min="15104" max="15104" width="2.7109375" style="1120" bestFit="1" customWidth="1"/>
    <col min="15105" max="15105" width="41.140625" style="1120" customWidth="1"/>
    <col min="15106" max="15106" width="12.85546875" style="1120" customWidth="1"/>
    <col min="15107" max="15108" width="10.42578125" style="1120" bestFit="1" customWidth="1"/>
    <col min="15109" max="15109" width="9.42578125" style="1120" bestFit="1" customWidth="1"/>
    <col min="15110" max="15111" width="10.42578125" style="1120" bestFit="1" customWidth="1"/>
    <col min="15112" max="15112" width="0" style="1120" hidden="1" customWidth="1"/>
    <col min="15113" max="15113" width="9.140625" style="1120"/>
    <col min="15114" max="15114" width="4.140625" style="1120" customWidth="1"/>
    <col min="15115" max="15359" width="9.140625" style="1120"/>
    <col min="15360" max="15360" width="2.7109375" style="1120" bestFit="1" customWidth="1"/>
    <col min="15361" max="15361" width="41.140625" style="1120" customWidth="1"/>
    <col min="15362" max="15362" width="12.85546875" style="1120" customWidth="1"/>
    <col min="15363" max="15364" width="10.42578125" style="1120" bestFit="1" customWidth="1"/>
    <col min="15365" max="15365" width="9.42578125" style="1120" bestFit="1" customWidth="1"/>
    <col min="15366" max="15367" width="10.42578125" style="1120" bestFit="1" customWidth="1"/>
    <col min="15368" max="15368" width="0" style="1120" hidden="1" customWidth="1"/>
    <col min="15369" max="15369" width="9.140625" style="1120"/>
    <col min="15370" max="15370" width="4.140625" style="1120" customWidth="1"/>
    <col min="15371" max="15615" width="9.140625" style="1120"/>
    <col min="15616" max="15616" width="2.7109375" style="1120" bestFit="1" customWidth="1"/>
    <col min="15617" max="15617" width="41.140625" style="1120" customWidth="1"/>
    <col min="15618" max="15618" width="12.85546875" style="1120" customWidth="1"/>
    <col min="15619" max="15620" width="10.42578125" style="1120" bestFit="1" customWidth="1"/>
    <col min="15621" max="15621" width="9.42578125" style="1120" bestFit="1" customWidth="1"/>
    <col min="15622" max="15623" width="10.42578125" style="1120" bestFit="1" customWidth="1"/>
    <col min="15624" max="15624" width="0" style="1120" hidden="1" customWidth="1"/>
    <col min="15625" max="15625" width="9.140625" style="1120"/>
    <col min="15626" max="15626" width="4.140625" style="1120" customWidth="1"/>
    <col min="15627" max="15871" width="9.140625" style="1120"/>
    <col min="15872" max="15872" width="2.7109375" style="1120" bestFit="1" customWidth="1"/>
    <col min="15873" max="15873" width="41.140625" style="1120" customWidth="1"/>
    <col min="15874" max="15874" width="12.85546875" style="1120" customWidth="1"/>
    <col min="15875" max="15876" width="10.42578125" style="1120" bestFit="1" customWidth="1"/>
    <col min="15877" max="15877" width="9.42578125" style="1120" bestFit="1" customWidth="1"/>
    <col min="15878" max="15879" width="10.42578125" style="1120" bestFit="1" customWidth="1"/>
    <col min="15880" max="15880" width="0" style="1120" hidden="1" customWidth="1"/>
    <col min="15881" max="15881" width="9.140625" style="1120"/>
    <col min="15882" max="15882" width="4.140625" style="1120" customWidth="1"/>
    <col min="15883" max="16127" width="9.140625" style="1120"/>
    <col min="16128" max="16128" width="2.7109375" style="1120" bestFit="1" customWidth="1"/>
    <col min="16129" max="16129" width="41.140625" style="1120" customWidth="1"/>
    <col min="16130" max="16130" width="12.85546875" style="1120" customWidth="1"/>
    <col min="16131" max="16132" width="10.42578125" style="1120" bestFit="1" customWidth="1"/>
    <col min="16133" max="16133" width="9.42578125" style="1120" bestFit="1" customWidth="1"/>
    <col min="16134" max="16135" width="10.42578125" style="1120" bestFit="1" customWidth="1"/>
    <col min="16136" max="16136" width="0" style="1120" hidden="1" customWidth="1"/>
    <col min="16137" max="16137" width="9.140625" style="1120"/>
    <col min="16138" max="16138" width="4.140625" style="1120" customWidth="1"/>
    <col min="16139" max="16384" width="9.140625" style="1120"/>
  </cols>
  <sheetData>
    <row r="1" spans="1:9" s="957" customFormat="1" ht="36" customHeight="1" x14ac:dyDescent="0.3">
      <c r="A1" s="3272" t="s">
        <v>720</v>
      </c>
      <c r="B1" s="3272"/>
      <c r="C1" s="3272"/>
      <c r="D1" s="3272"/>
      <c r="E1" s="3272"/>
      <c r="F1" s="3272"/>
      <c r="G1" s="3272"/>
    </row>
    <row r="2" spans="1:9" s="957" customFormat="1" ht="11.25" customHeight="1" thickBot="1" x14ac:dyDescent="0.3">
      <c r="A2" s="1101"/>
      <c r="B2" s="1101"/>
      <c r="C2" s="1101"/>
      <c r="D2" s="1101"/>
      <c r="E2" s="1101"/>
      <c r="F2" s="1101"/>
      <c r="G2" s="1101"/>
    </row>
    <row r="3" spans="1:9" s="957" customFormat="1" x14ac:dyDescent="0.2">
      <c r="A3" s="1102"/>
      <c r="B3" s="1103"/>
      <c r="C3" s="1104"/>
      <c r="D3" s="3273" t="s">
        <v>698</v>
      </c>
      <c r="E3" s="3274"/>
      <c r="F3" s="3273" t="s">
        <v>698</v>
      </c>
      <c r="G3" s="3274"/>
    </row>
    <row r="4" spans="1:9" s="957" customFormat="1" ht="22.5" thickBot="1" x14ac:dyDescent="0.25">
      <c r="A4" s="1105"/>
      <c r="B4" s="1106"/>
      <c r="C4" s="1107"/>
      <c r="D4" s="3275" t="s">
        <v>721</v>
      </c>
      <c r="E4" s="3276"/>
      <c r="F4" s="3275" t="s">
        <v>722</v>
      </c>
      <c r="G4" s="3276"/>
    </row>
    <row r="5" spans="1:9" s="957" customFormat="1" ht="21" customHeight="1" x14ac:dyDescent="0.2">
      <c r="A5" s="1108">
        <v>1</v>
      </c>
      <c r="B5" s="3268" t="s">
        <v>723</v>
      </c>
      <c r="C5" s="3269"/>
      <c r="D5" s="3270">
        <v>1500</v>
      </c>
      <c r="E5" s="3271"/>
      <c r="F5" s="3270">
        <v>1500</v>
      </c>
      <c r="G5" s="3271"/>
    </row>
    <row r="6" spans="1:9" s="957" customFormat="1" ht="21" customHeight="1" x14ac:dyDescent="0.2">
      <c r="A6" s="1108">
        <v>2</v>
      </c>
      <c r="B6" s="3268" t="s">
        <v>724</v>
      </c>
      <c r="C6" s="3269"/>
      <c r="D6" s="3277">
        <v>4025.1</v>
      </c>
      <c r="E6" s="3278"/>
      <c r="F6" s="3277">
        <v>3281.7</v>
      </c>
      <c r="G6" s="3278"/>
    </row>
    <row r="7" spans="1:9" s="957" customFormat="1" ht="21" customHeight="1" x14ac:dyDescent="0.2">
      <c r="A7" s="1108">
        <v>3</v>
      </c>
      <c r="B7" s="3268" t="s">
        <v>725</v>
      </c>
      <c r="C7" s="3269"/>
      <c r="D7" s="3277">
        <v>1500</v>
      </c>
      <c r="E7" s="3278"/>
      <c r="F7" s="3277">
        <v>1500</v>
      </c>
      <c r="G7" s="3278"/>
    </row>
    <row r="8" spans="1:9" s="957" customFormat="1" ht="21" customHeight="1" x14ac:dyDescent="0.2">
      <c r="A8" s="1108">
        <v>4</v>
      </c>
      <c r="B8" s="3268" t="s">
        <v>726</v>
      </c>
      <c r="C8" s="3269"/>
      <c r="D8" s="3279">
        <v>5.6</v>
      </c>
      <c r="E8" s="3280"/>
      <c r="F8" s="3279">
        <v>5.46</v>
      </c>
      <c r="G8" s="3280"/>
    </row>
    <row r="9" spans="1:9" s="957" customFormat="1" ht="21" customHeight="1" x14ac:dyDescent="0.2">
      <c r="A9" s="1108">
        <v>5</v>
      </c>
      <c r="B9" s="3268" t="s">
        <v>727</v>
      </c>
      <c r="C9" s="3269"/>
      <c r="D9" s="3279">
        <v>5.83</v>
      </c>
      <c r="E9" s="3280"/>
      <c r="F9" s="3279">
        <v>5.49</v>
      </c>
      <c r="G9" s="3280"/>
    </row>
    <row r="10" spans="1:9" s="957" customFormat="1" ht="21" customHeight="1" x14ac:dyDescent="0.2">
      <c r="A10" s="1108">
        <v>6</v>
      </c>
      <c r="B10" s="3268" t="s">
        <v>728</v>
      </c>
      <c r="C10" s="3269"/>
      <c r="D10" s="3279">
        <v>5.75</v>
      </c>
      <c r="E10" s="3280"/>
      <c r="F10" s="3279">
        <v>5.47</v>
      </c>
      <c r="G10" s="3280"/>
    </row>
    <row r="11" spans="1:9" s="957" customFormat="1" ht="21" customHeight="1" x14ac:dyDescent="0.2">
      <c r="A11" s="1108">
        <v>7</v>
      </c>
      <c r="B11" s="3268" t="s">
        <v>729</v>
      </c>
      <c r="C11" s="3269"/>
      <c r="D11" s="3281">
        <v>98.870999999999995</v>
      </c>
      <c r="E11" s="3282"/>
      <c r="F11" s="3281">
        <v>99.924000000000007</v>
      </c>
      <c r="G11" s="3282"/>
    </row>
    <row r="12" spans="1:9" s="957" customFormat="1" ht="9" customHeight="1" thickBot="1" x14ac:dyDescent="0.25">
      <c r="A12" s="1109"/>
      <c r="B12" s="1110"/>
      <c r="C12" s="1107"/>
      <c r="D12" s="1111"/>
      <c r="E12" s="1112"/>
      <c r="F12" s="1111"/>
      <c r="G12" s="1112"/>
    </row>
    <row r="13" spans="1:9" s="1041" customFormat="1" x14ac:dyDescent="0.2">
      <c r="A13" s="1113"/>
      <c r="B13" s="1114" t="s">
        <v>730</v>
      </c>
      <c r="D13" s="1114" t="s">
        <v>731</v>
      </c>
      <c r="E13" s="1114"/>
      <c r="F13" s="1114"/>
      <c r="G13" s="1114"/>
      <c r="H13" s="1115"/>
      <c r="I13" s="1115"/>
    </row>
    <row r="14" spans="1:9" s="1041" customFormat="1" x14ac:dyDescent="0.2">
      <c r="A14" s="1116" t="s">
        <v>680</v>
      </c>
      <c r="B14" s="1114"/>
      <c r="C14" s="1114"/>
      <c r="D14" s="1114"/>
      <c r="E14" s="1114"/>
      <c r="F14" s="1114"/>
      <c r="G14" s="1114"/>
      <c r="H14" s="1115"/>
      <c r="I14" s="1115"/>
    </row>
    <row r="15" spans="1:9" s="1041" customFormat="1" x14ac:dyDescent="0.2">
      <c r="A15" s="1116"/>
      <c r="B15" s="1114"/>
      <c r="C15" s="1114"/>
      <c r="D15" s="1114"/>
      <c r="E15" s="1114"/>
      <c r="F15" s="1114"/>
      <c r="G15" s="1114"/>
      <c r="H15" s="1115"/>
      <c r="I15" s="1115"/>
    </row>
    <row r="16" spans="1:9" s="1041" customFormat="1" x14ac:dyDescent="0.2">
      <c r="A16" s="1116"/>
      <c r="B16" s="1114"/>
      <c r="C16" s="1114"/>
      <c r="D16" s="1114"/>
      <c r="E16" s="1114"/>
      <c r="F16" s="1114"/>
      <c r="G16" s="1114"/>
      <c r="H16" s="1115"/>
      <c r="I16" s="1115"/>
    </row>
    <row r="17" spans="1:15" s="1119" customFormat="1" x14ac:dyDescent="0.25">
      <c r="A17" s="1117"/>
      <c r="B17" s="1113"/>
      <c r="C17" s="1113"/>
      <c r="D17" s="1118"/>
      <c r="E17" s="1118"/>
      <c r="F17" s="1118"/>
      <c r="G17" s="1118"/>
      <c r="H17" s="964"/>
      <c r="I17" s="957"/>
      <c r="J17" s="957"/>
      <c r="K17" s="957"/>
      <c r="L17" s="957"/>
      <c r="M17" s="957"/>
      <c r="N17" s="957"/>
      <c r="O17" s="957"/>
    </row>
    <row r="18" spans="1:15" ht="36.75" customHeight="1" x14ac:dyDescent="0.3">
      <c r="A18" s="3272" t="s">
        <v>732</v>
      </c>
      <c r="B18" s="3272"/>
      <c r="C18" s="3272"/>
      <c r="D18" s="3272"/>
      <c r="E18" s="3272"/>
      <c r="F18" s="3272"/>
      <c r="G18" s="3272"/>
    </row>
    <row r="19" spans="1:15" ht="10.5" customHeight="1" thickBot="1" x14ac:dyDescent="0.3">
      <c r="A19" s="1101"/>
      <c r="B19" s="1101"/>
      <c r="C19" s="1101"/>
      <c r="D19" s="1101"/>
      <c r="E19" s="1101"/>
      <c r="F19" s="1101"/>
      <c r="G19" s="1101"/>
    </row>
    <row r="20" spans="1:15" x14ac:dyDescent="0.25">
      <c r="A20" s="1102"/>
      <c r="B20" s="1103"/>
      <c r="C20" s="1104"/>
      <c r="D20" s="3273" t="s">
        <v>698</v>
      </c>
      <c r="E20" s="3274"/>
      <c r="F20" s="3273" t="s">
        <v>698</v>
      </c>
      <c r="G20" s="3274"/>
    </row>
    <row r="21" spans="1:15" ht="22.5" thickBot="1" x14ac:dyDescent="0.3">
      <c r="A21" s="1105"/>
      <c r="B21" s="1106"/>
      <c r="C21" s="1107"/>
      <c r="D21" s="3275" t="s">
        <v>733</v>
      </c>
      <c r="E21" s="3276"/>
      <c r="F21" s="3275" t="s">
        <v>734</v>
      </c>
      <c r="G21" s="3276"/>
    </row>
    <row r="22" spans="1:15" ht="21" customHeight="1" x14ac:dyDescent="0.25">
      <c r="A22" s="1108">
        <v>1</v>
      </c>
      <c r="B22" s="3268" t="s">
        <v>723</v>
      </c>
      <c r="C22" s="3269"/>
      <c r="D22" s="3270">
        <v>1500</v>
      </c>
      <c r="E22" s="3271"/>
      <c r="F22" s="3270">
        <v>1500</v>
      </c>
      <c r="G22" s="3271"/>
    </row>
    <row r="23" spans="1:15" ht="21" customHeight="1" x14ac:dyDescent="0.25">
      <c r="A23" s="1108">
        <v>2</v>
      </c>
      <c r="B23" s="3268" t="s">
        <v>724</v>
      </c>
      <c r="C23" s="3269"/>
      <c r="D23" s="3283">
        <v>2736.1</v>
      </c>
      <c r="E23" s="3284"/>
      <c r="F23" s="3283">
        <v>3360.3</v>
      </c>
      <c r="G23" s="3284"/>
    </row>
    <row r="24" spans="1:15" ht="21" customHeight="1" x14ac:dyDescent="0.25">
      <c r="A24" s="1108">
        <v>3</v>
      </c>
      <c r="B24" s="3268" t="s">
        <v>725</v>
      </c>
      <c r="C24" s="3269"/>
      <c r="D24" s="3283">
        <v>1500</v>
      </c>
      <c r="E24" s="3284"/>
      <c r="F24" s="3283">
        <v>1500</v>
      </c>
      <c r="G24" s="3284"/>
    </row>
    <row r="25" spans="1:15" ht="21" customHeight="1" x14ac:dyDescent="0.25">
      <c r="A25" s="1108">
        <v>4</v>
      </c>
      <c r="B25" s="3268" t="s">
        <v>726</v>
      </c>
      <c r="C25" s="3269"/>
      <c r="D25" s="3279">
        <v>6.55</v>
      </c>
      <c r="E25" s="3280"/>
      <c r="F25" s="3279">
        <v>6.5</v>
      </c>
      <c r="G25" s="3280"/>
    </row>
    <row r="26" spans="1:15" ht="21" customHeight="1" x14ac:dyDescent="0.25">
      <c r="A26" s="1108">
        <v>5</v>
      </c>
      <c r="B26" s="3268" t="s">
        <v>727</v>
      </c>
      <c r="C26" s="3269"/>
      <c r="D26" s="3279">
        <v>7</v>
      </c>
      <c r="E26" s="3280"/>
      <c r="F26" s="3279">
        <v>7.12</v>
      </c>
      <c r="G26" s="3280"/>
    </row>
    <row r="27" spans="1:15" ht="21" customHeight="1" x14ac:dyDescent="0.25">
      <c r="A27" s="1108">
        <v>6</v>
      </c>
      <c r="B27" s="3268" t="s">
        <v>728</v>
      </c>
      <c r="C27" s="3269"/>
      <c r="D27" s="3279">
        <v>6.85</v>
      </c>
      <c r="E27" s="3280"/>
      <c r="F27" s="3279">
        <v>6.88</v>
      </c>
      <c r="G27" s="3280"/>
    </row>
    <row r="28" spans="1:15" ht="21" customHeight="1" x14ac:dyDescent="0.25">
      <c r="A28" s="1108">
        <v>7</v>
      </c>
      <c r="B28" s="3268" t="s">
        <v>729</v>
      </c>
      <c r="C28" s="3269"/>
      <c r="D28" s="3281">
        <v>97.215000000000003</v>
      </c>
      <c r="E28" s="3282"/>
      <c r="F28" s="3281">
        <v>96.478999999999999</v>
      </c>
      <c r="G28" s="3282"/>
    </row>
    <row r="29" spans="1:15" ht="10.5" customHeight="1" thickBot="1" x14ac:dyDescent="0.3">
      <c r="A29" s="1109"/>
      <c r="B29" s="1110"/>
      <c r="C29" s="1107"/>
      <c r="D29" s="3285"/>
      <c r="E29" s="3286"/>
      <c r="F29" s="3285"/>
      <c r="G29" s="3286"/>
    </row>
    <row r="30" spans="1:15" s="1122" customFormat="1" x14ac:dyDescent="0.2">
      <c r="A30" s="1113"/>
      <c r="B30" s="1116" t="s">
        <v>735</v>
      </c>
      <c r="C30" s="1114"/>
      <c r="D30" s="1116" t="s">
        <v>736</v>
      </c>
      <c r="E30" s="1114"/>
      <c r="F30" s="1114"/>
      <c r="G30" s="1121"/>
    </row>
    <row r="31" spans="1:15" x14ac:dyDescent="0.25">
      <c r="A31" s="1116" t="s">
        <v>680</v>
      </c>
      <c r="B31" s="1117"/>
      <c r="C31" s="1117"/>
      <c r="D31" s="1117"/>
      <c r="E31" s="1117"/>
      <c r="F31" s="1117"/>
      <c r="G31" s="1117"/>
    </row>
    <row r="32" spans="1:15" ht="48" customHeight="1" x14ac:dyDescent="0.3"/>
    <row r="35" ht="18" customHeight="1" x14ac:dyDescent="0.3"/>
    <row r="36" ht="18" customHeight="1" x14ac:dyDescent="0.3"/>
    <row r="37" ht="18" customHeight="1" x14ac:dyDescent="0.3"/>
    <row r="38" ht="18" customHeight="1" x14ac:dyDescent="0.3"/>
    <row r="39" ht="18" customHeight="1" x14ac:dyDescent="0.3"/>
    <row r="40" ht="18" customHeight="1" x14ac:dyDescent="0.3"/>
    <row r="42" s="1122" customFormat="1" ht="12.75" x14ac:dyDescent="0.2"/>
    <row r="43" s="1124" customFormat="1" ht="15.75" x14ac:dyDescent="0.25"/>
  </sheetData>
  <mergeCells count="54">
    <mergeCell ref="D29:E29"/>
    <mergeCell ref="F29:G29"/>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2:C22"/>
    <mergeCell ref="D22:E22"/>
    <mergeCell ref="F22:G22"/>
    <mergeCell ref="B10:C10"/>
    <mergeCell ref="D10:E10"/>
    <mergeCell ref="F10:G10"/>
    <mergeCell ref="B11:C11"/>
    <mergeCell ref="D11:E11"/>
    <mergeCell ref="F11:G11"/>
    <mergeCell ref="A18:G18"/>
    <mergeCell ref="D20:E20"/>
    <mergeCell ref="F20:G20"/>
    <mergeCell ref="D21:E21"/>
    <mergeCell ref="F21:G2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G1"/>
    <mergeCell ref="D3:E3"/>
    <mergeCell ref="F3:G3"/>
    <mergeCell ref="D4:E4"/>
    <mergeCell ref="F4:G4"/>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32"/>
  <sheetViews>
    <sheetView workbookViewId="0">
      <selection activeCell="A19" sqref="A19:G19"/>
    </sheetView>
  </sheetViews>
  <sheetFormatPr defaultRowHeight="18.75" x14ac:dyDescent="0.3"/>
  <cols>
    <col min="1" max="1" width="3.5703125" style="1123" bestFit="1" customWidth="1"/>
    <col min="2" max="2" width="41.140625" style="1123" customWidth="1"/>
    <col min="3" max="3" width="19.5703125" style="1123" customWidth="1"/>
    <col min="4" max="4" width="16" style="1123" customWidth="1"/>
    <col min="5" max="5" width="15.5703125" style="1123" customWidth="1"/>
    <col min="6" max="7" width="16" style="1123" customWidth="1"/>
    <col min="8" max="8" width="3.85546875" style="1120" customWidth="1"/>
    <col min="9" max="9" width="14.5703125" style="1120" customWidth="1"/>
    <col min="10" max="10" width="4.140625" style="1120" customWidth="1"/>
    <col min="11" max="255" width="9.140625" style="1120"/>
    <col min="256" max="256" width="2.7109375" style="1120" bestFit="1" customWidth="1"/>
    <col min="257" max="257" width="41.140625" style="1120" customWidth="1"/>
    <col min="258" max="258" width="12.85546875" style="1120" customWidth="1"/>
    <col min="259" max="260" width="10.42578125" style="1120" bestFit="1" customWidth="1"/>
    <col min="261" max="261" width="9.42578125" style="1120" bestFit="1" customWidth="1"/>
    <col min="262" max="263" width="10.42578125" style="1120" bestFit="1" customWidth="1"/>
    <col min="264" max="264" width="0" style="1120" hidden="1" customWidth="1"/>
    <col min="265" max="265" width="9.140625" style="1120"/>
    <col min="266" max="266" width="4.140625" style="1120" customWidth="1"/>
    <col min="267" max="511" width="9.140625" style="1120"/>
    <col min="512" max="512" width="2.7109375" style="1120" bestFit="1" customWidth="1"/>
    <col min="513" max="513" width="41.140625" style="1120" customWidth="1"/>
    <col min="514" max="514" width="12.85546875" style="1120" customWidth="1"/>
    <col min="515" max="516" width="10.42578125" style="1120" bestFit="1" customWidth="1"/>
    <col min="517" max="517" width="9.42578125" style="1120" bestFit="1" customWidth="1"/>
    <col min="518" max="519" width="10.42578125" style="1120" bestFit="1" customWidth="1"/>
    <col min="520" max="520" width="0" style="1120" hidden="1" customWidth="1"/>
    <col min="521" max="521" width="9.140625" style="1120"/>
    <col min="522" max="522" width="4.140625" style="1120" customWidth="1"/>
    <col min="523" max="767" width="9.140625" style="1120"/>
    <col min="768" max="768" width="2.7109375" style="1120" bestFit="1" customWidth="1"/>
    <col min="769" max="769" width="41.140625" style="1120" customWidth="1"/>
    <col min="770" max="770" width="12.85546875" style="1120" customWidth="1"/>
    <col min="771" max="772" width="10.42578125" style="1120" bestFit="1" customWidth="1"/>
    <col min="773" max="773" width="9.42578125" style="1120" bestFit="1" customWidth="1"/>
    <col min="774" max="775" width="10.42578125" style="1120" bestFit="1" customWidth="1"/>
    <col min="776" max="776" width="0" style="1120" hidden="1" customWidth="1"/>
    <col min="777" max="777" width="9.140625" style="1120"/>
    <col min="778" max="778" width="4.140625" style="1120" customWidth="1"/>
    <col min="779" max="1023" width="9.140625" style="1120"/>
    <col min="1024" max="1024" width="2.7109375" style="1120" bestFit="1" customWidth="1"/>
    <col min="1025" max="1025" width="41.140625" style="1120" customWidth="1"/>
    <col min="1026" max="1026" width="12.85546875" style="1120" customWidth="1"/>
    <col min="1027" max="1028" width="10.42578125" style="1120" bestFit="1" customWidth="1"/>
    <col min="1029" max="1029" width="9.42578125" style="1120" bestFit="1" customWidth="1"/>
    <col min="1030" max="1031" width="10.42578125" style="1120" bestFit="1" customWidth="1"/>
    <col min="1032" max="1032" width="0" style="1120" hidden="1" customWidth="1"/>
    <col min="1033" max="1033" width="9.140625" style="1120"/>
    <col min="1034" max="1034" width="4.140625" style="1120" customWidth="1"/>
    <col min="1035" max="1279" width="9.140625" style="1120"/>
    <col min="1280" max="1280" width="2.7109375" style="1120" bestFit="1" customWidth="1"/>
    <col min="1281" max="1281" width="41.140625" style="1120" customWidth="1"/>
    <col min="1282" max="1282" width="12.85546875" style="1120" customWidth="1"/>
    <col min="1283" max="1284" width="10.42578125" style="1120" bestFit="1" customWidth="1"/>
    <col min="1285" max="1285" width="9.42578125" style="1120" bestFit="1" customWidth="1"/>
    <col min="1286" max="1287" width="10.42578125" style="1120" bestFit="1" customWidth="1"/>
    <col min="1288" max="1288" width="0" style="1120" hidden="1" customWidth="1"/>
    <col min="1289" max="1289" width="9.140625" style="1120"/>
    <col min="1290" max="1290" width="4.140625" style="1120" customWidth="1"/>
    <col min="1291" max="1535" width="9.140625" style="1120"/>
    <col min="1536" max="1536" width="2.7109375" style="1120" bestFit="1" customWidth="1"/>
    <col min="1537" max="1537" width="41.140625" style="1120" customWidth="1"/>
    <col min="1538" max="1538" width="12.85546875" style="1120" customWidth="1"/>
    <col min="1539" max="1540" width="10.42578125" style="1120" bestFit="1" customWidth="1"/>
    <col min="1541" max="1541" width="9.42578125" style="1120" bestFit="1" customWidth="1"/>
    <col min="1542" max="1543" width="10.42578125" style="1120" bestFit="1" customWidth="1"/>
    <col min="1544" max="1544" width="0" style="1120" hidden="1" customWidth="1"/>
    <col min="1545" max="1545" width="9.140625" style="1120"/>
    <col min="1546" max="1546" width="4.140625" style="1120" customWidth="1"/>
    <col min="1547" max="1791" width="9.140625" style="1120"/>
    <col min="1792" max="1792" width="2.7109375" style="1120" bestFit="1" customWidth="1"/>
    <col min="1793" max="1793" width="41.140625" style="1120" customWidth="1"/>
    <col min="1794" max="1794" width="12.85546875" style="1120" customWidth="1"/>
    <col min="1795" max="1796" width="10.42578125" style="1120" bestFit="1" customWidth="1"/>
    <col min="1797" max="1797" width="9.42578125" style="1120" bestFit="1" customWidth="1"/>
    <col min="1798" max="1799" width="10.42578125" style="1120" bestFit="1" customWidth="1"/>
    <col min="1800" max="1800" width="0" style="1120" hidden="1" customWidth="1"/>
    <col min="1801" max="1801" width="9.140625" style="1120"/>
    <col min="1802" max="1802" width="4.140625" style="1120" customWidth="1"/>
    <col min="1803" max="2047" width="9.140625" style="1120"/>
    <col min="2048" max="2048" width="2.7109375" style="1120" bestFit="1" customWidth="1"/>
    <col min="2049" max="2049" width="41.140625" style="1120" customWidth="1"/>
    <col min="2050" max="2050" width="12.85546875" style="1120" customWidth="1"/>
    <col min="2051" max="2052" width="10.42578125" style="1120" bestFit="1" customWidth="1"/>
    <col min="2053" max="2053" width="9.42578125" style="1120" bestFit="1" customWidth="1"/>
    <col min="2054" max="2055" width="10.42578125" style="1120" bestFit="1" customWidth="1"/>
    <col min="2056" max="2056" width="0" style="1120" hidden="1" customWidth="1"/>
    <col min="2057" max="2057" width="9.140625" style="1120"/>
    <col min="2058" max="2058" width="4.140625" style="1120" customWidth="1"/>
    <col min="2059" max="2303" width="9.140625" style="1120"/>
    <col min="2304" max="2304" width="2.7109375" style="1120" bestFit="1" customWidth="1"/>
    <col min="2305" max="2305" width="41.140625" style="1120" customWidth="1"/>
    <col min="2306" max="2306" width="12.85546875" style="1120" customWidth="1"/>
    <col min="2307" max="2308" width="10.42578125" style="1120" bestFit="1" customWidth="1"/>
    <col min="2309" max="2309" width="9.42578125" style="1120" bestFit="1" customWidth="1"/>
    <col min="2310" max="2311" width="10.42578125" style="1120" bestFit="1" customWidth="1"/>
    <col min="2312" max="2312" width="0" style="1120" hidden="1" customWidth="1"/>
    <col min="2313" max="2313" width="9.140625" style="1120"/>
    <col min="2314" max="2314" width="4.140625" style="1120" customWidth="1"/>
    <col min="2315" max="2559" width="9.140625" style="1120"/>
    <col min="2560" max="2560" width="2.7109375" style="1120" bestFit="1" customWidth="1"/>
    <col min="2561" max="2561" width="41.140625" style="1120" customWidth="1"/>
    <col min="2562" max="2562" width="12.85546875" style="1120" customWidth="1"/>
    <col min="2563" max="2564" width="10.42578125" style="1120" bestFit="1" customWidth="1"/>
    <col min="2565" max="2565" width="9.42578125" style="1120" bestFit="1" customWidth="1"/>
    <col min="2566" max="2567" width="10.42578125" style="1120" bestFit="1" customWidth="1"/>
    <col min="2568" max="2568" width="0" style="1120" hidden="1" customWidth="1"/>
    <col min="2569" max="2569" width="9.140625" style="1120"/>
    <col min="2570" max="2570" width="4.140625" style="1120" customWidth="1"/>
    <col min="2571" max="2815" width="9.140625" style="1120"/>
    <col min="2816" max="2816" width="2.7109375" style="1120" bestFit="1" customWidth="1"/>
    <col min="2817" max="2817" width="41.140625" style="1120" customWidth="1"/>
    <col min="2818" max="2818" width="12.85546875" style="1120" customWidth="1"/>
    <col min="2819" max="2820" width="10.42578125" style="1120" bestFit="1" customWidth="1"/>
    <col min="2821" max="2821" width="9.42578125" style="1120" bestFit="1" customWidth="1"/>
    <col min="2822" max="2823" width="10.42578125" style="1120" bestFit="1" customWidth="1"/>
    <col min="2824" max="2824" width="0" style="1120" hidden="1" customWidth="1"/>
    <col min="2825" max="2825" width="9.140625" style="1120"/>
    <col min="2826" max="2826" width="4.140625" style="1120" customWidth="1"/>
    <col min="2827" max="3071" width="9.140625" style="1120"/>
    <col min="3072" max="3072" width="2.7109375" style="1120" bestFit="1" customWidth="1"/>
    <col min="3073" max="3073" width="41.140625" style="1120" customWidth="1"/>
    <col min="3074" max="3074" width="12.85546875" style="1120" customWidth="1"/>
    <col min="3075" max="3076" width="10.42578125" style="1120" bestFit="1" customWidth="1"/>
    <col min="3077" max="3077" width="9.42578125" style="1120" bestFit="1" customWidth="1"/>
    <col min="3078" max="3079" width="10.42578125" style="1120" bestFit="1" customWidth="1"/>
    <col min="3080" max="3080" width="0" style="1120" hidden="1" customWidth="1"/>
    <col min="3081" max="3081" width="9.140625" style="1120"/>
    <col min="3082" max="3082" width="4.140625" style="1120" customWidth="1"/>
    <col min="3083" max="3327" width="9.140625" style="1120"/>
    <col min="3328" max="3328" width="2.7109375" style="1120" bestFit="1" customWidth="1"/>
    <col min="3329" max="3329" width="41.140625" style="1120" customWidth="1"/>
    <col min="3330" max="3330" width="12.85546875" style="1120" customWidth="1"/>
    <col min="3331" max="3332" width="10.42578125" style="1120" bestFit="1" customWidth="1"/>
    <col min="3333" max="3333" width="9.42578125" style="1120" bestFit="1" customWidth="1"/>
    <col min="3334" max="3335" width="10.42578125" style="1120" bestFit="1" customWidth="1"/>
    <col min="3336" max="3336" width="0" style="1120" hidden="1" customWidth="1"/>
    <col min="3337" max="3337" width="9.140625" style="1120"/>
    <col min="3338" max="3338" width="4.140625" style="1120" customWidth="1"/>
    <col min="3339" max="3583" width="9.140625" style="1120"/>
    <col min="3584" max="3584" width="2.7109375" style="1120" bestFit="1" customWidth="1"/>
    <col min="3585" max="3585" width="41.140625" style="1120" customWidth="1"/>
    <col min="3586" max="3586" width="12.85546875" style="1120" customWidth="1"/>
    <col min="3587" max="3588" width="10.42578125" style="1120" bestFit="1" customWidth="1"/>
    <col min="3589" max="3589" width="9.42578125" style="1120" bestFit="1" customWidth="1"/>
    <col min="3590" max="3591" width="10.42578125" style="1120" bestFit="1" customWidth="1"/>
    <col min="3592" max="3592" width="0" style="1120" hidden="1" customWidth="1"/>
    <col min="3593" max="3593" width="9.140625" style="1120"/>
    <col min="3594" max="3594" width="4.140625" style="1120" customWidth="1"/>
    <col min="3595" max="3839" width="9.140625" style="1120"/>
    <col min="3840" max="3840" width="2.7109375" style="1120" bestFit="1" customWidth="1"/>
    <col min="3841" max="3841" width="41.140625" style="1120" customWidth="1"/>
    <col min="3842" max="3842" width="12.85546875" style="1120" customWidth="1"/>
    <col min="3843" max="3844" width="10.42578125" style="1120" bestFit="1" customWidth="1"/>
    <col min="3845" max="3845" width="9.42578125" style="1120" bestFit="1" customWidth="1"/>
    <col min="3846" max="3847" width="10.42578125" style="1120" bestFit="1" customWidth="1"/>
    <col min="3848" max="3848" width="0" style="1120" hidden="1" customWidth="1"/>
    <col min="3849" max="3849" width="9.140625" style="1120"/>
    <col min="3850" max="3850" width="4.140625" style="1120" customWidth="1"/>
    <col min="3851" max="4095" width="9.140625" style="1120"/>
    <col min="4096" max="4096" width="2.7109375" style="1120" bestFit="1" customWidth="1"/>
    <col min="4097" max="4097" width="41.140625" style="1120" customWidth="1"/>
    <col min="4098" max="4098" width="12.85546875" style="1120" customWidth="1"/>
    <col min="4099" max="4100" width="10.42578125" style="1120" bestFit="1" customWidth="1"/>
    <col min="4101" max="4101" width="9.42578125" style="1120" bestFit="1" customWidth="1"/>
    <col min="4102" max="4103" width="10.42578125" style="1120" bestFit="1" customWidth="1"/>
    <col min="4104" max="4104" width="0" style="1120" hidden="1" customWidth="1"/>
    <col min="4105" max="4105" width="9.140625" style="1120"/>
    <col min="4106" max="4106" width="4.140625" style="1120" customWidth="1"/>
    <col min="4107" max="4351" width="9.140625" style="1120"/>
    <col min="4352" max="4352" width="2.7109375" style="1120" bestFit="1" customWidth="1"/>
    <col min="4353" max="4353" width="41.140625" style="1120" customWidth="1"/>
    <col min="4354" max="4354" width="12.85546875" style="1120" customWidth="1"/>
    <col min="4355" max="4356" width="10.42578125" style="1120" bestFit="1" customWidth="1"/>
    <col min="4357" max="4357" width="9.42578125" style="1120" bestFit="1" customWidth="1"/>
    <col min="4358" max="4359" width="10.42578125" style="1120" bestFit="1" customWidth="1"/>
    <col min="4360" max="4360" width="0" style="1120" hidden="1" customWidth="1"/>
    <col min="4361" max="4361" width="9.140625" style="1120"/>
    <col min="4362" max="4362" width="4.140625" style="1120" customWidth="1"/>
    <col min="4363" max="4607" width="9.140625" style="1120"/>
    <col min="4608" max="4608" width="2.7109375" style="1120" bestFit="1" customWidth="1"/>
    <col min="4609" max="4609" width="41.140625" style="1120" customWidth="1"/>
    <col min="4610" max="4610" width="12.85546875" style="1120" customWidth="1"/>
    <col min="4611" max="4612" width="10.42578125" style="1120" bestFit="1" customWidth="1"/>
    <col min="4613" max="4613" width="9.42578125" style="1120" bestFit="1" customWidth="1"/>
    <col min="4614" max="4615" width="10.42578125" style="1120" bestFit="1" customWidth="1"/>
    <col min="4616" max="4616" width="0" style="1120" hidden="1" customWidth="1"/>
    <col min="4617" max="4617" width="9.140625" style="1120"/>
    <col min="4618" max="4618" width="4.140625" style="1120" customWidth="1"/>
    <col min="4619" max="4863" width="9.140625" style="1120"/>
    <col min="4864" max="4864" width="2.7109375" style="1120" bestFit="1" customWidth="1"/>
    <col min="4865" max="4865" width="41.140625" style="1120" customWidth="1"/>
    <col min="4866" max="4866" width="12.85546875" style="1120" customWidth="1"/>
    <col min="4867" max="4868" width="10.42578125" style="1120" bestFit="1" customWidth="1"/>
    <col min="4869" max="4869" width="9.42578125" style="1120" bestFit="1" customWidth="1"/>
    <col min="4870" max="4871" width="10.42578125" style="1120" bestFit="1" customWidth="1"/>
    <col min="4872" max="4872" width="0" style="1120" hidden="1" customWidth="1"/>
    <col min="4873" max="4873" width="9.140625" style="1120"/>
    <col min="4874" max="4874" width="4.140625" style="1120" customWidth="1"/>
    <col min="4875" max="5119" width="9.140625" style="1120"/>
    <col min="5120" max="5120" width="2.7109375" style="1120" bestFit="1" customWidth="1"/>
    <col min="5121" max="5121" width="41.140625" style="1120" customWidth="1"/>
    <col min="5122" max="5122" width="12.85546875" style="1120" customWidth="1"/>
    <col min="5123" max="5124" width="10.42578125" style="1120" bestFit="1" customWidth="1"/>
    <col min="5125" max="5125" width="9.42578125" style="1120" bestFit="1" customWidth="1"/>
    <col min="5126" max="5127" width="10.42578125" style="1120" bestFit="1" customWidth="1"/>
    <col min="5128" max="5128" width="0" style="1120" hidden="1" customWidth="1"/>
    <col min="5129" max="5129" width="9.140625" style="1120"/>
    <col min="5130" max="5130" width="4.140625" style="1120" customWidth="1"/>
    <col min="5131" max="5375" width="9.140625" style="1120"/>
    <col min="5376" max="5376" width="2.7109375" style="1120" bestFit="1" customWidth="1"/>
    <col min="5377" max="5377" width="41.140625" style="1120" customWidth="1"/>
    <col min="5378" max="5378" width="12.85546875" style="1120" customWidth="1"/>
    <col min="5379" max="5380" width="10.42578125" style="1120" bestFit="1" customWidth="1"/>
    <col min="5381" max="5381" width="9.42578125" style="1120" bestFit="1" customWidth="1"/>
    <col min="5382" max="5383" width="10.42578125" style="1120" bestFit="1" customWidth="1"/>
    <col min="5384" max="5384" width="0" style="1120" hidden="1" customWidth="1"/>
    <col min="5385" max="5385" width="9.140625" style="1120"/>
    <col min="5386" max="5386" width="4.140625" style="1120" customWidth="1"/>
    <col min="5387" max="5631" width="9.140625" style="1120"/>
    <col min="5632" max="5632" width="2.7109375" style="1120" bestFit="1" customWidth="1"/>
    <col min="5633" max="5633" width="41.140625" style="1120" customWidth="1"/>
    <col min="5634" max="5634" width="12.85546875" style="1120" customWidth="1"/>
    <col min="5635" max="5636" width="10.42578125" style="1120" bestFit="1" customWidth="1"/>
    <col min="5637" max="5637" width="9.42578125" style="1120" bestFit="1" customWidth="1"/>
    <col min="5638" max="5639" width="10.42578125" style="1120" bestFit="1" customWidth="1"/>
    <col min="5640" max="5640" width="0" style="1120" hidden="1" customWidth="1"/>
    <col min="5641" max="5641" width="9.140625" style="1120"/>
    <col min="5642" max="5642" width="4.140625" style="1120" customWidth="1"/>
    <col min="5643" max="5887" width="9.140625" style="1120"/>
    <col min="5888" max="5888" width="2.7109375" style="1120" bestFit="1" customWidth="1"/>
    <col min="5889" max="5889" width="41.140625" style="1120" customWidth="1"/>
    <col min="5890" max="5890" width="12.85546875" style="1120" customWidth="1"/>
    <col min="5891" max="5892" width="10.42578125" style="1120" bestFit="1" customWidth="1"/>
    <col min="5893" max="5893" width="9.42578125" style="1120" bestFit="1" customWidth="1"/>
    <col min="5894" max="5895" width="10.42578125" style="1120" bestFit="1" customWidth="1"/>
    <col min="5896" max="5896" width="0" style="1120" hidden="1" customWidth="1"/>
    <col min="5897" max="5897" width="9.140625" style="1120"/>
    <col min="5898" max="5898" width="4.140625" style="1120" customWidth="1"/>
    <col min="5899" max="6143" width="9.140625" style="1120"/>
    <col min="6144" max="6144" width="2.7109375" style="1120" bestFit="1" customWidth="1"/>
    <col min="6145" max="6145" width="41.140625" style="1120" customWidth="1"/>
    <col min="6146" max="6146" width="12.85546875" style="1120" customWidth="1"/>
    <col min="6147" max="6148" width="10.42578125" style="1120" bestFit="1" customWidth="1"/>
    <col min="6149" max="6149" width="9.42578125" style="1120" bestFit="1" customWidth="1"/>
    <col min="6150" max="6151" width="10.42578125" style="1120" bestFit="1" customWidth="1"/>
    <col min="6152" max="6152" width="0" style="1120" hidden="1" customWidth="1"/>
    <col min="6153" max="6153" width="9.140625" style="1120"/>
    <col min="6154" max="6154" width="4.140625" style="1120" customWidth="1"/>
    <col min="6155" max="6399" width="9.140625" style="1120"/>
    <col min="6400" max="6400" width="2.7109375" style="1120" bestFit="1" customWidth="1"/>
    <col min="6401" max="6401" width="41.140625" style="1120" customWidth="1"/>
    <col min="6402" max="6402" width="12.85546875" style="1120" customWidth="1"/>
    <col min="6403" max="6404" width="10.42578125" style="1120" bestFit="1" customWidth="1"/>
    <col min="6405" max="6405" width="9.42578125" style="1120" bestFit="1" customWidth="1"/>
    <col min="6406" max="6407" width="10.42578125" style="1120" bestFit="1" customWidth="1"/>
    <col min="6408" max="6408" width="0" style="1120" hidden="1" customWidth="1"/>
    <col min="6409" max="6409" width="9.140625" style="1120"/>
    <col min="6410" max="6410" width="4.140625" style="1120" customWidth="1"/>
    <col min="6411" max="6655" width="9.140625" style="1120"/>
    <col min="6656" max="6656" width="2.7109375" style="1120" bestFit="1" customWidth="1"/>
    <col min="6657" max="6657" width="41.140625" style="1120" customWidth="1"/>
    <col min="6658" max="6658" width="12.85546875" style="1120" customWidth="1"/>
    <col min="6659" max="6660" width="10.42578125" style="1120" bestFit="1" customWidth="1"/>
    <col min="6661" max="6661" width="9.42578125" style="1120" bestFit="1" customWidth="1"/>
    <col min="6662" max="6663" width="10.42578125" style="1120" bestFit="1" customWidth="1"/>
    <col min="6664" max="6664" width="0" style="1120" hidden="1" customWidth="1"/>
    <col min="6665" max="6665" width="9.140625" style="1120"/>
    <col min="6666" max="6666" width="4.140625" style="1120" customWidth="1"/>
    <col min="6667" max="6911" width="9.140625" style="1120"/>
    <col min="6912" max="6912" width="2.7109375" style="1120" bestFit="1" customWidth="1"/>
    <col min="6913" max="6913" width="41.140625" style="1120" customWidth="1"/>
    <col min="6914" max="6914" width="12.85546875" style="1120" customWidth="1"/>
    <col min="6915" max="6916" width="10.42578125" style="1120" bestFit="1" customWidth="1"/>
    <col min="6917" max="6917" width="9.42578125" style="1120" bestFit="1" customWidth="1"/>
    <col min="6918" max="6919" width="10.42578125" style="1120" bestFit="1" customWidth="1"/>
    <col min="6920" max="6920" width="0" style="1120" hidden="1" customWidth="1"/>
    <col min="6921" max="6921" width="9.140625" style="1120"/>
    <col min="6922" max="6922" width="4.140625" style="1120" customWidth="1"/>
    <col min="6923" max="7167" width="9.140625" style="1120"/>
    <col min="7168" max="7168" width="2.7109375" style="1120" bestFit="1" customWidth="1"/>
    <col min="7169" max="7169" width="41.140625" style="1120" customWidth="1"/>
    <col min="7170" max="7170" width="12.85546875" style="1120" customWidth="1"/>
    <col min="7171" max="7172" width="10.42578125" style="1120" bestFit="1" customWidth="1"/>
    <col min="7173" max="7173" width="9.42578125" style="1120" bestFit="1" customWidth="1"/>
    <col min="7174" max="7175" width="10.42578125" style="1120" bestFit="1" customWidth="1"/>
    <col min="7176" max="7176" width="0" style="1120" hidden="1" customWidth="1"/>
    <col min="7177" max="7177" width="9.140625" style="1120"/>
    <col min="7178" max="7178" width="4.140625" style="1120" customWidth="1"/>
    <col min="7179" max="7423" width="9.140625" style="1120"/>
    <col min="7424" max="7424" width="2.7109375" style="1120" bestFit="1" customWidth="1"/>
    <col min="7425" max="7425" width="41.140625" style="1120" customWidth="1"/>
    <col min="7426" max="7426" width="12.85546875" style="1120" customWidth="1"/>
    <col min="7427" max="7428" width="10.42578125" style="1120" bestFit="1" customWidth="1"/>
    <col min="7429" max="7429" width="9.42578125" style="1120" bestFit="1" customWidth="1"/>
    <col min="7430" max="7431" width="10.42578125" style="1120" bestFit="1" customWidth="1"/>
    <col min="7432" max="7432" width="0" style="1120" hidden="1" customWidth="1"/>
    <col min="7433" max="7433" width="9.140625" style="1120"/>
    <col min="7434" max="7434" width="4.140625" style="1120" customWidth="1"/>
    <col min="7435" max="7679" width="9.140625" style="1120"/>
    <col min="7680" max="7680" width="2.7109375" style="1120" bestFit="1" customWidth="1"/>
    <col min="7681" max="7681" width="41.140625" style="1120" customWidth="1"/>
    <col min="7682" max="7682" width="12.85546875" style="1120" customWidth="1"/>
    <col min="7683" max="7684" width="10.42578125" style="1120" bestFit="1" customWidth="1"/>
    <col min="7685" max="7685" width="9.42578125" style="1120" bestFit="1" customWidth="1"/>
    <col min="7686" max="7687" width="10.42578125" style="1120" bestFit="1" customWidth="1"/>
    <col min="7688" max="7688" width="0" style="1120" hidden="1" customWidth="1"/>
    <col min="7689" max="7689" width="9.140625" style="1120"/>
    <col min="7690" max="7690" width="4.140625" style="1120" customWidth="1"/>
    <col min="7691" max="7935" width="9.140625" style="1120"/>
    <col min="7936" max="7936" width="2.7109375" style="1120" bestFit="1" customWidth="1"/>
    <col min="7937" max="7937" width="41.140625" style="1120" customWidth="1"/>
    <col min="7938" max="7938" width="12.85546875" style="1120" customWidth="1"/>
    <col min="7939" max="7940" width="10.42578125" style="1120" bestFit="1" customWidth="1"/>
    <col min="7941" max="7941" width="9.42578125" style="1120" bestFit="1" customWidth="1"/>
    <col min="7942" max="7943" width="10.42578125" style="1120" bestFit="1" customWidth="1"/>
    <col min="7944" max="7944" width="0" style="1120" hidden="1" customWidth="1"/>
    <col min="7945" max="7945" width="9.140625" style="1120"/>
    <col min="7946" max="7946" width="4.140625" style="1120" customWidth="1"/>
    <col min="7947" max="8191" width="9.140625" style="1120"/>
    <col min="8192" max="8192" width="2.7109375" style="1120" bestFit="1" customWidth="1"/>
    <col min="8193" max="8193" width="41.140625" style="1120" customWidth="1"/>
    <col min="8194" max="8194" width="12.85546875" style="1120" customWidth="1"/>
    <col min="8195" max="8196" width="10.42578125" style="1120" bestFit="1" customWidth="1"/>
    <col min="8197" max="8197" width="9.42578125" style="1120" bestFit="1" customWidth="1"/>
    <col min="8198" max="8199" width="10.42578125" style="1120" bestFit="1" customWidth="1"/>
    <col min="8200" max="8200" width="0" style="1120" hidden="1" customWidth="1"/>
    <col min="8201" max="8201" width="9.140625" style="1120"/>
    <col min="8202" max="8202" width="4.140625" style="1120" customWidth="1"/>
    <col min="8203" max="8447" width="9.140625" style="1120"/>
    <col min="8448" max="8448" width="2.7109375" style="1120" bestFit="1" customWidth="1"/>
    <col min="8449" max="8449" width="41.140625" style="1120" customWidth="1"/>
    <col min="8450" max="8450" width="12.85546875" style="1120" customWidth="1"/>
    <col min="8451" max="8452" width="10.42578125" style="1120" bestFit="1" customWidth="1"/>
    <col min="8453" max="8453" width="9.42578125" style="1120" bestFit="1" customWidth="1"/>
    <col min="8454" max="8455" width="10.42578125" style="1120" bestFit="1" customWidth="1"/>
    <col min="8456" max="8456" width="0" style="1120" hidden="1" customWidth="1"/>
    <col min="8457" max="8457" width="9.140625" style="1120"/>
    <col min="8458" max="8458" width="4.140625" style="1120" customWidth="1"/>
    <col min="8459" max="8703" width="9.140625" style="1120"/>
    <col min="8704" max="8704" width="2.7109375" style="1120" bestFit="1" customWidth="1"/>
    <col min="8705" max="8705" width="41.140625" style="1120" customWidth="1"/>
    <col min="8706" max="8706" width="12.85546875" style="1120" customWidth="1"/>
    <col min="8707" max="8708" width="10.42578125" style="1120" bestFit="1" customWidth="1"/>
    <col min="8709" max="8709" width="9.42578125" style="1120" bestFit="1" customWidth="1"/>
    <col min="8710" max="8711" width="10.42578125" style="1120" bestFit="1" customWidth="1"/>
    <col min="8712" max="8712" width="0" style="1120" hidden="1" customWidth="1"/>
    <col min="8713" max="8713" width="9.140625" style="1120"/>
    <col min="8714" max="8714" width="4.140625" style="1120" customWidth="1"/>
    <col min="8715" max="8959" width="9.140625" style="1120"/>
    <col min="8960" max="8960" width="2.7109375" style="1120" bestFit="1" customWidth="1"/>
    <col min="8961" max="8961" width="41.140625" style="1120" customWidth="1"/>
    <col min="8962" max="8962" width="12.85546875" style="1120" customWidth="1"/>
    <col min="8963" max="8964" width="10.42578125" style="1120" bestFit="1" customWidth="1"/>
    <col min="8965" max="8965" width="9.42578125" style="1120" bestFit="1" customWidth="1"/>
    <col min="8966" max="8967" width="10.42578125" style="1120" bestFit="1" customWidth="1"/>
    <col min="8968" max="8968" width="0" style="1120" hidden="1" customWidth="1"/>
    <col min="8969" max="8969" width="9.140625" style="1120"/>
    <col min="8970" max="8970" width="4.140625" style="1120" customWidth="1"/>
    <col min="8971" max="9215" width="9.140625" style="1120"/>
    <col min="9216" max="9216" width="2.7109375" style="1120" bestFit="1" customWidth="1"/>
    <col min="9217" max="9217" width="41.140625" style="1120" customWidth="1"/>
    <col min="9218" max="9218" width="12.85546875" style="1120" customWidth="1"/>
    <col min="9219" max="9220" width="10.42578125" style="1120" bestFit="1" customWidth="1"/>
    <col min="9221" max="9221" width="9.42578125" style="1120" bestFit="1" customWidth="1"/>
    <col min="9222" max="9223" width="10.42578125" style="1120" bestFit="1" customWidth="1"/>
    <col min="9224" max="9224" width="0" style="1120" hidden="1" customWidth="1"/>
    <col min="9225" max="9225" width="9.140625" style="1120"/>
    <col min="9226" max="9226" width="4.140625" style="1120" customWidth="1"/>
    <col min="9227" max="9471" width="9.140625" style="1120"/>
    <col min="9472" max="9472" width="2.7109375" style="1120" bestFit="1" customWidth="1"/>
    <col min="9473" max="9473" width="41.140625" style="1120" customWidth="1"/>
    <col min="9474" max="9474" width="12.85546875" style="1120" customWidth="1"/>
    <col min="9475" max="9476" width="10.42578125" style="1120" bestFit="1" customWidth="1"/>
    <col min="9477" max="9477" width="9.42578125" style="1120" bestFit="1" customWidth="1"/>
    <col min="9478" max="9479" width="10.42578125" style="1120" bestFit="1" customWidth="1"/>
    <col min="9480" max="9480" width="0" style="1120" hidden="1" customWidth="1"/>
    <col min="9481" max="9481" width="9.140625" style="1120"/>
    <col min="9482" max="9482" width="4.140625" style="1120" customWidth="1"/>
    <col min="9483" max="9727" width="9.140625" style="1120"/>
    <col min="9728" max="9728" width="2.7109375" style="1120" bestFit="1" customWidth="1"/>
    <col min="9729" max="9729" width="41.140625" style="1120" customWidth="1"/>
    <col min="9730" max="9730" width="12.85546875" style="1120" customWidth="1"/>
    <col min="9731" max="9732" width="10.42578125" style="1120" bestFit="1" customWidth="1"/>
    <col min="9733" max="9733" width="9.42578125" style="1120" bestFit="1" customWidth="1"/>
    <col min="9734" max="9735" width="10.42578125" style="1120" bestFit="1" customWidth="1"/>
    <col min="9736" max="9736" width="0" style="1120" hidden="1" customWidth="1"/>
    <col min="9737" max="9737" width="9.140625" style="1120"/>
    <col min="9738" max="9738" width="4.140625" style="1120" customWidth="1"/>
    <col min="9739" max="9983" width="9.140625" style="1120"/>
    <col min="9984" max="9984" width="2.7109375" style="1120" bestFit="1" customWidth="1"/>
    <col min="9985" max="9985" width="41.140625" style="1120" customWidth="1"/>
    <col min="9986" max="9986" width="12.85546875" style="1120" customWidth="1"/>
    <col min="9987" max="9988" width="10.42578125" style="1120" bestFit="1" customWidth="1"/>
    <col min="9989" max="9989" width="9.42578125" style="1120" bestFit="1" customWidth="1"/>
    <col min="9990" max="9991" width="10.42578125" style="1120" bestFit="1" customWidth="1"/>
    <col min="9992" max="9992" width="0" style="1120" hidden="1" customWidth="1"/>
    <col min="9993" max="9993" width="9.140625" style="1120"/>
    <col min="9994" max="9994" width="4.140625" style="1120" customWidth="1"/>
    <col min="9995" max="10239" width="9.140625" style="1120"/>
    <col min="10240" max="10240" width="2.7109375" style="1120" bestFit="1" customWidth="1"/>
    <col min="10241" max="10241" width="41.140625" style="1120" customWidth="1"/>
    <col min="10242" max="10242" width="12.85546875" style="1120" customWidth="1"/>
    <col min="10243" max="10244" width="10.42578125" style="1120" bestFit="1" customWidth="1"/>
    <col min="10245" max="10245" width="9.42578125" style="1120" bestFit="1" customWidth="1"/>
    <col min="10246" max="10247" width="10.42578125" style="1120" bestFit="1" customWidth="1"/>
    <col min="10248" max="10248" width="0" style="1120" hidden="1" customWidth="1"/>
    <col min="10249" max="10249" width="9.140625" style="1120"/>
    <col min="10250" max="10250" width="4.140625" style="1120" customWidth="1"/>
    <col min="10251" max="10495" width="9.140625" style="1120"/>
    <col min="10496" max="10496" width="2.7109375" style="1120" bestFit="1" customWidth="1"/>
    <col min="10497" max="10497" width="41.140625" style="1120" customWidth="1"/>
    <col min="10498" max="10498" width="12.85546875" style="1120" customWidth="1"/>
    <col min="10499" max="10500" width="10.42578125" style="1120" bestFit="1" customWidth="1"/>
    <col min="10501" max="10501" width="9.42578125" style="1120" bestFit="1" customWidth="1"/>
    <col min="10502" max="10503" width="10.42578125" style="1120" bestFit="1" customWidth="1"/>
    <col min="10504" max="10504" width="0" style="1120" hidden="1" customWidth="1"/>
    <col min="10505" max="10505" width="9.140625" style="1120"/>
    <col min="10506" max="10506" width="4.140625" style="1120" customWidth="1"/>
    <col min="10507" max="10751" width="9.140625" style="1120"/>
    <col min="10752" max="10752" width="2.7109375" style="1120" bestFit="1" customWidth="1"/>
    <col min="10753" max="10753" width="41.140625" style="1120" customWidth="1"/>
    <col min="10754" max="10754" width="12.85546875" style="1120" customWidth="1"/>
    <col min="10755" max="10756" width="10.42578125" style="1120" bestFit="1" customWidth="1"/>
    <col min="10757" max="10757" width="9.42578125" style="1120" bestFit="1" customWidth="1"/>
    <col min="10758" max="10759" width="10.42578125" style="1120" bestFit="1" customWidth="1"/>
    <col min="10760" max="10760" width="0" style="1120" hidden="1" customWidth="1"/>
    <col min="10761" max="10761" width="9.140625" style="1120"/>
    <col min="10762" max="10762" width="4.140625" style="1120" customWidth="1"/>
    <col min="10763" max="11007" width="9.140625" style="1120"/>
    <col min="11008" max="11008" width="2.7109375" style="1120" bestFit="1" customWidth="1"/>
    <col min="11009" max="11009" width="41.140625" style="1120" customWidth="1"/>
    <col min="11010" max="11010" width="12.85546875" style="1120" customWidth="1"/>
    <col min="11011" max="11012" width="10.42578125" style="1120" bestFit="1" customWidth="1"/>
    <col min="11013" max="11013" width="9.42578125" style="1120" bestFit="1" customWidth="1"/>
    <col min="11014" max="11015" width="10.42578125" style="1120" bestFit="1" customWidth="1"/>
    <col min="11016" max="11016" width="0" style="1120" hidden="1" customWidth="1"/>
    <col min="11017" max="11017" width="9.140625" style="1120"/>
    <col min="11018" max="11018" width="4.140625" style="1120" customWidth="1"/>
    <col min="11019" max="11263" width="9.140625" style="1120"/>
    <col min="11264" max="11264" width="2.7109375" style="1120" bestFit="1" customWidth="1"/>
    <col min="11265" max="11265" width="41.140625" style="1120" customWidth="1"/>
    <col min="11266" max="11266" width="12.85546875" style="1120" customWidth="1"/>
    <col min="11267" max="11268" width="10.42578125" style="1120" bestFit="1" customWidth="1"/>
    <col min="11269" max="11269" width="9.42578125" style="1120" bestFit="1" customWidth="1"/>
    <col min="11270" max="11271" width="10.42578125" style="1120" bestFit="1" customWidth="1"/>
    <col min="11272" max="11272" width="0" style="1120" hidden="1" customWidth="1"/>
    <col min="11273" max="11273" width="9.140625" style="1120"/>
    <col min="11274" max="11274" width="4.140625" style="1120" customWidth="1"/>
    <col min="11275" max="11519" width="9.140625" style="1120"/>
    <col min="11520" max="11520" width="2.7109375" style="1120" bestFit="1" customWidth="1"/>
    <col min="11521" max="11521" width="41.140625" style="1120" customWidth="1"/>
    <col min="11522" max="11522" width="12.85546875" style="1120" customWidth="1"/>
    <col min="11523" max="11524" width="10.42578125" style="1120" bestFit="1" customWidth="1"/>
    <col min="11525" max="11525" width="9.42578125" style="1120" bestFit="1" customWidth="1"/>
    <col min="11526" max="11527" width="10.42578125" style="1120" bestFit="1" customWidth="1"/>
    <col min="11528" max="11528" width="0" style="1120" hidden="1" customWidth="1"/>
    <col min="11529" max="11529" width="9.140625" style="1120"/>
    <col min="11530" max="11530" width="4.140625" style="1120" customWidth="1"/>
    <col min="11531" max="11775" width="9.140625" style="1120"/>
    <col min="11776" max="11776" width="2.7109375" style="1120" bestFit="1" customWidth="1"/>
    <col min="11777" max="11777" width="41.140625" style="1120" customWidth="1"/>
    <col min="11778" max="11778" width="12.85546875" style="1120" customWidth="1"/>
    <col min="11779" max="11780" width="10.42578125" style="1120" bestFit="1" customWidth="1"/>
    <col min="11781" max="11781" width="9.42578125" style="1120" bestFit="1" customWidth="1"/>
    <col min="11782" max="11783" width="10.42578125" style="1120" bestFit="1" customWidth="1"/>
    <col min="11784" max="11784" width="0" style="1120" hidden="1" customWidth="1"/>
    <col min="11785" max="11785" width="9.140625" style="1120"/>
    <col min="11786" max="11786" width="4.140625" style="1120" customWidth="1"/>
    <col min="11787" max="12031" width="9.140625" style="1120"/>
    <col min="12032" max="12032" width="2.7109375" style="1120" bestFit="1" customWidth="1"/>
    <col min="12033" max="12033" width="41.140625" style="1120" customWidth="1"/>
    <col min="12034" max="12034" width="12.85546875" style="1120" customWidth="1"/>
    <col min="12035" max="12036" width="10.42578125" style="1120" bestFit="1" customWidth="1"/>
    <col min="12037" max="12037" width="9.42578125" style="1120" bestFit="1" customWidth="1"/>
    <col min="12038" max="12039" width="10.42578125" style="1120" bestFit="1" customWidth="1"/>
    <col min="12040" max="12040" width="0" style="1120" hidden="1" customWidth="1"/>
    <col min="12041" max="12041" width="9.140625" style="1120"/>
    <col min="12042" max="12042" width="4.140625" style="1120" customWidth="1"/>
    <col min="12043" max="12287" width="9.140625" style="1120"/>
    <col min="12288" max="12288" width="2.7109375" style="1120" bestFit="1" customWidth="1"/>
    <col min="12289" max="12289" width="41.140625" style="1120" customWidth="1"/>
    <col min="12290" max="12290" width="12.85546875" style="1120" customWidth="1"/>
    <col min="12291" max="12292" width="10.42578125" style="1120" bestFit="1" customWidth="1"/>
    <col min="12293" max="12293" width="9.42578125" style="1120" bestFit="1" customWidth="1"/>
    <col min="12294" max="12295" width="10.42578125" style="1120" bestFit="1" customWidth="1"/>
    <col min="12296" max="12296" width="0" style="1120" hidden="1" customWidth="1"/>
    <col min="12297" max="12297" width="9.140625" style="1120"/>
    <col min="12298" max="12298" width="4.140625" style="1120" customWidth="1"/>
    <col min="12299" max="12543" width="9.140625" style="1120"/>
    <col min="12544" max="12544" width="2.7109375" style="1120" bestFit="1" customWidth="1"/>
    <col min="12545" max="12545" width="41.140625" style="1120" customWidth="1"/>
    <col min="12546" max="12546" width="12.85546875" style="1120" customWidth="1"/>
    <col min="12547" max="12548" width="10.42578125" style="1120" bestFit="1" customWidth="1"/>
    <col min="12549" max="12549" width="9.42578125" style="1120" bestFit="1" customWidth="1"/>
    <col min="12550" max="12551" width="10.42578125" style="1120" bestFit="1" customWidth="1"/>
    <col min="12552" max="12552" width="0" style="1120" hidden="1" customWidth="1"/>
    <col min="12553" max="12553" width="9.140625" style="1120"/>
    <col min="12554" max="12554" width="4.140625" style="1120" customWidth="1"/>
    <col min="12555" max="12799" width="9.140625" style="1120"/>
    <col min="12800" max="12800" width="2.7109375" style="1120" bestFit="1" customWidth="1"/>
    <col min="12801" max="12801" width="41.140625" style="1120" customWidth="1"/>
    <col min="12802" max="12802" width="12.85546875" style="1120" customWidth="1"/>
    <col min="12803" max="12804" width="10.42578125" style="1120" bestFit="1" customWidth="1"/>
    <col min="12805" max="12805" width="9.42578125" style="1120" bestFit="1" customWidth="1"/>
    <col min="12806" max="12807" width="10.42578125" style="1120" bestFit="1" customWidth="1"/>
    <col min="12808" max="12808" width="0" style="1120" hidden="1" customWidth="1"/>
    <col min="12809" max="12809" width="9.140625" style="1120"/>
    <col min="12810" max="12810" width="4.140625" style="1120" customWidth="1"/>
    <col min="12811" max="13055" width="9.140625" style="1120"/>
    <col min="13056" max="13056" width="2.7109375" style="1120" bestFit="1" customWidth="1"/>
    <col min="13057" max="13057" width="41.140625" style="1120" customWidth="1"/>
    <col min="13058" max="13058" width="12.85546875" style="1120" customWidth="1"/>
    <col min="13059" max="13060" width="10.42578125" style="1120" bestFit="1" customWidth="1"/>
    <col min="13061" max="13061" width="9.42578125" style="1120" bestFit="1" customWidth="1"/>
    <col min="13062" max="13063" width="10.42578125" style="1120" bestFit="1" customWidth="1"/>
    <col min="13064" max="13064" width="0" style="1120" hidden="1" customWidth="1"/>
    <col min="13065" max="13065" width="9.140625" style="1120"/>
    <col min="13066" max="13066" width="4.140625" style="1120" customWidth="1"/>
    <col min="13067" max="13311" width="9.140625" style="1120"/>
    <col min="13312" max="13312" width="2.7109375" style="1120" bestFit="1" customWidth="1"/>
    <col min="13313" max="13313" width="41.140625" style="1120" customWidth="1"/>
    <col min="13314" max="13314" width="12.85546875" style="1120" customWidth="1"/>
    <col min="13315" max="13316" width="10.42578125" style="1120" bestFit="1" customWidth="1"/>
    <col min="13317" max="13317" width="9.42578125" style="1120" bestFit="1" customWidth="1"/>
    <col min="13318" max="13319" width="10.42578125" style="1120" bestFit="1" customWidth="1"/>
    <col min="13320" max="13320" width="0" style="1120" hidden="1" customWidth="1"/>
    <col min="13321" max="13321" width="9.140625" style="1120"/>
    <col min="13322" max="13322" width="4.140625" style="1120" customWidth="1"/>
    <col min="13323" max="13567" width="9.140625" style="1120"/>
    <col min="13568" max="13568" width="2.7109375" style="1120" bestFit="1" customWidth="1"/>
    <col min="13569" max="13569" width="41.140625" style="1120" customWidth="1"/>
    <col min="13570" max="13570" width="12.85546875" style="1120" customWidth="1"/>
    <col min="13571" max="13572" width="10.42578125" style="1120" bestFit="1" customWidth="1"/>
    <col min="13573" max="13573" width="9.42578125" style="1120" bestFit="1" customWidth="1"/>
    <col min="13574" max="13575" width="10.42578125" style="1120" bestFit="1" customWidth="1"/>
    <col min="13576" max="13576" width="0" style="1120" hidden="1" customWidth="1"/>
    <col min="13577" max="13577" width="9.140625" style="1120"/>
    <col min="13578" max="13578" width="4.140625" style="1120" customWidth="1"/>
    <col min="13579" max="13823" width="9.140625" style="1120"/>
    <col min="13824" max="13824" width="2.7109375" style="1120" bestFit="1" customWidth="1"/>
    <col min="13825" max="13825" width="41.140625" style="1120" customWidth="1"/>
    <col min="13826" max="13826" width="12.85546875" style="1120" customWidth="1"/>
    <col min="13827" max="13828" width="10.42578125" style="1120" bestFit="1" customWidth="1"/>
    <col min="13829" max="13829" width="9.42578125" style="1120" bestFit="1" customWidth="1"/>
    <col min="13830" max="13831" width="10.42578125" style="1120" bestFit="1" customWidth="1"/>
    <col min="13832" max="13832" width="0" style="1120" hidden="1" customWidth="1"/>
    <col min="13833" max="13833" width="9.140625" style="1120"/>
    <col min="13834" max="13834" width="4.140625" style="1120" customWidth="1"/>
    <col min="13835" max="14079" width="9.140625" style="1120"/>
    <col min="14080" max="14080" width="2.7109375" style="1120" bestFit="1" customWidth="1"/>
    <col min="14081" max="14081" width="41.140625" style="1120" customWidth="1"/>
    <col min="14082" max="14082" width="12.85546875" style="1120" customWidth="1"/>
    <col min="14083" max="14084" width="10.42578125" style="1120" bestFit="1" customWidth="1"/>
    <col min="14085" max="14085" width="9.42578125" style="1120" bestFit="1" customWidth="1"/>
    <col min="14086" max="14087" width="10.42578125" style="1120" bestFit="1" customWidth="1"/>
    <col min="14088" max="14088" width="0" style="1120" hidden="1" customWidth="1"/>
    <col min="14089" max="14089" width="9.140625" style="1120"/>
    <col min="14090" max="14090" width="4.140625" style="1120" customWidth="1"/>
    <col min="14091" max="14335" width="9.140625" style="1120"/>
    <col min="14336" max="14336" width="2.7109375" style="1120" bestFit="1" customWidth="1"/>
    <col min="14337" max="14337" width="41.140625" style="1120" customWidth="1"/>
    <col min="14338" max="14338" width="12.85546875" style="1120" customWidth="1"/>
    <col min="14339" max="14340" width="10.42578125" style="1120" bestFit="1" customWidth="1"/>
    <col min="14341" max="14341" width="9.42578125" style="1120" bestFit="1" customWidth="1"/>
    <col min="14342" max="14343" width="10.42578125" style="1120" bestFit="1" customWidth="1"/>
    <col min="14344" max="14344" width="0" style="1120" hidden="1" customWidth="1"/>
    <col min="14345" max="14345" width="9.140625" style="1120"/>
    <col min="14346" max="14346" width="4.140625" style="1120" customWidth="1"/>
    <col min="14347" max="14591" width="9.140625" style="1120"/>
    <col min="14592" max="14592" width="2.7109375" style="1120" bestFit="1" customWidth="1"/>
    <col min="14593" max="14593" width="41.140625" style="1120" customWidth="1"/>
    <col min="14594" max="14594" width="12.85546875" style="1120" customWidth="1"/>
    <col min="14595" max="14596" width="10.42578125" style="1120" bestFit="1" customWidth="1"/>
    <col min="14597" max="14597" width="9.42578125" style="1120" bestFit="1" customWidth="1"/>
    <col min="14598" max="14599" width="10.42578125" style="1120" bestFit="1" customWidth="1"/>
    <col min="14600" max="14600" width="0" style="1120" hidden="1" customWidth="1"/>
    <col min="14601" max="14601" width="9.140625" style="1120"/>
    <col min="14602" max="14602" width="4.140625" style="1120" customWidth="1"/>
    <col min="14603" max="14847" width="9.140625" style="1120"/>
    <col min="14848" max="14848" width="2.7109375" style="1120" bestFit="1" customWidth="1"/>
    <col min="14849" max="14849" width="41.140625" style="1120" customWidth="1"/>
    <col min="14850" max="14850" width="12.85546875" style="1120" customWidth="1"/>
    <col min="14851" max="14852" width="10.42578125" style="1120" bestFit="1" customWidth="1"/>
    <col min="14853" max="14853" width="9.42578125" style="1120" bestFit="1" customWidth="1"/>
    <col min="14854" max="14855" width="10.42578125" style="1120" bestFit="1" customWidth="1"/>
    <col min="14856" max="14856" width="0" style="1120" hidden="1" customWidth="1"/>
    <col min="14857" max="14857" width="9.140625" style="1120"/>
    <col min="14858" max="14858" width="4.140625" style="1120" customWidth="1"/>
    <col min="14859" max="15103" width="9.140625" style="1120"/>
    <col min="15104" max="15104" width="2.7109375" style="1120" bestFit="1" customWidth="1"/>
    <col min="15105" max="15105" width="41.140625" style="1120" customWidth="1"/>
    <col min="15106" max="15106" width="12.85546875" style="1120" customWidth="1"/>
    <col min="15107" max="15108" width="10.42578125" style="1120" bestFit="1" customWidth="1"/>
    <col min="15109" max="15109" width="9.42578125" style="1120" bestFit="1" customWidth="1"/>
    <col min="15110" max="15111" width="10.42578125" style="1120" bestFit="1" customWidth="1"/>
    <col min="15112" max="15112" width="0" style="1120" hidden="1" customWidth="1"/>
    <col min="15113" max="15113" width="9.140625" style="1120"/>
    <col min="15114" max="15114" width="4.140625" style="1120" customWidth="1"/>
    <col min="15115" max="15359" width="9.140625" style="1120"/>
    <col min="15360" max="15360" width="2.7109375" style="1120" bestFit="1" customWidth="1"/>
    <col min="15361" max="15361" width="41.140625" style="1120" customWidth="1"/>
    <col min="15362" max="15362" width="12.85546875" style="1120" customWidth="1"/>
    <col min="15363" max="15364" width="10.42578125" style="1120" bestFit="1" customWidth="1"/>
    <col min="15365" max="15365" width="9.42578125" style="1120" bestFit="1" customWidth="1"/>
    <col min="15366" max="15367" width="10.42578125" style="1120" bestFit="1" customWidth="1"/>
    <col min="15368" max="15368" width="0" style="1120" hidden="1" customWidth="1"/>
    <col min="15369" max="15369" width="9.140625" style="1120"/>
    <col min="15370" max="15370" width="4.140625" style="1120" customWidth="1"/>
    <col min="15371" max="15615" width="9.140625" style="1120"/>
    <col min="15616" max="15616" width="2.7109375" style="1120" bestFit="1" customWidth="1"/>
    <col min="15617" max="15617" width="41.140625" style="1120" customWidth="1"/>
    <col min="15618" max="15618" width="12.85546875" style="1120" customWidth="1"/>
    <col min="15619" max="15620" width="10.42578125" style="1120" bestFit="1" customWidth="1"/>
    <col min="15621" max="15621" width="9.42578125" style="1120" bestFit="1" customWidth="1"/>
    <col min="15622" max="15623" width="10.42578125" style="1120" bestFit="1" customWidth="1"/>
    <col min="15624" max="15624" width="0" style="1120" hidden="1" customWidth="1"/>
    <col min="15625" max="15625" width="9.140625" style="1120"/>
    <col min="15626" max="15626" width="4.140625" style="1120" customWidth="1"/>
    <col min="15627" max="15871" width="9.140625" style="1120"/>
    <col min="15872" max="15872" width="2.7109375" style="1120" bestFit="1" customWidth="1"/>
    <col min="15873" max="15873" width="41.140625" style="1120" customWidth="1"/>
    <col min="15874" max="15874" width="12.85546875" style="1120" customWidth="1"/>
    <col min="15875" max="15876" width="10.42578125" style="1120" bestFit="1" customWidth="1"/>
    <col min="15877" max="15877" width="9.42578125" style="1120" bestFit="1" customWidth="1"/>
    <col min="15878" max="15879" width="10.42578125" style="1120" bestFit="1" customWidth="1"/>
    <col min="15880" max="15880" width="0" style="1120" hidden="1" customWidth="1"/>
    <col min="15881" max="15881" width="9.140625" style="1120"/>
    <col min="15882" max="15882" width="4.140625" style="1120" customWidth="1"/>
    <col min="15883" max="16127" width="9.140625" style="1120"/>
    <col min="16128" max="16128" width="2.7109375" style="1120" bestFit="1" customWidth="1"/>
    <col min="16129" max="16129" width="41.140625" style="1120" customWidth="1"/>
    <col min="16130" max="16130" width="12.85546875" style="1120" customWidth="1"/>
    <col min="16131" max="16132" width="10.42578125" style="1120" bestFit="1" customWidth="1"/>
    <col min="16133" max="16133" width="9.42578125" style="1120" bestFit="1" customWidth="1"/>
    <col min="16134" max="16135" width="10.42578125" style="1120" bestFit="1" customWidth="1"/>
    <col min="16136" max="16136" width="0" style="1120" hidden="1" customWidth="1"/>
    <col min="16137" max="16137" width="9.140625" style="1120"/>
    <col min="16138" max="16138" width="4.140625" style="1120" customWidth="1"/>
    <col min="16139" max="16384" width="9.140625" style="1120"/>
  </cols>
  <sheetData>
    <row r="1" spans="1:9" s="957" customFormat="1" ht="15" x14ac:dyDescent="0.2"/>
    <row r="2" spans="1:9" s="957" customFormat="1" ht="15" x14ac:dyDescent="0.2"/>
    <row r="3" spans="1:9" s="957" customFormat="1" ht="17.25" x14ac:dyDescent="0.25">
      <c r="A3" s="3289" t="s">
        <v>737</v>
      </c>
      <c r="B3" s="3289"/>
      <c r="C3" s="3289"/>
      <c r="D3" s="3289"/>
      <c r="E3" s="3289"/>
      <c r="F3" s="3289"/>
      <c r="G3" s="3289"/>
    </row>
    <row r="4" spans="1:9" s="957" customFormat="1" ht="8.25" customHeight="1" thickBot="1" x14ac:dyDescent="0.35">
      <c r="A4" s="1125"/>
      <c r="B4" s="1125"/>
      <c r="C4" s="1125"/>
      <c r="D4" s="1125"/>
      <c r="E4" s="1125"/>
      <c r="F4" s="1125"/>
      <c r="G4" s="1125"/>
    </row>
    <row r="5" spans="1:9" s="957" customFormat="1" x14ac:dyDescent="0.2">
      <c r="A5" s="1102"/>
      <c r="B5" s="1103"/>
      <c r="C5" s="1104"/>
      <c r="D5" s="3273" t="s">
        <v>698</v>
      </c>
      <c r="E5" s="3274"/>
      <c r="F5" s="3273" t="s">
        <v>698</v>
      </c>
      <c r="G5" s="3274"/>
    </row>
    <row r="6" spans="1:9" s="957" customFormat="1" ht="22.5" thickBot="1" x14ac:dyDescent="0.25">
      <c r="A6" s="1105"/>
      <c r="B6" s="1106"/>
      <c r="C6" s="1107"/>
      <c r="D6" s="3275" t="s">
        <v>738</v>
      </c>
      <c r="E6" s="3276"/>
      <c r="F6" s="3275" t="s">
        <v>739</v>
      </c>
      <c r="G6" s="3276"/>
    </row>
    <row r="7" spans="1:9" s="957" customFormat="1" ht="24" customHeight="1" x14ac:dyDescent="0.2">
      <c r="A7" s="1108">
        <v>1</v>
      </c>
      <c r="B7" s="3287" t="s">
        <v>723</v>
      </c>
      <c r="C7" s="3288"/>
      <c r="D7" s="3283">
        <v>1200</v>
      </c>
      <c r="E7" s="3284"/>
      <c r="F7" s="3283">
        <v>1500</v>
      </c>
      <c r="G7" s="3284"/>
    </row>
    <row r="8" spans="1:9" s="957" customFormat="1" ht="24" customHeight="1" x14ac:dyDescent="0.2">
      <c r="A8" s="1108">
        <v>2</v>
      </c>
      <c r="B8" s="3268" t="s">
        <v>724</v>
      </c>
      <c r="C8" s="3269"/>
      <c r="D8" s="3283">
        <v>2875.6</v>
      </c>
      <c r="E8" s="3284"/>
      <c r="F8" s="3283">
        <v>1950.8</v>
      </c>
      <c r="G8" s="3284"/>
    </row>
    <row r="9" spans="1:9" s="957" customFormat="1" ht="24" customHeight="1" x14ac:dyDescent="0.2">
      <c r="A9" s="1108">
        <v>3</v>
      </c>
      <c r="B9" s="3268" t="s">
        <v>725</v>
      </c>
      <c r="C9" s="3269"/>
      <c r="D9" s="3283">
        <v>1200</v>
      </c>
      <c r="E9" s="3284"/>
      <c r="F9" s="3283">
        <v>1500</v>
      </c>
      <c r="G9" s="3284"/>
    </row>
    <row r="10" spans="1:9" s="957" customFormat="1" ht="24" customHeight="1" x14ac:dyDescent="0.2">
      <c r="A10" s="1108">
        <v>4</v>
      </c>
      <c r="B10" s="3268" t="s">
        <v>740</v>
      </c>
      <c r="C10" s="3269"/>
      <c r="D10" s="3279">
        <v>5</v>
      </c>
      <c r="E10" s="3280"/>
      <c r="F10" s="3279">
        <v>6</v>
      </c>
      <c r="G10" s="3280"/>
    </row>
    <row r="11" spans="1:9" s="957" customFormat="1" ht="24" customHeight="1" x14ac:dyDescent="0.2">
      <c r="A11" s="1108">
        <v>5</v>
      </c>
      <c r="B11" s="3268" t="s">
        <v>741</v>
      </c>
      <c r="C11" s="3269"/>
      <c r="D11" s="3279">
        <v>2</v>
      </c>
      <c r="E11" s="3280"/>
      <c r="F11" s="3279">
        <v>2.5</v>
      </c>
      <c r="G11" s="3280"/>
    </row>
    <row r="12" spans="1:9" s="1041" customFormat="1" ht="24" customHeight="1" x14ac:dyDescent="0.2">
      <c r="A12" s="1108">
        <v>6</v>
      </c>
      <c r="B12" s="3268" t="s">
        <v>742</v>
      </c>
      <c r="C12" s="3269"/>
      <c r="D12" s="3279">
        <v>2.34</v>
      </c>
      <c r="E12" s="3280"/>
      <c r="F12" s="3279">
        <v>2.81</v>
      </c>
      <c r="G12" s="3280"/>
      <c r="H12" s="1115"/>
      <c r="I12" s="1115"/>
    </row>
    <row r="13" spans="1:9" s="957" customFormat="1" ht="9.75" customHeight="1" thickBot="1" x14ac:dyDescent="0.25">
      <c r="A13" s="1109"/>
      <c r="B13" s="1110"/>
      <c r="C13" s="1107"/>
      <c r="D13" s="3285"/>
      <c r="E13" s="3286"/>
      <c r="F13" s="3285"/>
      <c r="G13" s="3286"/>
      <c r="H13" s="1126"/>
      <c r="I13" s="1126"/>
    </row>
    <row r="14" spans="1:9" x14ac:dyDescent="0.25">
      <c r="A14" s="1113"/>
      <c r="B14" s="1114" t="s">
        <v>743</v>
      </c>
      <c r="C14" s="1114"/>
      <c r="D14" s="1114" t="s">
        <v>744</v>
      </c>
      <c r="E14" s="1127"/>
      <c r="F14" s="1114"/>
      <c r="G14" s="1128"/>
    </row>
    <row r="15" spans="1:9" ht="15.75" x14ac:dyDescent="0.25">
      <c r="A15" s="1116" t="s">
        <v>680</v>
      </c>
      <c r="B15" s="1116"/>
      <c r="C15" s="1116"/>
      <c r="D15" s="1116"/>
      <c r="E15" s="1116"/>
      <c r="F15" s="1116"/>
      <c r="G15" s="1116"/>
    </row>
    <row r="18" spans="1:7" ht="14.25" customHeight="1" x14ac:dyDescent="0.3"/>
    <row r="19" spans="1:7" s="1129" customFormat="1" ht="26.25" customHeight="1" x14ac:dyDescent="0.3">
      <c r="A19" s="3272" t="s">
        <v>745</v>
      </c>
      <c r="B19" s="3272"/>
      <c r="C19" s="3272"/>
      <c r="D19" s="3272"/>
      <c r="E19" s="3272"/>
      <c r="F19" s="3272"/>
      <c r="G19" s="3272"/>
    </row>
    <row r="20" spans="1:7" ht="12" customHeight="1" thickBot="1" x14ac:dyDescent="0.35">
      <c r="A20" s="1125"/>
      <c r="B20" s="1125"/>
      <c r="C20" s="1125"/>
      <c r="D20" s="1125"/>
      <c r="E20" s="1125"/>
      <c r="F20" s="1125"/>
      <c r="G20" s="1125"/>
    </row>
    <row r="21" spans="1:7" x14ac:dyDescent="0.25">
      <c r="A21" s="1102"/>
      <c r="B21" s="1103"/>
      <c r="C21" s="1104"/>
      <c r="D21" s="3273" t="s">
        <v>698</v>
      </c>
      <c r="E21" s="3274"/>
      <c r="F21" s="3273" t="s">
        <v>698</v>
      </c>
      <c r="G21" s="3274"/>
    </row>
    <row r="22" spans="1:7" ht="22.5" thickBot="1" x14ac:dyDescent="0.3">
      <c r="A22" s="1105"/>
      <c r="B22" s="1106"/>
      <c r="C22" s="1107"/>
      <c r="D22" s="3275" t="s">
        <v>746</v>
      </c>
      <c r="E22" s="3276"/>
      <c r="F22" s="3275" t="s">
        <v>747</v>
      </c>
      <c r="G22" s="3276"/>
    </row>
    <row r="23" spans="1:7" ht="22.5" customHeight="1" x14ac:dyDescent="0.25">
      <c r="A23" s="1108">
        <v>1</v>
      </c>
      <c r="B23" s="3268" t="s">
        <v>723</v>
      </c>
      <c r="C23" s="3269"/>
      <c r="D23" s="3270">
        <v>1500</v>
      </c>
      <c r="E23" s="3271"/>
      <c r="F23" s="3270">
        <v>1500</v>
      </c>
      <c r="G23" s="3271"/>
    </row>
    <row r="24" spans="1:7" ht="22.5" customHeight="1" x14ac:dyDescent="0.25">
      <c r="A24" s="1108">
        <v>2</v>
      </c>
      <c r="B24" s="3268" t="s">
        <v>724</v>
      </c>
      <c r="C24" s="3269"/>
      <c r="D24" s="3277">
        <v>3916.7</v>
      </c>
      <c r="E24" s="3278"/>
      <c r="F24" s="3277">
        <v>2738</v>
      </c>
      <c r="G24" s="3278"/>
    </row>
    <row r="25" spans="1:7" ht="22.5" customHeight="1" x14ac:dyDescent="0.25">
      <c r="A25" s="1108">
        <v>3</v>
      </c>
      <c r="B25" s="3268" t="s">
        <v>725</v>
      </c>
      <c r="C25" s="3269"/>
      <c r="D25" s="3277">
        <v>1500</v>
      </c>
      <c r="E25" s="3278"/>
      <c r="F25" s="3277">
        <v>1500</v>
      </c>
      <c r="G25" s="3278"/>
    </row>
    <row r="26" spans="1:7" ht="22.5" customHeight="1" x14ac:dyDescent="0.25">
      <c r="A26" s="1108">
        <v>4</v>
      </c>
      <c r="B26" s="3268" t="s">
        <v>726</v>
      </c>
      <c r="C26" s="3269"/>
      <c r="D26" s="3279">
        <v>7</v>
      </c>
      <c r="E26" s="3280"/>
      <c r="F26" s="3279">
        <v>6.95</v>
      </c>
      <c r="G26" s="3280"/>
    </row>
    <row r="27" spans="1:7" ht="22.5" customHeight="1" x14ac:dyDescent="0.25">
      <c r="A27" s="1108">
        <v>5</v>
      </c>
      <c r="B27" s="3268" t="s">
        <v>727</v>
      </c>
      <c r="C27" s="3269"/>
      <c r="D27" s="3279">
        <v>7.52</v>
      </c>
      <c r="E27" s="3280"/>
      <c r="F27" s="3279">
        <v>7.29</v>
      </c>
      <c r="G27" s="3280"/>
    </row>
    <row r="28" spans="1:7" ht="22.5" customHeight="1" x14ac:dyDescent="0.25">
      <c r="A28" s="1108">
        <v>6</v>
      </c>
      <c r="B28" s="3268" t="s">
        <v>728</v>
      </c>
      <c r="C28" s="3269"/>
      <c r="D28" s="3279">
        <v>7.44</v>
      </c>
      <c r="E28" s="3280"/>
      <c r="F28" s="3279">
        <v>7.09</v>
      </c>
      <c r="G28" s="3280"/>
    </row>
    <row r="29" spans="1:7" ht="22.5" customHeight="1" x14ac:dyDescent="0.25">
      <c r="A29" s="1108">
        <v>7</v>
      </c>
      <c r="B29" s="3268" t="s">
        <v>729</v>
      </c>
      <c r="C29" s="3269"/>
      <c r="D29" s="3281">
        <v>95.457999999999998</v>
      </c>
      <c r="E29" s="3282"/>
      <c r="F29" s="3281">
        <v>98.516000000000005</v>
      </c>
      <c r="G29" s="3282"/>
    </row>
    <row r="30" spans="1:7" ht="14.25" customHeight="1" thickBot="1" x14ac:dyDescent="0.3">
      <c r="A30" s="1109"/>
      <c r="B30" s="1110"/>
      <c r="C30" s="1107"/>
      <c r="D30" s="1111"/>
      <c r="E30" s="1112"/>
      <c r="F30" s="1111"/>
      <c r="G30" s="1112"/>
    </row>
    <row r="31" spans="1:7" x14ac:dyDescent="0.25">
      <c r="A31" s="1113"/>
      <c r="B31" s="1114" t="s">
        <v>748</v>
      </c>
      <c r="C31" s="1114"/>
      <c r="D31" s="1114" t="s">
        <v>749</v>
      </c>
      <c r="E31" s="1114"/>
      <c r="F31" s="1114"/>
      <c r="G31" s="1114"/>
    </row>
    <row r="32" spans="1:7" x14ac:dyDescent="0.3">
      <c r="B32" s="1116" t="s">
        <v>680</v>
      </c>
    </row>
  </sheetData>
  <mergeCells count="5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D21:E21"/>
    <mergeCell ref="F21:G21"/>
    <mergeCell ref="D22:E22"/>
    <mergeCell ref="F22:G22"/>
    <mergeCell ref="B23:C23"/>
    <mergeCell ref="D23:E23"/>
    <mergeCell ref="F23:G23"/>
    <mergeCell ref="A19:G19"/>
    <mergeCell ref="B10:C10"/>
    <mergeCell ref="D10:E10"/>
    <mergeCell ref="F10:G10"/>
    <mergeCell ref="B11:C11"/>
    <mergeCell ref="D11:E11"/>
    <mergeCell ref="F11:G11"/>
    <mergeCell ref="B12:C12"/>
    <mergeCell ref="D12:E12"/>
    <mergeCell ref="F12:G12"/>
    <mergeCell ref="D13:E13"/>
    <mergeCell ref="F13:G13"/>
    <mergeCell ref="B8:C8"/>
    <mergeCell ref="D8:E8"/>
    <mergeCell ref="F8:G8"/>
    <mergeCell ref="B9:C9"/>
    <mergeCell ref="D9:E9"/>
    <mergeCell ref="F9:G9"/>
    <mergeCell ref="B7:C7"/>
    <mergeCell ref="D7:E7"/>
    <mergeCell ref="F7:G7"/>
    <mergeCell ref="A3:G3"/>
    <mergeCell ref="D5:E5"/>
    <mergeCell ref="F5:G5"/>
    <mergeCell ref="D6:E6"/>
    <mergeCell ref="F6:G6"/>
  </mergeCells>
  <pageMargins left="0.7" right="0.7" top="0.75" bottom="0.75" header="0.3" footer="0.3"/>
  <pageSetup paperSize="9"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46"/>
  <sheetViews>
    <sheetView showGridLines="0" topLeftCell="A25" zoomScaleNormal="100" workbookViewId="0">
      <selection activeCell="G12" sqref="G12"/>
    </sheetView>
  </sheetViews>
  <sheetFormatPr defaultRowHeight="15" x14ac:dyDescent="0.25"/>
  <cols>
    <col min="1" max="1" width="46.5703125" style="1149" customWidth="1"/>
    <col min="2" max="2" width="19.7109375" style="1149" customWidth="1"/>
    <col min="3" max="3" width="19.140625" style="1149" customWidth="1"/>
    <col min="4" max="4" width="17" style="1149" customWidth="1"/>
    <col min="5" max="5" width="19" style="1149" customWidth="1"/>
    <col min="6" max="6" width="18.5703125" style="1149" customWidth="1"/>
    <col min="7" max="7" width="15" style="1149" customWidth="1"/>
    <col min="8" max="9" width="17.28515625" style="1149" customWidth="1"/>
    <col min="10" max="15" width="15.28515625" style="1149" customWidth="1"/>
    <col min="16" max="255" width="9.140625" style="1149"/>
    <col min="256" max="256" width="8.7109375" style="1149" customWidth="1"/>
    <col min="257" max="257" width="9.140625" style="1149"/>
    <col min="258" max="258" width="43.140625" style="1149" customWidth="1"/>
    <col min="259" max="259" width="9.140625" style="1149"/>
    <col min="260" max="260" width="10.42578125" style="1149" customWidth="1"/>
    <col min="261" max="261" width="12" style="1149" customWidth="1"/>
    <col min="262" max="263" width="9.140625" style="1149"/>
    <col min="264" max="264" width="9.85546875" style="1149" customWidth="1"/>
    <col min="265" max="265" width="12.28515625" style="1149" customWidth="1"/>
    <col min="266" max="266" width="9.28515625" style="1149" customWidth="1"/>
    <col min="267" max="267" width="9.140625" style="1149"/>
    <col min="268" max="268" width="11.5703125" style="1149" customWidth="1"/>
    <col min="269" max="270" width="9.140625" style="1149"/>
    <col min="271" max="271" width="9.42578125" style="1149" customWidth="1"/>
    <col min="272" max="511" width="9.140625" style="1149"/>
    <col min="512" max="512" width="8.7109375" style="1149" customWidth="1"/>
    <col min="513" max="513" width="9.140625" style="1149"/>
    <col min="514" max="514" width="43.140625" style="1149" customWidth="1"/>
    <col min="515" max="515" width="9.140625" style="1149"/>
    <col min="516" max="516" width="10.42578125" style="1149" customWidth="1"/>
    <col min="517" max="517" width="12" style="1149" customWidth="1"/>
    <col min="518" max="519" width="9.140625" style="1149"/>
    <col min="520" max="520" width="9.85546875" style="1149" customWidth="1"/>
    <col min="521" max="521" width="12.28515625" style="1149" customWidth="1"/>
    <col min="522" max="522" width="9.28515625" style="1149" customWidth="1"/>
    <col min="523" max="523" width="9.140625" style="1149"/>
    <col min="524" max="524" width="11.5703125" style="1149" customWidth="1"/>
    <col min="525" max="526" width="9.140625" style="1149"/>
    <col min="527" max="527" width="9.42578125" style="1149" customWidth="1"/>
    <col min="528" max="767" width="9.140625" style="1149"/>
    <col min="768" max="768" width="8.7109375" style="1149" customWidth="1"/>
    <col min="769" max="769" width="9.140625" style="1149"/>
    <col min="770" max="770" width="43.140625" style="1149" customWidth="1"/>
    <col min="771" max="771" width="9.140625" style="1149"/>
    <col min="772" max="772" width="10.42578125" style="1149" customWidth="1"/>
    <col min="773" max="773" width="12" style="1149" customWidth="1"/>
    <col min="774" max="775" width="9.140625" style="1149"/>
    <col min="776" max="776" width="9.85546875" style="1149" customWidth="1"/>
    <col min="777" max="777" width="12.28515625" style="1149" customWidth="1"/>
    <col min="778" max="778" width="9.28515625" style="1149" customWidth="1"/>
    <col min="779" max="779" width="9.140625" style="1149"/>
    <col min="780" max="780" width="11.5703125" style="1149" customWidth="1"/>
    <col min="781" max="782" width="9.140625" style="1149"/>
    <col min="783" max="783" width="9.42578125" style="1149" customWidth="1"/>
    <col min="784" max="1023" width="9.140625" style="1149"/>
    <col min="1024" max="1024" width="8.7109375" style="1149" customWidth="1"/>
    <col min="1025" max="1025" width="9.140625" style="1149"/>
    <col min="1026" max="1026" width="43.140625" style="1149" customWidth="1"/>
    <col min="1027" max="1027" width="9.140625" style="1149"/>
    <col min="1028" max="1028" width="10.42578125" style="1149" customWidth="1"/>
    <col min="1029" max="1029" width="12" style="1149" customWidth="1"/>
    <col min="1030" max="1031" width="9.140625" style="1149"/>
    <col min="1032" max="1032" width="9.85546875" style="1149" customWidth="1"/>
    <col min="1033" max="1033" width="12.28515625" style="1149" customWidth="1"/>
    <col min="1034" max="1034" width="9.28515625" style="1149" customWidth="1"/>
    <col min="1035" max="1035" width="9.140625" style="1149"/>
    <col min="1036" max="1036" width="11.5703125" style="1149" customWidth="1"/>
    <col min="1037" max="1038" width="9.140625" style="1149"/>
    <col min="1039" max="1039" width="9.42578125" style="1149" customWidth="1"/>
    <col min="1040" max="1279" width="9.140625" style="1149"/>
    <col min="1280" max="1280" width="8.7109375" style="1149" customWidth="1"/>
    <col min="1281" max="1281" width="9.140625" style="1149"/>
    <col min="1282" max="1282" width="43.140625" style="1149" customWidth="1"/>
    <col min="1283" max="1283" width="9.140625" style="1149"/>
    <col min="1284" max="1284" width="10.42578125" style="1149" customWidth="1"/>
    <col min="1285" max="1285" width="12" style="1149" customWidth="1"/>
    <col min="1286" max="1287" width="9.140625" style="1149"/>
    <col min="1288" max="1288" width="9.85546875" style="1149" customWidth="1"/>
    <col min="1289" max="1289" width="12.28515625" style="1149" customWidth="1"/>
    <col min="1290" max="1290" width="9.28515625" style="1149" customWidth="1"/>
    <col min="1291" max="1291" width="9.140625" style="1149"/>
    <col min="1292" max="1292" width="11.5703125" style="1149" customWidth="1"/>
    <col min="1293" max="1294" width="9.140625" style="1149"/>
    <col min="1295" max="1295" width="9.42578125" style="1149" customWidth="1"/>
    <col min="1296" max="1535" width="9.140625" style="1149"/>
    <col min="1536" max="1536" width="8.7109375" style="1149" customWidth="1"/>
    <col min="1537" max="1537" width="9.140625" style="1149"/>
    <col min="1538" max="1538" width="43.140625" style="1149" customWidth="1"/>
    <col min="1539" max="1539" width="9.140625" style="1149"/>
    <col min="1540" max="1540" width="10.42578125" style="1149" customWidth="1"/>
    <col min="1541" max="1541" width="12" style="1149" customWidth="1"/>
    <col min="1542" max="1543" width="9.140625" style="1149"/>
    <col min="1544" max="1544" width="9.85546875" style="1149" customWidth="1"/>
    <col min="1545" max="1545" width="12.28515625" style="1149" customWidth="1"/>
    <col min="1546" max="1546" width="9.28515625" style="1149" customWidth="1"/>
    <col min="1547" max="1547" width="9.140625" style="1149"/>
    <col min="1548" max="1548" width="11.5703125" style="1149" customWidth="1"/>
    <col min="1549" max="1550" width="9.140625" style="1149"/>
    <col min="1551" max="1551" width="9.42578125" style="1149" customWidth="1"/>
    <col min="1552" max="1791" width="9.140625" style="1149"/>
    <col min="1792" max="1792" width="8.7109375" style="1149" customWidth="1"/>
    <col min="1793" max="1793" width="9.140625" style="1149"/>
    <col min="1794" max="1794" width="43.140625" style="1149" customWidth="1"/>
    <col min="1795" max="1795" width="9.140625" style="1149"/>
    <col min="1796" max="1796" width="10.42578125" style="1149" customWidth="1"/>
    <col min="1797" max="1797" width="12" style="1149" customWidth="1"/>
    <col min="1798" max="1799" width="9.140625" style="1149"/>
    <col min="1800" max="1800" width="9.85546875" style="1149" customWidth="1"/>
    <col min="1801" max="1801" width="12.28515625" style="1149" customWidth="1"/>
    <col min="1802" max="1802" width="9.28515625" style="1149" customWidth="1"/>
    <col min="1803" max="1803" width="9.140625" style="1149"/>
    <col min="1804" max="1804" width="11.5703125" style="1149" customWidth="1"/>
    <col min="1805" max="1806" width="9.140625" style="1149"/>
    <col min="1807" max="1807" width="9.42578125" style="1149" customWidth="1"/>
    <col min="1808" max="2047" width="9.140625" style="1149"/>
    <col min="2048" max="2048" width="8.7109375" style="1149" customWidth="1"/>
    <col min="2049" max="2049" width="9.140625" style="1149"/>
    <col min="2050" max="2050" width="43.140625" style="1149" customWidth="1"/>
    <col min="2051" max="2051" width="9.140625" style="1149"/>
    <col min="2052" max="2052" width="10.42578125" style="1149" customWidth="1"/>
    <col min="2053" max="2053" width="12" style="1149" customWidth="1"/>
    <col min="2054" max="2055" width="9.140625" style="1149"/>
    <col min="2056" max="2056" width="9.85546875" style="1149" customWidth="1"/>
    <col min="2057" max="2057" width="12.28515625" style="1149" customWidth="1"/>
    <col min="2058" max="2058" width="9.28515625" style="1149" customWidth="1"/>
    <col min="2059" max="2059" width="9.140625" style="1149"/>
    <col min="2060" max="2060" width="11.5703125" style="1149" customWidth="1"/>
    <col min="2061" max="2062" width="9.140625" style="1149"/>
    <col min="2063" max="2063" width="9.42578125" style="1149" customWidth="1"/>
    <col min="2064" max="2303" width="9.140625" style="1149"/>
    <col min="2304" max="2304" width="8.7109375" style="1149" customWidth="1"/>
    <col min="2305" max="2305" width="9.140625" style="1149"/>
    <col min="2306" max="2306" width="43.140625" style="1149" customWidth="1"/>
    <col min="2307" max="2307" width="9.140625" style="1149"/>
    <col min="2308" max="2308" width="10.42578125" style="1149" customWidth="1"/>
    <col min="2309" max="2309" width="12" style="1149" customWidth="1"/>
    <col min="2310" max="2311" width="9.140625" style="1149"/>
    <col min="2312" max="2312" width="9.85546875" style="1149" customWidth="1"/>
    <col min="2313" max="2313" width="12.28515625" style="1149" customWidth="1"/>
    <col min="2314" max="2314" width="9.28515625" style="1149" customWidth="1"/>
    <col min="2315" max="2315" width="9.140625" style="1149"/>
    <col min="2316" max="2316" width="11.5703125" style="1149" customWidth="1"/>
    <col min="2317" max="2318" width="9.140625" style="1149"/>
    <col min="2319" max="2319" width="9.42578125" style="1149" customWidth="1"/>
    <col min="2320" max="2559" width="9.140625" style="1149"/>
    <col min="2560" max="2560" width="8.7109375" style="1149" customWidth="1"/>
    <col min="2561" max="2561" width="9.140625" style="1149"/>
    <col min="2562" max="2562" width="43.140625" style="1149" customWidth="1"/>
    <col min="2563" max="2563" width="9.140625" style="1149"/>
    <col min="2564" max="2564" width="10.42578125" style="1149" customWidth="1"/>
    <col min="2565" max="2565" width="12" style="1149" customWidth="1"/>
    <col min="2566" max="2567" width="9.140625" style="1149"/>
    <col min="2568" max="2568" width="9.85546875" style="1149" customWidth="1"/>
    <col min="2569" max="2569" width="12.28515625" style="1149" customWidth="1"/>
    <col min="2570" max="2570" width="9.28515625" style="1149" customWidth="1"/>
    <col min="2571" max="2571" width="9.140625" style="1149"/>
    <col min="2572" max="2572" width="11.5703125" style="1149" customWidth="1"/>
    <col min="2573" max="2574" width="9.140625" style="1149"/>
    <col min="2575" max="2575" width="9.42578125" style="1149" customWidth="1"/>
    <col min="2576" max="2815" width="9.140625" style="1149"/>
    <col min="2816" max="2816" width="8.7109375" style="1149" customWidth="1"/>
    <col min="2817" max="2817" width="9.140625" style="1149"/>
    <col min="2818" max="2818" width="43.140625" style="1149" customWidth="1"/>
    <col min="2819" max="2819" width="9.140625" style="1149"/>
    <col min="2820" max="2820" width="10.42578125" style="1149" customWidth="1"/>
    <col min="2821" max="2821" width="12" style="1149" customWidth="1"/>
    <col min="2822" max="2823" width="9.140625" style="1149"/>
    <col min="2824" max="2824" width="9.85546875" style="1149" customWidth="1"/>
    <col min="2825" max="2825" width="12.28515625" style="1149" customWidth="1"/>
    <col min="2826" max="2826" width="9.28515625" style="1149" customWidth="1"/>
    <col min="2827" max="2827" width="9.140625" style="1149"/>
    <col min="2828" max="2828" width="11.5703125" style="1149" customWidth="1"/>
    <col min="2829" max="2830" width="9.140625" style="1149"/>
    <col min="2831" max="2831" width="9.42578125" style="1149" customWidth="1"/>
    <col min="2832" max="3071" width="9.140625" style="1149"/>
    <col min="3072" max="3072" width="8.7109375" style="1149" customWidth="1"/>
    <col min="3073" max="3073" width="9.140625" style="1149"/>
    <col min="3074" max="3074" width="43.140625" style="1149" customWidth="1"/>
    <col min="3075" max="3075" width="9.140625" style="1149"/>
    <col min="3076" max="3076" width="10.42578125" style="1149" customWidth="1"/>
    <col min="3077" max="3077" width="12" style="1149" customWidth="1"/>
    <col min="3078" max="3079" width="9.140625" style="1149"/>
    <col min="3080" max="3080" width="9.85546875" style="1149" customWidth="1"/>
    <col min="3081" max="3081" width="12.28515625" style="1149" customWidth="1"/>
    <col min="3082" max="3082" width="9.28515625" style="1149" customWidth="1"/>
    <col min="3083" max="3083" width="9.140625" style="1149"/>
    <col min="3084" max="3084" width="11.5703125" style="1149" customWidth="1"/>
    <col min="3085" max="3086" width="9.140625" style="1149"/>
    <col min="3087" max="3087" width="9.42578125" style="1149" customWidth="1"/>
    <col min="3088" max="3327" width="9.140625" style="1149"/>
    <col min="3328" max="3328" width="8.7109375" style="1149" customWidth="1"/>
    <col min="3329" max="3329" width="9.140625" style="1149"/>
    <col min="3330" max="3330" width="43.140625" style="1149" customWidth="1"/>
    <col min="3331" max="3331" width="9.140625" style="1149"/>
    <col min="3332" max="3332" width="10.42578125" style="1149" customWidth="1"/>
    <col min="3333" max="3333" width="12" style="1149" customWidth="1"/>
    <col min="3334" max="3335" width="9.140625" style="1149"/>
    <col min="3336" max="3336" width="9.85546875" style="1149" customWidth="1"/>
    <col min="3337" max="3337" width="12.28515625" style="1149" customWidth="1"/>
    <col min="3338" max="3338" width="9.28515625" style="1149" customWidth="1"/>
    <col min="3339" max="3339" width="9.140625" style="1149"/>
    <col min="3340" max="3340" width="11.5703125" style="1149" customWidth="1"/>
    <col min="3341" max="3342" width="9.140625" style="1149"/>
    <col min="3343" max="3343" width="9.42578125" style="1149" customWidth="1"/>
    <col min="3344" max="3583" width="9.140625" style="1149"/>
    <col min="3584" max="3584" width="8.7109375" style="1149" customWidth="1"/>
    <col min="3585" max="3585" width="9.140625" style="1149"/>
    <col min="3586" max="3586" width="43.140625" style="1149" customWidth="1"/>
    <col min="3587" max="3587" width="9.140625" style="1149"/>
    <col min="3588" max="3588" width="10.42578125" style="1149" customWidth="1"/>
    <col min="3589" max="3589" width="12" style="1149" customWidth="1"/>
    <col min="3590" max="3591" width="9.140625" style="1149"/>
    <col min="3592" max="3592" width="9.85546875" style="1149" customWidth="1"/>
    <col min="3593" max="3593" width="12.28515625" style="1149" customWidth="1"/>
    <col min="3594" max="3594" width="9.28515625" style="1149" customWidth="1"/>
    <col min="3595" max="3595" width="9.140625" style="1149"/>
    <col min="3596" max="3596" width="11.5703125" style="1149" customWidth="1"/>
    <col min="3597" max="3598" width="9.140625" style="1149"/>
    <col min="3599" max="3599" width="9.42578125" style="1149" customWidth="1"/>
    <col min="3600" max="3839" width="9.140625" style="1149"/>
    <col min="3840" max="3840" width="8.7109375" style="1149" customWidth="1"/>
    <col min="3841" max="3841" width="9.140625" style="1149"/>
    <col min="3842" max="3842" width="43.140625" style="1149" customWidth="1"/>
    <col min="3843" max="3843" width="9.140625" style="1149"/>
    <col min="3844" max="3844" width="10.42578125" style="1149" customWidth="1"/>
    <col min="3845" max="3845" width="12" style="1149" customWidth="1"/>
    <col min="3846" max="3847" width="9.140625" style="1149"/>
    <col min="3848" max="3848" width="9.85546875" style="1149" customWidth="1"/>
    <col min="3849" max="3849" width="12.28515625" style="1149" customWidth="1"/>
    <col min="3850" max="3850" width="9.28515625" style="1149" customWidth="1"/>
    <col min="3851" max="3851" width="9.140625" style="1149"/>
    <col min="3852" max="3852" width="11.5703125" style="1149" customWidth="1"/>
    <col min="3853" max="3854" width="9.140625" style="1149"/>
    <col min="3855" max="3855" width="9.42578125" style="1149" customWidth="1"/>
    <col min="3856" max="4095" width="9.140625" style="1149"/>
    <col min="4096" max="4096" width="8.7109375" style="1149" customWidth="1"/>
    <col min="4097" max="4097" width="9.140625" style="1149"/>
    <col min="4098" max="4098" width="43.140625" style="1149" customWidth="1"/>
    <col min="4099" max="4099" width="9.140625" style="1149"/>
    <col min="4100" max="4100" width="10.42578125" style="1149" customWidth="1"/>
    <col min="4101" max="4101" width="12" style="1149" customWidth="1"/>
    <col min="4102" max="4103" width="9.140625" style="1149"/>
    <col min="4104" max="4104" width="9.85546875" style="1149" customWidth="1"/>
    <col min="4105" max="4105" width="12.28515625" style="1149" customWidth="1"/>
    <col min="4106" max="4106" width="9.28515625" style="1149" customWidth="1"/>
    <col min="4107" max="4107" width="9.140625" style="1149"/>
    <col min="4108" max="4108" width="11.5703125" style="1149" customWidth="1"/>
    <col min="4109" max="4110" width="9.140625" style="1149"/>
    <col min="4111" max="4111" width="9.42578125" style="1149" customWidth="1"/>
    <col min="4112" max="4351" width="9.140625" style="1149"/>
    <col min="4352" max="4352" width="8.7109375" style="1149" customWidth="1"/>
    <col min="4353" max="4353" width="9.140625" style="1149"/>
    <col min="4354" max="4354" width="43.140625" style="1149" customWidth="1"/>
    <col min="4355" max="4355" width="9.140625" style="1149"/>
    <col min="4356" max="4356" width="10.42578125" style="1149" customWidth="1"/>
    <col min="4357" max="4357" width="12" style="1149" customWidth="1"/>
    <col min="4358" max="4359" width="9.140625" style="1149"/>
    <col min="4360" max="4360" width="9.85546875" style="1149" customWidth="1"/>
    <col min="4361" max="4361" width="12.28515625" style="1149" customWidth="1"/>
    <col min="4362" max="4362" width="9.28515625" style="1149" customWidth="1"/>
    <col min="4363" max="4363" width="9.140625" style="1149"/>
    <col min="4364" max="4364" width="11.5703125" style="1149" customWidth="1"/>
    <col min="4365" max="4366" width="9.140625" style="1149"/>
    <col min="4367" max="4367" width="9.42578125" style="1149" customWidth="1"/>
    <col min="4368" max="4607" width="9.140625" style="1149"/>
    <col min="4608" max="4608" width="8.7109375" style="1149" customWidth="1"/>
    <col min="4609" max="4609" width="9.140625" style="1149"/>
    <col min="4610" max="4610" width="43.140625" style="1149" customWidth="1"/>
    <col min="4611" max="4611" width="9.140625" style="1149"/>
    <col min="4612" max="4612" width="10.42578125" style="1149" customWidth="1"/>
    <col min="4613" max="4613" width="12" style="1149" customWidth="1"/>
    <col min="4614" max="4615" width="9.140625" style="1149"/>
    <col min="4616" max="4616" width="9.85546875" style="1149" customWidth="1"/>
    <col min="4617" max="4617" width="12.28515625" style="1149" customWidth="1"/>
    <col min="4618" max="4618" width="9.28515625" style="1149" customWidth="1"/>
    <col min="4619" max="4619" width="9.140625" style="1149"/>
    <col min="4620" max="4620" width="11.5703125" style="1149" customWidth="1"/>
    <col min="4621" max="4622" width="9.140625" style="1149"/>
    <col min="4623" max="4623" width="9.42578125" style="1149" customWidth="1"/>
    <col min="4624" max="4863" width="9.140625" style="1149"/>
    <col min="4864" max="4864" width="8.7109375" style="1149" customWidth="1"/>
    <col min="4865" max="4865" width="9.140625" style="1149"/>
    <col min="4866" max="4866" width="43.140625" style="1149" customWidth="1"/>
    <col min="4867" max="4867" width="9.140625" style="1149"/>
    <col min="4868" max="4868" width="10.42578125" style="1149" customWidth="1"/>
    <col min="4869" max="4869" width="12" style="1149" customWidth="1"/>
    <col min="4870" max="4871" width="9.140625" style="1149"/>
    <col min="4872" max="4872" width="9.85546875" style="1149" customWidth="1"/>
    <col min="4873" max="4873" width="12.28515625" style="1149" customWidth="1"/>
    <col min="4874" max="4874" width="9.28515625" style="1149" customWidth="1"/>
    <col min="4875" max="4875" width="9.140625" style="1149"/>
    <col min="4876" max="4876" width="11.5703125" style="1149" customWidth="1"/>
    <col min="4877" max="4878" width="9.140625" style="1149"/>
    <col min="4879" max="4879" width="9.42578125" style="1149" customWidth="1"/>
    <col min="4880" max="5119" width="9.140625" style="1149"/>
    <col min="5120" max="5120" width="8.7109375" style="1149" customWidth="1"/>
    <col min="5121" max="5121" width="9.140625" style="1149"/>
    <col min="5122" max="5122" width="43.140625" style="1149" customWidth="1"/>
    <col min="5123" max="5123" width="9.140625" style="1149"/>
    <col min="5124" max="5124" width="10.42578125" style="1149" customWidth="1"/>
    <col min="5125" max="5125" width="12" style="1149" customWidth="1"/>
    <col min="5126" max="5127" width="9.140625" style="1149"/>
    <col min="5128" max="5128" width="9.85546875" style="1149" customWidth="1"/>
    <col min="5129" max="5129" width="12.28515625" style="1149" customWidth="1"/>
    <col min="5130" max="5130" width="9.28515625" style="1149" customWidth="1"/>
    <col min="5131" max="5131" width="9.140625" style="1149"/>
    <col min="5132" max="5132" width="11.5703125" style="1149" customWidth="1"/>
    <col min="5133" max="5134" width="9.140625" style="1149"/>
    <col min="5135" max="5135" width="9.42578125" style="1149" customWidth="1"/>
    <col min="5136" max="5375" width="9.140625" style="1149"/>
    <col min="5376" max="5376" width="8.7109375" style="1149" customWidth="1"/>
    <col min="5377" max="5377" width="9.140625" style="1149"/>
    <col min="5378" max="5378" width="43.140625" style="1149" customWidth="1"/>
    <col min="5379" max="5379" width="9.140625" style="1149"/>
    <col min="5380" max="5380" width="10.42578125" style="1149" customWidth="1"/>
    <col min="5381" max="5381" width="12" style="1149" customWidth="1"/>
    <col min="5382" max="5383" width="9.140625" style="1149"/>
    <col min="5384" max="5384" width="9.85546875" style="1149" customWidth="1"/>
    <col min="5385" max="5385" width="12.28515625" style="1149" customWidth="1"/>
    <col min="5386" max="5386" width="9.28515625" style="1149" customWidth="1"/>
    <col min="5387" max="5387" width="9.140625" style="1149"/>
    <col min="5388" max="5388" width="11.5703125" style="1149" customWidth="1"/>
    <col min="5389" max="5390" width="9.140625" style="1149"/>
    <col min="5391" max="5391" width="9.42578125" style="1149" customWidth="1"/>
    <col min="5392" max="5631" width="9.140625" style="1149"/>
    <col min="5632" max="5632" width="8.7109375" style="1149" customWidth="1"/>
    <col min="5633" max="5633" width="9.140625" style="1149"/>
    <col min="5634" max="5634" width="43.140625" style="1149" customWidth="1"/>
    <col min="5635" max="5635" width="9.140625" style="1149"/>
    <col min="5636" max="5636" width="10.42578125" style="1149" customWidth="1"/>
    <col min="5637" max="5637" width="12" style="1149" customWidth="1"/>
    <col min="5638" max="5639" width="9.140625" style="1149"/>
    <col min="5640" max="5640" width="9.85546875" style="1149" customWidth="1"/>
    <col min="5641" max="5641" width="12.28515625" style="1149" customWidth="1"/>
    <col min="5642" max="5642" width="9.28515625" style="1149" customWidth="1"/>
    <col min="5643" max="5643" width="9.140625" style="1149"/>
    <col min="5644" max="5644" width="11.5703125" style="1149" customWidth="1"/>
    <col min="5645" max="5646" width="9.140625" style="1149"/>
    <col min="5647" max="5647" width="9.42578125" style="1149" customWidth="1"/>
    <col min="5648" max="5887" width="9.140625" style="1149"/>
    <col min="5888" max="5888" width="8.7109375" style="1149" customWidth="1"/>
    <col min="5889" max="5889" width="9.140625" style="1149"/>
    <col min="5890" max="5890" width="43.140625" style="1149" customWidth="1"/>
    <col min="5891" max="5891" width="9.140625" style="1149"/>
    <col min="5892" max="5892" width="10.42578125" style="1149" customWidth="1"/>
    <col min="5893" max="5893" width="12" style="1149" customWidth="1"/>
    <col min="5894" max="5895" width="9.140625" style="1149"/>
    <col min="5896" max="5896" width="9.85546875" style="1149" customWidth="1"/>
    <col min="5897" max="5897" width="12.28515625" style="1149" customWidth="1"/>
    <col min="5898" max="5898" width="9.28515625" style="1149" customWidth="1"/>
    <col min="5899" max="5899" width="9.140625" style="1149"/>
    <col min="5900" max="5900" width="11.5703125" style="1149" customWidth="1"/>
    <col min="5901" max="5902" width="9.140625" style="1149"/>
    <col min="5903" max="5903" width="9.42578125" style="1149" customWidth="1"/>
    <col min="5904" max="6143" width="9.140625" style="1149"/>
    <col min="6144" max="6144" width="8.7109375" style="1149" customWidth="1"/>
    <col min="6145" max="6145" width="9.140625" style="1149"/>
    <col min="6146" max="6146" width="43.140625" style="1149" customWidth="1"/>
    <col min="6147" max="6147" width="9.140625" style="1149"/>
    <col min="6148" max="6148" width="10.42578125" style="1149" customWidth="1"/>
    <col min="6149" max="6149" width="12" style="1149" customWidth="1"/>
    <col min="6150" max="6151" width="9.140625" style="1149"/>
    <col min="6152" max="6152" width="9.85546875" style="1149" customWidth="1"/>
    <col min="6153" max="6153" width="12.28515625" style="1149" customWidth="1"/>
    <col min="6154" max="6154" width="9.28515625" style="1149" customWidth="1"/>
    <col min="6155" max="6155" width="9.140625" style="1149"/>
    <col min="6156" max="6156" width="11.5703125" style="1149" customWidth="1"/>
    <col min="6157" max="6158" width="9.140625" style="1149"/>
    <col min="6159" max="6159" width="9.42578125" style="1149" customWidth="1"/>
    <col min="6160" max="6399" width="9.140625" style="1149"/>
    <col min="6400" max="6400" width="8.7109375" style="1149" customWidth="1"/>
    <col min="6401" max="6401" width="9.140625" style="1149"/>
    <col min="6402" max="6402" width="43.140625" style="1149" customWidth="1"/>
    <col min="6403" max="6403" width="9.140625" style="1149"/>
    <col min="6404" max="6404" width="10.42578125" style="1149" customWidth="1"/>
    <col min="6405" max="6405" width="12" style="1149" customWidth="1"/>
    <col min="6406" max="6407" width="9.140625" style="1149"/>
    <col min="6408" max="6408" width="9.85546875" style="1149" customWidth="1"/>
    <col min="6409" max="6409" width="12.28515625" style="1149" customWidth="1"/>
    <col min="6410" max="6410" width="9.28515625" style="1149" customWidth="1"/>
    <col min="6411" max="6411" width="9.140625" style="1149"/>
    <col min="6412" max="6412" width="11.5703125" style="1149" customWidth="1"/>
    <col min="6413" max="6414" width="9.140625" style="1149"/>
    <col min="6415" max="6415" width="9.42578125" style="1149" customWidth="1"/>
    <col min="6416" max="6655" width="9.140625" style="1149"/>
    <col min="6656" max="6656" width="8.7109375" style="1149" customWidth="1"/>
    <col min="6657" max="6657" width="9.140625" style="1149"/>
    <col min="6658" max="6658" width="43.140625" style="1149" customWidth="1"/>
    <col min="6659" max="6659" width="9.140625" style="1149"/>
    <col min="6660" max="6660" width="10.42578125" style="1149" customWidth="1"/>
    <col min="6661" max="6661" width="12" style="1149" customWidth="1"/>
    <col min="6662" max="6663" width="9.140625" style="1149"/>
    <col min="6664" max="6664" width="9.85546875" style="1149" customWidth="1"/>
    <col min="6665" max="6665" width="12.28515625" style="1149" customWidth="1"/>
    <col min="6666" max="6666" width="9.28515625" style="1149" customWidth="1"/>
    <col min="6667" max="6667" width="9.140625" style="1149"/>
    <col min="6668" max="6668" width="11.5703125" style="1149" customWidth="1"/>
    <col min="6669" max="6670" width="9.140625" style="1149"/>
    <col min="6671" max="6671" width="9.42578125" style="1149" customWidth="1"/>
    <col min="6672" max="6911" width="9.140625" style="1149"/>
    <col min="6912" max="6912" width="8.7109375" style="1149" customWidth="1"/>
    <col min="6913" max="6913" width="9.140625" style="1149"/>
    <col min="6914" max="6914" width="43.140625" style="1149" customWidth="1"/>
    <col min="6915" max="6915" width="9.140625" style="1149"/>
    <col min="6916" max="6916" width="10.42578125" style="1149" customWidth="1"/>
    <col min="6917" max="6917" width="12" style="1149" customWidth="1"/>
    <col min="6918" max="6919" width="9.140625" style="1149"/>
    <col min="6920" max="6920" width="9.85546875" style="1149" customWidth="1"/>
    <col min="6921" max="6921" width="12.28515625" style="1149" customWidth="1"/>
    <col min="6922" max="6922" width="9.28515625" style="1149" customWidth="1"/>
    <col min="6923" max="6923" width="9.140625" style="1149"/>
    <col min="6924" max="6924" width="11.5703125" style="1149" customWidth="1"/>
    <col min="6925" max="6926" width="9.140625" style="1149"/>
    <col min="6927" max="6927" width="9.42578125" style="1149" customWidth="1"/>
    <col min="6928" max="7167" width="9.140625" style="1149"/>
    <col min="7168" max="7168" width="8.7109375" style="1149" customWidth="1"/>
    <col min="7169" max="7169" width="9.140625" style="1149"/>
    <col min="7170" max="7170" width="43.140625" style="1149" customWidth="1"/>
    <col min="7171" max="7171" width="9.140625" style="1149"/>
    <col min="7172" max="7172" width="10.42578125" style="1149" customWidth="1"/>
    <col min="7173" max="7173" width="12" style="1149" customWidth="1"/>
    <col min="7174" max="7175" width="9.140625" style="1149"/>
    <col min="7176" max="7176" width="9.85546875" style="1149" customWidth="1"/>
    <col min="7177" max="7177" width="12.28515625" style="1149" customWidth="1"/>
    <col min="7178" max="7178" width="9.28515625" style="1149" customWidth="1"/>
    <col min="7179" max="7179" width="9.140625" style="1149"/>
    <col min="7180" max="7180" width="11.5703125" style="1149" customWidth="1"/>
    <col min="7181" max="7182" width="9.140625" style="1149"/>
    <col min="7183" max="7183" width="9.42578125" style="1149" customWidth="1"/>
    <col min="7184" max="7423" width="9.140625" style="1149"/>
    <col min="7424" max="7424" width="8.7109375" style="1149" customWidth="1"/>
    <col min="7425" max="7425" width="9.140625" style="1149"/>
    <col min="7426" max="7426" width="43.140625" style="1149" customWidth="1"/>
    <col min="7427" max="7427" width="9.140625" style="1149"/>
    <col min="7428" max="7428" width="10.42578125" style="1149" customWidth="1"/>
    <col min="7429" max="7429" width="12" style="1149" customWidth="1"/>
    <col min="7430" max="7431" width="9.140625" style="1149"/>
    <col min="7432" max="7432" width="9.85546875" style="1149" customWidth="1"/>
    <col min="7433" max="7433" width="12.28515625" style="1149" customWidth="1"/>
    <col min="7434" max="7434" width="9.28515625" style="1149" customWidth="1"/>
    <col min="7435" max="7435" width="9.140625" style="1149"/>
    <col min="7436" max="7436" width="11.5703125" style="1149" customWidth="1"/>
    <col min="7437" max="7438" width="9.140625" style="1149"/>
    <col min="7439" max="7439" width="9.42578125" style="1149" customWidth="1"/>
    <col min="7440" max="7679" width="9.140625" style="1149"/>
    <col min="7680" max="7680" width="8.7109375" style="1149" customWidth="1"/>
    <col min="7681" max="7681" width="9.140625" style="1149"/>
    <col min="7682" max="7682" width="43.140625" style="1149" customWidth="1"/>
    <col min="7683" max="7683" width="9.140625" style="1149"/>
    <col min="7684" max="7684" width="10.42578125" style="1149" customWidth="1"/>
    <col min="7685" max="7685" width="12" style="1149" customWidth="1"/>
    <col min="7686" max="7687" width="9.140625" style="1149"/>
    <col min="7688" max="7688" width="9.85546875" style="1149" customWidth="1"/>
    <col min="7689" max="7689" width="12.28515625" style="1149" customWidth="1"/>
    <col min="7690" max="7690" width="9.28515625" style="1149" customWidth="1"/>
    <col min="7691" max="7691" width="9.140625" style="1149"/>
    <col min="7692" max="7692" width="11.5703125" style="1149" customWidth="1"/>
    <col min="7693" max="7694" width="9.140625" style="1149"/>
    <col min="7695" max="7695" width="9.42578125" style="1149" customWidth="1"/>
    <col min="7696" max="7935" width="9.140625" style="1149"/>
    <col min="7936" max="7936" width="8.7109375" style="1149" customWidth="1"/>
    <col min="7937" max="7937" width="9.140625" style="1149"/>
    <col min="7938" max="7938" width="43.140625" style="1149" customWidth="1"/>
    <col min="7939" max="7939" width="9.140625" style="1149"/>
    <col min="7940" max="7940" width="10.42578125" style="1149" customWidth="1"/>
    <col min="7941" max="7941" width="12" style="1149" customWidth="1"/>
    <col min="7942" max="7943" width="9.140625" style="1149"/>
    <col min="7944" max="7944" width="9.85546875" style="1149" customWidth="1"/>
    <col min="7945" max="7945" width="12.28515625" style="1149" customWidth="1"/>
    <col min="7946" max="7946" width="9.28515625" style="1149" customWidth="1"/>
    <col min="7947" max="7947" width="9.140625" style="1149"/>
    <col min="7948" max="7948" width="11.5703125" style="1149" customWidth="1"/>
    <col min="7949" max="7950" width="9.140625" style="1149"/>
    <col min="7951" max="7951" width="9.42578125" style="1149" customWidth="1"/>
    <col min="7952" max="8191" width="9.140625" style="1149"/>
    <col min="8192" max="8192" width="8.7109375" style="1149" customWidth="1"/>
    <col min="8193" max="8193" width="9.140625" style="1149"/>
    <col min="8194" max="8194" width="43.140625" style="1149" customWidth="1"/>
    <col min="8195" max="8195" width="9.140625" style="1149"/>
    <col min="8196" max="8196" width="10.42578125" style="1149" customWidth="1"/>
    <col min="8197" max="8197" width="12" style="1149" customWidth="1"/>
    <col min="8198" max="8199" width="9.140625" style="1149"/>
    <col min="8200" max="8200" width="9.85546875" style="1149" customWidth="1"/>
    <col min="8201" max="8201" width="12.28515625" style="1149" customWidth="1"/>
    <col min="8202" max="8202" width="9.28515625" style="1149" customWidth="1"/>
    <col min="8203" max="8203" width="9.140625" style="1149"/>
    <col min="8204" max="8204" width="11.5703125" style="1149" customWidth="1"/>
    <col min="8205" max="8206" width="9.140625" style="1149"/>
    <col min="8207" max="8207" width="9.42578125" style="1149" customWidth="1"/>
    <col min="8208" max="8447" width="9.140625" style="1149"/>
    <col min="8448" max="8448" width="8.7109375" style="1149" customWidth="1"/>
    <col min="8449" max="8449" width="9.140625" style="1149"/>
    <col min="8450" max="8450" width="43.140625" style="1149" customWidth="1"/>
    <col min="8451" max="8451" width="9.140625" style="1149"/>
    <col min="8452" max="8452" width="10.42578125" style="1149" customWidth="1"/>
    <col min="8453" max="8453" width="12" style="1149" customWidth="1"/>
    <col min="8454" max="8455" width="9.140625" style="1149"/>
    <col min="8456" max="8456" width="9.85546875" style="1149" customWidth="1"/>
    <col min="8457" max="8457" width="12.28515625" style="1149" customWidth="1"/>
    <col min="8458" max="8458" width="9.28515625" style="1149" customWidth="1"/>
    <col min="8459" max="8459" width="9.140625" style="1149"/>
    <col min="8460" max="8460" width="11.5703125" style="1149" customWidth="1"/>
    <col min="8461" max="8462" width="9.140625" style="1149"/>
    <col min="8463" max="8463" width="9.42578125" style="1149" customWidth="1"/>
    <col min="8464" max="8703" width="9.140625" style="1149"/>
    <col min="8704" max="8704" width="8.7109375" style="1149" customWidth="1"/>
    <col min="8705" max="8705" width="9.140625" style="1149"/>
    <col min="8706" max="8706" width="43.140625" style="1149" customWidth="1"/>
    <col min="8707" max="8707" width="9.140625" style="1149"/>
    <col min="8708" max="8708" width="10.42578125" style="1149" customWidth="1"/>
    <col min="8709" max="8709" width="12" style="1149" customWidth="1"/>
    <col min="8710" max="8711" width="9.140625" style="1149"/>
    <col min="8712" max="8712" width="9.85546875" style="1149" customWidth="1"/>
    <col min="8713" max="8713" width="12.28515625" style="1149" customWidth="1"/>
    <col min="8714" max="8714" width="9.28515625" style="1149" customWidth="1"/>
    <col min="8715" max="8715" width="9.140625" style="1149"/>
    <col min="8716" max="8716" width="11.5703125" style="1149" customWidth="1"/>
    <col min="8717" max="8718" width="9.140625" style="1149"/>
    <col min="8719" max="8719" width="9.42578125" style="1149" customWidth="1"/>
    <col min="8720" max="8959" width="9.140625" style="1149"/>
    <col min="8960" max="8960" width="8.7109375" style="1149" customWidth="1"/>
    <col min="8961" max="8961" width="9.140625" style="1149"/>
    <col min="8962" max="8962" width="43.140625" style="1149" customWidth="1"/>
    <col min="8963" max="8963" width="9.140625" style="1149"/>
    <col min="8964" max="8964" width="10.42578125" style="1149" customWidth="1"/>
    <col min="8965" max="8965" width="12" style="1149" customWidth="1"/>
    <col min="8966" max="8967" width="9.140625" style="1149"/>
    <col min="8968" max="8968" width="9.85546875" style="1149" customWidth="1"/>
    <col min="8969" max="8969" width="12.28515625" style="1149" customWidth="1"/>
    <col min="8970" max="8970" width="9.28515625" style="1149" customWidth="1"/>
    <col min="8971" max="8971" width="9.140625" style="1149"/>
    <col min="8972" max="8972" width="11.5703125" style="1149" customWidth="1"/>
    <col min="8973" max="8974" width="9.140625" style="1149"/>
    <col min="8975" max="8975" width="9.42578125" style="1149" customWidth="1"/>
    <col min="8976" max="9215" width="9.140625" style="1149"/>
    <col min="9216" max="9216" width="8.7109375" style="1149" customWidth="1"/>
    <col min="9217" max="9217" width="9.140625" style="1149"/>
    <col min="9218" max="9218" width="43.140625" style="1149" customWidth="1"/>
    <col min="9219" max="9219" width="9.140625" style="1149"/>
    <col min="9220" max="9220" width="10.42578125" style="1149" customWidth="1"/>
    <col min="9221" max="9221" width="12" style="1149" customWidth="1"/>
    <col min="9222" max="9223" width="9.140625" style="1149"/>
    <col min="9224" max="9224" width="9.85546875" style="1149" customWidth="1"/>
    <col min="9225" max="9225" width="12.28515625" style="1149" customWidth="1"/>
    <col min="9226" max="9226" width="9.28515625" style="1149" customWidth="1"/>
    <col min="9227" max="9227" width="9.140625" style="1149"/>
    <col min="9228" max="9228" width="11.5703125" style="1149" customWidth="1"/>
    <col min="9229" max="9230" width="9.140625" style="1149"/>
    <col min="9231" max="9231" width="9.42578125" style="1149" customWidth="1"/>
    <col min="9232" max="9471" width="9.140625" style="1149"/>
    <col min="9472" max="9472" width="8.7109375" style="1149" customWidth="1"/>
    <col min="9473" max="9473" width="9.140625" style="1149"/>
    <col min="9474" max="9474" width="43.140625" style="1149" customWidth="1"/>
    <col min="9475" max="9475" width="9.140625" style="1149"/>
    <col min="9476" max="9476" width="10.42578125" style="1149" customWidth="1"/>
    <col min="9477" max="9477" width="12" style="1149" customWidth="1"/>
    <col min="9478" max="9479" width="9.140625" style="1149"/>
    <col min="9480" max="9480" width="9.85546875" style="1149" customWidth="1"/>
    <col min="9481" max="9481" width="12.28515625" style="1149" customWidth="1"/>
    <col min="9482" max="9482" width="9.28515625" style="1149" customWidth="1"/>
    <col min="9483" max="9483" width="9.140625" style="1149"/>
    <col min="9484" max="9484" width="11.5703125" style="1149" customWidth="1"/>
    <col min="9485" max="9486" width="9.140625" style="1149"/>
    <col min="9487" max="9487" width="9.42578125" style="1149" customWidth="1"/>
    <col min="9488" max="9727" width="9.140625" style="1149"/>
    <col min="9728" max="9728" width="8.7109375" style="1149" customWidth="1"/>
    <col min="9729" max="9729" width="9.140625" style="1149"/>
    <col min="9730" max="9730" width="43.140625" style="1149" customWidth="1"/>
    <col min="9731" max="9731" width="9.140625" style="1149"/>
    <col min="9732" max="9732" width="10.42578125" style="1149" customWidth="1"/>
    <col min="9733" max="9733" width="12" style="1149" customWidth="1"/>
    <col min="9734" max="9735" width="9.140625" style="1149"/>
    <col min="9736" max="9736" width="9.85546875" style="1149" customWidth="1"/>
    <col min="9737" max="9737" width="12.28515625" style="1149" customWidth="1"/>
    <col min="9738" max="9738" width="9.28515625" style="1149" customWidth="1"/>
    <col min="9739" max="9739" width="9.140625" style="1149"/>
    <col min="9740" max="9740" width="11.5703125" style="1149" customWidth="1"/>
    <col min="9741" max="9742" width="9.140625" style="1149"/>
    <col min="9743" max="9743" width="9.42578125" style="1149" customWidth="1"/>
    <col min="9744" max="9983" width="9.140625" style="1149"/>
    <col min="9984" max="9984" width="8.7109375" style="1149" customWidth="1"/>
    <col min="9985" max="9985" width="9.140625" style="1149"/>
    <col min="9986" max="9986" width="43.140625" style="1149" customWidth="1"/>
    <col min="9987" max="9987" width="9.140625" style="1149"/>
    <col min="9988" max="9988" width="10.42578125" style="1149" customWidth="1"/>
    <col min="9989" max="9989" width="12" style="1149" customWidth="1"/>
    <col min="9990" max="9991" width="9.140625" style="1149"/>
    <col min="9992" max="9992" width="9.85546875" style="1149" customWidth="1"/>
    <col min="9993" max="9993" width="12.28515625" style="1149" customWidth="1"/>
    <col min="9994" max="9994" width="9.28515625" style="1149" customWidth="1"/>
    <col min="9995" max="9995" width="9.140625" style="1149"/>
    <col min="9996" max="9996" width="11.5703125" style="1149" customWidth="1"/>
    <col min="9997" max="9998" width="9.140625" style="1149"/>
    <col min="9999" max="9999" width="9.42578125" style="1149" customWidth="1"/>
    <col min="10000" max="10239" width="9.140625" style="1149"/>
    <col min="10240" max="10240" width="8.7109375" style="1149" customWidth="1"/>
    <col min="10241" max="10241" width="9.140625" style="1149"/>
    <col min="10242" max="10242" width="43.140625" style="1149" customWidth="1"/>
    <col min="10243" max="10243" width="9.140625" style="1149"/>
    <col min="10244" max="10244" width="10.42578125" style="1149" customWidth="1"/>
    <col min="10245" max="10245" width="12" style="1149" customWidth="1"/>
    <col min="10246" max="10247" width="9.140625" style="1149"/>
    <col min="10248" max="10248" width="9.85546875" style="1149" customWidth="1"/>
    <col min="10249" max="10249" width="12.28515625" style="1149" customWidth="1"/>
    <col min="10250" max="10250" width="9.28515625" style="1149" customWidth="1"/>
    <col min="10251" max="10251" width="9.140625" style="1149"/>
    <col min="10252" max="10252" width="11.5703125" style="1149" customWidth="1"/>
    <col min="10253" max="10254" width="9.140625" style="1149"/>
    <col min="10255" max="10255" width="9.42578125" style="1149" customWidth="1"/>
    <col min="10256" max="10495" width="9.140625" style="1149"/>
    <col min="10496" max="10496" width="8.7109375" style="1149" customWidth="1"/>
    <col min="10497" max="10497" width="9.140625" style="1149"/>
    <col min="10498" max="10498" width="43.140625" style="1149" customWidth="1"/>
    <col min="10499" max="10499" width="9.140625" style="1149"/>
    <col min="10500" max="10500" width="10.42578125" style="1149" customWidth="1"/>
    <col min="10501" max="10501" width="12" style="1149" customWidth="1"/>
    <col min="10502" max="10503" width="9.140625" style="1149"/>
    <col min="10504" max="10504" width="9.85546875" style="1149" customWidth="1"/>
    <col min="10505" max="10505" width="12.28515625" style="1149" customWidth="1"/>
    <col min="10506" max="10506" width="9.28515625" style="1149" customWidth="1"/>
    <col min="10507" max="10507" width="9.140625" style="1149"/>
    <col min="10508" max="10508" width="11.5703125" style="1149" customWidth="1"/>
    <col min="10509" max="10510" width="9.140625" style="1149"/>
    <col min="10511" max="10511" width="9.42578125" style="1149" customWidth="1"/>
    <col min="10512" max="10751" width="9.140625" style="1149"/>
    <col min="10752" max="10752" width="8.7109375" style="1149" customWidth="1"/>
    <col min="10753" max="10753" width="9.140625" style="1149"/>
    <col min="10754" max="10754" width="43.140625" style="1149" customWidth="1"/>
    <col min="10755" max="10755" width="9.140625" style="1149"/>
    <col min="10756" max="10756" width="10.42578125" style="1149" customWidth="1"/>
    <col min="10757" max="10757" width="12" style="1149" customWidth="1"/>
    <col min="10758" max="10759" width="9.140625" style="1149"/>
    <col min="10760" max="10760" width="9.85546875" style="1149" customWidth="1"/>
    <col min="10761" max="10761" width="12.28515625" style="1149" customWidth="1"/>
    <col min="10762" max="10762" width="9.28515625" style="1149" customWidth="1"/>
    <col min="10763" max="10763" width="9.140625" style="1149"/>
    <col min="10764" max="10764" width="11.5703125" style="1149" customWidth="1"/>
    <col min="10765" max="10766" width="9.140625" style="1149"/>
    <col min="10767" max="10767" width="9.42578125" style="1149" customWidth="1"/>
    <col min="10768" max="11007" width="9.140625" style="1149"/>
    <col min="11008" max="11008" width="8.7109375" style="1149" customWidth="1"/>
    <col min="11009" max="11009" width="9.140625" style="1149"/>
    <col min="11010" max="11010" width="43.140625" style="1149" customWidth="1"/>
    <col min="11011" max="11011" width="9.140625" style="1149"/>
    <col min="11012" max="11012" width="10.42578125" style="1149" customWidth="1"/>
    <col min="11013" max="11013" width="12" style="1149" customWidth="1"/>
    <col min="11014" max="11015" width="9.140625" style="1149"/>
    <col min="11016" max="11016" width="9.85546875" style="1149" customWidth="1"/>
    <col min="11017" max="11017" width="12.28515625" style="1149" customWidth="1"/>
    <col min="11018" max="11018" width="9.28515625" style="1149" customWidth="1"/>
    <col min="11019" max="11019" width="9.140625" style="1149"/>
    <col min="11020" max="11020" width="11.5703125" style="1149" customWidth="1"/>
    <col min="11021" max="11022" width="9.140625" style="1149"/>
    <col min="11023" max="11023" width="9.42578125" style="1149" customWidth="1"/>
    <col min="11024" max="11263" width="9.140625" style="1149"/>
    <col min="11264" max="11264" width="8.7109375" style="1149" customWidth="1"/>
    <col min="11265" max="11265" width="9.140625" style="1149"/>
    <col min="11266" max="11266" width="43.140625" style="1149" customWidth="1"/>
    <col min="11267" max="11267" width="9.140625" style="1149"/>
    <col min="11268" max="11268" width="10.42578125" style="1149" customWidth="1"/>
    <col min="11269" max="11269" width="12" style="1149" customWidth="1"/>
    <col min="11270" max="11271" width="9.140625" style="1149"/>
    <col min="11272" max="11272" width="9.85546875" style="1149" customWidth="1"/>
    <col min="11273" max="11273" width="12.28515625" style="1149" customWidth="1"/>
    <col min="11274" max="11274" width="9.28515625" style="1149" customWidth="1"/>
    <col min="11275" max="11275" width="9.140625" style="1149"/>
    <col min="11276" max="11276" width="11.5703125" style="1149" customWidth="1"/>
    <col min="11277" max="11278" width="9.140625" style="1149"/>
    <col min="11279" max="11279" width="9.42578125" style="1149" customWidth="1"/>
    <col min="11280" max="11519" width="9.140625" style="1149"/>
    <col min="11520" max="11520" width="8.7109375" style="1149" customWidth="1"/>
    <col min="11521" max="11521" width="9.140625" style="1149"/>
    <col min="11522" max="11522" width="43.140625" style="1149" customWidth="1"/>
    <col min="11523" max="11523" width="9.140625" style="1149"/>
    <col min="11524" max="11524" width="10.42578125" style="1149" customWidth="1"/>
    <col min="11525" max="11525" width="12" style="1149" customWidth="1"/>
    <col min="11526" max="11527" width="9.140625" style="1149"/>
    <col min="11528" max="11528" width="9.85546875" style="1149" customWidth="1"/>
    <col min="11529" max="11529" width="12.28515625" style="1149" customWidth="1"/>
    <col min="11530" max="11530" width="9.28515625" style="1149" customWidth="1"/>
    <col min="11531" max="11531" width="9.140625" style="1149"/>
    <col min="11532" max="11532" width="11.5703125" style="1149" customWidth="1"/>
    <col min="11533" max="11534" width="9.140625" style="1149"/>
    <col min="11535" max="11535" width="9.42578125" style="1149" customWidth="1"/>
    <col min="11536" max="11775" width="9.140625" style="1149"/>
    <col min="11776" max="11776" width="8.7109375" style="1149" customWidth="1"/>
    <col min="11777" max="11777" width="9.140625" style="1149"/>
    <col min="11778" max="11778" width="43.140625" style="1149" customWidth="1"/>
    <col min="11779" max="11779" width="9.140625" style="1149"/>
    <col min="11780" max="11780" width="10.42578125" style="1149" customWidth="1"/>
    <col min="11781" max="11781" width="12" style="1149" customWidth="1"/>
    <col min="11782" max="11783" width="9.140625" style="1149"/>
    <col min="11784" max="11784" width="9.85546875" style="1149" customWidth="1"/>
    <col min="11785" max="11785" width="12.28515625" style="1149" customWidth="1"/>
    <col min="11786" max="11786" width="9.28515625" style="1149" customWidth="1"/>
    <col min="11787" max="11787" width="9.140625" style="1149"/>
    <col min="11788" max="11788" width="11.5703125" style="1149" customWidth="1"/>
    <col min="11789" max="11790" width="9.140625" style="1149"/>
    <col min="11791" max="11791" width="9.42578125" style="1149" customWidth="1"/>
    <col min="11792" max="12031" width="9.140625" style="1149"/>
    <col min="12032" max="12032" width="8.7109375" style="1149" customWidth="1"/>
    <col min="12033" max="12033" width="9.140625" style="1149"/>
    <col min="12034" max="12034" width="43.140625" style="1149" customWidth="1"/>
    <col min="12035" max="12035" width="9.140625" style="1149"/>
    <col min="12036" max="12036" width="10.42578125" style="1149" customWidth="1"/>
    <col min="12037" max="12037" width="12" style="1149" customWidth="1"/>
    <col min="12038" max="12039" width="9.140625" style="1149"/>
    <col min="12040" max="12040" width="9.85546875" style="1149" customWidth="1"/>
    <col min="12041" max="12041" width="12.28515625" style="1149" customWidth="1"/>
    <col min="12042" max="12042" width="9.28515625" style="1149" customWidth="1"/>
    <col min="12043" max="12043" width="9.140625" style="1149"/>
    <col min="12044" max="12044" width="11.5703125" style="1149" customWidth="1"/>
    <col min="12045" max="12046" width="9.140625" style="1149"/>
    <col min="12047" max="12047" width="9.42578125" style="1149" customWidth="1"/>
    <col min="12048" max="12287" width="9.140625" style="1149"/>
    <col min="12288" max="12288" width="8.7109375" style="1149" customWidth="1"/>
    <col min="12289" max="12289" width="9.140625" style="1149"/>
    <col min="12290" max="12290" width="43.140625" style="1149" customWidth="1"/>
    <col min="12291" max="12291" width="9.140625" style="1149"/>
    <col min="12292" max="12292" width="10.42578125" style="1149" customWidth="1"/>
    <col min="12293" max="12293" width="12" style="1149" customWidth="1"/>
    <col min="12294" max="12295" width="9.140625" style="1149"/>
    <col min="12296" max="12296" width="9.85546875" style="1149" customWidth="1"/>
    <col min="12297" max="12297" width="12.28515625" style="1149" customWidth="1"/>
    <col min="12298" max="12298" width="9.28515625" style="1149" customWidth="1"/>
    <col min="12299" max="12299" width="9.140625" style="1149"/>
    <col min="12300" max="12300" width="11.5703125" style="1149" customWidth="1"/>
    <col min="12301" max="12302" width="9.140625" style="1149"/>
    <col min="12303" max="12303" width="9.42578125" style="1149" customWidth="1"/>
    <col min="12304" max="12543" width="9.140625" style="1149"/>
    <col min="12544" max="12544" width="8.7109375" style="1149" customWidth="1"/>
    <col min="12545" max="12545" width="9.140625" style="1149"/>
    <col min="12546" max="12546" width="43.140625" style="1149" customWidth="1"/>
    <col min="12547" max="12547" width="9.140625" style="1149"/>
    <col min="12548" max="12548" width="10.42578125" style="1149" customWidth="1"/>
    <col min="12549" max="12549" width="12" style="1149" customWidth="1"/>
    <col min="12550" max="12551" width="9.140625" style="1149"/>
    <col min="12552" max="12552" width="9.85546875" style="1149" customWidth="1"/>
    <col min="12553" max="12553" width="12.28515625" style="1149" customWidth="1"/>
    <col min="12554" max="12554" width="9.28515625" style="1149" customWidth="1"/>
    <col min="12555" max="12555" width="9.140625" style="1149"/>
    <col min="12556" max="12556" width="11.5703125" style="1149" customWidth="1"/>
    <col min="12557" max="12558" width="9.140625" style="1149"/>
    <col min="12559" max="12559" width="9.42578125" style="1149" customWidth="1"/>
    <col min="12560" max="12799" width="9.140625" style="1149"/>
    <col min="12800" max="12800" width="8.7109375" style="1149" customWidth="1"/>
    <col min="12801" max="12801" width="9.140625" style="1149"/>
    <col min="12802" max="12802" width="43.140625" style="1149" customWidth="1"/>
    <col min="12803" max="12803" width="9.140625" style="1149"/>
    <col min="12804" max="12804" width="10.42578125" style="1149" customWidth="1"/>
    <col min="12805" max="12805" width="12" style="1149" customWidth="1"/>
    <col min="12806" max="12807" width="9.140625" style="1149"/>
    <col min="12808" max="12808" width="9.85546875" style="1149" customWidth="1"/>
    <col min="12809" max="12809" width="12.28515625" style="1149" customWidth="1"/>
    <col min="12810" max="12810" width="9.28515625" style="1149" customWidth="1"/>
    <col min="12811" max="12811" width="9.140625" style="1149"/>
    <col min="12812" max="12812" width="11.5703125" style="1149" customWidth="1"/>
    <col min="12813" max="12814" width="9.140625" style="1149"/>
    <col min="12815" max="12815" width="9.42578125" style="1149" customWidth="1"/>
    <col min="12816" max="13055" width="9.140625" style="1149"/>
    <col min="13056" max="13056" width="8.7109375" style="1149" customWidth="1"/>
    <col min="13057" max="13057" width="9.140625" style="1149"/>
    <col min="13058" max="13058" width="43.140625" style="1149" customWidth="1"/>
    <col min="13059" max="13059" width="9.140625" style="1149"/>
    <col min="13060" max="13060" width="10.42578125" style="1149" customWidth="1"/>
    <col min="13061" max="13061" width="12" style="1149" customWidth="1"/>
    <col min="13062" max="13063" width="9.140625" style="1149"/>
    <col min="13064" max="13064" width="9.85546875" style="1149" customWidth="1"/>
    <col min="13065" max="13065" width="12.28515625" style="1149" customWidth="1"/>
    <col min="13066" max="13066" width="9.28515625" style="1149" customWidth="1"/>
    <col min="13067" max="13067" width="9.140625" style="1149"/>
    <col min="13068" max="13068" width="11.5703125" style="1149" customWidth="1"/>
    <col min="13069" max="13070" width="9.140625" style="1149"/>
    <col min="13071" max="13071" width="9.42578125" style="1149" customWidth="1"/>
    <col min="13072" max="13311" width="9.140625" style="1149"/>
    <col min="13312" max="13312" width="8.7109375" style="1149" customWidth="1"/>
    <col min="13313" max="13313" width="9.140625" style="1149"/>
    <col min="13314" max="13314" width="43.140625" style="1149" customWidth="1"/>
    <col min="13315" max="13315" width="9.140625" style="1149"/>
    <col min="13316" max="13316" width="10.42578125" style="1149" customWidth="1"/>
    <col min="13317" max="13317" width="12" style="1149" customWidth="1"/>
    <col min="13318" max="13319" width="9.140625" style="1149"/>
    <col min="13320" max="13320" width="9.85546875" style="1149" customWidth="1"/>
    <col min="13321" max="13321" width="12.28515625" style="1149" customWidth="1"/>
    <col min="13322" max="13322" width="9.28515625" style="1149" customWidth="1"/>
    <col min="13323" max="13323" width="9.140625" style="1149"/>
    <col min="13324" max="13324" width="11.5703125" style="1149" customWidth="1"/>
    <col min="13325" max="13326" width="9.140625" style="1149"/>
    <col min="13327" max="13327" width="9.42578125" style="1149" customWidth="1"/>
    <col min="13328" max="13567" width="9.140625" style="1149"/>
    <col min="13568" max="13568" width="8.7109375" style="1149" customWidth="1"/>
    <col min="13569" max="13569" width="9.140625" style="1149"/>
    <col min="13570" max="13570" width="43.140625" style="1149" customWidth="1"/>
    <col min="13571" max="13571" width="9.140625" style="1149"/>
    <col min="13572" max="13572" width="10.42578125" style="1149" customWidth="1"/>
    <col min="13573" max="13573" width="12" style="1149" customWidth="1"/>
    <col min="13574" max="13575" width="9.140625" style="1149"/>
    <col min="13576" max="13576" width="9.85546875" style="1149" customWidth="1"/>
    <col min="13577" max="13577" width="12.28515625" style="1149" customWidth="1"/>
    <col min="13578" max="13578" width="9.28515625" style="1149" customWidth="1"/>
    <col min="13579" max="13579" width="9.140625" style="1149"/>
    <col min="13580" max="13580" width="11.5703125" style="1149" customWidth="1"/>
    <col min="13581" max="13582" width="9.140625" style="1149"/>
    <col min="13583" max="13583" width="9.42578125" style="1149" customWidth="1"/>
    <col min="13584" max="13823" width="9.140625" style="1149"/>
    <col min="13824" max="13824" width="8.7109375" style="1149" customWidth="1"/>
    <col min="13825" max="13825" width="9.140625" style="1149"/>
    <col min="13826" max="13826" width="43.140625" style="1149" customWidth="1"/>
    <col min="13827" max="13827" width="9.140625" style="1149"/>
    <col min="13828" max="13828" width="10.42578125" style="1149" customWidth="1"/>
    <col min="13829" max="13829" width="12" style="1149" customWidth="1"/>
    <col min="13830" max="13831" width="9.140625" style="1149"/>
    <col min="13832" max="13832" width="9.85546875" style="1149" customWidth="1"/>
    <col min="13833" max="13833" width="12.28515625" style="1149" customWidth="1"/>
    <col min="13834" max="13834" width="9.28515625" style="1149" customWidth="1"/>
    <col min="13835" max="13835" width="9.140625" style="1149"/>
    <col min="13836" max="13836" width="11.5703125" style="1149" customWidth="1"/>
    <col min="13837" max="13838" width="9.140625" style="1149"/>
    <col min="13839" max="13839" width="9.42578125" style="1149" customWidth="1"/>
    <col min="13840" max="14079" width="9.140625" style="1149"/>
    <col min="14080" max="14080" width="8.7109375" style="1149" customWidth="1"/>
    <col min="14081" max="14081" width="9.140625" style="1149"/>
    <col min="14082" max="14082" width="43.140625" style="1149" customWidth="1"/>
    <col min="14083" max="14083" width="9.140625" style="1149"/>
    <col min="14084" max="14084" width="10.42578125" style="1149" customWidth="1"/>
    <col min="14085" max="14085" width="12" style="1149" customWidth="1"/>
    <col min="14086" max="14087" width="9.140625" style="1149"/>
    <col min="14088" max="14088" width="9.85546875" style="1149" customWidth="1"/>
    <col min="14089" max="14089" width="12.28515625" style="1149" customWidth="1"/>
    <col min="14090" max="14090" width="9.28515625" style="1149" customWidth="1"/>
    <col min="14091" max="14091" width="9.140625" style="1149"/>
    <col min="14092" max="14092" width="11.5703125" style="1149" customWidth="1"/>
    <col min="14093" max="14094" width="9.140625" style="1149"/>
    <col min="14095" max="14095" width="9.42578125" style="1149" customWidth="1"/>
    <col min="14096" max="14335" width="9.140625" style="1149"/>
    <col min="14336" max="14336" width="8.7109375" style="1149" customWidth="1"/>
    <col min="14337" max="14337" width="9.140625" style="1149"/>
    <col min="14338" max="14338" width="43.140625" style="1149" customWidth="1"/>
    <col min="14339" max="14339" width="9.140625" style="1149"/>
    <col min="14340" max="14340" width="10.42578125" style="1149" customWidth="1"/>
    <col min="14341" max="14341" width="12" style="1149" customWidth="1"/>
    <col min="14342" max="14343" width="9.140625" style="1149"/>
    <col min="14344" max="14344" width="9.85546875" style="1149" customWidth="1"/>
    <col min="14345" max="14345" width="12.28515625" style="1149" customWidth="1"/>
    <col min="14346" max="14346" width="9.28515625" style="1149" customWidth="1"/>
    <col min="14347" max="14347" width="9.140625" style="1149"/>
    <col min="14348" max="14348" width="11.5703125" style="1149" customWidth="1"/>
    <col min="14349" max="14350" width="9.140625" style="1149"/>
    <col min="14351" max="14351" width="9.42578125" style="1149" customWidth="1"/>
    <col min="14352" max="14591" width="9.140625" style="1149"/>
    <col min="14592" max="14592" width="8.7109375" style="1149" customWidth="1"/>
    <col min="14593" max="14593" width="9.140625" style="1149"/>
    <col min="14594" max="14594" width="43.140625" style="1149" customWidth="1"/>
    <col min="14595" max="14595" width="9.140625" style="1149"/>
    <col min="14596" max="14596" width="10.42578125" style="1149" customWidth="1"/>
    <col min="14597" max="14597" width="12" style="1149" customWidth="1"/>
    <col min="14598" max="14599" width="9.140625" style="1149"/>
    <col min="14600" max="14600" width="9.85546875" style="1149" customWidth="1"/>
    <col min="14601" max="14601" width="12.28515625" style="1149" customWidth="1"/>
    <col min="14602" max="14602" width="9.28515625" style="1149" customWidth="1"/>
    <col min="14603" max="14603" width="9.140625" style="1149"/>
    <col min="14604" max="14604" width="11.5703125" style="1149" customWidth="1"/>
    <col min="14605" max="14606" width="9.140625" style="1149"/>
    <col min="14607" max="14607" width="9.42578125" style="1149" customWidth="1"/>
    <col min="14608" max="14847" width="9.140625" style="1149"/>
    <col min="14848" max="14848" width="8.7109375" style="1149" customWidth="1"/>
    <col min="14849" max="14849" width="9.140625" style="1149"/>
    <col min="14850" max="14850" width="43.140625" style="1149" customWidth="1"/>
    <col min="14851" max="14851" width="9.140625" style="1149"/>
    <col min="14852" max="14852" width="10.42578125" style="1149" customWidth="1"/>
    <col min="14853" max="14853" width="12" style="1149" customWidth="1"/>
    <col min="14854" max="14855" width="9.140625" style="1149"/>
    <col min="14856" max="14856" width="9.85546875" style="1149" customWidth="1"/>
    <col min="14857" max="14857" width="12.28515625" style="1149" customWidth="1"/>
    <col min="14858" max="14858" width="9.28515625" style="1149" customWidth="1"/>
    <col min="14859" max="14859" width="9.140625" style="1149"/>
    <col min="14860" max="14860" width="11.5703125" style="1149" customWidth="1"/>
    <col min="14861" max="14862" width="9.140625" style="1149"/>
    <col min="14863" max="14863" width="9.42578125" style="1149" customWidth="1"/>
    <col min="14864" max="15103" width="9.140625" style="1149"/>
    <col min="15104" max="15104" width="8.7109375" style="1149" customWidth="1"/>
    <col min="15105" max="15105" width="9.140625" style="1149"/>
    <col min="15106" max="15106" width="43.140625" style="1149" customWidth="1"/>
    <col min="15107" max="15107" width="9.140625" style="1149"/>
    <col min="15108" max="15108" width="10.42578125" style="1149" customWidth="1"/>
    <col min="15109" max="15109" width="12" style="1149" customWidth="1"/>
    <col min="15110" max="15111" width="9.140625" style="1149"/>
    <col min="15112" max="15112" width="9.85546875" style="1149" customWidth="1"/>
    <col min="15113" max="15113" width="12.28515625" style="1149" customWidth="1"/>
    <col min="15114" max="15114" width="9.28515625" style="1149" customWidth="1"/>
    <col min="15115" max="15115" width="9.140625" style="1149"/>
    <col min="15116" max="15116" width="11.5703125" style="1149" customWidth="1"/>
    <col min="15117" max="15118" width="9.140625" style="1149"/>
    <col min="15119" max="15119" width="9.42578125" style="1149" customWidth="1"/>
    <col min="15120" max="15359" width="9.140625" style="1149"/>
    <col min="15360" max="15360" width="8.7109375" style="1149" customWidth="1"/>
    <col min="15361" max="15361" width="9.140625" style="1149"/>
    <col min="15362" max="15362" width="43.140625" style="1149" customWidth="1"/>
    <col min="15363" max="15363" width="9.140625" style="1149"/>
    <col min="15364" max="15364" width="10.42578125" style="1149" customWidth="1"/>
    <col min="15365" max="15365" width="12" style="1149" customWidth="1"/>
    <col min="15366" max="15367" width="9.140625" style="1149"/>
    <col min="15368" max="15368" width="9.85546875" style="1149" customWidth="1"/>
    <col min="15369" max="15369" width="12.28515625" style="1149" customWidth="1"/>
    <col min="15370" max="15370" width="9.28515625" style="1149" customWidth="1"/>
    <col min="15371" max="15371" width="9.140625" style="1149"/>
    <col min="15372" max="15372" width="11.5703125" style="1149" customWidth="1"/>
    <col min="15373" max="15374" width="9.140625" style="1149"/>
    <col min="15375" max="15375" width="9.42578125" style="1149" customWidth="1"/>
    <col min="15376" max="15615" width="9.140625" style="1149"/>
    <col min="15616" max="15616" width="8.7109375" style="1149" customWidth="1"/>
    <col min="15617" max="15617" width="9.140625" style="1149"/>
    <col min="15618" max="15618" width="43.140625" style="1149" customWidth="1"/>
    <col min="15619" max="15619" width="9.140625" style="1149"/>
    <col min="15620" max="15620" width="10.42578125" style="1149" customWidth="1"/>
    <col min="15621" max="15621" width="12" style="1149" customWidth="1"/>
    <col min="15622" max="15623" width="9.140625" style="1149"/>
    <col min="15624" max="15624" width="9.85546875" style="1149" customWidth="1"/>
    <col min="15625" max="15625" width="12.28515625" style="1149" customWidth="1"/>
    <col min="15626" max="15626" width="9.28515625" style="1149" customWidth="1"/>
    <col min="15627" max="15627" width="9.140625" style="1149"/>
    <col min="15628" max="15628" width="11.5703125" style="1149" customWidth="1"/>
    <col min="15629" max="15630" width="9.140625" style="1149"/>
    <col min="15631" max="15631" width="9.42578125" style="1149" customWidth="1"/>
    <col min="15632" max="15871" width="9.140625" style="1149"/>
    <col min="15872" max="15872" width="8.7109375" style="1149" customWidth="1"/>
    <col min="15873" max="15873" width="9.140625" style="1149"/>
    <col min="15874" max="15874" width="43.140625" style="1149" customWidth="1"/>
    <col min="15875" max="15875" width="9.140625" style="1149"/>
    <col min="15876" max="15876" width="10.42578125" style="1149" customWidth="1"/>
    <col min="15877" max="15877" width="12" style="1149" customWidth="1"/>
    <col min="15878" max="15879" width="9.140625" style="1149"/>
    <col min="15880" max="15880" width="9.85546875" style="1149" customWidth="1"/>
    <col min="15881" max="15881" width="12.28515625" style="1149" customWidth="1"/>
    <col min="15882" max="15882" width="9.28515625" style="1149" customWidth="1"/>
    <col min="15883" max="15883" width="9.140625" style="1149"/>
    <col min="15884" max="15884" width="11.5703125" style="1149" customWidth="1"/>
    <col min="15885" max="15886" width="9.140625" style="1149"/>
    <col min="15887" max="15887" width="9.42578125" style="1149" customWidth="1"/>
    <col min="15888" max="16127" width="9.140625" style="1149"/>
    <col min="16128" max="16128" width="8.7109375" style="1149" customWidth="1"/>
    <col min="16129" max="16129" width="9.140625" style="1149"/>
    <col min="16130" max="16130" width="43.140625" style="1149" customWidth="1"/>
    <col min="16131" max="16131" width="9.140625" style="1149"/>
    <col min="16132" max="16132" width="10.42578125" style="1149" customWidth="1"/>
    <col min="16133" max="16133" width="12" style="1149" customWidth="1"/>
    <col min="16134" max="16135" width="9.140625" style="1149"/>
    <col min="16136" max="16136" width="9.85546875" style="1149" customWidth="1"/>
    <col min="16137" max="16137" width="12.28515625" style="1149" customWidth="1"/>
    <col min="16138" max="16138" width="9.28515625" style="1149" customWidth="1"/>
    <col min="16139" max="16139" width="9.140625" style="1149"/>
    <col min="16140" max="16140" width="11.5703125" style="1149" customWidth="1"/>
    <col min="16141" max="16142" width="9.140625" style="1149"/>
    <col min="16143" max="16143" width="9.42578125" style="1149" customWidth="1"/>
    <col min="16144" max="16384" width="9.140625" style="1149"/>
  </cols>
  <sheetData>
    <row r="1" spans="1:16" s="1131" customFormat="1" ht="20.25" x14ac:dyDescent="0.2">
      <c r="A1" s="3292" t="s">
        <v>750</v>
      </c>
      <c r="B1" s="3292"/>
      <c r="C1" s="3292"/>
      <c r="D1" s="3292"/>
      <c r="E1" s="3292"/>
      <c r="F1" s="1130"/>
      <c r="G1" s="1130"/>
      <c r="H1" s="1130"/>
      <c r="I1" s="1130"/>
      <c r="J1" s="1130"/>
      <c r="K1" s="1130"/>
      <c r="L1" s="1130"/>
      <c r="M1" s="1130"/>
      <c r="N1" s="1130"/>
      <c r="O1" s="1130"/>
    </row>
    <row r="2" spans="1:16" s="1133" customFormat="1" ht="12" customHeight="1" thickBot="1" x14ac:dyDescent="0.25">
      <c r="A2" s="1132"/>
      <c r="B2" s="1130"/>
      <c r="C2" s="1130"/>
      <c r="D2" s="1130"/>
      <c r="E2" s="1130"/>
      <c r="F2" s="1132"/>
      <c r="G2" s="1132"/>
      <c r="H2" s="1132"/>
      <c r="I2" s="1132"/>
      <c r="J2" s="1132"/>
      <c r="K2" s="1132"/>
      <c r="L2" s="1132"/>
      <c r="M2" s="1132"/>
      <c r="N2" s="1132"/>
      <c r="O2" s="1132"/>
    </row>
    <row r="3" spans="1:16" s="1133" customFormat="1" ht="20.25" x14ac:dyDescent="0.2">
      <c r="A3" s="3293" t="s">
        <v>751</v>
      </c>
      <c r="B3" s="3294"/>
      <c r="C3" s="1134" t="s">
        <v>752</v>
      </c>
      <c r="D3" s="1134" t="s">
        <v>211</v>
      </c>
      <c r="E3" s="1135" t="s">
        <v>753</v>
      </c>
      <c r="F3" s="1132"/>
      <c r="G3" s="1132"/>
      <c r="H3" s="1132"/>
      <c r="I3" s="1132"/>
      <c r="J3" s="1132"/>
      <c r="K3" s="1132"/>
      <c r="L3" s="1132"/>
      <c r="M3" s="1132"/>
      <c r="N3" s="1132"/>
      <c r="O3" s="1132"/>
    </row>
    <row r="4" spans="1:16" s="1133" customFormat="1" ht="21" thickBot="1" x14ac:dyDescent="0.25">
      <c r="A4" s="3295"/>
      <c r="B4" s="3296"/>
      <c r="C4" s="1136" t="s">
        <v>754</v>
      </c>
      <c r="D4" s="1136" t="s">
        <v>755</v>
      </c>
      <c r="E4" s="1137" t="s">
        <v>756</v>
      </c>
      <c r="F4" s="1132"/>
      <c r="G4" s="1132"/>
      <c r="H4" s="1132"/>
      <c r="I4" s="1132"/>
      <c r="J4" s="1132"/>
      <c r="K4" s="1132"/>
      <c r="L4" s="1132"/>
      <c r="M4" s="1132"/>
      <c r="N4" s="1132"/>
      <c r="O4" s="1132"/>
    </row>
    <row r="5" spans="1:16" s="1133" customFormat="1" ht="20.25" hidden="1" x14ac:dyDescent="0.3">
      <c r="A5" s="3297">
        <v>39412</v>
      </c>
      <c r="B5" s="3298"/>
      <c r="C5" s="1138">
        <v>550</v>
      </c>
      <c r="D5" s="1139">
        <v>14</v>
      </c>
      <c r="E5" s="1140">
        <v>8</v>
      </c>
      <c r="F5" s="1132"/>
      <c r="G5" s="1132"/>
      <c r="H5" s="1132"/>
      <c r="I5" s="1132"/>
      <c r="J5" s="1132"/>
      <c r="K5" s="1132"/>
      <c r="L5" s="1132"/>
      <c r="M5" s="1132"/>
      <c r="N5" s="1132"/>
      <c r="O5" s="1132"/>
    </row>
    <row r="6" spans="1:16" s="1133" customFormat="1" ht="20.25" hidden="1" x14ac:dyDescent="0.3">
      <c r="A6" s="3299">
        <v>39499</v>
      </c>
      <c r="B6" s="3300"/>
      <c r="C6" s="1138">
        <v>1000</v>
      </c>
      <c r="D6" s="1139">
        <v>14</v>
      </c>
      <c r="E6" s="1141">
        <v>7.75</v>
      </c>
      <c r="F6" s="1132"/>
      <c r="G6" s="1132"/>
      <c r="H6" s="1132"/>
      <c r="I6" s="1132"/>
      <c r="J6" s="1132"/>
      <c r="K6" s="1132"/>
      <c r="L6" s="1132"/>
      <c r="M6" s="1132"/>
      <c r="N6" s="1132"/>
      <c r="O6" s="1132"/>
    </row>
    <row r="7" spans="1:16" s="1133" customFormat="1" ht="20.100000000000001" customHeight="1" x14ac:dyDescent="0.3">
      <c r="A7" s="3301">
        <v>39510</v>
      </c>
      <c r="B7" s="3291"/>
      <c r="C7" s="1138">
        <v>2425</v>
      </c>
      <c r="D7" s="1139">
        <v>14</v>
      </c>
      <c r="E7" s="1141">
        <v>7.75</v>
      </c>
      <c r="F7" s="1132"/>
      <c r="G7" s="1132"/>
      <c r="H7" s="1132"/>
      <c r="I7" s="1132"/>
      <c r="J7" s="1132"/>
      <c r="K7" s="1132"/>
      <c r="L7" s="1132"/>
      <c r="M7" s="1132"/>
      <c r="N7" s="1132"/>
      <c r="O7" s="1132"/>
    </row>
    <row r="8" spans="1:16" s="1133" customFormat="1" ht="20.100000000000001" customHeight="1" x14ac:dyDescent="0.3">
      <c r="A8" s="3290">
        <v>39524</v>
      </c>
      <c r="B8" s="3291"/>
      <c r="C8" s="1138">
        <v>2500</v>
      </c>
      <c r="D8" s="1139">
        <v>14</v>
      </c>
      <c r="E8" s="1141">
        <v>7.75</v>
      </c>
      <c r="F8" s="1132"/>
      <c r="G8" s="1132"/>
      <c r="H8" s="1132"/>
      <c r="I8" s="1132"/>
      <c r="J8" s="1132"/>
      <c r="K8" s="1132"/>
      <c r="L8" s="1132"/>
      <c r="M8" s="1132"/>
      <c r="N8" s="1132"/>
      <c r="O8" s="1132"/>
    </row>
    <row r="9" spans="1:16" s="1133" customFormat="1" ht="20.100000000000001" customHeight="1" x14ac:dyDescent="0.3">
      <c r="A9" s="3290">
        <v>39532</v>
      </c>
      <c r="B9" s="3291"/>
      <c r="C9" s="1138">
        <v>2750</v>
      </c>
      <c r="D9" s="1139">
        <v>14</v>
      </c>
      <c r="E9" s="1141">
        <v>7.25</v>
      </c>
      <c r="F9" s="1132"/>
      <c r="G9" s="1132"/>
      <c r="H9" s="1132"/>
      <c r="I9" s="1132"/>
      <c r="J9" s="1132"/>
      <c r="K9" s="1132"/>
      <c r="L9" s="1132"/>
      <c r="M9" s="1132"/>
      <c r="N9" s="1132"/>
      <c r="O9" s="1132"/>
    </row>
    <row r="10" spans="1:16" s="1133" customFormat="1" ht="20.100000000000001" customHeight="1" x14ac:dyDescent="0.3">
      <c r="A10" s="3301">
        <v>39546</v>
      </c>
      <c r="B10" s="3291"/>
      <c r="C10" s="1138">
        <v>2000</v>
      </c>
      <c r="D10" s="1139">
        <v>21</v>
      </c>
      <c r="E10" s="1142">
        <v>7.5</v>
      </c>
      <c r="F10" s="1132"/>
      <c r="G10" s="1132"/>
      <c r="H10" s="1132"/>
      <c r="I10" s="1132"/>
      <c r="J10" s="1132"/>
      <c r="K10" s="1132"/>
      <c r="L10" s="1132"/>
      <c r="M10" s="1132"/>
      <c r="N10" s="1132"/>
      <c r="O10" s="1132"/>
    </row>
    <row r="11" spans="1:16" s="1133" customFormat="1" ht="20.100000000000001" customHeight="1" x14ac:dyDescent="0.2">
      <c r="A11" s="3301">
        <v>40078</v>
      </c>
      <c r="B11" s="3302"/>
      <c r="C11" s="1138">
        <v>1185</v>
      </c>
      <c r="D11" s="1139">
        <v>14</v>
      </c>
      <c r="E11" s="1142">
        <v>4.75</v>
      </c>
      <c r="F11" s="1132"/>
      <c r="G11" s="1132"/>
      <c r="H11" s="1132"/>
      <c r="I11" s="1132"/>
      <c r="J11" s="1132"/>
      <c r="K11" s="1132"/>
      <c r="L11" s="1132"/>
      <c r="M11" s="1132"/>
      <c r="N11" s="1132"/>
      <c r="O11" s="1132"/>
    </row>
    <row r="12" spans="1:16" s="1133" customFormat="1" ht="20.100000000000001" customHeight="1" x14ac:dyDescent="0.3">
      <c r="A12" s="3290">
        <v>40168</v>
      </c>
      <c r="B12" s="3291"/>
      <c r="C12" s="1138">
        <v>1300</v>
      </c>
      <c r="D12" s="1139">
        <v>7</v>
      </c>
      <c r="E12" s="1142">
        <v>4.75</v>
      </c>
      <c r="F12" s="1132"/>
      <c r="G12" s="1132"/>
      <c r="H12" s="1132"/>
      <c r="I12" s="1132"/>
      <c r="J12" s="1132"/>
      <c r="K12" s="1132"/>
      <c r="L12" s="1132"/>
      <c r="M12" s="1132"/>
      <c r="N12" s="1132"/>
      <c r="O12" s="1132"/>
    </row>
    <row r="13" spans="1:16" s="1133" customFormat="1" ht="20.100000000000001" customHeight="1" x14ac:dyDescent="0.3">
      <c r="A13" s="3290">
        <v>40262</v>
      </c>
      <c r="B13" s="3291"/>
      <c r="C13" s="1138">
        <v>3000</v>
      </c>
      <c r="D13" s="1139" t="s">
        <v>757</v>
      </c>
      <c r="E13" s="1142">
        <v>4.75</v>
      </c>
      <c r="F13" s="1132"/>
      <c r="G13" s="1132"/>
      <c r="H13" s="1132"/>
      <c r="I13" s="1132"/>
      <c r="J13" s="1132"/>
      <c r="K13" s="1132"/>
      <c r="L13" s="1132"/>
      <c r="M13" s="1132"/>
      <c r="N13" s="1132"/>
      <c r="O13" s="1132"/>
    </row>
    <row r="14" spans="1:16" s="1133" customFormat="1" ht="20.100000000000001" customHeight="1" x14ac:dyDescent="0.3">
      <c r="A14" s="3290">
        <v>40283</v>
      </c>
      <c r="B14" s="3291"/>
      <c r="C14" s="1138">
        <v>1700</v>
      </c>
      <c r="D14" s="1143">
        <v>21</v>
      </c>
      <c r="E14" s="1142">
        <v>4.75</v>
      </c>
      <c r="F14" s="1132"/>
      <c r="G14" s="1132"/>
      <c r="H14" s="1132"/>
      <c r="I14" s="1132"/>
      <c r="J14" s="1132"/>
      <c r="K14" s="1132"/>
      <c r="L14" s="1132"/>
      <c r="M14" s="1132"/>
      <c r="N14" s="1132"/>
      <c r="O14" s="1132"/>
    </row>
    <row r="15" spans="1:16" s="1133" customFormat="1" ht="20.100000000000001" customHeight="1" thickBot="1" x14ac:dyDescent="0.35">
      <c r="A15" s="3303">
        <v>40346</v>
      </c>
      <c r="B15" s="3304"/>
      <c r="C15" s="1144">
        <v>2000</v>
      </c>
      <c r="D15" s="1145">
        <v>21</v>
      </c>
      <c r="E15" s="1146">
        <v>4.75</v>
      </c>
      <c r="F15" s="1132"/>
      <c r="G15" s="1132"/>
      <c r="H15" s="1132"/>
      <c r="I15" s="1132"/>
      <c r="J15" s="1132"/>
      <c r="K15" s="1132"/>
      <c r="L15" s="1132"/>
      <c r="M15" s="1132"/>
      <c r="N15" s="1132"/>
      <c r="O15" s="1132"/>
    </row>
    <row r="16" spans="1:16" ht="20.25" x14ac:dyDescent="0.25">
      <c r="A16" s="1147" t="s">
        <v>680</v>
      </c>
      <c r="B16" s="1130"/>
      <c r="C16" s="1132"/>
      <c r="D16" s="1148"/>
      <c r="E16" s="1148"/>
      <c r="F16" s="1148"/>
      <c r="G16" s="1148"/>
      <c r="H16" s="1148"/>
      <c r="I16" s="1148"/>
      <c r="J16" s="1130"/>
      <c r="K16" s="1130"/>
      <c r="L16" s="1130"/>
      <c r="M16" s="1130"/>
      <c r="N16" s="1130"/>
      <c r="O16" s="1130"/>
      <c r="P16" s="1131"/>
    </row>
    <row r="17" spans="1:15" s="1133" customFormat="1" ht="20.25" x14ac:dyDescent="0.2">
      <c r="A17" s="1132"/>
      <c r="B17" s="1132"/>
      <c r="C17" s="1132"/>
      <c r="D17" s="1132"/>
      <c r="E17" s="1132"/>
      <c r="F17" s="1132"/>
      <c r="G17" s="1132"/>
      <c r="H17" s="1132"/>
      <c r="I17" s="1132"/>
      <c r="J17" s="1132"/>
      <c r="K17" s="1132"/>
      <c r="L17" s="1132"/>
      <c r="M17" s="1132"/>
      <c r="N17" s="1132"/>
      <c r="O17" s="1132"/>
    </row>
    <row r="18" spans="1:15" ht="20.25" x14ac:dyDescent="0.25">
      <c r="A18" s="3292" t="s">
        <v>758</v>
      </c>
      <c r="B18" s="3292"/>
      <c r="C18" s="3292"/>
      <c r="D18" s="3292"/>
      <c r="E18" s="3292"/>
      <c r="F18" s="3292"/>
      <c r="G18" s="3292"/>
      <c r="H18" s="3292"/>
      <c r="I18" s="3292"/>
      <c r="J18" s="3292"/>
      <c r="K18" s="3292"/>
      <c r="L18" s="3292"/>
      <c r="M18" s="3292"/>
      <c r="N18" s="3292"/>
      <c r="O18" s="3292"/>
    </row>
    <row r="19" spans="1:15" ht="21" thickBot="1" x14ac:dyDescent="0.3">
      <c r="A19" s="1150"/>
      <c r="B19" s="1150"/>
      <c r="C19" s="1150"/>
      <c r="D19" s="1150"/>
      <c r="E19" s="1150"/>
      <c r="F19" s="1150"/>
      <c r="G19" s="1150"/>
      <c r="H19" s="1150"/>
      <c r="I19" s="1150"/>
      <c r="J19" s="1150"/>
      <c r="K19" s="1150"/>
      <c r="L19" s="1150"/>
      <c r="M19" s="1150"/>
      <c r="N19" s="1150"/>
      <c r="O19" s="1150"/>
    </row>
    <row r="20" spans="1:15" ht="25.5" customHeight="1" thickTop="1" thickBot="1" x14ac:dyDescent="0.3">
      <c r="A20" s="1151"/>
      <c r="B20" s="1152" t="s">
        <v>759</v>
      </c>
      <c r="C20" s="1152"/>
      <c r="D20" s="1152"/>
      <c r="E20" s="1152"/>
      <c r="F20" s="1152"/>
      <c r="G20" s="1152"/>
      <c r="H20" s="1153"/>
      <c r="I20" s="1152" t="s">
        <v>760</v>
      </c>
      <c r="J20" s="1152"/>
      <c r="K20" s="1152"/>
      <c r="L20" s="1152"/>
      <c r="M20" s="1152"/>
      <c r="N20" s="1152"/>
      <c r="O20" s="1154"/>
    </row>
    <row r="21" spans="1:15" ht="20.100000000000001" customHeight="1" x14ac:dyDescent="0.25">
      <c r="A21" s="1155"/>
      <c r="B21" s="1156" t="s">
        <v>761</v>
      </c>
      <c r="C21" s="1157" t="s">
        <v>752</v>
      </c>
      <c r="D21" s="1157" t="s">
        <v>762</v>
      </c>
      <c r="E21" s="1157" t="s">
        <v>763</v>
      </c>
      <c r="F21" s="1157" t="s">
        <v>764</v>
      </c>
      <c r="G21" s="1157" t="s">
        <v>765</v>
      </c>
      <c r="H21" s="1158" t="s">
        <v>766</v>
      </c>
      <c r="I21" s="1159" t="s">
        <v>761</v>
      </c>
      <c r="J21" s="1157" t="s">
        <v>752</v>
      </c>
      <c r="K21" s="1157" t="s">
        <v>762</v>
      </c>
      <c r="L21" s="1157" t="s">
        <v>763</v>
      </c>
      <c r="M21" s="1157" t="s">
        <v>764</v>
      </c>
      <c r="N21" s="1157" t="s">
        <v>767</v>
      </c>
      <c r="O21" s="1160" t="s">
        <v>766</v>
      </c>
    </row>
    <row r="22" spans="1:15" ht="20.100000000000001" customHeight="1" x14ac:dyDescent="0.25">
      <c r="A22" s="1155"/>
      <c r="B22" s="1161" t="s">
        <v>193</v>
      </c>
      <c r="C22" s="1162" t="s">
        <v>768</v>
      </c>
      <c r="D22" s="1162" t="s">
        <v>769</v>
      </c>
      <c r="E22" s="1162" t="s">
        <v>211</v>
      </c>
      <c r="F22" s="1162" t="s">
        <v>770</v>
      </c>
      <c r="G22" s="1162" t="s">
        <v>771</v>
      </c>
      <c r="H22" s="1163" t="s">
        <v>772</v>
      </c>
      <c r="I22" s="1164" t="s">
        <v>193</v>
      </c>
      <c r="J22" s="1162" t="s">
        <v>768</v>
      </c>
      <c r="K22" s="1162" t="s">
        <v>769</v>
      </c>
      <c r="L22" s="1162" t="s">
        <v>211</v>
      </c>
      <c r="M22" s="1162" t="s">
        <v>770</v>
      </c>
      <c r="N22" s="1162" t="s">
        <v>771</v>
      </c>
      <c r="O22" s="1165" t="s">
        <v>772</v>
      </c>
    </row>
    <row r="23" spans="1:15" ht="20.100000000000001" customHeight="1" x14ac:dyDescent="0.25">
      <c r="A23" s="1155"/>
      <c r="B23" s="1161" t="s">
        <v>773</v>
      </c>
      <c r="C23" s="1162"/>
      <c r="D23" s="1162"/>
      <c r="E23" s="1162"/>
      <c r="F23" s="1162" t="s">
        <v>774</v>
      </c>
      <c r="G23" s="1162" t="s">
        <v>775</v>
      </c>
      <c r="H23" s="1163" t="s">
        <v>774</v>
      </c>
      <c r="I23" s="1164" t="s">
        <v>773</v>
      </c>
      <c r="J23" s="1162"/>
      <c r="K23" s="1162"/>
      <c r="L23" s="1162"/>
      <c r="M23" s="1162" t="s">
        <v>774</v>
      </c>
      <c r="N23" s="1162" t="s">
        <v>775</v>
      </c>
      <c r="O23" s="1165" t="s">
        <v>774</v>
      </c>
    </row>
    <row r="24" spans="1:15" ht="20.100000000000001" customHeight="1" thickBot="1" x14ac:dyDescent="0.3">
      <c r="A24" s="1155"/>
      <c r="B24" s="1166"/>
      <c r="C24" s="1167"/>
      <c r="D24" s="1167"/>
      <c r="E24" s="1168"/>
      <c r="F24" s="1169" t="s">
        <v>768</v>
      </c>
      <c r="G24" s="1169"/>
      <c r="H24" s="1170" t="s">
        <v>775</v>
      </c>
      <c r="I24" s="1171"/>
      <c r="J24" s="1172"/>
      <c r="K24" s="1172"/>
      <c r="L24" s="1169"/>
      <c r="M24" s="1169" t="s">
        <v>768</v>
      </c>
      <c r="N24" s="1169"/>
      <c r="O24" s="1173" t="s">
        <v>775</v>
      </c>
    </row>
    <row r="25" spans="1:15" ht="20.100000000000001" customHeight="1" thickBot="1" x14ac:dyDescent="0.3">
      <c r="A25" s="1174"/>
      <c r="B25" s="1175"/>
      <c r="C25" s="1176" t="s">
        <v>73</v>
      </c>
      <c r="D25" s="1176"/>
      <c r="E25" s="1177" t="s">
        <v>776</v>
      </c>
      <c r="F25" s="3305" t="s">
        <v>674</v>
      </c>
      <c r="G25" s="3306"/>
      <c r="H25" s="3307"/>
      <c r="I25" s="1178"/>
      <c r="J25" s="1176" t="s">
        <v>73</v>
      </c>
      <c r="K25" s="1176"/>
      <c r="L25" s="1177" t="s">
        <v>776</v>
      </c>
      <c r="M25" s="3305" t="s">
        <v>674</v>
      </c>
      <c r="N25" s="3306"/>
      <c r="O25" s="3308"/>
    </row>
    <row r="26" spans="1:15" ht="20.100000000000001" customHeight="1" thickTop="1" thickBot="1" x14ac:dyDescent="0.3">
      <c r="A26" s="1179">
        <v>41640</v>
      </c>
      <c r="B26" s="1180" t="s">
        <v>664</v>
      </c>
      <c r="C26" s="1181" t="s">
        <v>664</v>
      </c>
      <c r="D26" s="1181" t="s">
        <v>664</v>
      </c>
      <c r="E26" s="1182" t="s">
        <v>664</v>
      </c>
      <c r="F26" s="1183" t="s">
        <v>664</v>
      </c>
      <c r="G26" s="1183" t="s">
        <v>664</v>
      </c>
      <c r="H26" s="1183" t="s">
        <v>664</v>
      </c>
      <c r="I26" s="1184">
        <v>1</v>
      </c>
      <c r="J26" s="1181">
        <v>4900</v>
      </c>
      <c r="K26" s="1181">
        <v>1000</v>
      </c>
      <c r="L26" s="1185">
        <v>21</v>
      </c>
      <c r="M26" s="1183">
        <v>3.4</v>
      </c>
      <c r="N26" s="1183">
        <v>3.4</v>
      </c>
      <c r="O26" s="1186">
        <v>3.4</v>
      </c>
    </row>
    <row r="27" spans="1:15" ht="21" thickTop="1" x14ac:dyDescent="0.25">
      <c r="A27" s="1187" t="s">
        <v>777</v>
      </c>
      <c r="B27" s="1188"/>
      <c r="C27" s="1188"/>
      <c r="D27" s="1188"/>
      <c r="E27" s="1188"/>
      <c r="F27" s="1188"/>
      <c r="G27" s="1188"/>
      <c r="H27" s="1188"/>
      <c r="I27" s="1188"/>
      <c r="J27" s="1188"/>
      <c r="K27" s="1188"/>
      <c r="L27" s="1188"/>
      <c r="M27" s="1188"/>
      <c r="N27" s="1188"/>
      <c r="O27" s="1188"/>
    </row>
    <row r="28" spans="1:15" ht="20.25" x14ac:dyDescent="0.25">
      <c r="A28" s="1187" t="s">
        <v>778</v>
      </c>
      <c r="B28" s="1188"/>
      <c r="C28" s="1188"/>
      <c r="D28" s="1188"/>
      <c r="E28" s="1188"/>
      <c r="F28" s="1188"/>
      <c r="G28" s="1188"/>
      <c r="H28" s="1188"/>
      <c r="I28" s="1188"/>
      <c r="J28" s="1188"/>
      <c r="K28" s="1188"/>
      <c r="L28" s="1188"/>
      <c r="M28" s="1188"/>
      <c r="N28" s="1188"/>
      <c r="O28" s="1188"/>
    </row>
    <row r="29" spans="1:15" ht="20.25" x14ac:dyDescent="0.25">
      <c r="A29" s="1147" t="s">
        <v>680</v>
      </c>
      <c r="B29" s="1188"/>
      <c r="C29" s="1188"/>
      <c r="D29" s="1188"/>
      <c r="E29" s="1188"/>
      <c r="F29" s="1188"/>
      <c r="G29" s="1188"/>
      <c r="H29" s="1188"/>
      <c r="I29" s="1188"/>
      <c r="J29" s="1188"/>
      <c r="K29" s="1188"/>
      <c r="L29" s="1188"/>
      <c r="M29" s="1188"/>
      <c r="N29" s="1188"/>
      <c r="O29" s="1188"/>
    </row>
    <row r="30" spans="1:15" ht="20.25" x14ac:dyDescent="0.3">
      <c r="A30" s="1189"/>
      <c r="B30" s="1189"/>
      <c r="C30" s="1189"/>
      <c r="D30" s="1189"/>
      <c r="E30" s="1189"/>
      <c r="F30" s="1189"/>
      <c r="G30" s="1189"/>
      <c r="H30" s="1189"/>
      <c r="I30" s="1189"/>
      <c r="J30" s="1189"/>
      <c r="K30" s="1189"/>
      <c r="L30" s="1189"/>
      <c r="M30" s="1189"/>
      <c r="N30" s="1189"/>
      <c r="O30" s="1189"/>
    </row>
    <row r="31" spans="1:15" ht="20.25" x14ac:dyDescent="0.3">
      <c r="A31" s="1147"/>
      <c r="B31" s="1147"/>
      <c r="C31" s="1189"/>
      <c r="D31" s="1189"/>
      <c r="E31" s="1189"/>
      <c r="F31" s="1189"/>
      <c r="G31" s="1189"/>
      <c r="H31" s="1189"/>
      <c r="I31" s="1189"/>
      <c r="J31" s="1189"/>
      <c r="K31" s="1189"/>
      <c r="L31" s="1189"/>
      <c r="M31" s="1189"/>
      <c r="N31" s="1189"/>
      <c r="O31" s="1189"/>
    </row>
    <row r="32" spans="1:15" ht="20.25" x14ac:dyDescent="0.3">
      <c r="A32" s="1190" t="s">
        <v>779</v>
      </c>
      <c r="B32" s="1191"/>
      <c r="C32" s="1191"/>
      <c r="D32" s="1191"/>
      <c r="E32" s="1192"/>
      <c r="F32" s="1193"/>
      <c r="G32" s="1189"/>
      <c r="H32" s="1189"/>
      <c r="I32" s="1189"/>
      <c r="J32" s="1189"/>
      <c r="K32" s="1189"/>
      <c r="L32" s="1189"/>
      <c r="M32" s="1189"/>
      <c r="N32" s="1189"/>
      <c r="O32" s="1189"/>
    </row>
    <row r="33" spans="1:15" ht="11.25" customHeight="1" thickBot="1" x14ac:dyDescent="0.35">
      <c r="A33" s="1191"/>
      <c r="B33" s="1191"/>
      <c r="C33" s="1191"/>
      <c r="D33" s="1191"/>
      <c r="E33" s="1192"/>
      <c r="F33" s="1193"/>
      <c r="G33" s="1189"/>
      <c r="H33" s="1189"/>
      <c r="I33" s="1189"/>
      <c r="J33" s="1189"/>
      <c r="K33" s="1189"/>
      <c r="L33" s="1189"/>
      <c r="M33" s="1189"/>
      <c r="N33" s="1189"/>
      <c r="O33" s="1189"/>
    </row>
    <row r="34" spans="1:15" ht="22.5" thickBot="1" x14ac:dyDescent="0.35">
      <c r="A34" s="1194"/>
      <c r="B34" s="1195"/>
      <c r="C34" s="3309" t="s">
        <v>780</v>
      </c>
      <c r="D34" s="3310"/>
      <c r="E34" s="3309" t="s">
        <v>781</v>
      </c>
      <c r="F34" s="3310"/>
      <c r="G34" s="1189"/>
      <c r="H34" s="1189"/>
      <c r="I34" s="1189"/>
      <c r="J34" s="1189"/>
      <c r="K34" s="1189"/>
      <c r="L34" s="1189"/>
      <c r="M34" s="1189"/>
      <c r="N34" s="1189"/>
      <c r="O34" s="1189"/>
    </row>
    <row r="35" spans="1:15" ht="21" thickBot="1" x14ac:dyDescent="0.35">
      <c r="A35" s="1196"/>
      <c r="B35" s="1197"/>
      <c r="C35" s="3243" t="s">
        <v>782</v>
      </c>
      <c r="D35" s="3244"/>
      <c r="E35" s="3243" t="s">
        <v>782</v>
      </c>
      <c r="F35" s="3244"/>
      <c r="G35" s="1189"/>
      <c r="H35" s="1189"/>
      <c r="I35" s="1189"/>
      <c r="J35" s="1189"/>
      <c r="K35" s="1189"/>
      <c r="L35" s="1189"/>
      <c r="M35" s="1189"/>
      <c r="N35" s="1189"/>
      <c r="O35" s="1189"/>
    </row>
    <row r="36" spans="1:15" ht="20.25" x14ac:dyDescent="0.3">
      <c r="A36" s="1198" t="s">
        <v>783</v>
      </c>
      <c r="B36" s="1199"/>
      <c r="C36" s="3311">
        <v>1000</v>
      </c>
      <c r="D36" s="3312"/>
      <c r="E36" s="3311">
        <v>1500</v>
      </c>
      <c r="F36" s="3312"/>
      <c r="G36" s="1189"/>
      <c r="H36" s="1189"/>
      <c r="I36" s="1189"/>
      <c r="J36" s="1189"/>
      <c r="K36" s="1189"/>
      <c r="L36" s="1189"/>
      <c r="M36" s="1189"/>
      <c r="N36" s="1189"/>
      <c r="O36" s="1189"/>
    </row>
    <row r="37" spans="1:15" ht="19.5" x14ac:dyDescent="0.25">
      <c r="A37" s="1198" t="s">
        <v>784</v>
      </c>
      <c r="B37" s="1199"/>
      <c r="C37" s="3313">
        <v>1450</v>
      </c>
      <c r="D37" s="3314"/>
      <c r="E37" s="3313">
        <v>2075</v>
      </c>
      <c r="F37" s="3314"/>
    </row>
    <row r="38" spans="1:15" ht="19.5" x14ac:dyDescent="0.25">
      <c r="A38" s="1198" t="s">
        <v>785</v>
      </c>
      <c r="B38" s="1199"/>
      <c r="C38" s="3313">
        <v>1000</v>
      </c>
      <c r="D38" s="3314"/>
      <c r="E38" s="3313">
        <v>1500</v>
      </c>
      <c r="F38" s="3314"/>
    </row>
    <row r="39" spans="1:15" ht="19.5" x14ac:dyDescent="0.25">
      <c r="A39" s="1198" t="s">
        <v>786</v>
      </c>
      <c r="B39" s="1199"/>
      <c r="C39" s="3315">
        <v>2.7</v>
      </c>
      <c r="D39" s="3316"/>
      <c r="E39" s="3315">
        <v>2.78</v>
      </c>
      <c r="F39" s="3316"/>
    </row>
    <row r="40" spans="1:15" ht="19.5" x14ac:dyDescent="0.25">
      <c r="A40" s="1198" t="s">
        <v>787</v>
      </c>
      <c r="B40" s="1199"/>
      <c r="C40" s="3317">
        <v>2.48</v>
      </c>
      <c r="D40" s="3318"/>
      <c r="E40" s="3317">
        <v>2.35</v>
      </c>
      <c r="F40" s="3318"/>
    </row>
    <row r="41" spans="1:15" ht="19.5" x14ac:dyDescent="0.25">
      <c r="A41" s="1198" t="s">
        <v>788</v>
      </c>
      <c r="B41" s="1199"/>
      <c r="C41" s="3321" t="s">
        <v>789</v>
      </c>
      <c r="D41" s="3322"/>
      <c r="E41" s="3321" t="s">
        <v>790</v>
      </c>
      <c r="F41" s="3322"/>
    </row>
    <row r="42" spans="1:15" ht="19.5" thickBot="1" x14ac:dyDescent="0.3">
      <c r="A42" s="1200"/>
      <c r="B42" s="1201"/>
      <c r="C42" s="3323"/>
      <c r="D42" s="3324"/>
      <c r="E42" s="3323"/>
      <c r="F42" s="3325"/>
    </row>
    <row r="43" spans="1:15" ht="3.75" customHeight="1" x14ac:dyDescent="0.25">
      <c r="A43" s="3326"/>
      <c r="B43" s="3326"/>
      <c r="C43" s="3326"/>
      <c r="D43" s="3326"/>
      <c r="E43" s="3326"/>
      <c r="F43" s="3326"/>
    </row>
    <row r="44" spans="1:15" ht="18.75" x14ac:dyDescent="0.25">
      <c r="A44" s="1202" t="s">
        <v>680</v>
      </c>
      <c r="B44" s="1203"/>
      <c r="C44" s="1203"/>
      <c r="D44" s="3319"/>
      <c r="E44" s="3320"/>
      <c r="F44" s="3320"/>
    </row>
    <row r="45" spans="1:15" ht="21" x14ac:dyDescent="0.35">
      <c r="B45" s="1147"/>
      <c r="C45" s="1147"/>
      <c r="D45" s="1204"/>
      <c r="E45" s="1204"/>
      <c r="F45" s="1204"/>
    </row>
    <row r="46" spans="1:15" ht="20.25" x14ac:dyDescent="0.3">
      <c r="A46" s="1189"/>
      <c r="B46" s="1189"/>
      <c r="C46" s="1189"/>
      <c r="D46" s="1189"/>
      <c r="E46" s="1189"/>
      <c r="F46" s="1189"/>
    </row>
  </sheetData>
  <mergeCells count="37">
    <mergeCell ref="D44:F44"/>
    <mergeCell ref="C41:D41"/>
    <mergeCell ref="E41:F41"/>
    <mergeCell ref="C42:D42"/>
    <mergeCell ref="E42:F42"/>
    <mergeCell ref="A43:C43"/>
    <mergeCell ref="D43:F43"/>
    <mergeCell ref="C38:D38"/>
    <mergeCell ref="E38:F38"/>
    <mergeCell ref="C39:D39"/>
    <mergeCell ref="E39:F39"/>
    <mergeCell ref="C40:D40"/>
    <mergeCell ref="E40:F40"/>
    <mergeCell ref="C35:D35"/>
    <mergeCell ref="E35:F35"/>
    <mergeCell ref="C36:D36"/>
    <mergeCell ref="E36:F36"/>
    <mergeCell ref="C37:D37"/>
    <mergeCell ref="E37:F37"/>
    <mergeCell ref="A15:B15"/>
    <mergeCell ref="A18:O18"/>
    <mergeCell ref="F25:H25"/>
    <mergeCell ref="M25:O25"/>
    <mergeCell ref="C34:D34"/>
    <mergeCell ref="E34:F34"/>
    <mergeCell ref="A14:B14"/>
    <mergeCell ref="A1:E1"/>
    <mergeCell ref="A3:B4"/>
    <mergeCell ref="A5:B5"/>
    <mergeCell ref="A6:B6"/>
    <mergeCell ref="A7:B7"/>
    <mergeCell ref="A8:B8"/>
    <mergeCell ref="A9:B9"/>
    <mergeCell ref="A10:B10"/>
    <mergeCell ref="A11:B11"/>
    <mergeCell ref="A12:B12"/>
    <mergeCell ref="A13:B1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D42"/>
  <sheetViews>
    <sheetView showGridLines="0" topLeftCell="A28" zoomScaleNormal="100" workbookViewId="0">
      <selection activeCell="E47" sqref="E47"/>
    </sheetView>
  </sheetViews>
  <sheetFormatPr defaultRowHeight="18.75" x14ac:dyDescent="0.3"/>
  <cols>
    <col min="1" max="1" width="9.140625" style="1211"/>
    <col min="2" max="2" width="40.7109375" style="1211" customWidth="1"/>
    <col min="3" max="3" width="21" style="1211" customWidth="1"/>
    <col min="4" max="4" width="22.28515625" style="1211" customWidth="1"/>
    <col min="5" max="5" width="21" style="1211" customWidth="1"/>
    <col min="6" max="6" width="22.85546875" style="1211" customWidth="1"/>
    <col min="7" max="7" width="13.85546875" style="1207" customWidth="1"/>
    <col min="8" max="8" width="23.42578125" style="1207" customWidth="1"/>
    <col min="9" max="257" width="9.140625" style="1207"/>
    <col min="258" max="258" width="40.28515625" style="1207" customWidth="1"/>
    <col min="259" max="259" width="14.42578125" style="1207" customWidth="1"/>
    <col min="260" max="260" width="16" style="1207" customWidth="1"/>
    <col min="261" max="261" width="14.42578125" style="1207" customWidth="1"/>
    <col min="262" max="262" width="16" style="1207" customWidth="1"/>
    <col min="263" max="263" width="3.42578125" style="1207" customWidth="1"/>
    <col min="264" max="513" width="9.140625" style="1207"/>
    <col min="514" max="514" width="40.28515625" style="1207" customWidth="1"/>
    <col min="515" max="515" width="14.42578125" style="1207" customWidth="1"/>
    <col min="516" max="516" width="16" style="1207" customWidth="1"/>
    <col min="517" max="517" width="14.42578125" style="1207" customWidth="1"/>
    <col min="518" max="518" width="16" style="1207" customWidth="1"/>
    <col min="519" max="519" width="3.42578125" style="1207" customWidth="1"/>
    <col min="520" max="769" width="9.140625" style="1207"/>
    <col min="770" max="770" width="40.28515625" style="1207" customWidth="1"/>
    <col min="771" max="771" width="14.42578125" style="1207" customWidth="1"/>
    <col min="772" max="772" width="16" style="1207" customWidth="1"/>
    <col min="773" max="773" width="14.42578125" style="1207" customWidth="1"/>
    <col min="774" max="774" width="16" style="1207" customWidth="1"/>
    <col min="775" max="775" width="3.42578125" style="1207" customWidth="1"/>
    <col min="776" max="1025" width="9.140625" style="1207"/>
    <col min="1026" max="1026" width="40.28515625" style="1207" customWidth="1"/>
    <col min="1027" max="1027" width="14.42578125" style="1207" customWidth="1"/>
    <col min="1028" max="1028" width="16" style="1207" customWidth="1"/>
    <col min="1029" max="1029" width="14.42578125" style="1207" customWidth="1"/>
    <col min="1030" max="1030" width="16" style="1207" customWidth="1"/>
    <col min="1031" max="1031" width="3.42578125" style="1207" customWidth="1"/>
    <col min="1032" max="1281" width="9.140625" style="1207"/>
    <col min="1282" max="1282" width="40.28515625" style="1207" customWidth="1"/>
    <col min="1283" max="1283" width="14.42578125" style="1207" customWidth="1"/>
    <col min="1284" max="1284" width="16" style="1207" customWidth="1"/>
    <col min="1285" max="1285" width="14.42578125" style="1207" customWidth="1"/>
    <col min="1286" max="1286" width="16" style="1207" customWidth="1"/>
    <col min="1287" max="1287" width="3.42578125" style="1207" customWidth="1"/>
    <col min="1288" max="1537" width="9.140625" style="1207"/>
    <col min="1538" max="1538" width="40.28515625" style="1207" customWidth="1"/>
    <col min="1539" max="1539" width="14.42578125" style="1207" customWidth="1"/>
    <col min="1540" max="1540" width="16" style="1207" customWidth="1"/>
    <col min="1541" max="1541" width="14.42578125" style="1207" customWidth="1"/>
    <col min="1542" max="1542" width="16" style="1207" customWidth="1"/>
    <col min="1543" max="1543" width="3.42578125" style="1207" customWidth="1"/>
    <col min="1544" max="1793" width="9.140625" style="1207"/>
    <col min="1794" max="1794" width="40.28515625" style="1207" customWidth="1"/>
    <col min="1795" max="1795" width="14.42578125" style="1207" customWidth="1"/>
    <col min="1796" max="1796" width="16" style="1207" customWidth="1"/>
    <col min="1797" max="1797" width="14.42578125" style="1207" customWidth="1"/>
    <col min="1798" max="1798" width="16" style="1207" customWidth="1"/>
    <col min="1799" max="1799" width="3.42578125" style="1207" customWidth="1"/>
    <col min="1800" max="2049" width="9.140625" style="1207"/>
    <col min="2050" max="2050" width="40.28515625" style="1207" customWidth="1"/>
    <col min="2051" max="2051" width="14.42578125" style="1207" customWidth="1"/>
    <col min="2052" max="2052" width="16" style="1207" customWidth="1"/>
    <col min="2053" max="2053" width="14.42578125" style="1207" customWidth="1"/>
    <col min="2054" max="2054" width="16" style="1207" customWidth="1"/>
    <col min="2055" max="2055" width="3.42578125" style="1207" customWidth="1"/>
    <col min="2056" max="2305" width="9.140625" style="1207"/>
    <col min="2306" max="2306" width="40.28515625" style="1207" customWidth="1"/>
    <col min="2307" max="2307" width="14.42578125" style="1207" customWidth="1"/>
    <col min="2308" max="2308" width="16" style="1207" customWidth="1"/>
    <col min="2309" max="2309" width="14.42578125" style="1207" customWidth="1"/>
    <col min="2310" max="2310" width="16" style="1207" customWidth="1"/>
    <col min="2311" max="2311" width="3.42578125" style="1207" customWidth="1"/>
    <col min="2312" max="2561" width="9.140625" style="1207"/>
    <col min="2562" max="2562" width="40.28515625" style="1207" customWidth="1"/>
    <col min="2563" max="2563" width="14.42578125" style="1207" customWidth="1"/>
    <col min="2564" max="2564" width="16" style="1207" customWidth="1"/>
    <col min="2565" max="2565" width="14.42578125" style="1207" customWidth="1"/>
    <col min="2566" max="2566" width="16" style="1207" customWidth="1"/>
    <col min="2567" max="2567" width="3.42578125" style="1207" customWidth="1"/>
    <col min="2568" max="2817" width="9.140625" style="1207"/>
    <col min="2818" max="2818" width="40.28515625" style="1207" customWidth="1"/>
    <col min="2819" max="2819" width="14.42578125" style="1207" customWidth="1"/>
    <col min="2820" max="2820" width="16" style="1207" customWidth="1"/>
    <col min="2821" max="2821" width="14.42578125" style="1207" customWidth="1"/>
    <col min="2822" max="2822" width="16" style="1207" customWidth="1"/>
    <col min="2823" max="2823" width="3.42578125" style="1207" customWidth="1"/>
    <col min="2824" max="3073" width="9.140625" style="1207"/>
    <col min="3074" max="3074" width="40.28515625" style="1207" customWidth="1"/>
    <col min="3075" max="3075" width="14.42578125" style="1207" customWidth="1"/>
    <col min="3076" max="3076" width="16" style="1207" customWidth="1"/>
    <col min="3077" max="3077" width="14.42578125" style="1207" customWidth="1"/>
    <col min="3078" max="3078" width="16" style="1207" customWidth="1"/>
    <col min="3079" max="3079" width="3.42578125" style="1207" customWidth="1"/>
    <col min="3080" max="3329" width="9.140625" style="1207"/>
    <col min="3330" max="3330" width="40.28515625" style="1207" customWidth="1"/>
    <col min="3331" max="3331" width="14.42578125" style="1207" customWidth="1"/>
    <col min="3332" max="3332" width="16" style="1207" customWidth="1"/>
    <col min="3333" max="3333" width="14.42578125" style="1207" customWidth="1"/>
    <col min="3334" max="3334" width="16" style="1207" customWidth="1"/>
    <col min="3335" max="3335" width="3.42578125" style="1207" customWidth="1"/>
    <col min="3336" max="3585" width="9.140625" style="1207"/>
    <col min="3586" max="3586" width="40.28515625" style="1207" customWidth="1"/>
    <col min="3587" max="3587" width="14.42578125" style="1207" customWidth="1"/>
    <col min="3588" max="3588" width="16" style="1207" customWidth="1"/>
    <col min="3589" max="3589" width="14.42578125" style="1207" customWidth="1"/>
    <col min="3590" max="3590" width="16" style="1207" customWidth="1"/>
    <col min="3591" max="3591" width="3.42578125" style="1207" customWidth="1"/>
    <col min="3592" max="3841" width="9.140625" style="1207"/>
    <col min="3842" max="3842" width="40.28515625" style="1207" customWidth="1"/>
    <col min="3843" max="3843" width="14.42578125" style="1207" customWidth="1"/>
    <col min="3844" max="3844" width="16" style="1207" customWidth="1"/>
    <col min="3845" max="3845" width="14.42578125" style="1207" customWidth="1"/>
    <col min="3846" max="3846" width="16" style="1207" customWidth="1"/>
    <col min="3847" max="3847" width="3.42578125" style="1207" customWidth="1"/>
    <col min="3848" max="4097" width="9.140625" style="1207"/>
    <col min="4098" max="4098" width="40.28515625" style="1207" customWidth="1"/>
    <col min="4099" max="4099" width="14.42578125" style="1207" customWidth="1"/>
    <col min="4100" max="4100" width="16" style="1207" customWidth="1"/>
    <col min="4101" max="4101" width="14.42578125" style="1207" customWidth="1"/>
    <col min="4102" max="4102" width="16" style="1207" customWidth="1"/>
    <col min="4103" max="4103" width="3.42578125" style="1207" customWidth="1"/>
    <col min="4104" max="4353" width="9.140625" style="1207"/>
    <col min="4354" max="4354" width="40.28515625" style="1207" customWidth="1"/>
    <col min="4355" max="4355" width="14.42578125" style="1207" customWidth="1"/>
    <col min="4356" max="4356" width="16" style="1207" customWidth="1"/>
    <col min="4357" max="4357" width="14.42578125" style="1207" customWidth="1"/>
    <col min="4358" max="4358" width="16" style="1207" customWidth="1"/>
    <col min="4359" max="4359" width="3.42578125" style="1207" customWidth="1"/>
    <col min="4360" max="4609" width="9.140625" style="1207"/>
    <col min="4610" max="4610" width="40.28515625" style="1207" customWidth="1"/>
    <col min="4611" max="4611" width="14.42578125" style="1207" customWidth="1"/>
    <col min="4612" max="4612" width="16" style="1207" customWidth="1"/>
    <col min="4613" max="4613" width="14.42578125" style="1207" customWidth="1"/>
    <col min="4614" max="4614" width="16" style="1207" customWidth="1"/>
    <col min="4615" max="4615" width="3.42578125" style="1207" customWidth="1"/>
    <col min="4616" max="4865" width="9.140625" style="1207"/>
    <col min="4866" max="4866" width="40.28515625" style="1207" customWidth="1"/>
    <col min="4867" max="4867" width="14.42578125" style="1207" customWidth="1"/>
    <col min="4868" max="4868" width="16" style="1207" customWidth="1"/>
    <col min="4869" max="4869" width="14.42578125" style="1207" customWidth="1"/>
    <col min="4870" max="4870" width="16" style="1207" customWidth="1"/>
    <col min="4871" max="4871" width="3.42578125" style="1207" customWidth="1"/>
    <col min="4872" max="5121" width="9.140625" style="1207"/>
    <col min="5122" max="5122" width="40.28515625" style="1207" customWidth="1"/>
    <col min="5123" max="5123" width="14.42578125" style="1207" customWidth="1"/>
    <col min="5124" max="5124" width="16" style="1207" customWidth="1"/>
    <col min="5125" max="5125" width="14.42578125" style="1207" customWidth="1"/>
    <col min="5126" max="5126" width="16" style="1207" customWidth="1"/>
    <col min="5127" max="5127" width="3.42578125" style="1207" customWidth="1"/>
    <col min="5128" max="5377" width="9.140625" style="1207"/>
    <col min="5378" max="5378" width="40.28515625" style="1207" customWidth="1"/>
    <col min="5379" max="5379" width="14.42578125" style="1207" customWidth="1"/>
    <col min="5380" max="5380" width="16" style="1207" customWidth="1"/>
    <col min="5381" max="5381" width="14.42578125" style="1207" customWidth="1"/>
    <col min="5382" max="5382" width="16" style="1207" customWidth="1"/>
    <col min="5383" max="5383" width="3.42578125" style="1207" customWidth="1"/>
    <col min="5384" max="5633" width="9.140625" style="1207"/>
    <col min="5634" max="5634" width="40.28515625" style="1207" customWidth="1"/>
    <col min="5635" max="5635" width="14.42578125" style="1207" customWidth="1"/>
    <col min="5636" max="5636" width="16" style="1207" customWidth="1"/>
    <col min="5637" max="5637" width="14.42578125" style="1207" customWidth="1"/>
    <col min="5638" max="5638" width="16" style="1207" customWidth="1"/>
    <col min="5639" max="5639" width="3.42578125" style="1207" customWidth="1"/>
    <col min="5640" max="5889" width="9.140625" style="1207"/>
    <col min="5890" max="5890" width="40.28515625" style="1207" customWidth="1"/>
    <col min="5891" max="5891" width="14.42578125" style="1207" customWidth="1"/>
    <col min="5892" max="5892" width="16" style="1207" customWidth="1"/>
    <col min="5893" max="5893" width="14.42578125" style="1207" customWidth="1"/>
    <col min="5894" max="5894" width="16" style="1207" customWidth="1"/>
    <col min="5895" max="5895" width="3.42578125" style="1207" customWidth="1"/>
    <col min="5896" max="6145" width="9.140625" style="1207"/>
    <col min="6146" max="6146" width="40.28515625" style="1207" customWidth="1"/>
    <col min="6147" max="6147" width="14.42578125" style="1207" customWidth="1"/>
    <col min="6148" max="6148" width="16" style="1207" customWidth="1"/>
    <col min="6149" max="6149" width="14.42578125" style="1207" customWidth="1"/>
    <col min="6150" max="6150" width="16" style="1207" customWidth="1"/>
    <col min="6151" max="6151" width="3.42578125" style="1207" customWidth="1"/>
    <col min="6152" max="6401" width="9.140625" style="1207"/>
    <col min="6402" max="6402" width="40.28515625" style="1207" customWidth="1"/>
    <col min="6403" max="6403" width="14.42578125" style="1207" customWidth="1"/>
    <col min="6404" max="6404" width="16" style="1207" customWidth="1"/>
    <col min="6405" max="6405" width="14.42578125" style="1207" customWidth="1"/>
    <col min="6406" max="6406" width="16" style="1207" customWidth="1"/>
    <col min="6407" max="6407" width="3.42578125" style="1207" customWidth="1"/>
    <col min="6408" max="6657" width="9.140625" style="1207"/>
    <col min="6658" max="6658" width="40.28515625" style="1207" customWidth="1"/>
    <col min="6659" max="6659" width="14.42578125" style="1207" customWidth="1"/>
    <col min="6660" max="6660" width="16" style="1207" customWidth="1"/>
    <col min="6661" max="6661" width="14.42578125" style="1207" customWidth="1"/>
    <col min="6662" max="6662" width="16" style="1207" customWidth="1"/>
    <col min="6663" max="6663" width="3.42578125" style="1207" customWidth="1"/>
    <col min="6664" max="6913" width="9.140625" style="1207"/>
    <col min="6914" max="6914" width="40.28515625" style="1207" customWidth="1"/>
    <col min="6915" max="6915" width="14.42578125" style="1207" customWidth="1"/>
    <col min="6916" max="6916" width="16" style="1207" customWidth="1"/>
    <col min="6917" max="6917" width="14.42578125" style="1207" customWidth="1"/>
    <col min="6918" max="6918" width="16" style="1207" customWidth="1"/>
    <col min="6919" max="6919" width="3.42578125" style="1207" customWidth="1"/>
    <col min="6920" max="7169" width="9.140625" style="1207"/>
    <col min="7170" max="7170" width="40.28515625" style="1207" customWidth="1"/>
    <col min="7171" max="7171" width="14.42578125" style="1207" customWidth="1"/>
    <col min="7172" max="7172" width="16" style="1207" customWidth="1"/>
    <col min="7173" max="7173" width="14.42578125" style="1207" customWidth="1"/>
    <col min="7174" max="7174" width="16" style="1207" customWidth="1"/>
    <col min="7175" max="7175" width="3.42578125" style="1207" customWidth="1"/>
    <col min="7176" max="7425" width="9.140625" style="1207"/>
    <col min="7426" max="7426" width="40.28515625" style="1207" customWidth="1"/>
    <col min="7427" max="7427" width="14.42578125" style="1207" customWidth="1"/>
    <col min="7428" max="7428" width="16" style="1207" customWidth="1"/>
    <col min="7429" max="7429" width="14.42578125" style="1207" customWidth="1"/>
    <col min="7430" max="7430" width="16" style="1207" customWidth="1"/>
    <col min="7431" max="7431" width="3.42578125" style="1207" customWidth="1"/>
    <col min="7432" max="7681" width="9.140625" style="1207"/>
    <col min="7682" max="7682" width="40.28515625" style="1207" customWidth="1"/>
    <col min="7683" max="7683" width="14.42578125" style="1207" customWidth="1"/>
    <col min="7684" max="7684" width="16" style="1207" customWidth="1"/>
    <col min="7685" max="7685" width="14.42578125" style="1207" customWidth="1"/>
    <col min="7686" max="7686" width="16" style="1207" customWidth="1"/>
    <col min="7687" max="7687" width="3.42578125" style="1207" customWidth="1"/>
    <col min="7688" max="7937" width="9.140625" style="1207"/>
    <col min="7938" max="7938" width="40.28515625" style="1207" customWidth="1"/>
    <col min="7939" max="7939" width="14.42578125" style="1207" customWidth="1"/>
    <col min="7940" max="7940" width="16" style="1207" customWidth="1"/>
    <col min="7941" max="7941" width="14.42578125" style="1207" customWidth="1"/>
    <col min="7942" max="7942" width="16" style="1207" customWidth="1"/>
    <col min="7943" max="7943" width="3.42578125" style="1207" customWidth="1"/>
    <col min="7944" max="8193" width="9.140625" style="1207"/>
    <col min="8194" max="8194" width="40.28515625" style="1207" customWidth="1"/>
    <col min="8195" max="8195" width="14.42578125" style="1207" customWidth="1"/>
    <col min="8196" max="8196" width="16" style="1207" customWidth="1"/>
    <col min="8197" max="8197" width="14.42578125" style="1207" customWidth="1"/>
    <col min="8198" max="8198" width="16" style="1207" customWidth="1"/>
    <col min="8199" max="8199" width="3.42578125" style="1207" customWidth="1"/>
    <col min="8200" max="8449" width="9.140625" style="1207"/>
    <col min="8450" max="8450" width="40.28515625" style="1207" customWidth="1"/>
    <col min="8451" max="8451" width="14.42578125" style="1207" customWidth="1"/>
    <col min="8452" max="8452" width="16" style="1207" customWidth="1"/>
    <col min="8453" max="8453" width="14.42578125" style="1207" customWidth="1"/>
    <col min="8454" max="8454" width="16" style="1207" customWidth="1"/>
    <col min="8455" max="8455" width="3.42578125" style="1207" customWidth="1"/>
    <col min="8456" max="8705" width="9.140625" style="1207"/>
    <col min="8706" max="8706" width="40.28515625" style="1207" customWidth="1"/>
    <col min="8707" max="8707" width="14.42578125" style="1207" customWidth="1"/>
    <col min="8708" max="8708" width="16" style="1207" customWidth="1"/>
    <col min="8709" max="8709" width="14.42578125" style="1207" customWidth="1"/>
    <col min="8710" max="8710" width="16" style="1207" customWidth="1"/>
    <col min="8711" max="8711" width="3.42578125" style="1207" customWidth="1"/>
    <col min="8712" max="8961" width="9.140625" style="1207"/>
    <col min="8962" max="8962" width="40.28515625" style="1207" customWidth="1"/>
    <col min="8963" max="8963" width="14.42578125" style="1207" customWidth="1"/>
    <col min="8964" max="8964" width="16" style="1207" customWidth="1"/>
    <col min="8965" max="8965" width="14.42578125" style="1207" customWidth="1"/>
    <col min="8966" max="8966" width="16" style="1207" customWidth="1"/>
    <col min="8967" max="8967" width="3.42578125" style="1207" customWidth="1"/>
    <col min="8968" max="9217" width="9.140625" style="1207"/>
    <col min="9218" max="9218" width="40.28515625" style="1207" customWidth="1"/>
    <col min="9219" max="9219" width="14.42578125" style="1207" customWidth="1"/>
    <col min="9220" max="9220" width="16" style="1207" customWidth="1"/>
    <col min="9221" max="9221" width="14.42578125" style="1207" customWidth="1"/>
    <col min="9222" max="9222" width="16" style="1207" customWidth="1"/>
    <col min="9223" max="9223" width="3.42578125" style="1207" customWidth="1"/>
    <col min="9224" max="9473" width="9.140625" style="1207"/>
    <col min="9474" max="9474" width="40.28515625" style="1207" customWidth="1"/>
    <col min="9475" max="9475" width="14.42578125" style="1207" customWidth="1"/>
    <col min="9476" max="9476" width="16" style="1207" customWidth="1"/>
    <col min="9477" max="9477" width="14.42578125" style="1207" customWidth="1"/>
    <col min="9478" max="9478" width="16" style="1207" customWidth="1"/>
    <col min="9479" max="9479" width="3.42578125" style="1207" customWidth="1"/>
    <col min="9480" max="9729" width="9.140625" style="1207"/>
    <col min="9730" max="9730" width="40.28515625" style="1207" customWidth="1"/>
    <col min="9731" max="9731" width="14.42578125" style="1207" customWidth="1"/>
    <col min="9732" max="9732" width="16" style="1207" customWidth="1"/>
    <col min="9733" max="9733" width="14.42578125" style="1207" customWidth="1"/>
    <col min="9734" max="9734" width="16" style="1207" customWidth="1"/>
    <col min="9735" max="9735" width="3.42578125" style="1207" customWidth="1"/>
    <col min="9736" max="9985" width="9.140625" style="1207"/>
    <col min="9986" max="9986" width="40.28515625" style="1207" customWidth="1"/>
    <col min="9987" max="9987" width="14.42578125" style="1207" customWidth="1"/>
    <col min="9988" max="9988" width="16" style="1207" customWidth="1"/>
    <col min="9989" max="9989" width="14.42578125" style="1207" customWidth="1"/>
    <col min="9990" max="9990" width="16" style="1207" customWidth="1"/>
    <col min="9991" max="9991" width="3.42578125" style="1207" customWidth="1"/>
    <col min="9992" max="10241" width="9.140625" style="1207"/>
    <col min="10242" max="10242" width="40.28515625" style="1207" customWidth="1"/>
    <col min="10243" max="10243" width="14.42578125" style="1207" customWidth="1"/>
    <col min="10244" max="10244" width="16" style="1207" customWidth="1"/>
    <col min="10245" max="10245" width="14.42578125" style="1207" customWidth="1"/>
    <col min="10246" max="10246" width="16" style="1207" customWidth="1"/>
    <col min="10247" max="10247" width="3.42578125" style="1207" customWidth="1"/>
    <col min="10248" max="10497" width="9.140625" style="1207"/>
    <col min="10498" max="10498" width="40.28515625" style="1207" customWidth="1"/>
    <col min="10499" max="10499" width="14.42578125" style="1207" customWidth="1"/>
    <col min="10500" max="10500" width="16" style="1207" customWidth="1"/>
    <col min="10501" max="10501" width="14.42578125" style="1207" customWidth="1"/>
    <col min="10502" max="10502" width="16" style="1207" customWidth="1"/>
    <col min="10503" max="10503" width="3.42578125" style="1207" customWidth="1"/>
    <col min="10504" max="10753" width="9.140625" style="1207"/>
    <col min="10754" max="10754" width="40.28515625" style="1207" customWidth="1"/>
    <col min="10755" max="10755" width="14.42578125" style="1207" customWidth="1"/>
    <col min="10756" max="10756" width="16" style="1207" customWidth="1"/>
    <col min="10757" max="10757" width="14.42578125" style="1207" customWidth="1"/>
    <col min="10758" max="10758" width="16" style="1207" customWidth="1"/>
    <col min="10759" max="10759" width="3.42578125" style="1207" customWidth="1"/>
    <col min="10760" max="11009" width="9.140625" style="1207"/>
    <col min="11010" max="11010" width="40.28515625" style="1207" customWidth="1"/>
    <col min="11011" max="11011" width="14.42578125" style="1207" customWidth="1"/>
    <col min="11012" max="11012" width="16" style="1207" customWidth="1"/>
    <col min="11013" max="11013" width="14.42578125" style="1207" customWidth="1"/>
    <col min="11014" max="11014" width="16" style="1207" customWidth="1"/>
    <col min="11015" max="11015" width="3.42578125" style="1207" customWidth="1"/>
    <col min="11016" max="11265" width="9.140625" style="1207"/>
    <col min="11266" max="11266" width="40.28515625" style="1207" customWidth="1"/>
    <col min="11267" max="11267" width="14.42578125" style="1207" customWidth="1"/>
    <col min="11268" max="11268" width="16" style="1207" customWidth="1"/>
    <col min="11269" max="11269" width="14.42578125" style="1207" customWidth="1"/>
    <col min="11270" max="11270" width="16" style="1207" customWidth="1"/>
    <col min="11271" max="11271" width="3.42578125" style="1207" customWidth="1"/>
    <col min="11272" max="11521" width="9.140625" style="1207"/>
    <col min="11522" max="11522" width="40.28515625" style="1207" customWidth="1"/>
    <col min="11523" max="11523" width="14.42578125" style="1207" customWidth="1"/>
    <col min="11524" max="11524" width="16" style="1207" customWidth="1"/>
    <col min="11525" max="11525" width="14.42578125" style="1207" customWidth="1"/>
    <col min="11526" max="11526" width="16" style="1207" customWidth="1"/>
    <col min="11527" max="11527" width="3.42578125" style="1207" customWidth="1"/>
    <col min="11528" max="11777" width="9.140625" style="1207"/>
    <col min="11778" max="11778" width="40.28515625" style="1207" customWidth="1"/>
    <col min="11779" max="11779" width="14.42578125" style="1207" customWidth="1"/>
    <col min="11780" max="11780" width="16" style="1207" customWidth="1"/>
    <col min="11781" max="11781" width="14.42578125" style="1207" customWidth="1"/>
    <col min="11782" max="11782" width="16" style="1207" customWidth="1"/>
    <col min="11783" max="11783" width="3.42578125" style="1207" customWidth="1"/>
    <col min="11784" max="12033" width="9.140625" style="1207"/>
    <col min="12034" max="12034" width="40.28515625" style="1207" customWidth="1"/>
    <col min="12035" max="12035" width="14.42578125" style="1207" customWidth="1"/>
    <col min="12036" max="12036" width="16" style="1207" customWidth="1"/>
    <col min="12037" max="12037" width="14.42578125" style="1207" customWidth="1"/>
    <col min="12038" max="12038" width="16" style="1207" customWidth="1"/>
    <col min="12039" max="12039" width="3.42578125" style="1207" customWidth="1"/>
    <col min="12040" max="12289" width="9.140625" style="1207"/>
    <col min="12290" max="12290" width="40.28515625" style="1207" customWidth="1"/>
    <col min="12291" max="12291" width="14.42578125" style="1207" customWidth="1"/>
    <col min="12292" max="12292" width="16" style="1207" customWidth="1"/>
    <col min="12293" max="12293" width="14.42578125" style="1207" customWidth="1"/>
    <col min="12294" max="12294" width="16" style="1207" customWidth="1"/>
    <col min="12295" max="12295" width="3.42578125" style="1207" customWidth="1"/>
    <col min="12296" max="12545" width="9.140625" style="1207"/>
    <col min="12546" max="12546" width="40.28515625" style="1207" customWidth="1"/>
    <col min="12547" max="12547" width="14.42578125" style="1207" customWidth="1"/>
    <col min="12548" max="12548" width="16" style="1207" customWidth="1"/>
    <col min="12549" max="12549" width="14.42578125" style="1207" customWidth="1"/>
    <col min="12550" max="12550" width="16" style="1207" customWidth="1"/>
    <col min="12551" max="12551" width="3.42578125" style="1207" customWidth="1"/>
    <col min="12552" max="12801" width="9.140625" style="1207"/>
    <col min="12802" max="12802" width="40.28515625" style="1207" customWidth="1"/>
    <col min="12803" max="12803" width="14.42578125" style="1207" customWidth="1"/>
    <col min="12804" max="12804" width="16" style="1207" customWidth="1"/>
    <col min="12805" max="12805" width="14.42578125" style="1207" customWidth="1"/>
    <col min="12806" max="12806" width="16" style="1207" customWidth="1"/>
    <col min="12807" max="12807" width="3.42578125" style="1207" customWidth="1"/>
    <col min="12808" max="13057" width="9.140625" style="1207"/>
    <col min="13058" max="13058" width="40.28515625" style="1207" customWidth="1"/>
    <col min="13059" max="13059" width="14.42578125" style="1207" customWidth="1"/>
    <col min="13060" max="13060" width="16" style="1207" customWidth="1"/>
    <col min="13061" max="13061" width="14.42578125" style="1207" customWidth="1"/>
    <col min="13062" max="13062" width="16" style="1207" customWidth="1"/>
    <col min="13063" max="13063" width="3.42578125" style="1207" customWidth="1"/>
    <col min="13064" max="13313" width="9.140625" style="1207"/>
    <col min="13314" max="13314" width="40.28515625" style="1207" customWidth="1"/>
    <col min="13315" max="13315" width="14.42578125" style="1207" customWidth="1"/>
    <col min="13316" max="13316" width="16" style="1207" customWidth="1"/>
    <col min="13317" max="13317" width="14.42578125" style="1207" customWidth="1"/>
    <col min="13318" max="13318" width="16" style="1207" customWidth="1"/>
    <col min="13319" max="13319" width="3.42578125" style="1207" customWidth="1"/>
    <col min="13320" max="13569" width="9.140625" style="1207"/>
    <col min="13570" max="13570" width="40.28515625" style="1207" customWidth="1"/>
    <col min="13571" max="13571" width="14.42578125" style="1207" customWidth="1"/>
    <col min="13572" max="13572" width="16" style="1207" customWidth="1"/>
    <col min="13573" max="13573" width="14.42578125" style="1207" customWidth="1"/>
    <col min="13574" max="13574" width="16" style="1207" customWidth="1"/>
    <col min="13575" max="13575" width="3.42578125" style="1207" customWidth="1"/>
    <col min="13576" max="13825" width="9.140625" style="1207"/>
    <col min="13826" max="13826" width="40.28515625" style="1207" customWidth="1"/>
    <col min="13827" max="13827" width="14.42578125" style="1207" customWidth="1"/>
    <col min="13828" max="13828" width="16" style="1207" customWidth="1"/>
    <col min="13829" max="13829" width="14.42578125" style="1207" customWidth="1"/>
    <col min="13830" max="13830" width="16" style="1207" customWidth="1"/>
    <col min="13831" max="13831" width="3.42578125" style="1207" customWidth="1"/>
    <col min="13832" max="14081" width="9.140625" style="1207"/>
    <col min="14082" max="14082" width="40.28515625" style="1207" customWidth="1"/>
    <col min="14083" max="14083" width="14.42578125" style="1207" customWidth="1"/>
    <col min="14084" max="14084" width="16" style="1207" customWidth="1"/>
    <col min="14085" max="14085" width="14.42578125" style="1207" customWidth="1"/>
    <col min="14086" max="14086" width="16" style="1207" customWidth="1"/>
    <col min="14087" max="14087" width="3.42578125" style="1207" customWidth="1"/>
    <col min="14088" max="14337" width="9.140625" style="1207"/>
    <col min="14338" max="14338" width="40.28515625" style="1207" customWidth="1"/>
    <col min="14339" max="14339" width="14.42578125" style="1207" customWidth="1"/>
    <col min="14340" max="14340" width="16" style="1207" customWidth="1"/>
    <col min="14341" max="14341" width="14.42578125" style="1207" customWidth="1"/>
    <col min="14342" max="14342" width="16" style="1207" customWidth="1"/>
    <col min="14343" max="14343" width="3.42578125" style="1207" customWidth="1"/>
    <col min="14344" max="14593" width="9.140625" style="1207"/>
    <col min="14594" max="14594" width="40.28515625" style="1207" customWidth="1"/>
    <col min="14595" max="14595" width="14.42578125" style="1207" customWidth="1"/>
    <col min="14596" max="14596" width="16" style="1207" customWidth="1"/>
    <col min="14597" max="14597" width="14.42578125" style="1207" customWidth="1"/>
    <col min="14598" max="14598" width="16" style="1207" customWidth="1"/>
    <col min="14599" max="14599" width="3.42578125" style="1207" customWidth="1"/>
    <col min="14600" max="14849" width="9.140625" style="1207"/>
    <col min="14850" max="14850" width="40.28515625" style="1207" customWidth="1"/>
    <col min="14851" max="14851" width="14.42578125" style="1207" customWidth="1"/>
    <col min="14852" max="14852" width="16" style="1207" customWidth="1"/>
    <col min="14853" max="14853" width="14.42578125" style="1207" customWidth="1"/>
    <col min="14854" max="14854" width="16" style="1207" customWidth="1"/>
    <col min="14855" max="14855" width="3.42578125" style="1207" customWidth="1"/>
    <col min="14856" max="15105" width="9.140625" style="1207"/>
    <col min="15106" max="15106" width="40.28515625" style="1207" customWidth="1"/>
    <col min="15107" max="15107" width="14.42578125" style="1207" customWidth="1"/>
    <col min="15108" max="15108" width="16" style="1207" customWidth="1"/>
    <col min="15109" max="15109" width="14.42578125" style="1207" customWidth="1"/>
    <col min="15110" max="15110" width="16" style="1207" customWidth="1"/>
    <col min="15111" max="15111" width="3.42578125" style="1207" customWidth="1"/>
    <col min="15112" max="15361" width="9.140625" style="1207"/>
    <col min="15362" max="15362" width="40.28515625" style="1207" customWidth="1"/>
    <col min="15363" max="15363" width="14.42578125" style="1207" customWidth="1"/>
    <col min="15364" max="15364" width="16" style="1207" customWidth="1"/>
    <col min="15365" max="15365" width="14.42578125" style="1207" customWidth="1"/>
    <col min="15366" max="15366" width="16" style="1207" customWidth="1"/>
    <col min="15367" max="15367" width="3.42578125" style="1207" customWidth="1"/>
    <col min="15368" max="15617" width="9.140625" style="1207"/>
    <col min="15618" max="15618" width="40.28515625" style="1207" customWidth="1"/>
    <col min="15619" max="15619" width="14.42578125" style="1207" customWidth="1"/>
    <col min="15620" max="15620" width="16" style="1207" customWidth="1"/>
    <col min="15621" max="15621" width="14.42578125" style="1207" customWidth="1"/>
    <col min="15622" max="15622" width="16" style="1207" customWidth="1"/>
    <col min="15623" max="15623" width="3.42578125" style="1207" customWidth="1"/>
    <col min="15624" max="15873" width="9.140625" style="1207"/>
    <col min="15874" max="15874" width="40.28515625" style="1207" customWidth="1"/>
    <col min="15875" max="15875" width="14.42578125" style="1207" customWidth="1"/>
    <col min="15876" max="15876" width="16" style="1207" customWidth="1"/>
    <col min="15877" max="15877" width="14.42578125" style="1207" customWidth="1"/>
    <col min="15878" max="15878" width="16" style="1207" customWidth="1"/>
    <col min="15879" max="15879" width="3.42578125" style="1207" customWidth="1"/>
    <col min="15880" max="16129" width="9.140625" style="1207"/>
    <col min="16130" max="16130" width="40.28515625" style="1207" customWidth="1"/>
    <col min="16131" max="16131" width="14.42578125" style="1207" customWidth="1"/>
    <col min="16132" max="16132" width="16" style="1207" customWidth="1"/>
    <col min="16133" max="16133" width="14.42578125" style="1207" customWidth="1"/>
    <col min="16134" max="16134" width="16" style="1207" customWidth="1"/>
    <col min="16135" max="16135" width="3.42578125" style="1207" customWidth="1"/>
    <col min="16136" max="16384" width="9.140625" style="1207"/>
  </cols>
  <sheetData>
    <row r="1" spans="1:11" ht="21" customHeight="1" x14ac:dyDescent="0.25">
      <c r="A1" s="1191" t="s">
        <v>791</v>
      </c>
      <c r="B1" s="1191"/>
      <c r="C1" s="1191"/>
      <c r="D1" s="1191"/>
      <c r="E1" s="1192"/>
      <c r="F1" s="1193"/>
      <c r="G1" s="1205"/>
      <c r="H1" s="1206"/>
      <c r="I1" s="1206"/>
      <c r="J1" s="1206"/>
      <c r="K1" s="1206"/>
    </row>
    <row r="2" spans="1:11" ht="9.75" customHeight="1" thickBot="1" x14ac:dyDescent="0.3">
      <c r="A2" s="1191"/>
      <c r="B2" s="1191"/>
      <c r="C2" s="1191"/>
      <c r="D2" s="1191"/>
      <c r="E2" s="1192"/>
      <c r="F2" s="1193"/>
      <c r="G2" s="1205"/>
      <c r="H2" s="1206"/>
      <c r="I2" s="1206"/>
      <c r="J2" s="1206"/>
      <c r="K2" s="1206"/>
    </row>
    <row r="3" spans="1:11" s="1046" customFormat="1" ht="18.75" customHeight="1" thickBot="1" x14ac:dyDescent="0.25">
      <c r="A3" s="1047"/>
      <c r="B3" s="1048"/>
      <c r="C3" s="3309" t="s">
        <v>792</v>
      </c>
      <c r="D3" s="3310"/>
      <c r="E3" s="3309" t="s">
        <v>793</v>
      </c>
      <c r="F3" s="3310"/>
    </row>
    <row r="4" spans="1:11" s="1046" customFormat="1" ht="20.25" customHeight="1" thickBot="1" x14ac:dyDescent="0.25">
      <c r="A4" s="1050"/>
      <c r="B4" s="1051"/>
      <c r="C4" s="3243" t="s">
        <v>794</v>
      </c>
      <c r="D4" s="3244"/>
      <c r="E4" s="3243" t="s">
        <v>795</v>
      </c>
      <c r="F4" s="3244"/>
    </row>
    <row r="5" spans="1:11" s="1046" customFormat="1" ht="24" customHeight="1" x14ac:dyDescent="0.2">
      <c r="A5" s="1058">
        <v>1</v>
      </c>
      <c r="B5" s="1075" t="s">
        <v>796</v>
      </c>
      <c r="C5" s="3252">
        <v>2000</v>
      </c>
      <c r="D5" s="3253"/>
      <c r="E5" s="3252">
        <v>2000</v>
      </c>
      <c r="F5" s="3253"/>
    </row>
    <row r="6" spans="1:11" s="1046" customFormat="1" ht="20.25" customHeight="1" x14ac:dyDescent="0.2">
      <c r="A6" s="1058">
        <v>2</v>
      </c>
      <c r="B6" s="1075" t="s">
        <v>686</v>
      </c>
      <c r="C6" s="3254">
        <v>2749.5</v>
      </c>
      <c r="D6" s="3255"/>
      <c r="E6" s="3254">
        <v>4850</v>
      </c>
      <c r="F6" s="3255"/>
    </row>
    <row r="7" spans="1:11" s="1046" customFormat="1" ht="20.25" customHeight="1" x14ac:dyDescent="0.2">
      <c r="A7" s="1058">
        <v>3</v>
      </c>
      <c r="B7" s="1075" t="s">
        <v>687</v>
      </c>
      <c r="C7" s="3254">
        <v>2000</v>
      </c>
      <c r="D7" s="3255"/>
      <c r="E7" s="3254">
        <v>2000</v>
      </c>
      <c r="F7" s="3255"/>
    </row>
    <row r="8" spans="1:11" s="1046" customFormat="1" ht="20.25" customHeight="1" x14ac:dyDescent="0.2">
      <c r="A8" s="1058">
        <v>4</v>
      </c>
      <c r="B8" s="1076" t="s">
        <v>797</v>
      </c>
      <c r="C8" s="3256">
        <v>3.35</v>
      </c>
      <c r="D8" s="3257"/>
      <c r="E8" s="3256">
        <v>3.58</v>
      </c>
      <c r="F8" s="3257"/>
    </row>
    <row r="9" spans="1:11" s="1046" customFormat="1" ht="20.25" customHeight="1" x14ac:dyDescent="0.2">
      <c r="A9" s="1058">
        <v>5</v>
      </c>
      <c r="B9" s="1075" t="s">
        <v>689</v>
      </c>
      <c r="C9" s="3256">
        <v>3.95</v>
      </c>
      <c r="D9" s="3257"/>
      <c r="E9" s="3256">
        <v>3.82</v>
      </c>
      <c r="F9" s="3257"/>
    </row>
    <row r="10" spans="1:11" s="1046" customFormat="1" ht="20.25" customHeight="1" x14ac:dyDescent="0.2">
      <c r="A10" s="1058">
        <v>6</v>
      </c>
      <c r="B10" s="1075" t="s">
        <v>690</v>
      </c>
      <c r="C10" s="3264">
        <v>3.8</v>
      </c>
      <c r="D10" s="3265"/>
      <c r="E10" s="3264">
        <v>3.7</v>
      </c>
      <c r="F10" s="3265"/>
    </row>
    <row r="11" spans="1:11" s="1046" customFormat="1" ht="20.25" customHeight="1" x14ac:dyDescent="0.2">
      <c r="A11" s="1058">
        <v>7</v>
      </c>
      <c r="B11" s="1075" t="s">
        <v>691</v>
      </c>
      <c r="C11" s="3266" t="s">
        <v>798</v>
      </c>
      <c r="D11" s="3267"/>
      <c r="E11" s="3266" t="s">
        <v>799</v>
      </c>
      <c r="F11" s="3267"/>
    </row>
    <row r="12" spans="1:11" s="1046" customFormat="1" ht="12.75" customHeight="1" thickBot="1" x14ac:dyDescent="0.25">
      <c r="A12" s="1077"/>
      <c r="B12" s="1051"/>
      <c r="C12" s="3258"/>
      <c r="D12" s="3259"/>
      <c r="E12" s="3258"/>
      <c r="F12" s="3259"/>
    </row>
    <row r="13" spans="1:11" ht="19.5" customHeight="1" x14ac:dyDescent="0.25">
      <c r="A13" s="3343" t="s">
        <v>800</v>
      </c>
      <c r="B13" s="3343"/>
      <c r="C13" s="3343"/>
      <c r="D13" s="3343" t="s">
        <v>801</v>
      </c>
      <c r="E13" s="3343"/>
      <c r="F13" s="3343"/>
      <c r="G13" s="1208"/>
      <c r="H13" s="1208"/>
    </row>
    <row r="14" spans="1:11" ht="19.5" customHeight="1" x14ac:dyDescent="0.25">
      <c r="A14" s="3344" t="s">
        <v>802</v>
      </c>
      <c r="B14" s="3345"/>
      <c r="C14" s="3345"/>
      <c r="D14" s="3344" t="s">
        <v>803</v>
      </c>
      <c r="E14" s="3345"/>
      <c r="F14" s="3345"/>
    </row>
    <row r="15" spans="1:11" ht="21" customHeight="1" x14ac:dyDescent="0.25">
      <c r="A15" s="1209" t="s">
        <v>680</v>
      </c>
      <c r="B15" s="1209"/>
      <c r="C15" s="1209"/>
      <c r="D15" s="1210"/>
      <c r="E15" s="1210"/>
      <c r="F15" s="1210"/>
    </row>
    <row r="16" spans="1:11" ht="21" customHeight="1" x14ac:dyDescent="0.3"/>
    <row r="17" spans="1:16384" s="1212" customFormat="1" ht="21" customHeight="1" x14ac:dyDescent="0.25">
      <c r="A17" s="1191" t="s">
        <v>804</v>
      </c>
      <c r="B17" s="1191"/>
      <c r="C17" s="1191"/>
      <c r="D17" s="1191"/>
      <c r="E17" s="1192"/>
      <c r="F17" s="1193"/>
    </row>
    <row r="18" spans="1:16384" ht="9" customHeight="1" thickBot="1" x14ac:dyDescent="0.3">
      <c r="A18" s="1191"/>
      <c r="B18" s="1191"/>
      <c r="C18" s="1191"/>
      <c r="D18" s="1191"/>
      <c r="E18" s="1192"/>
      <c r="F18" s="1193"/>
    </row>
    <row r="19" spans="1:16384" ht="21" customHeight="1" thickBot="1" x14ac:dyDescent="0.3">
      <c r="A19" s="1213"/>
      <c r="B19" s="1214"/>
      <c r="C19" s="3337" t="s">
        <v>805</v>
      </c>
      <c r="D19" s="3338"/>
      <c r="E19" s="3337" t="s">
        <v>806</v>
      </c>
      <c r="F19" s="3338"/>
    </row>
    <row r="20" spans="1:16384" ht="21" customHeight="1" thickBot="1" x14ac:dyDescent="0.3">
      <c r="A20" s="1215"/>
      <c r="B20" s="1216"/>
      <c r="C20" s="3339" t="s">
        <v>807</v>
      </c>
      <c r="D20" s="3340"/>
      <c r="E20" s="3339" t="s">
        <v>807</v>
      </c>
      <c r="F20" s="3340"/>
    </row>
    <row r="21" spans="1:16384" ht="21" customHeight="1" x14ac:dyDescent="0.25">
      <c r="A21" s="1217">
        <v>1</v>
      </c>
      <c r="B21" s="1218" t="s">
        <v>808</v>
      </c>
      <c r="C21" s="3341">
        <v>758</v>
      </c>
      <c r="D21" s="3342"/>
      <c r="E21" s="3341">
        <v>1435</v>
      </c>
      <c r="F21" s="3342"/>
    </row>
    <row r="22" spans="1:16384" ht="21" customHeight="1" x14ac:dyDescent="0.25">
      <c r="A22" s="1217">
        <v>2</v>
      </c>
      <c r="B22" s="1219" t="s">
        <v>809</v>
      </c>
      <c r="C22" s="3331">
        <v>4.3</v>
      </c>
      <c r="D22" s="3332"/>
      <c r="E22" s="3331">
        <v>4.3</v>
      </c>
      <c r="F22" s="3332"/>
    </row>
    <row r="23" spans="1:16384" ht="21" customHeight="1" x14ac:dyDescent="0.25">
      <c r="A23" s="1217">
        <v>3</v>
      </c>
      <c r="B23" s="1218" t="s">
        <v>810</v>
      </c>
      <c r="C23" s="3333">
        <v>4.29</v>
      </c>
      <c r="D23" s="3334"/>
      <c r="E23" s="3333">
        <v>4.28</v>
      </c>
      <c r="F23" s="3334"/>
    </row>
    <row r="24" spans="1:16384" ht="21" customHeight="1" x14ac:dyDescent="0.25">
      <c r="A24" s="1217">
        <v>4</v>
      </c>
      <c r="B24" s="1218" t="s">
        <v>811</v>
      </c>
      <c r="C24" s="3335">
        <v>100.036</v>
      </c>
      <c r="D24" s="3336"/>
      <c r="E24" s="3335">
        <v>100.08</v>
      </c>
      <c r="F24" s="3336"/>
    </row>
    <row r="25" spans="1:16384" s="1208" customFormat="1" ht="21" customHeight="1" thickBot="1" x14ac:dyDescent="0.3">
      <c r="A25" s="1220"/>
      <c r="B25" s="1221"/>
      <c r="C25" s="3328"/>
      <c r="D25" s="3329"/>
      <c r="E25" s="3328"/>
      <c r="F25" s="3329"/>
    </row>
    <row r="26" spans="1:16384" ht="15.75" customHeight="1" x14ac:dyDescent="0.25">
      <c r="A26" s="3327" t="s">
        <v>812</v>
      </c>
      <c r="B26" s="3327"/>
      <c r="C26" s="3327"/>
      <c r="D26" s="3327"/>
      <c r="E26" s="3330"/>
      <c r="F26" s="3330"/>
      <c r="G26" s="3327"/>
      <c r="H26" s="3327"/>
      <c r="I26" s="3327"/>
      <c r="J26" s="3327"/>
      <c r="K26" s="3327"/>
      <c r="L26" s="3327"/>
      <c r="M26" s="3327"/>
      <c r="N26" s="3327"/>
      <c r="O26" s="3327"/>
      <c r="P26" s="3327"/>
      <c r="Q26" s="3327"/>
      <c r="R26" s="3327"/>
      <c r="S26" s="3327"/>
      <c r="T26" s="3327"/>
      <c r="U26" s="3327"/>
      <c r="V26" s="3327"/>
      <c r="W26" s="3327"/>
      <c r="X26" s="3327"/>
      <c r="Y26" s="3327"/>
      <c r="Z26" s="3327"/>
      <c r="AA26" s="3327"/>
      <c r="AB26" s="3327"/>
      <c r="AC26" s="3327"/>
      <c r="AD26" s="3327"/>
      <c r="AE26" s="3327"/>
      <c r="AF26" s="3327"/>
      <c r="AG26" s="3327"/>
      <c r="AH26" s="3327"/>
      <c r="AI26" s="3327"/>
      <c r="AJ26" s="3327"/>
      <c r="AK26" s="3327"/>
      <c r="AL26" s="3327"/>
      <c r="AM26" s="3327"/>
      <c r="AN26" s="3327"/>
      <c r="AO26" s="3327"/>
      <c r="AP26" s="3327"/>
      <c r="AQ26" s="3327"/>
      <c r="AR26" s="3327"/>
      <c r="AS26" s="3327"/>
      <c r="AT26" s="3327"/>
      <c r="AU26" s="3327"/>
      <c r="AV26" s="3327"/>
      <c r="AW26" s="3327"/>
      <c r="AX26" s="3327"/>
      <c r="AY26" s="3327"/>
      <c r="AZ26" s="3327"/>
      <c r="BA26" s="3327"/>
      <c r="BB26" s="3327"/>
      <c r="BC26" s="3327"/>
      <c r="BD26" s="3327"/>
      <c r="BE26" s="3327"/>
      <c r="BF26" s="3327"/>
      <c r="BG26" s="3327"/>
      <c r="BH26" s="3327"/>
      <c r="BI26" s="3327"/>
      <c r="BJ26" s="3327"/>
      <c r="BK26" s="3327"/>
      <c r="BL26" s="3327"/>
      <c r="BM26" s="3327"/>
      <c r="BN26" s="3327"/>
      <c r="BO26" s="3327"/>
      <c r="BP26" s="3327"/>
      <c r="BQ26" s="3327"/>
      <c r="BR26" s="3327"/>
      <c r="BS26" s="3327"/>
      <c r="BT26" s="3327"/>
      <c r="BU26" s="3327"/>
      <c r="BV26" s="3327"/>
      <c r="BW26" s="3327"/>
      <c r="BX26" s="3327"/>
      <c r="BY26" s="3327"/>
      <c r="BZ26" s="3327"/>
      <c r="CA26" s="3327"/>
      <c r="CB26" s="3327"/>
      <c r="CC26" s="3327"/>
      <c r="CD26" s="3327"/>
      <c r="CE26" s="3327"/>
      <c r="CF26" s="3327"/>
      <c r="CG26" s="3327"/>
      <c r="CH26" s="3327"/>
      <c r="CI26" s="3327"/>
      <c r="CJ26" s="3327"/>
      <c r="CK26" s="3327"/>
      <c r="CL26" s="3327"/>
      <c r="CM26" s="3327"/>
      <c r="CN26" s="3327"/>
      <c r="CO26" s="3327"/>
      <c r="CP26" s="3327"/>
      <c r="CQ26" s="3327"/>
      <c r="CR26" s="3327"/>
      <c r="CS26" s="3327"/>
      <c r="CT26" s="3327"/>
      <c r="CU26" s="3327"/>
      <c r="CV26" s="3327"/>
      <c r="CW26" s="3327"/>
      <c r="CX26" s="3327"/>
      <c r="CY26" s="3327"/>
      <c r="CZ26" s="3327"/>
      <c r="DA26" s="3327"/>
      <c r="DB26" s="3327"/>
      <c r="DC26" s="3327"/>
      <c r="DD26" s="3327"/>
      <c r="DE26" s="3327"/>
      <c r="DF26" s="3327"/>
      <c r="DG26" s="3327"/>
      <c r="DH26" s="3327"/>
      <c r="DI26" s="3327"/>
      <c r="DJ26" s="3327"/>
      <c r="DK26" s="3327"/>
      <c r="DL26" s="3327"/>
      <c r="DM26" s="3327"/>
      <c r="DN26" s="3327"/>
      <c r="DO26" s="3327"/>
      <c r="DP26" s="3327"/>
      <c r="DQ26" s="3327"/>
      <c r="DR26" s="3327"/>
      <c r="DS26" s="3327"/>
      <c r="DT26" s="3327"/>
      <c r="DU26" s="3327"/>
      <c r="DV26" s="3327"/>
      <c r="DW26" s="3327"/>
      <c r="DX26" s="3327"/>
      <c r="DY26" s="3327"/>
      <c r="DZ26" s="3327"/>
      <c r="EA26" s="3327"/>
      <c r="EB26" s="3327"/>
      <c r="EC26" s="3327"/>
      <c r="ED26" s="3327"/>
      <c r="EE26" s="3327"/>
      <c r="EF26" s="3327"/>
      <c r="EG26" s="3327"/>
      <c r="EH26" s="3327"/>
      <c r="EI26" s="3327"/>
      <c r="EJ26" s="3327"/>
      <c r="EK26" s="3327"/>
      <c r="EL26" s="3327"/>
      <c r="EM26" s="3327"/>
      <c r="EN26" s="3327"/>
      <c r="EO26" s="3327"/>
      <c r="EP26" s="3327"/>
      <c r="EQ26" s="3327"/>
      <c r="ER26" s="3327"/>
      <c r="ES26" s="3327"/>
      <c r="ET26" s="3327"/>
      <c r="EU26" s="3327"/>
      <c r="EV26" s="3327"/>
      <c r="EW26" s="3327"/>
      <c r="EX26" s="3327"/>
      <c r="EY26" s="3327"/>
      <c r="EZ26" s="3327"/>
      <c r="FA26" s="3327"/>
      <c r="FB26" s="3327"/>
      <c r="FC26" s="3327"/>
      <c r="FD26" s="3327"/>
      <c r="FE26" s="3327"/>
      <c r="FF26" s="3327"/>
      <c r="FG26" s="3327"/>
      <c r="FH26" s="3327"/>
      <c r="FI26" s="3327"/>
      <c r="FJ26" s="3327"/>
      <c r="FK26" s="3327"/>
      <c r="FL26" s="3327"/>
      <c r="FM26" s="3327"/>
      <c r="FN26" s="3327"/>
      <c r="FO26" s="3327"/>
      <c r="FP26" s="3327"/>
      <c r="FQ26" s="3327"/>
      <c r="FR26" s="3327"/>
      <c r="FS26" s="3327"/>
      <c r="FT26" s="3327"/>
      <c r="FU26" s="3327"/>
      <c r="FV26" s="3327"/>
      <c r="FW26" s="3327"/>
      <c r="FX26" s="3327"/>
      <c r="FY26" s="3327"/>
      <c r="FZ26" s="3327"/>
      <c r="GA26" s="3327"/>
      <c r="GB26" s="3327"/>
      <c r="GC26" s="3327"/>
      <c r="GD26" s="3327"/>
      <c r="GE26" s="3327"/>
      <c r="GF26" s="3327"/>
      <c r="GG26" s="3327"/>
      <c r="GH26" s="3327"/>
      <c r="GI26" s="3327"/>
      <c r="GJ26" s="3327"/>
      <c r="GK26" s="3327"/>
      <c r="GL26" s="3327"/>
      <c r="GM26" s="3327"/>
      <c r="GN26" s="3327"/>
      <c r="GO26" s="3327"/>
      <c r="GP26" s="3327"/>
      <c r="GQ26" s="3327"/>
      <c r="GR26" s="3327"/>
      <c r="GS26" s="3327"/>
      <c r="GT26" s="3327"/>
      <c r="GU26" s="3327"/>
      <c r="GV26" s="3327"/>
      <c r="GW26" s="3327"/>
      <c r="GX26" s="3327"/>
      <c r="GY26" s="3327"/>
      <c r="GZ26" s="3327"/>
      <c r="HA26" s="3327"/>
      <c r="HB26" s="3327"/>
      <c r="HC26" s="3327"/>
      <c r="HD26" s="3327"/>
      <c r="HE26" s="3327"/>
      <c r="HF26" s="3327"/>
      <c r="HG26" s="3327"/>
      <c r="HH26" s="3327"/>
      <c r="HI26" s="3327"/>
      <c r="HJ26" s="3327"/>
      <c r="HK26" s="3327"/>
      <c r="HL26" s="3327"/>
      <c r="HM26" s="3327"/>
      <c r="HN26" s="3327"/>
      <c r="HO26" s="3327"/>
      <c r="HP26" s="3327"/>
      <c r="HQ26" s="3327"/>
      <c r="HR26" s="3327"/>
      <c r="HS26" s="3327"/>
      <c r="HT26" s="3327"/>
      <c r="HU26" s="3327"/>
      <c r="HV26" s="3327"/>
      <c r="HW26" s="3327"/>
      <c r="HX26" s="3327"/>
      <c r="HY26" s="3327"/>
      <c r="HZ26" s="3327"/>
      <c r="IA26" s="3327"/>
      <c r="IB26" s="3327"/>
      <c r="IC26" s="3327"/>
      <c r="ID26" s="3327"/>
      <c r="IE26" s="3327"/>
      <c r="IF26" s="3327"/>
      <c r="IG26" s="3327"/>
      <c r="IH26" s="3327"/>
      <c r="II26" s="3327"/>
      <c r="IJ26" s="3327"/>
      <c r="IK26" s="3327"/>
      <c r="IL26" s="3327"/>
      <c r="IM26" s="3327"/>
      <c r="IN26" s="3327"/>
      <c r="IO26" s="3327"/>
      <c r="IP26" s="3327"/>
      <c r="IQ26" s="3327"/>
      <c r="IR26" s="3327"/>
      <c r="IS26" s="3327"/>
      <c r="IT26" s="3327"/>
      <c r="IU26" s="3327"/>
      <c r="IV26" s="3327"/>
      <c r="IW26" s="3327"/>
      <c r="IX26" s="3327"/>
      <c r="IY26" s="3327"/>
      <c r="IZ26" s="3327"/>
      <c r="JA26" s="3327"/>
      <c r="JB26" s="3327"/>
      <c r="JC26" s="3327"/>
      <c r="JD26" s="3327"/>
      <c r="JE26" s="3327"/>
      <c r="JF26" s="3327"/>
      <c r="JG26" s="3327"/>
      <c r="JH26" s="3327"/>
      <c r="JI26" s="3327"/>
      <c r="JJ26" s="3327"/>
      <c r="JK26" s="3327"/>
      <c r="JL26" s="3327"/>
      <c r="JM26" s="3327"/>
      <c r="JN26" s="3327"/>
      <c r="JO26" s="3327"/>
      <c r="JP26" s="3327"/>
      <c r="JQ26" s="3327"/>
      <c r="JR26" s="3327"/>
      <c r="JS26" s="3327"/>
      <c r="JT26" s="3327"/>
      <c r="JU26" s="3327"/>
      <c r="JV26" s="3327"/>
      <c r="JW26" s="3327"/>
      <c r="JX26" s="3327"/>
      <c r="JY26" s="3327"/>
      <c r="JZ26" s="3327"/>
      <c r="KA26" s="3327"/>
      <c r="KB26" s="3327"/>
      <c r="KC26" s="3327"/>
      <c r="KD26" s="3327"/>
      <c r="KE26" s="3327"/>
      <c r="KF26" s="3327"/>
      <c r="KG26" s="3327"/>
      <c r="KH26" s="3327"/>
      <c r="KI26" s="3327"/>
      <c r="KJ26" s="3327"/>
      <c r="KK26" s="3327"/>
      <c r="KL26" s="3327"/>
      <c r="KM26" s="3327"/>
      <c r="KN26" s="3327"/>
      <c r="KO26" s="3327"/>
      <c r="KP26" s="3327"/>
      <c r="KQ26" s="3327"/>
      <c r="KR26" s="3327"/>
      <c r="KS26" s="3327"/>
      <c r="KT26" s="3327"/>
      <c r="KU26" s="3327"/>
      <c r="KV26" s="3327"/>
      <c r="KW26" s="3327"/>
      <c r="KX26" s="3327"/>
      <c r="KY26" s="3327"/>
      <c r="KZ26" s="3327"/>
      <c r="LA26" s="3327"/>
      <c r="LB26" s="3327"/>
      <c r="LC26" s="3327"/>
      <c r="LD26" s="3327"/>
      <c r="LE26" s="3327"/>
      <c r="LF26" s="3327"/>
      <c r="LG26" s="3327"/>
      <c r="LH26" s="3327"/>
      <c r="LI26" s="3327"/>
      <c r="LJ26" s="3327"/>
      <c r="LK26" s="3327"/>
      <c r="LL26" s="3327"/>
      <c r="LM26" s="3327"/>
      <c r="LN26" s="3327"/>
      <c r="LO26" s="3327"/>
      <c r="LP26" s="3327"/>
      <c r="LQ26" s="3327"/>
      <c r="LR26" s="3327"/>
      <c r="LS26" s="3327"/>
      <c r="LT26" s="3327"/>
      <c r="LU26" s="3327"/>
      <c r="LV26" s="3327"/>
      <c r="LW26" s="3327"/>
      <c r="LX26" s="3327"/>
      <c r="LY26" s="3327"/>
      <c r="LZ26" s="3327"/>
      <c r="MA26" s="3327"/>
      <c r="MB26" s="3327"/>
      <c r="MC26" s="3327"/>
      <c r="MD26" s="3327"/>
      <c r="ME26" s="3327"/>
      <c r="MF26" s="3327"/>
      <c r="MG26" s="3327"/>
      <c r="MH26" s="3327"/>
      <c r="MI26" s="3327"/>
      <c r="MJ26" s="3327"/>
      <c r="MK26" s="3327"/>
      <c r="ML26" s="3327"/>
      <c r="MM26" s="3327"/>
      <c r="MN26" s="3327"/>
      <c r="MO26" s="3327"/>
      <c r="MP26" s="3327"/>
      <c r="MQ26" s="3327"/>
      <c r="MR26" s="3327"/>
      <c r="MS26" s="3327"/>
      <c r="MT26" s="3327"/>
      <c r="MU26" s="3327"/>
      <c r="MV26" s="3327"/>
      <c r="MW26" s="3327"/>
      <c r="MX26" s="3327"/>
      <c r="MY26" s="3327"/>
      <c r="MZ26" s="3327"/>
      <c r="NA26" s="3327"/>
      <c r="NB26" s="3327"/>
      <c r="NC26" s="3327"/>
      <c r="ND26" s="3327"/>
      <c r="NE26" s="3327"/>
      <c r="NF26" s="3327"/>
      <c r="NG26" s="3327"/>
      <c r="NH26" s="3327"/>
      <c r="NI26" s="3327"/>
      <c r="NJ26" s="3327"/>
      <c r="NK26" s="3327"/>
      <c r="NL26" s="3327"/>
      <c r="NM26" s="3327"/>
      <c r="NN26" s="3327"/>
      <c r="NO26" s="3327"/>
      <c r="NP26" s="3327"/>
      <c r="NQ26" s="3327"/>
      <c r="NR26" s="3327"/>
      <c r="NS26" s="3327"/>
      <c r="NT26" s="3327"/>
      <c r="NU26" s="3327"/>
      <c r="NV26" s="3327"/>
      <c r="NW26" s="3327"/>
      <c r="NX26" s="3327"/>
      <c r="NY26" s="3327"/>
      <c r="NZ26" s="3327"/>
      <c r="OA26" s="3327"/>
      <c r="OB26" s="3327"/>
      <c r="OC26" s="3327"/>
      <c r="OD26" s="3327"/>
      <c r="OE26" s="3327"/>
      <c r="OF26" s="3327"/>
      <c r="OG26" s="3327"/>
      <c r="OH26" s="3327"/>
      <c r="OI26" s="3327"/>
      <c r="OJ26" s="3327"/>
      <c r="OK26" s="3327"/>
      <c r="OL26" s="3327"/>
      <c r="OM26" s="3327"/>
      <c r="ON26" s="3327"/>
      <c r="OO26" s="3327"/>
      <c r="OP26" s="3327"/>
      <c r="OQ26" s="3327"/>
      <c r="OR26" s="3327"/>
      <c r="OS26" s="3327"/>
      <c r="OT26" s="3327"/>
      <c r="OU26" s="3327"/>
      <c r="OV26" s="3327"/>
      <c r="OW26" s="3327"/>
      <c r="OX26" s="3327"/>
      <c r="OY26" s="3327"/>
      <c r="OZ26" s="3327"/>
      <c r="PA26" s="3327"/>
      <c r="PB26" s="3327"/>
      <c r="PC26" s="3327"/>
      <c r="PD26" s="3327"/>
      <c r="PE26" s="3327"/>
      <c r="PF26" s="3327"/>
      <c r="PG26" s="3327"/>
      <c r="PH26" s="3327"/>
      <c r="PI26" s="3327"/>
      <c r="PJ26" s="3327"/>
      <c r="PK26" s="3327"/>
      <c r="PL26" s="3327"/>
      <c r="PM26" s="3327"/>
      <c r="PN26" s="3327"/>
      <c r="PO26" s="3327"/>
      <c r="PP26" s="3327"/>
      <c r="PQ26" s="3327"/>
      <c r="PR26" s="3327"/>
      <c r="PS26" s="3327"/>
      <c r="PT26" s="3327"/>
      <c r="PU26" s="3327"/>
      <c r="PV26" s="3327"/>
      <c r="PW26" s="3327"/>
      <c r="PX26" s="3327"/>
      <c r="PY26" s="3327"/>
      <c r="PZ26" s="3327"/>
      <c r="QA26" s="3327"/>
      <c r="QB26" s="3327"/>
      <c r="QC26" s="3327"/>
      <c r="QD26" s="3327"/>
      <c r="QE26" s="3327"/>
      <c r="QF26" s="3327"/>
      <c r="QG26" s="3327"/>
      <c r="QH26" s="3327"/>
      <c r="QI26" s="3327"/>
      <c r="QJ26" s="3327"/>
      <c r="QK26" s="3327"/>
      <c r="QL26" s="3327"/>
      <c r="QM26" s="3327"/>
      <c r="QN26" s="3327"/>
      <c r="QO26" s="3327"/>
      <c r="QP26" s="3327"/>
      <c r="QQ26" s="3327"/>
      <c r="QR26" s="3327"/>
      <c r="QS26" s="3327"/>
      <c r="QT26" s="3327"/>
      <c r="QU26" s="3327"/>
      <c r="QV26" s="3327"/>
      <c r="QW26" s="3327"/>
      <c r="QX26" s="3327"/>
      <c r="QY26" s="3327"/>
      <c r="QZ26" s="3327"/>
      <c r="RA26" s="3327"/>
      <c r="RB26" s="3327"/>
      <c r="RC26" s="3327"/>
      <c r="RD26" s="3327"/>
      <c r="RE26" s="3327"/>
      <c r="RF26" s="3327"/>
      <c r="RG26" s="3327"/>
      <c r="RH26" s="3327"/>
      <c r="RI26" s="3327"/>
      <c r="RJ26" s="3327"/>
      <c r="RK26" s="3327"/>
      <c r="RL26" s="3327"/>
      <c r="RM26" s="3327"/>
      <c r="RN26" s="3327"/>
      <c r="RO26" s="3327"/>
      <c r="RP26" s="3327"/>
      <c r="RQ26" s="3327"/>
      <c r="RR26" s="3327"/>
      <c r="RS26" s="3327"/>
      <c r="RT26" s="3327"/>
      <c r="RU26" s="3327"/>
      <c r="RV26" s="3327"/>
      <c r="RW26" s="3327"/>
      <c r="RX26" s="3327"/>
      <c r="RY26" s="3327"/>
      <c r="RZ26" s="3327"/>
      <c r="SA26" s="3327"/>
      <c r="SB26" s="3327"/>
      <c r="SC26" s="3327"/>
      <c r="SD26" s="3327"/>
      <c r="SE26" s="3327"/>
      <c r="SF26" s="3327"/>
      <c r="SG26" s="3327"/>
      <c r="SH26" s="3327"/>
      <c r="SI26" s="3327"/>
      <c r="SJ26" s="3327"/>
      <c r="SK26" s="3327"/>
      <c r="SL26" s="3327"/>
      <c r="SM26" s="3327"/>
      <c r="SN26" s="3327"/>
      <c r="SO26" s="3327"/>
      <c r="SP26" s="3327"/>
      <c r="SQ26" s="3327"/>
      <c r="SR26" s="3327"/>
      <c r="SS26" s="3327"/>
      <c r="ST26" s="3327"/>
      <c r="SU26" s="3327"/>
      <c r="SV26" s="3327"/>
      <c r="SW26" s="3327"/>
      <c r="SX26" s="3327"/>
      <c r="SY26" s="3327"/>
      <c r="SZ26" s="3327"/>
      <c r="TA26" s="3327"/>
      <c r="TB26" s="3327"/>
      <c r="TC26" s="3327"/>
      <c r="TD26" s="3327"/>
      <c r="TE26" s="3327"/>
      <c r="TF26" s="3327"/>
      <c r="TG26" s="3327"/>
      <c r="TH26" s="3327"/>
      <c r="TI26" s="3327"/>
      <c r="TJ26" s="3327"/>
      <c r="TK26" s="3327"/>
      <c r="TL26" s="3327"/>
      <c r="TM26" s="3327"/>
      <c r="TN26" s="3327"/>
      <c r="TO26" s="3327"/>
      <c r="TP26" s="3327"/>
      <c r="TQ26" s="3327"/>
      <c r="TR26" s="3327"/>
      <c r="TS26" s="3327"/>
      <c r="TT26" s="3327"/>
      <c r="TU26" s="3327"/>
      <c r="TV26" s="3327"/>
      <c r="TW26" s="3327"/>
      <c r="TX26" s="3327"/>
      <c r="TY26" s="3327"/>
      <c r="TZ26" s="3327"/>
      <c r="UA26" s="3327"/>
      <c r="UB26" s="3327"/>
      <c r="UC26" s="3327"/>
      <c r="UD26" s="3327"/>
      <c r="UE26" s="3327"/>
      <c r="UF26" s="3327"/>
      <c r="UG26" s="3327"/>
      <c r="UH26" s="3327"/>
      <c r="UI26" s="3327"/>
      <c r="UJ26" s="3327"/>
      <c r="UK26" s="3327"/>
      <c r="UL26" s="3327"/>
      <c r="UM26" s="3327"/>
      <c r="UN26" s="3327"/>
      <c r="UO26" s="3327"/>
      <c r="UP26" s="3327"/>
      <c r="UQ26" s="3327"/>
      <c r="UR26" s="3327"/>
      <c r="US26" s="3327"/>
      <c r="UT26" s="3327"/>
      <c r="UU26" s="3327"/>
      <c r="UV26" s="3327"/>
      <c r="UW26" s="3327"/>
      <c r="UX26" s="3327"/>
      <c r="UY26" s="3327"/>
      <c r="UZ26" s="3327"/>
      <c r="VA26" s="3327"/>
      <c r="VB26" s="3327"/>
      <c r="VC26" s="3327"/>
      <c r="VD26" s="3327"/>
      <c r="VE26" s="3327"/>
      <c r="VF26" s="3327"/>
      <c r="VG26" s="3327"/>
      <c r="VH26" s="3327"/>
      <c r="VI26" s="3327"/>
      <c r="VJ26" s="3327"/>
      <c r="VK26" s="3327"/>
      <c r="VL26" s="3327"/>
      <c r="VM26" s="3327"/>
      <c r="VN26" s="3327"/>
      <c r="VO26" s="3327"/>
      <c r="VP26" s="3327"/>
      <c r="VQ26" s="3327"/>
      <c r="VR26" s="3327"/>
      <c r="VS26" s="3327"/>
      <c r="VT26" s="3327"/>
      <c r="VU26" s="3327"/>
      <c r="VV26" s="3327"/>
      <c r="VW26" s="3327"/>
      <c r="VX26" s="3327"/>
      <c r="VY26" s="3327"/>
      <c r="VZ26" s="3327"/>
      <c r="WA26" s="3327"/>
      <c r="WB26" s="3327"/>
      <c r="WC26" s="3327"/>
      <c r="WD26" s="3327"/>
      <c r="WE26" s="3327"/>
      <c r="WF26" s="3327"/>
      <c r="WG26" s="3327"/>
      <c r="WH26" s="3327"/>
      <c r="WI26" s="3327"/>
      <c r="WJ26" s="3327"/>
      <c r="WK26" s="3327"/>
      <c r="WL26" s="3327"/>
      <c r="WM26" s="3327"/>
      <c r="WN26" s="3327"/>
      <c r="WO26" s="3327"/>
      <c r="WP26" s="3327"/>
      <c r="WQ26" s="3327"/>
      <c r="WR26" s="3327"/>
      <c r="WS26" s="3327"/>
      <c r="WT26" s="3327"/>
      <c r="WU26" s="3327"/>
      <c r="WV26" s="3327"/>
      <c r="WW26" s="3327"/>
      <c r="WX26" s="3327"/>
      <c r="WY26" s="3327"/>
      <c r="WZ26" s="3327"/>
      <c r="XA26" s="3327"/>
      <c r="XB26" s="3327"/>
      <c r="XC26" s="3327"/>
      <c r="XD26" s="3327"/>
      <c r="XE26" s="3327"/>
      <c r="XF26" s="3327"/>
      <c r="XG26" s="3327"/>
      <c r="XH26" s="3327"/>
      <c r="XI26" s="3327"/>
      <c r="XJ26" s="3327"/>
      <c r="XK26" s="3327"/>
      <c r="XL26" s="3327"/>
      <c r="XM26" s="3327"/>
      <c r="XN26" s="3327"/>
      <c r="XO26" s="3327"/>
      <c r="XP26" s="3327"/>
      <c r="XQ26" s="3327"/>
      <c r="XR26" s="3327"/>
      <c r="XS26" s="3327"/>
      <c r="XT26" s="3327"/>
      <c r="XU26" s="3327"/>
      <c r="XV26" s="3327"/>
      <c r="XW26" s="3327"/>
      <c r="XX26" s="3327"/>
      <c r="XY26" s="3327"/>
      <c r="XZ26" s="3327"/>
      <c r="YA26" s="3327"/>
      <c r="YB26" s="3327"/>
      <c r="YC26" s="3327"/>
      <c r="YD26" s="3327"/>
      <c r="YE26" s="3327"/>
      <c r="YF26" s="3327"/>
      <c r="YG26" s="3327"/>
      <c r="YH26" s="3327"/>
      <c r="YI26" s="3327"/>
      <c r="YJ26" s="3327"/>
      <c r="YK26" s="3327"/>
      <c r="YL26" s="3327"/>
      <c r="YM26" s="3327"/>
      <c r="YN26" s="3327"/>
      <c r="YO26" s="3327"/>
      <c r="YP26" s="3327"/>
      <c r="YQ26" s="3327"/>
      <c r="YR26" s="3327"/>
      <c r="YS26" s="3327"/>
      <c r="YT26" s="3327"/>
      <c r="YU26" s="3327"/>
      <c r="YV26" s="3327"/>
      <c r="YW26" s="3327"/>
      <c r="YX26" s="3327"/>
      <c r="YY26" s="3327"/>
      <c r="YZ26" s="3327"/>
      <c r="ZA26" s="3327"/>
      <c r="ZB26" s="3327"/>
      <c r="ZC26" s="3327"/>
      <c r="ZD26" s="3327"/>
      <c r="ZE26" s="3327"/>
      <c r="ZF26" s="3327"/>
      <c r="ZG26" s="3327"/>
      <c r="ZH26" s="3327"/>
      <c r="ZI26" s="3327"/>
      <c r="ZJ26" s="3327"/>
      <c r="ZK26" s="3327"/>
      <c r="ZL26" s="3327"/>
      <c r="ZM26" s="3327"/>
      <c r="ZN26" s="3327"/>
      <c r="ZO26" s="3327"/>
      <c r="ZP26" s="3327"/>
      <c r="ZQ26" s="3327"/>
      <c r="ZR26" s="3327"/>
      <c r="ZS26" s="3327"/>
      <c r="ZT26" s="3327"/>
      <c r="ZU26" s="3327"/>
      <c r="ZV26" s="3327"/>
      <c r="ZW26" s="3327"/>
      <c r="ZX26" s="3327"/>
      <c r="ZY26" s="3327"/>
      <c r="ZZ26" s="3327"/>
      <c r="AAA26" s="3327"/>
      <c r="AAB26" s="3327"/>
      <c r="AAC26" s="3327"/>
      <c r="AAD26" s="3327"/>
      <c r="AAE26" s="3327"/>
      <c r="AAF26" s="3327"/>
      <c r="AAG26" s="3327"/>
      <c r="AAH26" s="3327"/>
      <c r="AAI26" s="3327"/>
      <c r="AAJ26" s="3327"/>
      <c r="AAK26" s="3327"/>
      <c r="AAL26" s="3327"/>
      <c r="AAM26" s="3327"/>
      <c r="AAN26" s="3327"/>
      <c r="AAO26" s="3327"/>
      <c r="AAP26" s="3327"/>
      <c r="AAQ26" s="3327"/>
      <c r="AAR26" s="3327"/>
      <c r="AAS26" s="3327"/>
      <c r="AAT26" s="3327"/>
      <c r="AAU26" s="3327"/>
      <c r="AAV26" s="3327"/>
      <c r="AAW26" s="3327"/>
      <c r="AAX26" s="3327"/>
      <c r="AAY26" s="3327"/>
      <c r="AAZ26" s="3327"/>
      <c r="ABA26" s="3327"/>
      <c r="ABB26" s="3327"/>
      <c r="ABC26" s="3327"/>
      <c r="ABD26" s="3327"/>
      <c r="ABE26" s="3327"/>
      <c r="ABF26" s="3327"/>
      <c r="ABG26" s="3327"/>
      <c r="ABH26" s="3327"/>
      <c r="ABI26" s="3327"/>
      <c r="ABJ26" s="3327"/>
      <c r="ABK26" s="3327"/>
      <c r="ABL26" s="3327"/>
      <c r="ABM26" s="3327"/>
      <c r="ABN26" s="3327"/>
      <c r="ABO26" s="3327"/>
      <c r="ABP26" s="3327"/>
      <c r="ABQ26" s="3327"/>
      <c r="ABR26" s="3327"/>
      <c r="ABS26" s="3327"/>
      <c r="ABT26" s="3327"/>
      <c r="ABU26" s="3327"/>
      <c r="ABV26" s="3327"/>
      <c r="ABW26" s="3327"/>
      <c r="ABX26" s="3327"/>
      <c r="ABY26" s="3327"/>
      <c r="ABZ26" s="3327"/>
      <c r="ACA26" s="3327"/>
      <c r="ACB26" s="3327"/>
      <c r="ACC26" s="3327"/>
      <c r="ACD26" s="3327"/>
      <c r="ACE26" s="3327"/>
      <c r="ACF26" s="3327"/>
      <c r="ACG26" s="3327"/>
      <c r="ACH26" s="3327"/>
      <c r="ACI26" s="3327"/>
      <c r="ACJ26" s="3327"/>
      <c r="ACK26" s="3327"/>
      <c r="ACL26" s="3327"/>
      <c r="ACM26" s="3327"/>
      <c r="ACN26" s="3327"/>
      <c r="ACO26" s="3327"/>
      <c r="ACP26" s="3327"/>
      <c r="ACQ26" s="3327"/>
      <c r="ACR26" s="3327"/>
      <c r="ACS26" s="3327"/>
      <c r="ACT26" s="3327"/>
      <c r="ACU26" s="3327"/>
      <c r="ACV26" s="3327"/>
      <c r="ACW26" s="3327"/>
      <c r="ACX26" s="3327"/>
      <c r="ACY26" s="3327"/>
      <c r="ACZ26" s="3327"/>
      <c r="ADA26" s="3327"/>
      <c r="ADB26" s="3327"/>
      <c r="ADC26" s="3327"/>
      <c r="ADD26" s="3327"/>
      <c r="ADE26" s="3327"/>
      <c r="ADF26" s="3327"/>
      <c r="ADG26" s="3327"/>
      <c r="ADH26" s="3327"/>
      <c r="ADI26" s="3327"/>
      <c r="ADJ26" s="3327"/>
      <c r="ADK26" s="3327"/>
      <c r="ADL26" s="3327"/>
      <c r="ADM26" s="3327"/>
      <c r="ADN26" s="3327"/>
      <c r="ADO26" s="3327"/>
      <c r="ADP26" s="3327"/>
      <c r="ADQ26" s="3327"/>
      <c r="ADR26" s="3327"/>
      <c r="ADS26" s="3327"/>
      <c r="ADT26" s="3327"/>
      <c r="ADU26" s="3327"/>
      <c r="ADV26" s="3327"/>
      <c r="ADW26" s="3327"/>
      <c r="ADX26" s="3327"/>
      <c r="ADY26" s="3327"/>
      <c r="ADZ26" s="3327"/>
      <c r="AEA26" s="3327"/>
      <c r="AEB26" s="3327"/>
      <c r="AEC26" s="3327"/>
      <c r="AED26" s="3327"/>
      <c r="AEE26" s="3327"/>
      <c r="AEF26" s="3327"/>
      <c r="AEG26" s="3327"/>
      <c r="AEH26" s="3327"/>
      <c r="AEI26" s="3327"/>
      <c r="AEJ26" s="3327"/>
      <c r="AEK26" s="3327"/>
      <c r="AEL26" s="3327"/>
      <c r="AEM26" s="3327"/>
      <c r="AEN26" s="3327"/>
      <c r="AEO26" s="3327"/>
      <c r="AEP26" s="3327"/>
      <c r="AEQ26" s="3327"/>
      <c r="AER26" s="3327"/>
      <c r="AES26" s="3327"/>
      <c r="AET26" s="3327"/>
      <c r="AEU26" s="3327"/>
      <c r="AEV26" s="3327"/>
      <c r="AEW26" s="3327"/>
      <c r="AEX26" s="3327"/>
      <c r="AEY26" s="3327"/>
      <c r="AEZ26" s="3327"/>
      <c r="AFA26" s="3327"/>
      <c r="AFB26" s="3327"/>
      <c r="AFC26" s="3327"/>
      <c r="AFD26" s="3327"/>
      <c r="AFE26" s="3327"/>
      <c r="AFF26" s="3327"/>
      <c r="AFG26" s="3327"/>
      <c r="AFH26" s="3327"/>
      <c r="AFI26" s="3327"/>
      <c r="AFJ26" s="3327"/>
      <c r="AFK26" s="3327"/>
      <c r="AFL26" s="3327"/>
      <c r="AFM26" s="3327"/>
      <c r="AFN26" s="3327"/>
      <c r="AFO26" s="3327"/>
      <c r="AFP26" s="3327"/>
      <c r="AFQ26" s="3327"/>
      <c r="AFR26" s="3327"/>
      <c r="AFS26" s="3327"/>
      <c r="AFT26" s="3327"/>
      <c r="AFU26" s="3327"/>
      <c r="AFV26" s="3327"/>
      <c r="AFW26" s="3327"/>
      <c r="AFX26" s="3327"/>
      <c r="AFY26" s="3327"/>
      <c r="AFZ26" s="3327"/>
      <c r="AGA26" s="3327"/>
      <c r="AGB26" s="3327"/>
      <c r="AGC26" s="3327"/>
      <c r="AGD26" s="3327"/>
      <c r="AGE26" s="3327"/>
      <c r="AGF26" s="3327"/>
      <c r="AGG26" s="3327"/>
      <c r="AGH26" s="3327"/>
      <c r="AGI26" s="3327"/>
      <c r="AGJ26" s="3327"/>
      <c r="AGK26" s="3327"/>
      <c r="AGL26" s="3327"/>
      <c r="AGM26" s="3327"/>
      <c r="AGN26" s="3327"/>
      <c r="AGO26" s="3327"/>
      <c r="AGP26" s="3327"/>
      <c r="AGQ26" s="3327"/>
      <c r="AGR26" s="3327"/>
      <c r="AGS26" s="3327"/>
      <c r="AGT26" s="3327"/>
      <c r="AGU26" s="3327"/>
      <c r="AGV26" s="3327"/>
      <c r="AGW26" s="3327"/>
      <c r="AGX26" s="3327"/>
      <c r="AGY26" s="3327"/>
      <c r="AGZ26" s="3327"/>
      <c r="AHA26" s="3327"/>
      <c r="AHB26" s="3327"/>
      <c r="AHC26" s="3327"/>
      <c r="AHD26" s="3327"/>
      <c r="AHE26" s="3327"/>
      <c r="AHF26" s="3327"/>
      <c r="AHG26" s="3327"/>
      <c r="AHH26" s="3327"/>
      <c r="AHI26" s="3327"/>
      <c r="AHJ26" s="3327"/>
      <c r="AHK26" s="3327"/>
      <c r="AHL26" s="3327"/>
      <c r="AHM26" s="3327"/>
      <c r="AHN26" s="3327"/>
      <c r="AHO26" s="3327"/>
      <c r="AHP26" s="3327"/>
      <c r="AHQ26" s="3327"/>
      <c r="AHR26" s="3327"/>
      <c r="AHS26" s="3327"/>
      <c r="AHT26" s="3327"/>
      <c r="AHU26" s="3327"/>
      <c r="AHV26" s="3327"/>
      <c r="AHW26" s="3327"/>
      <c r="AHX26" s="3327"/>
      <c r="AHY26" s="3327"/>
      <c r="AHZ26" s="3327"/>
      <c r="AIA26" s="3327"/>
      <c r="AIB26" s="3327"/>
      <c r="AIC26" s="3327"/>
      <c r="AID26" s="3327"/>
      <c r="AIE26" s="3327"/>
      <c r="AIF26" s="3327"/>
      <c r="AIG26" s="3327"/>
      <c r="AIH26" s="3327"/>
      <c r="AII26" s="3327"/>
      <c r="AIJ26" s="3327"/>
      <c r="AIK26" s="3327"/>
      <c r="AIL26" s="3327"/>
      <c r="AIM26" s="3327"/>
      <c r="AIN26" s="3327"/>
      <c r="AIO26" s="3327"/>
      <c r="AIP26" s="3327"/>
      <c r="AIQ26" s="3327"/>
      <c r="AIR26" s="3327"/>
      <c r="AIS26" s="3327"/>
      <c r="AIT26" s="3327"/>
      <c r="AIU26" s="3327"/>
      <c r="AIV26" s="3327"/>
      <c r="AIW26" s="3327"/>
      <c r="AIX26" s="3327"/>
      <c r="AIY26" s="3327"/>
      <c r="AIZ26" s="3327"/>
      <c r="AJA26" s="3327"/>
      <c r="AJB26" s="3327"/>
      <c r="AJC26" s="3327"/>
      <c r="AJD26" s="3327"/>
      <c r="AJE26" s="3327"/>
      <c r="AJF26" s="3327"/>
      <c r="AJG26" s="3327"/>
      <c r="AJH26" s="3327"/>
      <c r="AJI26" s="3327"/>
      <c r="AJJ26" s="3327"/>
      <c r="AJK26" s="3327"/>
      <c r="AJL26" s="3327"/>
      <c r="AJM26" s="3327"/>
      <c r="AJN26" s="3327"/>
      <c r="AJO26" s="3327"/>
      <c r="AJP26" s="3327"/>
      <c r="AJQ26" s="3327"/>
      <c r="AJR26" s="3327"/>
      <c r="AJS26" s="3327"/>
      <c r="AJT26" s="3327"/>
      <c r="AJU26" s="3327"/>
      <c r="AJV26" s="3327"/>
      <c r="AJW26" s="3327"/>
      <c r="AJX26" s="3327"/>
      <c r="AJY26" s="3327"/>
      <c r="AJZ26" s="3327"/>
      <c r="AKA26" s="3327"/>
      <c r="AKB26" s="3327"/>
      <c r="AKC26" s="3327"/>
      <c r="AKD26" s="3327"/>
      <c r="AKE26" s="3327"/>
      <c r="AKF26" s="3327"/>
      <c r="AKG26" s="3327"/>
      <c r="AKH26" s="3327"/>
      <c r="AKI26" s="3327"/>
      <c r="AKJ26" s="3327"/>
      <c r="AKK26" s="3327"/>
      <c r="AKL26" s="3327"/>
      <c r="AKM26" s="3327"/>
      <c r="AKN26" s="3327"/>
      <c r="AKO26" s="3327"/>
      <c r="AKP26" s="3327"/>
      <c r="AKQ26" s="3327"/>
      <c r="AKR26" s="3327"/>
      <c r="AKS26" s="3327"/>
      <c r="AKT26" s="3327"/>
      <c r="AKU26" s="3327"/>
      <c r="AKV26" s="3327"/>
      <c r="AKW26" s="3327"/>
      <c r="AKX26" s="3327"/>
      <c r="AKY26" s="3327"/>
      <c r="AKZ26" s="3327"/>
      <c r="ALA26" s="3327"/>
      <c r="ALB26" s="3327"/>
      <c r="ALC26" s="3327"/>
      <c r="ALD26" s="3327"/>
      <c r="ALE26" s="3327"/>
      <c r="ALF26" s="3327"/>
      <c r="ALG26" s="3327"/>
      <c r="ALH26" s="3327"/>
      <c r="ALI26" s="3327"/>
      <c r="ALJ26" s="3327"/>
      <c r="ALK26" s="3327"/>
      <c r="ALL26" s="3327"/>
      <c r="ALM26" s="3327"/>
      <c r="ALN26" s="3327"/>
      <c r="ALO26" s="3327"/>
      <c r="ALP26" s="3327"/>
      <c r="ALQ26" s="3327"/>
      <c r="ALR26" s="3327"/>
      <c r="ALS26" s="3327"/>
      <c r="ALT26" s="3327"/>
      <c r="ALU26" s="3327"/>
      <c r="ALV26" s="3327"/>
      <c r="ALW26" s="3327"/>
      <c r="ALX26" s="3327"/>
      <c r="ALY26" s="3327"/>
      <c r="ALZ26" s="3327"/>
      <c r="AMA26" s="3327"/>
      <c r="AMB26" s="3327"/>
      <c r="AMC26" s="3327"/>
      <c r="AMD26" s="3327"/>
      <c r="AME26" s="3327"/>
      <c r="AMF26" s="3327"/>
      <c r="AMG26" s="3327"/>
      <c r="AMH26" s="3327"/>
      <c r="AMI26" s="3327"/>
      <c r="AMJ26" s="3327"/>
      <c r="AMK26" s="3327"/>
      <c r="AML26" s="3327"/>
      <c r="AMM26" s="3327"/>
      <c r="AMN26" s="3327"/>
      <c r="AMO26" s="3327"/>
      <c r="AMP26" s="3327"/>
      <c r="AMQ26" s="3327"/>
      <c r="AMR26" s="3327"/>
      <c r="AMS26" s="3327"/>
      <c r="AMT26" s="3327"/>
      <c r="AMU26" s="3327"/>
      <c r="AMV26" s="3327"/>
      <c r="AMW26" s="3327"/>
      <c r="AMX26" s="3327"/>
      <c r="AMY26" s="3327"/>
      <c r="AMZ26" s="3327"/>
      <c r="ANA26" s="3327"/>
      <c r="ANB26" s="3327"/>
      <c r="ANC26" s="3327"/>
      <c r="AND26" s="3327"/>
      <c r="ANE26" s="3327"/>
      <c r="ANF26" s="3327"/>
      <c r="ANG26" s="3327"/>
      <c r="ANH26" s="3327"/>
      <c r="ANI26" s="3327"/>
      <c r="ANJ26" s="3327"/>
      <c r="ANK26" s="3327"/>
      <c r="ANL26" s="3327"/>
      <c r="ANM26" s="3327"/>
      <c r="ANN26" s="3327"/>
      <c r="ANO26" s="3327"/>
      <c r="ANP26" s="3327"/>
      <c r="ANQ26" s="3327"/>
      <c r="ANR26" s="3327"/>
      <c r="ANS26" s="3327"/>
      <c r="ANT26" s="3327"/>
      <c r="ANU26" s="3327"/>
      <c r="ANV26" s="3327"/>
      <c r="ANW26" s="3327"/>
      <c r="ANX26" s="3327"/>
      <c r="ANY26" s="3327"/>
      <c r="ANZ26" s="3327"/>
      <c r="AOA26" s="3327"/>
      <c r="AOB26" s="3327"/>
      <c r="AOC26" s="3327"/>
      <c r="AOD26" s="3327"/>
      <c r="AOE26" s="3327"/>
      <c r="AOF26" s="3327"/>
      <c r="AOG26" s="3327"/>
      <c r="AOH26" s="3327"/>
      <c r="AOI26" s="3327"/>
      <c r="AOJ26" s="3327"/>
      <c r="AOK26" s="3327"/>
      <c r="AOL26" s="3327"/>
      <c r="AOM26" s="3327"/>
      <c r="AON26" s="3327"/>
      <c r="AOO26" s="3327"/>
      <c r="AOP26" s="3327"/>
      <c r="AOQ26" s="3327"/>
      <c r="AOR26" s="3327"/>
      <c r="AOS26" s="3327"/>
      <c r="AOT26" s="3327"/>
      <c r="AOU26" s="3327"/>
      <c r="AOV26" s="3327"/>
      <c r="AOW26" s="3327"/>
      <c r="AOX26" s="3327"/>
      <c r="AOY26" s="3327"/>
      <c r="AOZ26" s="3327"/>
      <c r="APA26" s="3327"/>
      <c r="APB26" s="3327"/>
      <c r="APC26" s="3327"/>
      <c r="APD26" s="3327"/>
      <c r="APE26" s="3327"/>
      <c r="APF26" s="3327"/>
      <c r="APG26" s="3327"/>
      <c r="APH26" s="3327"/>
      <c r="API26" s="3327"/>
      <c r="APJ26" s="3327"/>
      <c r="APK26" s="3327"/>
      <c r="APL26" s="3327"/>
      <c r="APM26" s="3327"/>
      <c r="APN26" s="3327"/>
      <c r="APO26" s="3327"/>
      <c r="APP26" s="3327"/>
      <c r="APQ26" s="3327"/>
      <c r="APR26" s="3327"/>
      <c r="APS26" s="3327"/>
      <c r="APT26" s="3327"/>
      <c r="APU26" s="3327"/>
      <c r="APV26" s="3327"/>
      <c r="APW26" s="3327"/>
      <c r="APX26" s="3327"/>
      <c r="APY26" s="3327"/>
      <c r="APZ26" s="3327"/>
      <c r="AQA26" s="3327"/>
      <c r="AQB26" s="3327"/>
      <c r="AQC26" s="3327"/>
      <c r="AQD26" s="3327"/>
      <c r="AQE26" s="3327"/>
      <c r="AQF26" s="3327"/>
      <c r="AQG26" s="3327"/>
      <c r="AQH26" s="3327"/>
      <c r="AQI26" s="3327"/>
      <c r="AQJ26" s="3327"/>
      <c r="AQK26" s="3327"/>
      <c r="AQL26" s="3327"/>
      <c r="AQM26" s="3327"/>
      <c r="AQN26" s="3327"/>
      <c r="AQO26" s="3327"/>
      <c r="AQP26" s="3327"/>
      <c r="AQQ26" s="3327"/>
      <c r="AQR26" s="3327"/>
      <c r="AQS26" s="3327"/>
      <c r="AQT26" s="3327"/>
      <c r="AQU26" s="3327"/>
      <c r="AQV26" s="3327"/>
      <c r="AQW26" s="3327"/>
      <c r="AQX26" s="3327"/>
      <c r="AQY26" s="3327"/>
      <c r="AQZ26" s="3327"/>
      <c r="ARA26" s="3327"/>
      <c r="ARB26" s="3327"/>
      <c r="ARC26" s="3327"/>
      <c r="ARD26" s="3327"/>
      <c r="ARE26" s="3327"/>
      <c r="ARF26" s="3327"/>
      <c r="ARG26" s="3327"/>
      <c r="ARH26" s="3327"/>
      <c r="ARI26" s="3327"/>
      <c r="ARJ26" s="3327"/>
      <c r="ARK26" s="3327"/>
      <c r="ARL26" s="3327"/>
      <c r="ARM26" s="3327"/>
      <c r="ARN26" s="3327"/>
      <c r="ARO26" s="3327"/>
      <c r="ARP26" s="3327"/>
      <c r="ARQ26" s="3327"/>
      <c r="ARR26" s="3327"/>
      <c r="ARS26" s="3327"/>
      <c r="ART26" s="3327"/>
      <c r="ARU26" s="3327"/>
      <c r="ARV26" s="3327"/>
      <c r="ARW26" s="3327"/>
      <c r="ARX26" s="3327"/>
      <c r="ARY26" s="3327"/>
      <c r="ARZ26" s="3327"/>
      <c r="ASA26" s="3327"/>
      <c r="ASB26" s="3327"/>
      <c r="ASC26" s="3327"/>
      <c r="ASD26" s="3327"/>
      <c r="ASE26" s="3327"/>
      <c r="ASF26" s="3327"/>
      <c r="ASG26" s="3327"/>
      <c r="ASH26" s="3327"/>
      <c r="ASI26" s="3327"/>
      <c r="ASJ26" s="3327"/>
      <c r="ASK26" s="3327"/>
      <c r="ASL26" s="3327"/>
      <c r="ASM26" s="3327"/>
      <c r="ASN26" s="3327"/>
      <c r="ASO26" s="3327"/>
      <c r="ASP26" s="3327"/>
      <c r="ASQ26" s="3327"/>
      <c r="ASR26" s="3327"/>
      <c r="ASS26" s="3327"/>
      <c r="AST26" s="3327"/>
      <c r="ASU26" s="3327"/>
      <c r="ASV26" s="3327"/>
      <c r="ASW26" s="3327"/>
      <c r="ASX26" s="3327"/>
      <c r="ASY26" s="3327"/>
      <c r="ASZ26" s="3327"/>
      <c r="ATA26" s="3327"/>
      <c r="ATB26" s="3327"/>
      <c r="ATC26" s="3327"/>
      <c r="ATD26" s="3327"/>
      <c r="ATE26" s="3327"/>
      <c r="ATF26" s="3327"/>
      <c r="ATG26" s="3327"/>
      <c r="ATH26" s="3327"/>
      <c r="ATI26" s="3327"/>
      <c r="ATJ26" s="3327"/>
      <c r="ATK26" s="3327"/>
      <c r="ATL26" s="3327"/>
      <c r="ATM26" s="3327"/>
      <c r="ATN26" s="3327"/>
      <c r="ATO26" s="3327"/>
      <c r="ATP26" s="3327"/>
      <c r="ATQ26" s="3327"/>
      <c r="ATR26" s="3327"/>
      <c r="ATS26" s="3327"/>
      <c r="ATT26" s="3327"/>
      <c r="ATU26" s="3327"/>
      <c r="ATV26" s="3327"/>
      <c r="ATW26" s="3327"/>
      <c r="ATX26" s="3327"/>
      <c r="ATY26" s="3327"/>
      <c r="ATZ26" s="3327"/>
      <c r="AUA26" s="3327"/>
      <c r="AUB26" s="3327"/>
      <c r="AUC26" s="3327"/>
      <c r="AUD26" s="3327"/>
      <c r="AUE26" s="3327"/>
      <c r="AUF26" s="3327"/>
      <c r="AUG26" s="3327"/>
      <c r="AUH26" s="3327"/>
      <c r="AUI26" s="3327"/>
      <c r="AUJ26" s="3327"/>
      <c r="AUK26" s="3327"/>
      <c r="AUL26" s="3327"/>
      <c r="AUM26" s="3327"/>
      <c r="AUN26" s="3327"/>
      <c r="AUO26" s="3327"/>
      <c r="AUP26" s="3327"/>
      <c r="AUQ26" s="3327"/>
      <c r="AUR26" s="3327"/>
      <c r="AUS26" s="3327"/>
      <c r="AUT26" s="3327"/>
      <c r="AUU26" s="3327"/>
      <c r="AUV26" s="3327"/>
      <c r="AUW26" s="3327"/>
      <c r="AUX26" s="3327"/>
      <c r="AUY26" s="3327"/>
      <c r="AUZ26" s="3327"/>
      <c r="AVA26" s="3327"/>
      <c r="AVB26" s="3327"/>
      <c r="AVC26" s="3327"/>
      <c r="AVD26" s="3327"/>
      <c r="AVE26" s="3327"/>
      <c r="AVF26" s="3327"/>
      <c r="AVG26" s="3327"/>
      <c r="AVH26" s="3327"/>
      <c r="AVI26" s="3327"/>
      <c r="AVJ26" s="3327"/>
      <c r="AVK26" s="3327"/>
      <c r="AVL26" s="3327"/>
      <c r="AVM26" s="3327"/>
      <c r="AVN26" s="3327"/>
      <c r="AVO26" s="3327"/>
      <c r="AVP26" s="3327"/>
      <c r="AVQ26" s="3327"/>
      <c r="AVR26" s="3327"/>
      <c r="AVS26" s="3327"/>
      <c r="AVT26" s="3327"/>
      <c r="AVU26" s="3327"/>
      <c r="AVV26" s="3327"/>
      <c r="AVW26" s="3327"/>
      <c r="AVX26" s="3327"/>
      <c r="AVY26" s="3327"/>
      <c r="AVZ26" s="3327"/>
      <c r="AWA26" s="3327"/>
      <c r="AWB26" s="3327"/>
      <c r="AWC26" s="3327"/>
      <c r="AWD26" s="3327"/>
      <c r="AWE26" s="3327"/>
      <c r="AWF26" s="3327"/>
      <c r="AWG26" s="3327"/>
      <c r="AWH26" s="3327"/>
      <c r="AWI26" s="3327"/>
      <c r="AWJ26" s="3327"/>
      <c r="AWK26" s="3327"/>
      <c r="AWL26" s="3327"/>
      <c r="AWM26" s="3327"/>
      <c r="AWN26" s="3327"/>
      <c r="AWO26" s="3327"/>
      <c r="AWP26" s="3327"/>
      <c r="AWQ26" s="3327"/>
      <c r="AWR26" s="3327"/>
      <c r="AWS26" s="3327"/>
      <c r="AWT26" s="3327"/>
      <c r="AWU26" s="3327"/>
      <c r="AWV26" s="3327"/>
      <c r="AWW26" s="3327"/>
      <c r="AWX26" s="3327"/>
      <c r="AWY26" s="3327"/>
      <c r="AWZ26" s="3327"/>
      <c r="AXA26" s="3327"/>
      <c r="AXB26" s="3327"/>
      <c r="AXC26" s="3327"/>
      <c r="AXD26" s="3327"/>
      <c r="AXE26" s="3327"/>
      <c r="AXF26" s="3327"/>
      <c r="AXG26" s="3327"/>
      <c r="AXH26" s="3327"/>
      <c r="AXI26" s="3327"/>
      <c r="AXJ26" s="3327"/>
      <c r="AXK26" s="3327"/>
      <c r="AXL26" s="3327"/>
      <c r="AXM26" s="3327"/>
      <c r="AXN26" s="3327"/>
      <c r="AXO26" s="3327"/>
      <c r="AXP26" s="3327"/>
      <c r="AXQ26" s="3327"/>
      <c r="AXR26" s="3327"/>
      <c r="AXS26" s="3327"/>
      <c r="AXT26" s="3327"/>
      <c r="AXU26" s="3327"/>
      <c r="AXV26" s="3327"/>
      <c r="AXW26" s="3327"/>
      <c r="AXX26" s="3327"/>
      <c r="AXY26" s="3327"/>
      <c r="AXZ26" s="3327"/>
      <c r="AYA26" s="3327"/>
      <c r="AYB26" s="3327"/>
      <c r="AYC26" s="3327"/>
      <c r="AYD26" s="3327"/>
      <c r="AYE26" s="3327"/>
      <c r="AYF26" s="3327"/>
      <c r="AYG26" s="3327"/>
      <c r="AYH26" s="3327"/>
      <c r="AYI26" s="3327"/>
      <c r="AYJ26" s="3327"/>
      <c r="AYK26" s="3327"/>
      <c r="AYL26" s="3327"/>
      <c r="AYM26" s="3327"/>
      <c r="AYN26" s="3327"/>
      <c r="AYO26" s="3327"/>
      <c r="AYP26" s="3327"/>
      <c r="AYQ26" s="3327"/>
      <c r="AYR26" s="3327"/>
      <c r="AYS26" s="3327"/>
      <c r="AYT26" s="3327"/>
      <c r="AYU26" s="3327"/>
      <c r="AYV26" s="3327"/>
      <c r="AYW26" s="3327"/>
      <c r="AYX26" s="3327"/>
      <c r="AYY26" s="3327"/>
      <c r="AYZ26" s="3327"/>
      <c r="AZA26" s="3327"/>
      <c r="AZB26" s="3327"/>
      <c r="AZC26" s="3327"/>
      <c r="AZD26" s="3327"/>
      <c r="AZE26" s="3327"/>
      <c r="AZF26" s="3327"/>
      <c r="AZG26" s="3327"/>
      <c r="AZH26" s="3327"/>
      <c r="AZI26" s="3327"/>
      <c r="AZJ26" s="3327"/>
      <c r="AZK26" s="3327"/>
      <c r="AZL26" s="3327"/>
      <c r="AZM26" s="3327"/>
      <c r="AZN26" s="3327"/>
      <c r="AZO26" s="3327"/>
      <c r="AZP26" s="3327"/>
      <c r="AZQ26" s="3327"/>
      <c r="AZR26" s="3327"/>
      <c r="AZS26" s="3327"/>
      <c r="AZT26" s="3327"/>
      <c r="AZU26" s="3327"/>
      <c r="AZV26" s="3327"/>
      <c r="AZW26" s="3327"/>
      <c r="AZX26" s="3327"/>
      <c r="AZY26" s="3327"/>
      <c r="AZZ26" s="3327"/>
      <c r="BAA26" s="3327"/>
      <c r="BAB26" s="3327"/>
      <c r="BAC26" s="3327"/>
      <c r="BAD26" s="3327"/>
      <c r="BAE26" s="3327"/>
      <c r="BAF26" s="3327"/>
      <c r="BAG26" s="3327"/>
      <c r="BAH26" s="3327"/>
      <c r="BAI26" s="3327"/>
      <c r="BAJ26" s="3327"/>
      <c r="BAK26" s="3327"/>
      <c r="BAL26" s="3327"/>
      <c r="BAM26" s="3327"/>
      <c r="BAN26" s="3327"/>
      <c r="BAO26" s="3327"/>
      <c r="BAP26" s="3327"/>
      <c r="BAQ26" s="3327"/>
      <c r="BAR26" s="3327"/>
      <c r="BAS26" s="3327"/>
      <c r="BAT26" s="3327"/>
      <c r="BAU26" s="3327"/>
      <c r="BAV26" s="3327"/>
      <c r="BAW26" s="3327"/>
      <c r="BAX26" s="3327"/>
      <c r="BAY26" s="3327"/>
      <c r="BAZ26" s="3327"/>
      <c r="BBA26" s="3327"/>
      <c r="BBB26" s="3327"/>
      <c r="BBC26" s="3327"/>
      <c r="BBD26" s="3327"/>
      <c r="BBE26" s="3327"/>
      <c r="BBF26" s="3327"/>
      <c r="BBG26" s="3327"/>
      <c r="BBH26" s="3327"/>
      <c r="BBI26" s="3327"/>
      <c r="BBJ26" s="3327"/>
      <c r="BBK26" s="3327"/>
      <c r="BBL26" s="3327"/>
      <c r="BBM26" s="3327"/>
      <c r="BBN26" s="3327"/>
      <c r="BBO26" s="3327"/>
      <c r="BBP26" s="3327"/>
      <c r="BBQ26" s="3327"/>
      <c r="BBR26" s="3327"/>
      <c r="BBS26" s="3327"/>
      <c r="BBT26" s="3327"/>
      <c r="BBU26" s="3327"/>
      <c r="BBV26" s="3327"/>
      <c r="BBW26" s="3327"/>
      <c r="BBX26" s="3327"/>
      <c r="BBY26" s="3327"/>
      <c r="BBZ26" s="3327"/>
      <c r="BCA26" s="3327"/>
      <c r="BCB26" s="3327"/>
      <c r="BCC26" s="3327"/>
      <c r="BCD26" s="3327"/>
      <c r="BCE26" s="3327"/>
      <c r="BCF26" s="3327"/>
      <c r="BCG26" s="3327"/>
      <c r="BCH26" s="3327"/>
      <c r="BCI26" s="3327"/>
      <c r="BCJ26" s="3327"/>
      <c r="BCK26" s="3327"/>
      <c r="BCL26" s="3327"/>
      <c r="BCM26" s="3327"/>
      <c r="BCN26" s="3327"/>
      <c r="BCO26" s="3327"/>
      <c r="BCP26" s="3327"/>
      <c r="BCQ26" s="3327"/>
      <c r="BCR26" s="3327"/>
      <c r="BCS26" s="3327"/>
      <c r="BCT26" s="3327"/>
      <c r="BCU26" s="3327"/>
      <c r="BCV26" s="3327"/>
      <c r="BCW26" s="3327"/>
      <c r="BCX26" s="3327"/>
      <c r="BCY26" s="3327"/>
      <c r="BCZ26" s="3327"/>
      <c r="BDA26" s="3327"/>
      <c r="BDB26" s="3327"/>
      <c r="BDC26" s="3327"/>
      <c r="BDD26" s="3327"/>
      <c r="BDE26" s="3327"/>
      <c r="BDF26" s="3327"/>
      <c r="BDG26" s="3327"/>
      <c r="BDH26" s="3327"/>
      <c r="BDI26" s="3327"/>
      <c r="BDJ26" s="3327"/>
      <c r="BDK26" s="3327"/>
      <c r="BDL26" s="3327"/>
      <c r="BDM26" s="3327"/>
      <c r="BDN26" s="3327"/>
      <c r="BDO26" s="3327"/>
      <c r="BDP26" s="3327"/>
      <c r="BDQ26" s="3327"/>
      <c r="BDR26" s="3327"/>
      <c r="BDS26" s="3327"/>
      <c r="BDT26" s="3327"/>
      <c r="BDU26" s="3327"/>
      <c r="BDV26" s="3327"/>
      <c r="BDW26" s="3327"/>
      <c r="BDX26" s="3327"/>
      <c r="BDY26" s="3327"/>
      <c r="BDZ26" s="3327"/>
      <c r="BEA26" s="3327"/>
      <c r="BEB26" s="3327"/>
      <c r="BEC26" s="3327"/>
      <c r="BED26" s="3327"/>
      <c r="BEE26" s="3327"/>
      <c r="BEF26" s="3327"/>
      <c r="BEG26" s="3327"/>
      <c r="BEH26" s="3327"/>
      <c r="BEI26" s="3327"/>
      <c r="BEJ26" s="3327"/>
      <c r="BEK26" s="3327"/>
      <c r="BEL26" s="3327"/>
      <c r="BEM26" s="3327"/>
      <c r="BEN26" s="3327"/>
      <c r="BEO26" s="3327"/>
      <c r="BEP26" s="3327"/>
      <c r="BEQ26" s="3327"/>
      <c r="BER26" s="3327"/>
      <c r="BES26" s="3327"/>
      <c r="BET26" s="3327"/>
      <c r="BEU26" s="3327"/>
      <c r="BEV26" s="3327"/>
      <c r="BEW26" s="3327"/>
      <c r="BEX26" s="3327"/>
      <c r="BEY26" s="3327"/>
      <c r="BEZ26" s="3327"/>
      <c r="BFA26" s="3327"/>
      <c r="BFB26" s="3327"/>
      <c r="BFC26" s="3327"/>
      <c r="BFD26" s="3327"/>
      <c r="BFE26" s="3327"/>
      <c r="BFF26" s="3327"/>
      <c r="BFG26" s="3327"/>
      <c r="BFH26" s="3327"/>
      <c r="BFI26" s="3327"/>
      <c r="BFJ26" s="3327"/>
      <c r="BFK26" s="3327"/>
      <c r="BFL26" s="3327"/>
      <c r="BFM26" s="3327"/>
      <c r="BFN26" s="3327"/>
      <c r="BFO26" s="3327"/>
      <c r="BFP26" s="3327"/>
      <c r="BFQ26" s="3327"/>
      <c r="BFR26" s="3327"/>
      <c r="BFS26" s="3327"/>
      <c r="BFT26" s="3327"/>
      <c r="BFU26" s="3327"/>
      <c r="BFV26" s="3327"/>
      <c r="BFW26" s="3327"/>
      <c r="BFX26" s="3327"/>
      <c r="BFY26" s="3327"/>
      <c r="BFZ26" s="3327"/>
      <c r="BGA26" s="3327"/>
      <c r="BGB26" s="3327"/>
      <c r="BGC26" s="3327"/>
      <c r="BGD26" s="3327"/>
      <c r="BGE26" s="3327"/>
      <c r="BGF26" s="3327"/>
      <c r="BGG26" s="3327"/>
      <c r="BGH26" s="3327"/>
      <c r="BGI26" s="3327"/>
      <c r="BGJ26" s="3327"/>
      <c r="BGK26" s="3327"/>
      <c r="BGL26" s="3327"/>
      <c r="BGM26" s="3327"/>
      <c r="BGN26" s="3327"/>
      <c r="BGO26" s="3327"/>
      <c r="BGP26" s="3327"/>
      <c r="BGQ26" s="3327"/>
      <c r="BGR26" s="3327"/>
      <c r="BGS26" s="3327"/>
      <c r="BGT26" s="3327"/>
      <c r="BGU26" s="3327"/>
      <c r="BGV26" s="3327"/>
      <c r="BGW26" s="3327"/>
      <c r="BGX26" s="3327"/>
      <c r="BGY26" s="3327"/>
      <c r="BGZ26" s="3327"/>
      <c r="BHA26" s="3327"/>
      <c r="BHB26" s="3327"/>
      <c r="BHC26" s="3327"/>
      <c r="BHD26" s="3327"/>
      <c r="BHE26" s="3327"/>
      <c r="BHF26" s="3327"/>
      <c r="BHG26" s="3327"/>
      <c r="BHH26" s="3327"/>
      <c r="BHI26" s="3327"/>
      <c r="BHJ26" s="3327"/>
      <c r="BHK26" s="3327"/>
      <c r="BHL26" s="3327"/>
      <c r="BHM26" s="3327"/>
      <c r="BHN26" s="3327"/>
      <c r="BHO26" s="3327"/>
      <c r="BHP26" s="3327"/>
      <c r="BHQ26" s="3327"/>
      <c r="BHR26" s="3327"/>
      <c r="BHS26" s="3327"/>
      <c r="BHT26" s="3327"/>
      <c r="BHU26" s="3327"/>
      <c r="BHV26" s="3327"/>
      <c r="BHW26" s="3327"/>
      <c r="BHX26" s="3327"/>
      <c r="BHY26" s="3327"/>
      <c r="BHZ26" s="3327"/>
      <c r="BIA26" s="3327"/>
      <c r="BIB26" s="3327"/>
      <c r="BIC26" s="3327"/>
      <c r="BID26" s="3327"/>
      <c r="BIE26" s="3327"/>
      <c r="BIF26" s="3327"/>
      <c r="BIG26" s="3327"/>
      <c r="BIH26" s="3327"/>
      <c r="BII26" s="3327"/>
      <c r="BIJ26" s="3327"/>
      <c r="BIK26" s="3327"/>
      <c r="BIL26" s="3327"/>
      <c r="BIM26" s="3327"/>
      <c r="BIN26" s="3327"/>
      <c r="BIO26" s="3327"/>
      <c r="BIP26" s="3327"/>
      <c r="BIQ26" s="3327"/>
      <c r="BIR26" s="3327"/>
      <c r="BIS26" s="3327"/>
      <c r="BIT26" s="3327"/>
      <c r="BIU26" s="3327"/>
      <c r="BIV26" s="3327"/>
      <c r="BIW26" s="3327"/>
      <c r="BIX26" s="3327"/>
      <c r="BIY26" s="3327"/>
      <c r="BIZ26" s="3327"/>
      <c r="BJA26" s="3327"/>
      <c r="BJB26" s="3327"/>
      <c r="BJC26" s="3327"/>
      <c r="BJD26" s="3327"/>
      <c r="BJE26" s="3327"/>
      <c r="BJF26" s="3327"/>
      <c r="BJG26" s="3327"/>
      <c r="BJH26" s="3327"/>
      <c r="BJI26" s="3327"/>
      <c r="BJJ26" s="3327"/>
      <c r="BJK26" s="3327"/>
      <c r="BJL26" s="3327"/>
      <c r="BJM26" s="3327"/>
      <c r="BJN26" s="3327"/>
      <c r="BJO26" s="3327"/>
      <c r="BJP26" s="3327"/>
      <c r="BJQ26" s="3327"/>
      <c r="BJR26" s="3327"/>
      <c r="BJS26" s="3327"/>
      <c r="BJT26" s="3327"/>
      <c r="BJU26" s="3327"/>
      <c r="BJV26" s="3327"/>
      <c r="BJW26" s="3327"/>
      <c r="BJX26" s="3327"/>
      <c r="BJY26" s="3327"/>
      <c r="BJZ26" s="3327"/>
      <c r="BKA26" s="3327"/>
      <c r="BKB26" s="3327"/>
      <c r="BKC26" s="3327"/>
      <c r="BKD26" s="3327"/>
      <c r="BKE26" s="3327"/>
      <c r="BKF26" s="3327"/>
      <c r="BKG26" s="3327"/>
      <c r="BKH26" s="3327"/>
      <c r="BKI26" s="3327"/>
      <c r="BKJ26" s="3327"/>
      <c r="BKK26" s="3327"/>
      <c r="BKL26" s="3327"/>
      <c r="BKM26" s="3327"/>
      <c r="BKN26" s="3327"/>
      <c r="BKO26" s="3327"/>
      <c r="BKP26" s="3327"/>
      <c r="BKQ26" s="3327"/>
      <c r="BKR26" s="3327"/>
      <c r="BKS26" s="3327"/>
      <c r="BKT26" s="3327"/>
      <c r="BKU26" s="3327"/>
      <c r="BKV26" s="3327"/>
      <c r="BKW26" s="3327"/>
      <c r="BKX26" s="3327"/>
      <c r="BKY26" s="3327"/>
      <c r="BKZ26" s="3327"/>
      <c r="BLA26" s="3327"/>
      <c r="BLB26" s="3327"/>
      <c r="BLC26" s="3327"/>
      <c r="BLD26" s="3327"/>
      <c r="BLE26" s="3327"/>
      <c r="BLF26" s="3327"/>
      <c r="BLG26" s="3327"/>
      <c r="BLH26" s="3327"/>
      <c r="BLI26" s="3327"/>
      <c r="BLJ26" s="3327"/>
      <c r="BLK26" s="3327"/>
      <c r="BLL26" s="3327"/>
      <c r="BLM26" s="3327"/>
      <c r="BLN26" s="3327"/>
      <c r="BLO26" s="3327"/>
      <c r="BLP26" s="3327"/>
      <c r="BLQ26" s="3327"/>
      <c r="BLR26" s="3327"/>
      <c r="BLS26" s="3327"/>
      <c r="BLT26" s="3327"/>
      <c r="BLU26" s="3327"/>
      <c r="BLV26" s="3327"/>
      <c r="BLW26" s="3327"/>
      <c r="BLX26" s="3327"/>
      <c r="BLY26" s="3327"/>
      <c r="BLZ26" s="3327"/>
      <c r="BMA26" s="3327"/>
      <c r="BMB26" s="3327"/>
      <c r="BMC26" s="3327"/>
      <c r="BMD26" s="3327"/>
      <c r="BME26" s="3327"/>
      <c r="BMF26" s="3327"/>
      <c r="BMG26" s="3327"/>
      <c r="BMH26" s="3327"/>
      <c r="BMI26" s="3327"/>
      <c r="BMJ26" s="3327"/>
      <c r="BMK26" s="3327"/>
      <c r="BML26" s="3327"/>
      <c r="BMM26" s="3327"/>
      <c r="BMN26" s="3327"/>
      <c r="BMO26" s="3327"/>
      <c r="BMP26" s="3327"/>
      <c r="BMQ26" s="3327"/>
      <c r="BMR26" s="3327"/>
      <c r="BMS26" s="3327"/>
      <c r="BMT26" s="3327"/>
      <c r="BMU26" s="3327"/>
      <c r="BMV26" s="3327"/>
      <c r="BMW26" s="3327"/>
      <c r="BMX26" s="3327"/>
      <c r="BMY26" s="3327"/>
      <c r="BMZ26" s="3327"/>
      <c r="BNA26" s="3327"/>
      <c r="BNB26" s="3327"/>
      <c r="BNC26" s="3327"/>
      <c r="BND26" s="3327"/>
      <c r="BNE26" s="3327"/>
      <c r="BNF26" s="3327"/>
      <c r="BNG26" s="3327"/>
      <c r="BNH26" s="3327"/>
      <c r="BNI26" s="3327"/>
      <c r="BNJ26" s="3327"/>
      <c r="BNK26" s="3327"/>
      <c r="BNL26" s="3327"/>
      <c r="BNM26" s="3327"/>
      <c r="BNN26" s="3327"/>
      <c r="BNO26" s="3327"/>
      <c r="BNP26" s="3327"/>
      <c r="BNQ26" s="3327"/>
      <c r="BNR26" s="3327"/>
      <c r="BNS26" s="3327"/>
      <c r="BNT26" s="3327"/>
      <c r="BNU26" s="3327"/>
      <c r="BNV26" s="3327"/>
      <c r="BNW26" s="3327"/>
      <c r="BNX26" s="3327"/>
      <c r="BNY26" s="3327"/>
      <c r="BNZ26" s="3327"/>
      <c r="BOA26" s="3327"/>
      <c r="BOB26" s="3327"/>
      <c r="BOC26" s="3327"/>
      <c r="BOD26" s="3327"/>
      <c r="BOE26" s="3327"/>
      <c r="BOF26" s="3327"/>
      <c r="BOG26" s="3327"/>
      <c r="BOH26" s="3327"/>
      <c r="BOI26" s="3327"/>
      <c r="BOJ26" s="3327"/>
      <c r="BOK26" s="3327"/>
      <c r="BOL26" s="3327"/>
      <c r="BOM26" s="3327"/>
      <c r="BON26" s="3327"/>
      <c r="BOO26" s="3327"/>
      <c r="BOP26" s="3327"/>
      <c r="BOQ26" s="3327"/>
      <c r="BOR26" s="3327"/>
      <c r="BOS26" s="3327"/>
      <c r="BOT26" s="3327"/>
      <c r="BOU26" s="3327"/>
      <c r="BOV26" s="3327"/>
      <c r="BOW26" s="3327"/>
      <c r="BOX26" s="3327"/>
      <c r="BOY26" s="3327"/>
      <c r="BOZ26" s="3327"/>
      <c r="BPA26" s="3327"/>
      <c r="BPB26" s="3327"/>
      <c r="BPC26" s="3327"/>
      <c r="BPD26" s="3327"/>
      <c r="BPE26" s="3327"/>
      <c r="BPF26" s="3327"/>
      <c r="BPG26" s="3327"/>
      <c r="BPH26" s="3327"/>
      <c r="BPI26" s="3327"/>
      <c r="BPJ26" s="3327"/>
      <c r="BPK26" s="3327"/>
      <c r="BPL26" s="3327"/>
      <c r="BPM26" s="3327"/>
      <c r="BPN26" s="3327"/>
      <c r="BPO26" s="3327"/>
      <c r="BPP26" s="3327"/>
      <c r="BPQ26" s="3327"/>
      <c r="BPR26" s="3327"/>
      <c r="BPS26" s="3327"/>
      <c r="BPT26" s="3327"/>
      <c r="BPU26" s="3327"/>
      <c r="BPV26" s="3327"/>
      <c r="BPW26" s="3327"/>
      <c r="BPX26" s="3327"/>
      <c r="BPY26" s="3327"/>
      <c r="BPZ26" s="3327"/>
      <c r="BQA26" s="3327"/>
      <c r="BQB26" s="3327"/>
      <c r="BQC26" s="3327"/>
      <c r="BQD26" s="3327"/>
      <c r="BQE26" s="3327"/>
      <c r="BQF26" s="3327"/>
      <c r="BQG26" s="3327"/>
      <c r="BQH26" s="3327"/>
      <c r="BQI26" s="3327"/>
      <c r="BQJ26" s="3327"/>
      <c r="BQK26" s="3327"/>
      <c r="BQL26" s="3327"/>
      <c r="BQM26" s="3327"/>
      <c r="BQN26" s="3327"/>
      <c r="BQO26" s="3327"/>
      <c r="BQP26" s="3327"/>
      <c r="BQQ26" s="3327"/>
      <c r="BQR26" s="3327"/>
      <c r="BQS26" s="3327"/>
      <c r="BQT26" s="3327"/>
      <c r="BQU26" s="3327"/>
      <c r="BQV26" s="3327"/>
      <c r="BQW26" s="3327"/>
      <c r="BQX26" s="3327"/>
      <c r="BQY26" s="3327"/>
      <c r="BQZ26" s="3327"/>
      <c r="BRA26" s="3327"/>
      <c r="BRB26" s="3327"/>
      <c r="BRC26" s="3327"/>
      <c r="BRD26" s="3327"/>
      <c r="BRE26" s="3327"/>
      <c r="BRF26" s="3327"/>
      <c r="BRG26" s="3327"/>
      <c r="BRH26" s="3327"/>
      <c r="BRI26" s="3327"/>
      <c r="BRJ26" s="3327"/>
      <c r="BRK26" s="3327"/>
      <c r="BRL26" s="3327"/>
      <c r="BRM26" s="3327"/>
      <c r="BRN26" s="3327"/>
      <c r="BRO26" s="3327"/>
      <c r="BRP26" s="3327"/>
      <c r="BRQ26" s="3327"/>
      <c r="BRR26" s="3327"/>
      <c r="BRS26" s="3327"/>
      <c r="BRT26" s="3327"/>
      <c r="BRU26" s="3327"/>
      <c r="BRV26" s="3327"/>
      <c r="BRW26" s="3327"/>
      <c r="BRX26" s="3327"/>
      <c r="BRY26" s="3327"/>
      <c r="BRZ26" s="3327"/>
      <c r="BSA26" s="3327"/>
      <c r="BSB26" s="3327"/>
      <c r="BSC26" s="3327"/>
      <c r="BSD26" s="3327"/>
      <c r="BSE26" s="3327"/>
      <c r="BSF26" s="3327"/>
      <c r="BSG26" s="3327"/>
      <c r="BSH26" s="3327"/>
      <c r="BSI26" s="3327"/>
      <c r="BSJ26" s="3327"/>
      <c r="BSK26" s="3327"/>
      <c r="BSL26" s="3327"/>
      <c r="BSM26" s="3327"/>
      <c r="BSN26" s="3327"/>
      <c r="BSO26" s="3327"/>
      <c r="BSP26" s="3327"/>
      <c r="BSQ26" s="3327"/>
      <c r="BSR26" s="3327"/>
      <c r="BSS26" s="3327"/>
      <c r="BST26" s="3327"/>
      <c r="BSU26" s="3327"/>
      <c r="BSV26" s="3327"/>
      <c r="BSW26" s="3327"/>
      <c r="BSX26" s="3327"/>
      <c r="BSY26" s="3327"/>
      <c r="BSZ26" s="3327"/>
      <c r="BTA26" s="3327"/>
      <c r="BTB26" s="3327"/>
      <c r="BTC26" s="3327"/>
      <c r="BTD26" s="3327"/>
      <c r="BTE26" s="3327"/>
      <c r="BTF26" s="3327"/>
      <c r="BTG26" s="3327"/>
      <c r="BTH26" s="3327"/>
      <c r="BTI26" s="3327"/>
      <c r="BTJ26" s="3327"/>
      <c r="BTK26" s="3327"/>
      <c r="BTL26" s="3327"/>
      <c r="BTM26" s="3327"/>
      <c r="BTN26" s="3327"/>
      <c r="BTO26" s="3327"/>
      <c r="BTP26" s="3327"/>
      <c r="BTQ26" s="3327"/>
      <c r="BTR26" s="3327"/>
      <c r="BTS26" s="3327"/>
      <c r="BTT26" s="3327"/>
      <c r="BTU26" s="3327"/>
      <c r="BTV26" s="3327"/>
      <c r="BTW26" s="3327"/>
      <c r="BTX26" s="3327"/>
      <c r="BTY26" s="3327"/>
      <c r="BTZ26" s="3327"/>
      <c r="BUA26" s="3327"/>
      <c r="BUB26" s="3327"/>
      <c r="BUC26" s="3327"/>
      <c r="BUD26" s="3327"/>
      <c r="BUE26" s="3327"/>
      <c r="BUF26" s="3327"/>
      <c r="BUG26" s="3327"/>
      <c r="BUH26" s="3327"/>
      <c r="BUI26" s="3327"/>
      <c r="BUJ26" s="3327"/>
      <c r="BUK26" s="3327"/>
      <c r="BUL26" s="3327"/>
      <c r="BUM26" s="3327"/>
      <c r="BUN26" s="3327"/>
      <c r="BUO26" s="3327"/>
      <c r="BUP26" s="3327"/>
      <c r="BUQ26" s="3327"/>
      <c r="BUR26" s="3327"/>
      <c r="BUS26" s="3327"/>
      <c r="BUT26" s="3327"/>
      <c r="BUU26" s="3327"/>
      <c r="BUV26" s="3327"/>
      <c r="BUW26" s="3327"/>
      <c r="BUX26" s="3327"/>
      <c r="BUY26" s="3327"/>
      <c r="BUZ26" s="3327"/>
      <c r="BVA26" s="3327"/>
      <c r="BVB26" s="3327"/>
      <c r="BVC26" s="3327"/>
      <c r="BVD26" s="3327"/>
      <c r="BVE26" s="3327"/>
      <c r="BVF26" s="3327"/>
      <c r="BVG26" s="3327"/>
      <c r="BVH26" s="3327"/>
      <c r="BVI26" s="3327"/>
      <c r="BVJ26" s="3327"/>
      <c r="BVK26" s="3327"/>
      <c r="BVL26" s="3327"/>
      <c r="BVM26" s="3327"/>
      <c r="BVN26" s="3327"/>
      <c r="BVO26" s="3327"/>
      <c r="BVP26" s="3327"/>
      <c r="BVQ26" s="3327"/>
      <c r="BVR26" s="3327"/>
      <c r="BVS26" s="3327"/>
      <c r="BVT26" s="3327"/>
      <c r="BVU26" s="3327"/>
      <c r="BVV26" s="3327"/>
      <c r="BVW26" s="3327"/>
      <c r="BVX26" s="3327"/>
      <c r="BVY26" s="3327"/>
      <c r="BVZ26" s="3327"/>
      <c r="BWA26" s="3327"/>
      <c r="BWB26" s="3327"/>
      <c r="BWC26" s="3327"/>
      <c r="BWD26" s="3327"/>
      <c r="BWE26" s="3327"/>
      <c r="BWF26" s="3327"/>
      <c r="BWG26" s="3327"/>
      <c r="BWH26" s="3327"/>
      <c r="BWI26" s="3327"/>
      <c r="BWJ26" s="3327"/>
      <c r="BWK26" s="3327"/>
      <c r="BWL26" s="3327"/>
      <c r="BWM26" s="3327"/>
      <c r="BWN26" s="3327"/>
      <c r="BWO26" s="3327"/>
      <c r="BWP26" s="3327"/>
      <c r="BWQ26" s="3327"/>
      <c r="BWR26" s="3327"/>
      <c r="BWS26" s="3327"/>
      <c r="BWT26" s="3327"/>
      <c r="BWU26" s="3327"/>
      <c r="BWV26" s="3327"/>
      <c r="BWW26" s="3327"/>
      <c r="BWX26" s="3327"/>
      <c r="BWY26" s="3327"/>
      <c r="BWZ26" s="3327"/>
      <c r="BXA26" s="3327"/>
      <c r="BXB26" s="3327"/>
      <c r="BXC26" s="3327"/>
      <c r="BXD26" s="3327"/>
      <c r="BXE26" s="3327"/>
      <c r="BXF26" s="3327"/>
      <c r="BXG26" s="3327"/>
      <c r="BXH26" s="3327"/>
      <c r="BXI26" s="3327"/>
      <c r="BXJ26" s="3327"/>
      <c r="BXK26" s="3327"/>
      <c r="BXL26" s="3327"/>
      <c r="BXM26" s="3327"/>
      <c r="BXN26" s="3327"/>
      <c r="BXO26" s="3327"/>
      <c r="BXP26" s="3327"/>
      <c r="BXQ26" s="3327"/>
      <c r="BXR26" s="3327"/>
      <c r="BXS26" s="3327"/>
      <c r="BXT26" s="3327"/>
      <c r="BXU26" s="3327"/>
      <c r="BXV26" s="3327"/>
      <c r="BXW26" s="3327"/>
      <c r="BXX26" s="3327"/>
      <c r="BXY26" s="3327"/>
      <c r="BXZ26" s="3327"/>
      <c r="BYA26" s="3327"/>
      <c r="BYB26" s="3327"/>
      <c r="BYC26" s="3327"/>
      <c r="BYD26" s="3327"/>
      <c r="BYE26" s="3327"/>
      <c r="BYF26" s="3327"/>
      <c r="BYG26" s="3327"/>
      <c r="BYH26" s="3327"/>
      <c r="BYI26" s="3327"/>
      <c r="BYJ26" s="3327"/>
      <c r="BYK26" s="3327"/>
      <c r="BYL26" s="3327"/>
      <c r="BYM26" s="3327"/>
      <c r="BYN26" s="3327"/>
      <c r="BYO26" s="3327"/>
      <c r="BYP26" s="3327"/>
      <c r="BYQ26" s="3327"/>
      <c r="BYR26" s="3327"/>
      <c r="BYS26" s="3327"/>
      <c r="BYT26" s="3327"/>
      <c r="BYU26" s="3327"/>
      <c r="BYV26" s="3327"/>
      <c r="BYW26" s="3327"/>
      <c r="BYX26" s="3327"/>
      <c r="BYY26" s="3327"/>
      <c r="BYZ26" s="3327"/>
      <c r="BZA26" s="3327"/>
      <c r="BZB26" s="3327"/>
      <c r="BZC26" s="3327"/>
      <c r="BZD26" s="3327"/>
      <c r="BZE26" s="3327"/>
      <c r="BZF26" s="3327"/>
      <c r="BZG26" s="3327"/>
      <c r="BZH26" s="3327"/>
      <c r="BZI26" s="3327"/>
      <c r="BZJ26" s="3327"/>
      <c r="BZK26" s="3327"/>
      <c r="BZL26" s="3327"/>
      <c r="BZM26" s="3327"/>
      <c r="BZN26" s="3327"/>
      <c r="BZO26" s="3327"/>
      <c r="BZP26" s="3327"/>
      <c r="BZQ26" s="3327"/>
      <c r="BZR26" s="3327"/>
      <c r="BZS26" s="3327"/>
      <c r="BZT26" s="3327"/>
      <c r="BZU26" s="3327"/>
      <c r="BZV26" s="3327"/>
      <c r="BZW26" s="3327"/>
      <c r="BZX26" s="3327"/>
      <c r="BZY26" s="3327"/>
      <c r="BZZ26" s="3327"/>
      <c r="CAA26" s="3327"/>
      <c r="CAB26" s="3327"/>
      <c r="CAC26" s="3327"/>
      <c r="CAD26" s="3327"/>
      <c r="CAE26" s="3327"/>
      <c r="CAF26" s="3327"/>
      <c r="CAG26" s="3327"/>
      <c r="CAH26" s="3327"/>
      <c r="CAI26" s="3327"/>
      <c r="CAJ26" s="3327"/>
      <c r="CAK26" s="3327"/>
      <c r="CAL26" s="3327"/>
      <c r="CAM26" s="3327"/>
      <c r="CAN26" s="3327"/>
      <c r="CAO26" s="3327"/>
      <c r="CAP26" s="3327"/>
      <c r="CAQ26" s="3327"/>
      <c r="CAR26" s="3327"/>
      <c r="CAS26" s="3327"/>
      <c r="CAT26" s="3327"/>
      <c r="CAU26" s="3327"/>
      <c r="CAV26" s="3327"/>
      <c r="CAW26" s="3327"/>
      <c r="CAX26" s="3327"/>
      <c r="CAY26" s="3327"/>
      <c r="CAZ26" s="3327"/>
      <c r="CBA26" s="3327"/>
      <c r="CBB26" s="3327"/>
      <c r="CBC26" s="3327"/>
      <c r="CBD26" s="3327"/>
      <c r="CBE26" s="3327"/>
      <c r="CBF26" s="3327"/>
      <c r="CBG26" s="3327"/>
      <c r="CBH26" s="3327"/>
      <c r="CBI26" s="3327"/>
      <c r="CBJ26" s="3327"/>
      <c r="CBK26" s="3327"/>
      <c r="CBL26" s="3327"/>
      <c r="CBM26" s="3327"/>
      <c r="CBN26" s="3327"/>
      <c r="CBO26" s="3327"/>
      <c r="CBP26" s="3327"/>
      <c r="CBQ26" s="3327"/>
      <c r="CBR26" s="3327"/>
      <c r="CBS26" s="3327"/>
      <c r="CBT26" s="3327"/>
      <c r="CBU26" s="3327"/>
      <c r="CBV26" s="3327"/>
      <c r="CBW26" s="3327"/>
      <c r="CBX26" s="3327"/>
      <c r="CBY26" s="3327"/>
      <c r="CBZ26" s="3327"/>
      <c r="CCA26" s="3327"/>
      <c r="CCB26" s="3327"/>
      <c r="CCC26" s="3327"/>
      <c r="CCD26" s="3327"/>
      <c r="CCE26" s="3327"/>
      <c r="CCF26" s="3327"/>
      <c r="CCG26" s="3327"/>
      <c r="CCH26" s="3327"/>
      <c r="CCI26" s="3327"/>
      <c r="CCJ26" s="3327"/>
      <c r="CCK26" s="3327"/>
      <c r="CCL26" s="3327"/>
      <c r="CCM26" s="3327"/>
      <c r="CCN26" s="3327"/>
      <c r="CCO26" s="3327"/>
      <c r="CCP26" s="3327"/>
      <c r="CCQ26" s="3327"/>
      <c r="CCR26" s="3327"/>
      <c r="CCS26" s="3327"/>
      <c r="CCT26" s="3327"/>
      <c r="CCU26" s="3327"/>
      <c r="CCV26" s="3327"/>
      <c r="CCW26" s="3327"/>
      <c r="CCX26" s="3327"/>
      <c r="CCY26" s="3327"/>
      <c r="CCZ26" s="3327"/>
      <c r="CDA26" s="3327"/>
      <c r="CDB26" s="3327"/>
      <c r="CDC26" s="3327"/>
      <c r="CDD26" s="3327"/>
      <c r="CDE26" s="3327"/>
      <c r="CDF26" s="3327"/>
      <c r="CDG26" s="3327"/>
      <c r="CDH26" s="3327"/>
      <c r="CDI26" s="3327"/>
      <c r="CDJ26" s="3327"/>
      <c r="CDK26" s="3327"/>
      <c r="CDL26" s="3327"/>
      <c r="CDM26" s="3327"/>
      <c r="CDN26" s="3327"/>
      <c r="CDO26" s="3327"/>
      <c r="CDP26" s="3327"/>
      <c r="CDQ26" s="3327"/>
      <c r="CDR26" s="3327"/>
      <c r="CDS26" s="3327"/>
      <c r="CDT26" s="3327"/>
      <c r="CDU26" s="3327"/>
      <c r="CDV26" s="3327"/>
      <c r="CDW26" s="3327"/>
      <c r="CDX26" s="3327"/>
      <c r="CDY26" s="3327"/>
      <c r="CDZ26" s="3327"/>
      <c r="CEA26" s="3327"/>
      <c r="CEB26" s="3327"/>
      <c r="CEC26" s="3327"/>
      <c r="CED26" s="3327"/>
      <c r="CEE26" s="3327"/>
      <c r="CEF26" s="3327"/>
      <c r="CEG26" s="3327"/>
      <c r="CEH26" s="3327"/>
      <c r="CEI26" s="3327"/>
      <c r="CEJ26" s="3327"/>
      <c r="CEK26" s="3327"/>
      <c r="CEL26" s="3327"/>
      <c r="CEM26" s="3327"/>
      <c r="CEN26" s="3327"/>
      <c r="CEO26" s="3327"/>
      <c r="CEP26" s="3327"/>
      <c r="CEQ26" s="3327"/>
      <c r="CER26" s="3327"/>
      <c r="CES26" s="3327"/>
      <c r="CET26" s="3327"/>
      <c r="CEU26" s="3327"/>
      <c r="CEV26" s="3327"/>
      <c r="CEW26" s="3327"/>
      <c r="CEX26" s="3327"/>
      <c r="CEY26" s="3327"/>
      <c r="CEZ26" s="3327"/>
      <c r="CFA26" s="3327"/>
      <c r="CFB26" s="3327"/>
      <c r="CFC26" s="3327"/>
      <c r="CFD26" s="3327"/>
      <c r="CFE26" s="3327"/>
      <c r="CFF26" s="3327"/>
      <c r="CFG26" s="3327"/>
      <c r="CFH26" s="3327"/>
      <c r="CFI26" s="3327"/>
      <c r="CFJ26" s="3327"/>
      <c r="CFK26" s="3327"/>
      <c r="CFL26" s="3327"/>
      <c r="CFM26" s="3327"/>
      <c r="CFN26" s="3327"/>
      <c r="CFO26" s="3327"/>
      <c r="CFP26" s="3327"/>
      <c r="CFQ26" s="3327"/>
      <c r="CFR26" s="3327"/>
      <c r="CFS26" s="3327"/>
      <c r="CFT26" s="3327"/>
      <c r="CFU26" s="3327"/>
      <c r="CFV26" s="3327"/>
      <c r="CFW26" s="3327"/>
      <c r="CFX26" s="3327"/>
      <c r="CFY26" s="3327"/>
      <c r="CFZ26" s="3327"/>
      <c r="CGA26" s="3327"/>
      <c r="CGB26" s="3327"/>
      <c r="CGC26" s="3327"/>
      <c r="CGD26" s="3327"/>
      <c r="CGE26" s="3327"/>
      <c r="CGF26" s="3327"/>
      <c r="CGG26" s="3327"/>
      <c r="CGH26" s="3327"/>
      <c r="CGI26" s="3327"/>
      <c r="CGJ26" s="3327"/>
      <c r="CGK26" s="3327"/>
      <c r="CGL26" s="3327"/>
      <c r="CGM26" s="3327"/>
      <c r="CGN26" s="3327"/>
      <c r="CGO26" s="3327"/>
      <c r="CGP26" s="3327"/>
      <c r="CGQ26" s="3327"/>
      <c r="CGR26" s="3327"/>
      <c r="CGS26" s="3327"/>
      <c r="CGT26" s="3327"/>
      <c r="CGU26" s="3327"/>
      <c r="CGV26" s="3327"/>
      <c r="CGW26" s="3327"/>
      <c r="CGX26" s="3327"/>
      <c r="CGY26" s="3327"/>
      <c r="CGZ26" s="3327"/>
      <c r="CHA26" s="3327"/>
      <c r="CHB26" s="3327"/>
      <c r="CHC26" s="3327"/>
      <c r="CHD26" s="3327"/>
      <c r="CHE26" s="3327"/>
      <c r="CHF26" s="3327"/>
      <c r="CHG26" s="3327"/>
      <c r="CHH26" s="3327"/>
      <c r="CHI26" s="3327"/>
      <c r="CHJ26" s="3327"/>
      <c r="CHK26" s="3327"/>
      <c r="CHL26" s="3327"/>
      <c r="CHM26" s="3327"/>
      <c r="CHN26" s="3327"/>
      <c r="CHO26" s="3327"/>
      <c r="CHP26" s="3327"/>
      <c r="CHQ26" s="3327"/>
      <c r="CHR26" s="3327"/>
      <c r="CHS26" s="3327"/>
      <c r="CHT26" s="3327"/>
      <c r="CHU26" s="3327"/>
      <c r="CHV26" s="3327"/>
      <c r="CHW26" s="3327"/>
      <c r="CHX26" s="3327"/>
      <c r="CHY26" s="3327"/>
      <c r="CHZ26" s="3327"/>
      <c r="CIA26" s="3327"/>
      <c r="CIB26" s="3327"/>
      <c r="CIC26" s="3327"/>
      <c r="CID26" s="3327"/>
      <c r="CIE26" s="3327"/>
      <c r="CIF26" s="3327"/>
      <c r="CIG26" s="3327"/>
      <c r="CIH26" s="3327"/>
      <c r="CII26" s="3327"/>
      <c r="CIJ26" s="3327"/>
      <c r="CIK26" s="3327"/>
      <c r="CIL26" s="3327"/>
      <c r="CIM26" s="3327"/>
      <c r="CIN26" s="3327"/>
      <c r="CIO26" s="3327"/>
      <c r="CIP26" s="3327"/>
      <c r="CIQ26" s="3327"/>
      <c r="CIR26" s="3327"/>
      <c r="CIS26" s="3327"/>
      <c r="CIT26" s="3327"/>
      <c r="CIU26" s="3327"/>
      <c r="CIV26" s="3327"/>
      <c r="CIW26" s="3327"/>
      <c r="CIX26" s="3327"/>
      <c r="CIY26" s="3327"/>
      <c r="CIZ26" s="3327"/>
      <c r="CJA26" s="3327"/>
      <c r="CJB26" s="3327"/>
      <c r="CJC26" s="3327"/>
      <c r="CJD26" s="3327"/>
      <c r="CJE26" s="3327"/>
      <c r="CJF26" s="3327"/>
      <c r="CJG26" s="3327"/>
      <c r="CJH26" s="3327"/>
      <c r="CJI26" s="3327"/>
      <c r="CJJ26" s="3327"/>
      <c r="CJK26" s="3327"/>
      <c r="CJL26" s="3327"/>
      <c r="CJM26" s="3327"/>
      <c r="CJN26" s="3327"/>
      <c r="CJO26" s="3327"/>
      <c r="CJP26" s="3327"/>
      <c r="CJQ26" s="3327"/>
      <c r="CJR26" s="3327"/>
      <c r="CJS26" s="3327"/>
      <c r="CJT26" s="3327"/>
      <c r="CJU26" s="3327"/>
      <c r="CJV26" s="3327"/>
      <c r="CJW26" s="3327"/>
      <c r="CJX26" s="3327"/>
      <c r="CJY26" s="3327"/>
      <c r="CJZ26" s="3327"/>
      <c r="CKA26" s="3327"/>
      <c r="CKB26" s="3327"/>
      <c r="CKC26" s="3327"/>
      <c r="CKD26" s="3327"/>
      <c r="CKE26" s="3327"/>
      <c r="CKF26" s="3327"/>
      <c r="CKG26" s="3327"/>
      <c r="CKH26" s="3327"/>
      <c r="CKI26" s="3327"/>
      <c r="CKJ26" s="3327"/>
      <c r="CKK26" s="3327"/>
      <c r="CKL26" s="3327"/>
      <c r="CKM26" s="3327"/>
      <c r="CKN26" s="3327"/>
      <c r="CKO26" s="3327"/>
      <c r="CKP26" s="3327"/>
      <c r="CKQ26" s="3327"/>
      <c r="CKR26" s="3327"/>
      <c r="CKS26" s="3327"/>
      <c r="CKT26" s="3327"/>
      <c r="CKU26" s="3327"/>
      <c r="CKV26" s="3327"/>
      <c r="CKW26" s="3327"/>
      <c r="CKX26" s="3327"/>
      <c r="CKY26" s="3327"/>
      <c r="CKZ26" s="3327"/>
      <c r="CLA26" s="3327"/>
      <c r="CLB26" s="3327"/>
      <c r="CLC26" s="3327"/>
      <c r="CLD26" s="3327"/>
      <c r="CLE26" s="3327"/>
      <c r="CLF26" s="3327"/>
      <c r="CLG26" s="3327"/>
      <c r="CLH26" s="3327"/>
      <c r="CLI26" s="3327"/>
      <c r="CLJ26" s="3327"/>
      <c r="CLK26" s="3327"/>
      <c r="CLL26" s="3327"/>
      <c r="CLM26" s="3327"/>
      <c r="CLN26" s="3327"/>
      <c r="CLO26" s="3327"/>
      <c r="CLP26" s="3327"/>
      <c r="CLQ26" s="3327"/>
      <c r="CLR26" s="3327"/>
      <c r="CLS26" s="3327"/>
      <c r="CLT26" s="3327"/>
      <c r="CLU26" s="3327"/>
      <c r="CLV26" s="3327"/>
      <c r="CLW26" s="3327"/>
      <c r="CLX26" s="3327"/>
      <c r="CLY26" s="3327"/>
      <c r="CLZ26" s="3327"/>
      <c r="CMA26" s="3327"/>
      <c r="CMB26" s="3327"/>
      <c r="CMC26" s="3327"/>
      <c r="CMD26" s="3327"/>
      <c r="CME26" s="3327"/>
      <c r="CMF26" s="3327"/>
      <c r="CMG26" s="3327"/>
      <c r="CMH26" s="3327"/>
      <c r="CMI26" s="3327"/>
      <c r="CMJ26" s="3327"/>
      <c r="CMK26" s="3327"/>
      <c r="CML26" s="3327"/>
      <c r="CMM26" s="3327"/>
      <c r="CMN26" s="3327"/>
      <c r="CMO26" s="3327"/>
      <c r="CMP26" s="3327"/>
      <c r="CMQ26" s="3327"/>
      <c r="CMR26" s="3327"/>
      <c r="CMS26" s="3327"/>
      <c r="CMT26" s="3327"/>
      <c r="CMU26" s="3327"/>
      <c r="CMV26" s="3327"/>
      <c r="CMW26" s="3327"/>
      <c r="CMX26" s="3327"/>
      <c r="CMY26" s="3327"/>
      <c r="CMZ26" s="3327"/>
      <c r="CNA26" s="3327"/>
      <c r="CNB26" s="3327"/>
      <c r="CNC26" s="3327"/>
      <c r="CND26" s="3327"/>
      <c r="CNE26" s="3327"/>
      <c r="CNF26" s="3327"/>
      <c r="CNG26" s="3327"/>
      <c r="CNH26" s="3327"/>
      <c r="CNI26" s="3327"/>
      <c r="CNJ26" s="3327"/>
      <c r="CNK26" s="3327"/>
      <c r="CNL26" s="3327"/>
      <c r="CNM26" s="3327"/>
      <c r="CNN26" s="3327"/>
      <c r="CNO26" s="3327"/>
      <c r="CNP26" s="3327"/>
      <c r="CNQ26" s="3327"/>
      <c r="CNR26" s="3327"/>
      <c r="CNS26" s="3327"/>
      <c r="CNT26" s="3327"/>
      <c r="CNU26" s="3327"/>
      <c r="CNV26" s="3327"/>
      <c r="CNW26" s="3327"/>
      <c r="CNX26" s="3327"/>
      <c r="CNY26" s="3327"/>
      <c r="CNZ26" s="3327"/>
      <c r="COA26" s="3327"/>
      <c r="COB26" s="3327"/>
      <c r="COC26" s="3327"/>
      <c r="COD26" s="3327"/>
      <c r="COE26" s="3327"/>
      <c r="COF26" s="3327"/>
      <c r="COG26" s="3327"/>
      <c r="COH26" s="3327"/>
      <c r="COI26" s="3327"/>
      <c r="COJ26" s="3327"/>
      <c r="COK26" s="3327"/>
      <c r="COL26" s="3327"/>
      <c r="COM26" s="3327"/>
      <c r="CON26" s="3327"/>
      <c r="COO26" s="3327"/>
      <c r="COP26" s="3327"/>
      <c r="COQ26" s="3327"/>
      <c r="COR26" s="3327"/>
      <c r="COS26" s="3327"/>
      <c r="COT26" s="3327"/>
      <c r="COU26" s="3327"/>
      <c r="COV26" s="3327"/>
      <c r="COW26" s="3327"/>
      <c r="COX26" s="3327"/>
      <c r="COY26" s="3327"/>
      <c r="COZ26" s="3327"/>
      <c r="CPA26" s="3327"/>
      <c r="CPB26" s="3327"/>
      <c r="CPC26" s="3327"/>
      <c r="CPD26" s="3327"/>
      <c r="CPE26" s="3327"/>
      <c r="CPF26" s="3327"/>
      <c r="CPG26" s="3327"/>
      <c r="CPH26" s="3327"/>
      <c r="CPI26" s="3327"/>
      <c r="CPJ26" s="3327"/>
      <c r="CPK26" s="3327"/>
      <c r="CPL26" s="3327"/>
      <c r="CPM26" s="3327"/>
      <c r="CPN26" s="3327"/>
      <c r="CPO26" s="3327"/>
      <c r="CPP26" s="3327"/>
      <c r="CPQ26" s="3327"/>
      <c r="CPR26" s="3327"/>
      <c r="CPS26" s="3327"/>
      <c r="CPT26" s="3327"/>
      <c r="CPU26" s="3327"/>
      <c r="CPV26" s="3327"/>
      <c r="CPW26" s="3327"/>
      <c r="CPX26" s="3327"/>
      <c r="CPY26" s="3327"/>
      <c r="CPZ26" s="3327"/>
      <c r="CQA26" s="3327"/>
      <c r="CQB26" s="3327"/>
      <c r="CQC26" s="3327"/>
      <c r="CQD26" s="3327"/>
      <c r="CQE26" s="3327"/>
      <c r="CQF26" s="3327"/>
      <c r="CQG26" s="3327"/>
      <c r="CQH26" s="3327"/>
      <c r="CQI26" s="3327"/>
      <c r="CQJ26" s="3327"/>
      <c r="CQK26" s="3327"/>
      <c r="CQL26" s="3327"/>
      <c r="CQM26" s="3327"/>
      <c r="CQN26" s="3327"/>
      <c r="CQO26" s="3327"/>
      <c r="CQP26" s="3327"/>
      <c r="CQQ26" s="3327"/>
      <c r="CQR26" s="3327"/>
      <c r="CQS26" s="3327"/>
      <c r="CQT26" s="3327"/>
      <c r="CQU26" s="3327"/>
      <c r="CQV26" s="3327"/>
      <c r="CQW26" s="3327"/>
      <c r="CQX26" s="3327"/>
      <c r="CQY26" s="3327"/>
      <c r="CQZ26" s="3327"/>
      <c r="CRA26" s="3327"/>
      <c r="CRB26" s="3327"/>
      <c r="CRC26" s="3327"/>
      <c r="CRD26" s="3327"/>
      <c r="CRE26" s="3327"/>
      <c r="CRF26" s="3327"/>
      <c r="CRG26" s="3327"/>
      <c r="CRH26" s="3327"/>
      <c r="CRI26" s="3327"/>
      <c r="CRJ26" s="3327"/>
      <c r="CRK26" s="3327"/>
      <c r="CRL26" s="3327"/>
      <c r="CRM26" s="3327"/>
      <c r="CRN26" s="3327"/>
      <c r="CRO26" s="3327"/>
      <c r="CRP26" s="3327"/>
      <c r="CRQ26" s="3327"/>
      <c r="CRR26" s="3327"/>
      <c r="CRS26" s="3327"/>
      <c r="CRT26" s="3327"/>
      <c r="CRU26" s="3327"/>
      <c r="CRV26" s="3327"/>
      <c r="CRW26" s="3327"/>
      <c r="CRX26" s="3327"/>
      <c r="CRY26" s="3327"/>
      <c r="CRZ26" s="3327"/>
      <c r="CSA26" s="3327"/>
      <c r="CSB26" s="3327"/>
      <c r="CSC26" s="3327"/>
      <c r="CSD26" s="3327"/>
      <c r="CSE26" s="3327"/>
      <c r="CSF26" s="3327"/>
      <c r="CSG26" s="3327"/>
      <c r="CSH26" s="3327"/>
      <c r="CSI26" s="3327"/>
      <c r="CSJ26" s="3327"/>
      <c r="CSK26" s="3327"/>
      <c r="CSL26" s="3327"/>
      <c r="CSM26" s="3327"/>
      <c r="CSN26" s="3327"/>
      <c r="CSO26" s="3327"/>
      <c r="CSP26" s="3327"/>
      <c r="CSQ26" s="3327"/>
      <c r="CSR26" s="3327"/>
      <c r="CSS26" s="3327"/>
      <c r="CST26" s="3327"/>
      <c r="CSU26" s="3327"/>
      <c r="CSV26" s="3327"/>
      <c r="CSW26" s="3327"/>
      <c r="CSX26" s="3327"/>
      <c r="CSY26" s="3327"/>
      <c r="CSZ26" s="3327"/>
      <c r="CTA26" s="3327"/>
      <c r="CTB26" s="3327"/>
      <c r="CTC26" s="3327"/>
      <c r="CTD26" s="3327"/>
      <c r="CTE26" s="3327"/>
      <c r="CTF26" s="3327"/>
      <c r="CTG26" s="3327"/>
      <c r="CTH26" s="3327"/>
      <c r="CTI26" s="3327"/>
      <c r="CTJ26" s="3327"/>
      <c r="CTK26" s="3327"/>
      <c r="CTL26" s="3327"/>
      <c r="CTM26" s="3327"/>
      <c r="CTN26" s="3327"/>
      <c r="CTO26" s="3327"/>
      <c r="CTP26" s="3327"/>
      <c r="CTQ26" s="3327"/>
      <c r="CTR26" s="3327"/>
      <c r="CTS26" s="3327"/>
      <c r="CTT26" s="3327"/>
      <c r="CTU26" s="3327"/>
      <c r="CTV26" s="3327"/>
      <c r="CTW26" s="3327"/>
      <c r="CTX26" s="3327"/>
      <c r="CTY26" s="3327"/>
      <c r="CTZ26" s="3327"/>
      <c r="CUA26" s="3327"/>
      <c r="CUB26" s="3327"/>
      <c r="CUC26" s="3327"/>
      <c r="CUD26" s="3327"/>
      <c r="CUE26" s="3327"/>
      <c r="CUF26" s="3327"/>
      <c r="CUG26" s="3327"/>
      <c r="CUH26" s="3327"/>
      <c r="CUI26" s="3327"/>
      <c r="CUJ26" s="3327"/>
      <c r="CUK26" s="3327"/>
      <c r="CUL26" s="3327"/>
      <c r="CUM26" s="3327"/>
      <c r="CUN26" s="3327"/>
      <c r="CUO26" s="3327"/>
      <c r="CUP26" s="3327"/>
      <c r="CUQ26" s="3327"/>
      <c r="CUR26" s="3327"/>
      <c r="CUS26" s="3327"/>
      <c r="CUT26" s="3327"/>
      <c r="CUU26" s="3327"/>
      <c r="CUV26" s="3327"/>
      <c r="CUW26" s="3327"/>
      <c r="CUX26" s="3327"/>
      <c r="CUY26" s="3327"/>
      <c r="CUZ26" s="3327"/>
      <c r="CVA26" s="3327"/>
      <c r="CVB26" s="3327"/>
      <c r="CVC26" s="3327"/>
      <c r="CVD26" s="3327"/>
      <c r="CVE26" s="3327"/>
      <c r="CVF26" s="3327"/>
      <c r="CVG26" s="3327"/>
      <c r="CVH26" s="3327"/>
      <c r="CVI26" s="3327"/>
      <c r="CVJ26" s="3327"/>
      <c r="CVK26" s="3327"/>
      <c r="CVL26" s="3327"/>
      <c r="CVM26" s="3327"/>
      <c r="CVN26" s="3327"/>
      <c r="CVO26" s="3327"/>
      <c r="CVP26" s="3327"/>
      <c r="CVQ26" s="3327"/>
      <c r="CVR26" s="3327"/>
      <c r="CVS26" s="3327"/>
      <c r="CVT26" s="3327"/>
      <c r="CVU26" s="3327"/>
      <c r="CVV26" s="3327"/>
      <c r="CVW26" s="3327"/>
      <c r="CVX26" s="3327"/>
      <c r="CVY26" s="3327"/>
      <c r="CVZ26" s="3327"/>
      <c r="CWA26" s="3327"/>
      <c r="CWB26" s="3327"/>
      <c r="CWC26" s="3327"/>
      <c r="CWD26" s="3327"/>
      <c r="CWE26" s="3327"/>
      <c r="CWF26" s="3327"/>
      <c r="CWG26" s="3327"/>
      <c r="CWH26" s="3327"/>
      <c r="CWI26" s="3327"/>
      <c r="CWJ26" s="3327"/>
      <c r="CWK26" s="3327"/>
      <c r="CWL26" s="3327"/>
      <c r="CWM26" s="3327"/>
      <c r="CWN26" s="3327"/>
      <c r="CWO26" s="3327"/>
      <c r="CWP26" s="3327"/>
      <c r="CWQ26" s="3327"/>
      <c r="CWR26" s="3327"/>
      <c r="CWS26" s="3327"/>
      <c r="CWT26" s="3327"/>
      <c r="CWU26" s="3327"/>
      <c r="CWV26" s="3327"/>
      <c r="CWW26" s="3327"/>
      <c r="CWX26" s="3327"/>
      <c r="CWY26" s="3327"/>
      <c r="CWZ26" s="3327"/>
      <c r="CXA26" s="3327"/>
      <c r="CXB26" s="3327"/>
      <c r="CXC26" s="3327"/>
      <c r="CXD26" s="3327"/>
      <c r="CXE26" s="3327"/>
      <c r="CXF26" s="3327"/>
      <c r="CXG26" s="3327"/>
      <c r="CXH26" s="3327"/>
      <c r="CXI26" s="3327"/>
      <c r="CXJ26" s="3327"/>
      <c r="CXK26" s="3327"/>
      <c r="CXL26" s="3327"/>
      <c r="CXM26" s="3327"/>
      <c r="CXN26" s="3327"/>
      <c r="CXO26" s="3327"/>
      <c r="CXP26" s="3327"/>
      <c r="CXQ26" s="3327"/>
      <c r="CXR26" s="3327"/>
      <c r="CXS26" s="3327"/>
      <c r="CXT26" s="3327"/>
      <c r="CXU26" s="3327"/>
      <c r="CXV26" s="3327"/>
      <c r="CXW26" s="3327"/>
      <c r="CXX26" s="3327"/>
      <c r="CXY26" s="3327"/>
      <c r="CXZ26" s="3327"/>
      <c r="CYA26" s="3327"/>
      <c r="CYB26" s="3327"/>
      <c r="CYC26" s="3327"/>
      <c r="CYD26" s="3327"/>
      <c r="CYE26" s="3327"/>
      <c r="CYF26" s="3327"/>
      <c r="CYG26" s="3327"/>
      <c r="CYH26" s="3327"/>
      <c r="CYI26" s="3327"/>
      <c r="CYJ26" s="3327"/>
      <c r="CYK26" s="3327"/>
      <c r="CYL26" s="3327"/>
      <c r="CYM26" s="3327"/>
      <c r="CYN26" s="3327"/>
      <c r="CYO26" s="3327"/>
      <c r="CYP26" s="3327"/>
      <c r="CYQ26" s="3327"/>
      <c r="CYR26" s="3327"/>
      <c r="CYS26" s="3327"/>
      <c r="CYT26" s="3327"/>
      <c r="CYU26" s="3327"/>
      <c r="CYV26" s="3327"/>
      <c r="CYW26" s="3327"/>
      <c r="CYX26" s="3327"/>
      <c r="CYY26" s="3327"/>
      <c r="CYZ26" s="3327"/>
      <c r="CZA26" s="3327"/>
      <c r="CZB26" s="3327"/>
      <c r="CZC26" s="3327"/>
      <c r="CZD26" s="3327"/>
      <c r="CZE26" s="3327"/>
      <c r="CZF26" s="3327"/>
      <c r="CZG26" s="3327"/>
      <c r="CZH26" s="3327"/>
      <c r="CZI26" s="3327"/>
      <c r="CZJ26" s="3327"/>
      <c r="CZK26" s="3327"/>
      <c r="CZL26" s="3327"/>
      <c r="CZM26" s="3327"/>
      <c r="CZN26" s="3327"/>
      <c r="CZO26" s="3327"/>
      <c r="CZP26" s="3327"/>
      <c r="CZQ26" s="3327"/>
      <c r="CZR26" s="3327"/>
      <c r="CZS26" s="3327"/>
      <c r="CZT26" s="3327"/>
      <c r="CZU26" s="3327"/>
      <c r="CZV26" s="3327"/>
      <c r="CZW26" s="3327"/>
      <c r="CZX26" s="3327"/>
      <c r="CZY26" s="3327"/>
      <c r="CZZ26" s="3327"/>
      <c r="DAA26" s="3327"/>
      <c r="DAB26" s="3327"/>
      <c r="DAC26" s="3327"/>
      <c r="DAD26" s="3327"/>
      <c r="DAE26" s="3327"/>
      <c r="DAF26" s="3327"/>
      <c r="DAG26" s="3327"/>
      <c r="DAH26" s="3327"/>
      <c r="DAI26" s="3327"/>
      <c r="DAJ26" s="3327"/>
      <c r="DAK26" s="3327"/>
      <c r="DAL26" s="3327"/>
      <c r="DAM26" s="3327"/>
      <c r="DAN26" s="3327"/>
      <c r="DAO26" s="3327"/>
      <c r="DAP26" s="3327"/>
      <c r="DAQ26" s="3327"/>
      <c r="DAR26" s="3327"/>
      <c r="DAS26" s="3327"/>
      <c r="DAT26" s="3327"/>
      <c r="DAU26" s="3327"/>
      <c r="DAV26" s="3327"/>
      <c r="DAW26" s="3327"/>
      <c r="DAX26" s="3327"/>
      <c r="DAY26" s="3327"/>
      <c r="DAZ26" s="3327"/>
      <c r="DBA26" s="3327"/>
      <c r="DBB26" s="3327"/>
      <c r="DBC26" s="3327"/>
      <c r="DBD26" s="3327"/>
      <c r="DBE26" s="3327"/>
      <c r="DBF26" s="3327"/>
      <c r="DBG26" s="3327"/>
      <c r="DBH26" s="3327"/>
      <c r="DBI26" s="3327"/>
      <c r="DBJ26" s="3327"/>
      <c r="DBK26" s="3327"/>
      <c r="DBL26" s="3327"/>
      <c r="DBM26" s="3327"/>
      <c r="DBN26" s="3327"/>
      <c r="DBO26" s="3327"/>
      <c r="DBP26" s="3327"/>
      <c r="DBQ26" s="3327"/>
      <c r="DBR26" s="3327"/>
      <c r="DBS26" s="3327"/>
      <c r="DBT26" s="3327"/>
      <c r="DBU26" s="3327"/>
      <c r="DBV26" s="3327"/>
      <c r="DBW26" s="3327"/>
      <c r="DBX26" s="3327"/>
      <c r="DBY26" s="3327"/>
      <c r="DBZ26" s="3327"/>
      <c r="DCA26" s="3327"/>
      <c r="DCB26" s="3327"/>
      <c r="DCC26" s="3327"/>
      <c r="DCD26" s="3327"/>
      <c r="DCE26" s="3327"/>
      <c r="DCF26" s="3327"/>
      <c r="DCG26" s="3327"/>
      <c r="DCH26" s="3327"/>
      <c r="DCI26" s="3327"/>
      <c r="DCJ26" s="3327"/>
      <c r="DCK26" s="3327"/>
      <c r="DCL26" s="3327"/>
      <c r="DCM26" s="3327"/>
      <c r="DCN26" s="3327"/>
      <c r="DCO26" s="3327"/>
      <c r="DCP26" s="3327"/>
      <c r="DCQ26" s="3327"/>
      <c r="DCR26" s="3327"/>
      <c r="DCS26" s="3327"/>
      <c r="DCT26" s="3327"/>
      <c r="DCU26" s="3327"/>
      <c r="DCV26" s="3327"/>
      <c r="DCW26" s="3327"/>
      <c r="DCX26" s="3327"/>
      <c r="DCY26" s="3327"/>
      <c r="DCZ26" s="3327"/>
      <c r="DDA26" s="3327"/>
      <c r="DDB26" s="3327"/>
      <c r="DDC26" s="3327"/>
      <c r="DDD26" s="3327"/>
      <c r="DDE26" s="3327"/>
      <c r="DDF26" s="3327"/>
      <c r="DDG26" s="3327"/>
      <c r="DDH26" s="3327"/>
      <c r="DDI26" s="3327"/>
      <c r="DDJ26" s="3327"/>
      <c r="DDK26" s="3327"/>
      <c r="DDL26" s="3327"/>
      <c r="DDM26" s="3327"/>
      <c r="DDN26" s="3327"/>
      <c r="DDO26" s="3327"/>
      <c r="DDP26" s="3327"/>
      <c r="DDQ26" s="3327"/>
      <c r="DDR26" s="3327"/>
      <c r="DDS26" s="3327"/>
      <c r="DDT26" s="3327"/>
      <c r="DDU26" s="3327"/>
      <c r="DDV26" s="3327"/>
      <c r="DDW26" s="3327"/>
      <c r="DDX26" s="3327"/>
      <c r="DDY26" s="3327"/>
      <c r="DDZ26" s="3327"/>
      <c r="DEA26" s="3327"/>
      <c r="DEB26" s="3327"/>
      <c r="DEC26" s="3327"/>
      <c r="DED26" s="3327"/>
      <c r="DEE26" s="3327"/>
      <c r="DEF26" s="3327"/>
      <c r="DEG26" s="3327"/>
      <c r="DEH26" s="3327"/>
      <c r="DEI26" s="3327"/>
      <c r="DEJ26" s="3327"/>
      <c r="DEK26" s="3327"/>
      <c r="DEL26" s="3327"/>
      <c r="DEM26" s="3327"/>
      <c r="DEN26" s="3327"/>
      <c r="DEO26" s="3327"/>
      <c r="DEP26" s="3327"/>
      <c r="DEQ26" s="3327"/>
      <c r="DER26" s="3327"/>
      <c r="DES26" s="3327"/>
      <c r="DET26" s="3327"/>
      <c r="DEU26" s="3327"/>
      <c r="DEV26" s="3327"/>
      <c r="DEW26" s="3327"/>
      <c r="DEX26" s="3327"/>
      <c r="DEY26" s="3327"/>
      <c r="DEZ26" s="3327"/>
      <c r="DFA26" s="3327"/>
      <c r="DFB26" s="3327"/>
      <c r="DFC26" s="3327"/>
      <c r="DFD26" s="3327"/>
      <c r="DFE26" s="3327"/>
      <c r="DFF26" s="3327"/>
      <c r="DFG26" s="3327"/>
      <c r="DFH26" s="3327"/>
      <c r="DFI26" s="3327"/>
      <c r="DFJ26" s="3327"/>
      <c r="DFK26" s="3327"/>
      <c r="DFL26" s="3327"/>
      <c r="DFM26" s="3327"/>
      <c r="DFN26" s="3327"/>
      <c r="DFO26" s="3327"/>
      <c r="DFP26" s="3327"/>
      <c r="DFQ26" s="3327"/>
      <c r="DFR26" s="3327"/>
      <c r="DFS26" s="3327"/>
      <c r="DFT26" s="3327"/>
      <c r="DFU26" s="3327"/>
      <c r="DFV26" s="3327"/>
      <c r="DFW26" s="3327"/>
      <c r="DFX26" s="3327"/>
      <c r="DFY26" s="3327"/>
      <c r="DFZ26" s="3327"/>
      <c r="DGA26" s="3327"/>
      <c r="DGB26" s="3327"/>
      <c r="DGC26" s="3327"/>
      <c r="DGD26" s="3327"/>
      <c r="DGE26" s="3327"/>
      <c r="DGF26" s="3327"/>
      <c r="DGG26" s="3327"/>
      <c r="DGH26" s="3327"/>
      <c r="DGI26" s="3327"/>
      <c r="DGJ26" s="3327"/>
      <c r="DGK26" s="3327"/>
      <c r="DGL26" s="3327"/>
      <c r="DGM26" s="3327"/>
      <c r="DGN26" s="3327"/>
      <c r="DGO26" s="3327"/>
      <c r="DGP26" s="3327"/>
      <c r="DGQ26" s="3327"/>
      <c r="DGR26" s="3327"/>
      <c r="DGS26" s="3327"/>
      <c r="DGT26" s="3327"/>
      <c r="DGU26" s="3327"/>
      <c r="DGV26" s="3327"/>
      <c r="DGW26" s="3327"/>
      <c r="DGX26" s="3327"/>
      <c r="DGY26" s="3327"/>
      <c r="DGZ26" s="3327"/>
      <c r="DHA26" s="3327"/>
      <c r="DHB26" s="3327"/>
      <c r="DHC26" s="3327"/>
      <c r="DHD26" s="3327"/>
      <c r="DHE26" s="3327"/>
      <c r="DHF26" s="3327"/>
      <c r="DHG26" s="3327"/>
      <c r="DHH26" s="3327"/>
      <c r="DHI26" s="3327"/>
      <c r="DHJ26" s="3327"/>
      <c r="DHK26" s="3327"/>
      <c r="DHL26" s="3327"/>
      <c r="DHM26" s="3327"/>
      <c r="DHN26" s="3327"/>
      <c r="DHO26" s="3327"/>
      <c r="DHP26" s="3327"/>
      <c r="DHQ26" s="3327"/>
      <c r="DHR26" s="3327"/>
      <c r="DHS26" s="3327"/>
      <c r="DHT26" s="3327"/>
      <c r="DHU26" s="3327"/>
      <c r="DHV26" s="3327"/>
      <c r="DHW26" s="3327"/>
      <c r="DHX26" s="3327"/>
      <c r="DHY26" s="3327"/>
      <c r="DHZ26" s="3327"/>
      <c r="DIA26" s="3327"/>
      <c r="DIB26" s="3327"/>
      <c r="DIC26" s="3327"/>
      <c r="DID26" s="3327"/>
      <c r="DIE26" s="3327"/>
      <c r="DIF26" s="3327"/>
      <c r="DIG26" s="3327"/>
      <c r="DIH26" s="3327"/>
      <c r="DII26" s="3327"/>
      <c r="DIJ26" s="3327"/>
      <c r="DIK26" s="3327"/>
      <c r="DIL26" s="3327"/>
      <c r="DIM26" s="3327"/>
      <c r="DIN26" s="3327"/>
      <c r="DIO26" s="3327"/>
      <c r="DIP26" s="3327"/>
      <c r="DIQ26" s="3327"/>
      <c r="DIR26" s="3327"/>
      <c r="DIS26" s="3327"/>
      <c r="DIT26" s="3327"/>
      <c r="DIU26" s="3327"/>
      <c r="DIV26" s="3327"/>
      <c r="DIW26" s="3327"/>
      <c r="DIX26" s="3327"/>
      <c r="DIY26" s="3327"/>
      <c r="DIZ26" s="3327"/>
      <c r="DJA26" s="3327"/>
      <c r="DJB26" s="3327"/>
      <c r="DJC26" s="3327"/>
      <c r="DJD26" s="3327"/>
      <c r="DJE26" s="3327"/>
      <c r="DJF26" s="3327"/>
      <c r="DJG26" s="3327"/>
      <c r="DJH26" s="3327"/>
      <c r="DJI26" s="3327"/>
      <c r="DJJ26" s="3327"/>
      <c r="DJK26" s="3327"/>
      <c r="DJL26" s="3327"/>
      <c r="DJM26" s="3327"/>
      <c r="DJN26" s="3327"/>
      <c r="DJO26" s="3327"/>
      <c r="DJP26" s="3327"/>
      <c r="DJQ26" s="3327"/>
      <c r="DJR26" s="3327"/>
      <c r="DJS26" s="3327"/>
      <c r="DJT26" s="3327"/>
      <c r="DJU26" s="3327"/>
      <c r="DJV26" s="3327"/>
      <c r="DJW26" s="3327"/>
      <c r="DJX26" s="3327"/>
      <c r="DJY26" s="3327"/>
      <c r="DJZ26" s="3327"/>
      <c r="DKA26" s="3327"/>
      <c r="DKB26" s="3327"/>
      <c r="DKC26" s="3327"/>
      <c r="DKD26" s="3327"/>
      <c r="DKE26" s="3327"/>
      <c r="DKF26" s="3327"/>
      <c r="DKG26" s="3327"/>
      <c r="DKH26" s="3327"/>
      <c r="DKI26" s="3327"/>
      <c r="DKJ26" s="3327"/>
      <c r="DKK26" s="3327"/>
      <c r="DKL26" s="3327"/>
      <c r="DKM26" s="3327"/>
      <c r="DKN26" s="3327"/>
      <c r="DKO26" s="3327"/>
      <c r="DKP26" s="3327"/>
      <c r="DKQ26" s="3327"/>
      <c r="DKR26" s="3327"/>
      <c r="DKS26" s="3327"/>
      <c r="DKT26" s="3327"/>
      <c r="DKU26" s="3327"/>
      <c r="DKV26" s="3327"/>
      <c r="DKW26" s="3327"/>
      <c r="DKX26" s="3327"/>
      <c r="DKY26" s="3327"/>
      <c r="DKZ26" s="3327"/>
      <c r="DLA26" s="3327"/>
      <c r="DLB26" s="3327"/>
      <c r="DLC26" s="3327"/>
      <c r="DLD26" s="3327"/>
      <c r="DLE26" s="3327"/>
      <c r="DLF26" s="3327"/>
      <c r="DLG26" s="3327"/>
      <c r="DLH26" s="3327"/>
      <c r="DLI26" s="3327"/>
      <c r="DLJ26" s="3327"/>
      <c r="DLK26" s="3327"/>
      <c r="DLL26" s="3327"/>
      <c r="DLM26" s="3327"/>
      <c r="DLN26" s="3327"/>
      <c r="DLO26" s="3327"/>
      <c r="DLP26" s="3327"/>
      <c r="DLQ26" s="3327"/>
      <c r="DLR26" s="3327"/>
      <c r="DLS26" s="3327"/>
      <c r="DLT26" s="3327"/>
      <c r="DLU26" s="3327"/>
      <c r="DLV26" s="3327"/>
      <c r="DLW26" s="3327"/>
      <c r="DLX26" s="3327"/>
      <c r="DLY26" s="3327"/>
      <c r="DLZ26" s="3327"/>
      <c r="DMA26" s="3327"/>
      <c r="DMB26" s="3327"/>
      <c r="DMC26" s="3327"/>
      <c r="DMD26" s="3327"/>
      <c r="DME26" s="3327"/>
      <c r="DMF26" s="3327"/>
      <c r="DMG26" s="3327"/>
      <c r="DMH26" s="3327"/>
      <c r="DMI26" s="3327"/>
      <c r="DMJ26" s="3327"/>
      <c r="DMK26" s="3327"/>
      <c r="DML26" s="3327"/>
      <c r="DMM26" s="3327"/>
      <c r="DMN26" s="3327"/>
      <c r="DMO26" s="3327"/>
      <c r="DMP26" s="3327"/>
      <c r="DMQ26" s="3327"/>
      <c r="DMR26" s="3327"/>
      <c r="DMS26" s="3327"/>
      <c r="DMT26" s="3327"/>
      <c r="DMU26" s="3327"/>
      <c r="DMV26" s="3327"/>
      <c r="DMW26" s="3327"/>
      <c r="DMX26" s="3327"/>
      <c r="DMY26" s="3327"/>
      <c r="DMZ26" s="3327"/>
      <c r="DNA26" s="3327"/>
      <c r="DNB26" s="3327"/>
      <c r="DNC26" s="3327"/>
      <c r="DND26" s="3327"/>
      <c r="DNE26" s="3327"/>
      <c r="DNF26" s="3327"/>
      <c r="DNG26" s="3327"/>
      <c r="DNH26" s="3327"/>
      <c r="DNI26" s="3327"/>
      <c r="DNJ26" s="3327"/>
      <c r="DNK26" s="3327"/>
      <c r="DNL26" s="3327"/>
      <c r="DNM26" s="3327"/>
      <c r="DNN26" s="3327"/>
      <c r="DNO26" s="3327"/>
      <c r="DNP26" s="3327"/>
      <c r="DNQ26" s="3327"/>
      <c r="DNR26" s="3327"/>
      <c r="DNS26" s="3327"/>
      <c r="DNT26" s="3327"/>
      <c r="DNU26" s="3327"/>
      <c r="DNV26" s="3327"/>
      <c r="DNW26" s="3327"/>
      <c r="DNX26" s="3327"/>
      <c r="DNY26" s="3327"/>
      <c r="DNZ26" s="3327"/>
      <c r="DOA26" s="3327"/>
      <c r="DOB26" s="3327"/>
      <c r="DOC26" s="3327"/>
      <c r="DOD26" s="3327"/>
      <c r="DOE26" s="3327"/>
      <c r="DOF26" s="3327"/>
      <c r="DOG26" s="3327"/>
      <c r="DOH26" s="3327"/>
      <c r="DOI26" s="3327"/>
      <c r="DOJ26" s="3327"/>
      <c r="DOK26" s="3327"/>
      <c r="DOL26" s="3327"/>
      <c r="DOM26" s="3327"/>
      <c r="DON26" s="3327"/>
      <c r="DOO26" s="3327"/>
      <c r="DOP26" s="3327"/>
      <c r="DOQ26" s="3327"/>
      <c r="DOR26" s="3327"/>
      <c r="DOS26" s="3327"/>
      <c r="DOT26" s="3327"/>
      <c r="DOU26" s="3327"/>
      <c r="DOV26" s="3327"/>
      <c r="DOW26" s="3327"/>
      <c r="DOX26" s="3327"/>
      <c r="DOY26" s="3327"/>
      <c r="DOZ26" s="3327"/>
      <c r="DPA26" s="3327"/>
      <c r="DPB26" s="3327"/>
      <c r="DPC26" s="3327"/>
      <c r="DPD26" s="3327"/>
      <c r="DPE26" s="3327"/>
      <c r="DPF26" s="3327"/>
      <c r="DPG26" s="3327"/>
      <c r="DPH26" s="3327"/>
      <c r="DPI26" s="3327"/>
      <c r="DPJ26" s="3327"/>
      <c r="DPK26" s="3327"/>
      <c r="DPL26" s="3327"/>
      <c r="DPM26" s="3327"/>
      <c r="DPN26" s="3327"/>
      <c r="DPO26" s="3327"/>
      <c r="DPP26" s="3327"/>
      <c r="DPQ26" s="3327"/>
      <c r="DPR26" s="3327"/>
      <c r="DPS26" s="3327"/>
      <c r="DPT26" s="3327"/>
      <c r="DPU26" s="3327"/>
      <c r="DPV26" s="3327"/>
      <c r="DPW26" s="3327"/>
      <c r="DPX26" s="3327"/>
      <c r="DPY26" s="3327"/>
      <c r="DPZ26" s="3327"/>
      <c r="DQA26" s="3327"/>
      <c r="DQB26" s="3327"/>
      <c r="DQC26" s="3327"/>
      <c r="DQD26" s="3327"/>
      <c r="DQE26" s="3327"/>
      <c r="DQF26" s="3327"/>
      <c r="DQG26" s="3327"/>
      <c r="DQH26" s="3327"/>
      <c r="DQI26" s="3327"/>
      <c r="DQJ26" s="3327"/>
      <c r="DQK26" s="3327"/>
      <c r="DQL26" s="3327"/>
      <c r="DQM26" s="3327"/>
      <c r="DQN26" s="3327"/>
      <c r="DQO26" s="3327"/>
      <c r="DQP26" s="3327"/>
      <c r="DQQ26" s="3327"/>
      <c r="DQR26" s="3327"/>
      <c r="DQS26" s="3327"/>
      <c r="DQT26" s="3327"/>
      <c r="DQU26" s="3327"/>
      <c r="DQV26" s="3327"/>
      <c r="DQW26" s="3327"/>
      <c r="DQX26" s="3327"/>
      <c r="DQY26" s="3327"/>
      <c r="DQZ26" s="3327"/>
      <c r="DRA26" s="3327"/>
      <c r="DRB26" s="3327"/>
      <c r="DRC26" s="3327"/>
      <c r="DRD26" s="3327"/>
      <c r="DRE26" s="3327"/>
      <c r="DRF26" s="3327"/>
      <c r="DRG26" s="3327"/>
      <c r="DRH26" s="3327"/>
      <c r="DRI26" s="3327"/>
      <c r="DRJ26" s="3327"/>
      <c r="DRK26" s="3327"/>
      <c r="DRL26" s="3327"/>
      <c r="DRM26" s="3327"/>
      <c r="DRN26" s="3327"/>
      <c r="DRO26" s="3327"/>
      <c r="DRP26" s="3327"/>
      <c r="DRQ26" s="3327"/>
      <c r="DRR26" s="3327"/>
      <c r="DRS26" s="3327"/>
      <c r="DRT26" s="3327"/>
      <c r="DRU26" s="3327"/>
      <c r="DRV26" s="3327"/>
      <c r="DRW26" s="3327"/>
      <c r="DRX26" s="3327"/>
      <c r="DRY26" s="3327"/>
      <c r="DRZ26" s="3327"/>
      <c r="DSA26" s="3327"/>
      <c r="DSB26" s="3327"/>
      <c r="DSC26" s="3327"/>
      <c r="DSD26" s="3327"/>
      <c r="DSE26" s="3327"/>
      <c r="DSF26" s="3327"/>
      <c r="DSG26" s="3327"/>
      <c r="DSH26" s="3327"/>
      <c r="DSI26" s="3327"/>
      <c r="DSJ26" s="3327"/>
      <c r="DSK26" s="3327"/>
      <c r="DSL26" s="3327"/>
      <c r="DSM26" s="3327"/>
      <c r="DSN26" s="3327"/>
      <c r="DSO26" s="3327"/>
      <c r="DSP26" s="3327"/>
      <c r="DSQ26" s="3327"/>
      <c r="DSR26" s="3327"/>
      <c r="DSS26" s="3327"/>
      <c r="DST26" s="3327"/>
      <c r="DSU26" s="3327"/>
      <c r="DSV26" s="3327"/>
      <c r="DSW26" s="3327"/>
      <c r="DSX26" s="3327"/>
      <c r="DSY26" s="3327"/>
      <c r="DSZ26" s="3327"/>
      <c r="DTA26" s="3327"/>
      <c r="DTB26" s="3327"/>
      <c r="DTC26" s="3327"/>
      <c r="DTD26" s="3327"/>
      <c r="DTE26" s="3327"/>
      <c r="DTF26" s="3327"/>
      <c r="DTG26" s="3327"/>
      <c r="DTH26" s="3327"/>
      <c r="DTI26" s="3327"/>
      <c r="DTJ26" s="3327"/>
      <c r="DTK26" s="3327"/>
      <c r="DTL26" s="3327"/>
      <c r="DTM26" s="3327"/>
      <c r="DTN26" s="3327"/>
      <c r="DTO26" s="3327"/>
      <c r="DTP26" s="3327"/>
      <c r="DTQ26" s="3327"/>
      <c r="DTR26" s="3327"/>
      <c r="DTS26" s="3327"/>
      <c r="DTT26" s="3327"/>
      <c r="DTU26" s="3327"/>
      <c r="DTV26" s="3327"/>
      <c r="DTW26" s="3327"/>
      <c r="DTX26" s="3327"/>
      <c r="DTY26" s="3327"/>
      <c r="DTZ26" s="3327"/>
      <c r="DUA26" s="3327"/>
      <c r="DUB26" s="3327"/>
      <c r="DUC26" s="3327"/>
      <c r="DUD26" s="3327"/>
      <c r="DUE26" s="3327"/>
      <c r="DUF26" s="3327"/>
      <c r="DUG26" s="3327"/>
      <c r="DUH26" s="3327"/>
      <c r="DUI26" s="3327"/>
      <c r="DUJ26" s="3327"/>
      <c r="DUK26" s="3327"/>
      <c r="DUL26" s="3327"/>
      <c r="DUM26" s="3327"/>
      <c r="DUN26" s="3327"/>
      <c r="DUO26" s="3327"/>
      <c r="DUP26" s="3327"/>
      <c r="DUQ26" s="3327"/>
      <c r="DUR26" s="3327"/>
      <c r="DUS26" s="3327"/>
      <c r="DUT26" s="3327"/>
      <c r="DUU26" s="3327"/>
      <c r="DUV26" s="3327"/>
      <c r="DUW26" s="3327"/>
      <c r="DUX26" s="3327"/>
      <c r="DUY26" s="3327"/>
      <c r="DUZ26" s="3327"/>
      <c r="DVA26" s="3327"/>
      <c r="DVB26" s="3327"/>
      <c r="DVC26" s="3327"/>
      <c r="DVD26" s="3327"/>
      <c r="DVE26" s="3327"/>
      <c r="DVF26" s="3327"/>
      <c r="DVG26" s="3327"/>
      <c r="DVH26" s="3327"/>
      <c r="DVI26" s="3327"/>
      <c r="DVJ26" s="3327"/>
      <c r="DVK26" s="3327"/>
      <c r="DVL26" s="3327"/>
      <c r="DVM26" s="3327"/>
      <c r="DVN26" s="3327"/>
      <c r="DVO26" s="3327"/>
      <c r="DVP26" s="3327"/>
      <c r="DVQ26" s="3327"/>
      <c r="DVR26" s="3327"/>
      <c r="DVS26" s="3327"/>
      <c r="DVT26" s="3327"/>
      <c r="DVU26" s="3327"/>
      <c r="DVV26" s="3327"/>
      <c r="DVW26" s="3327"/>
      <c r="DVX26" s="3327"/>
      <c r="DVY26" s="3327"/>
      <c r="DVZ26" s="3327"/>
      <c r="DWA26" s="3327"/>
      <c r="DWB26" s="3327"/>
      <c r="DWC26" s="3327"/>
      <c r="DWD26" s="3327"/>
      <c r="DWE26" s="3327"/>
      <c r="DWF26" s="3327"/>
      <c r="DWG26" s="3327"/>
      <c r="DWH26" s="3327"/>
      <c r="DWI26" s="3327"/>
      <c r="DWJ26" s="3327"/>
      <c r="DWK26" s="3327"/>
      <c r="DWL26" s="3327"/>
      <c r="DWM26" s="3327"/>
      <c r="DWN26" s="3327"/>
      <c r="DWO26" s="3327"/>
      <c r="DWP26" s="3327"/>
      <c r="DWQ26" s="3327"/>
      <c r="DWR26" s="3327"/>
      <c r="DWS26" s="3327"/>
      <c r="DWT26" s="3327"/>
      <c r="DWU26" s="3327"/>
      <c r="DWV26" s="3327"/>
      <c r="DWW26" s="3327"/>
      <c r="DWX26" s="3327"/>
      <c r="DWY26" s="3327"/>
      <c r="DWZ26" s="3327"/>
      <c r="DXA26" s="3327"/>
      <c r="DXB26" s="3327"/>
      <c r="DXC26" s="3327"/>
      <c r="DXD26" s="3327"/>
      <c r="DXE26" s="3327"/>
      <c r="DXF26" s="3327"/>
      <c r="DXG26" s="3327"/>
      <c r="DXH26" s="3327"/>
      <c r="DXI26" s="3327"/>
      <c r="DXJ26" s="3327"/>
      <c r="DXK26" s="3327"/>
      <c r="DXL26" s="3327"/>
      <c r="DXM26" s="3327"/>
      <c r="DXN26" s="3327"/>
      <c r="DXO26" s="3327"/>
      <c r="DXP26" s="3327"/>
      <c r="DXQ26" s="3327"/>
      <c r="DXR26" s="3327"/>
      <c r="DXS26" s="3327"/>
      <c r="DXT26" s="3327"/>
      <c r="DXU26" s="3327"/>
      <c r="DXV26" s="3327"/>
      <c r="DXW26" s="3327"/>
      <c r="DXX26" s="3327"/>
      <c r="DXY26" s="3327"/>
      <c r="DXZ26" s="3327"/>
      <c r="DYA26" s="3327"/>
      <c r="DYB26" s="3327"/>
      <c r="DYC26" s="3327"/>
      <c r="DYD26" s="3327"/>
      <c r="DYE26" s="3327"/>
      <c r="DYF26" s="3327"/>
      <c r="DYG26" s="3327"/>
      <c r="DYH26" s="3327"/>
      <c r="DYI26" s="3327"/>
      <c r="DYJ26" s="3327"/>
      <c r="DYK26" s="3327"/>
      <c r="DYL26" s="3327"/>
      <c r="DYM26" s="3327"/>
      <c r="DYN26" s="3327"/>
      <c r="DYO26" s="3327"/>
      <c r="DYP26" s="3327"/>
      <c r="DYQ26" s="3327"/>
      <c r="DYR26" s="3327"/>
      <c r="DYS26" s="3327"/>
      <c r="DYT26" s="3327"/>
      <c r="DYU26" s="3327"/>
      <c r="DYV26" s="3327"/>
      <c r="DYW26" s="3327"/>
      <c r="DYX26" s="3327"/>
      <c r="DYY26" s="3327"/>
      <c r="DYZ26" s="3327"/>
      <c r="DZA26" s="3327"/>
      <c r="DZB26" s="3327"/>
      <c r="DZC26" s="3327"/>
      <c r="DZD26" s="3327"/>
      <c r="DZE26" s="3327"/>
      <c r="DZF26" s="3327"/>
      <c r="DZG26" s="3327"/>
      <c r="DZH26" s="3327"/>
      <c r="DZI26" s="3327"/>
      <c r="DZJ26" s="3327"/>
      <c r="DZK26" s="3327"/>
      <c r="DZL26" s="3327"/>
      <c r="DZM26" s="3327"/>
      <c r="DZN26" s="3327"/>
      <c r="DZO26" s="3327"/>
      <c r="DZP26" s="3327"/>
      <c r="DZQ26" s="3327"/>
      <c r="DZR26" s="3327"/>
      <c r="DZS26" s="3327"/>
      <c r="DZT26" s="3327"/>
      <c r="DZU26" s="3327"/>
      <c r="DZV26" s="3327"/>
      <c r="DZW26" s="3327"/>
      <c r="DZX26" s="3327"/>
      <c r="DZY26" s="3327"/>
      <c r="DZZ26" s="3327"/>
      <c r="EAA26" s="3327"/>
      <c r="EAB26" s="3327"/>
      <c r="EAC26" s="3327"/>
      <c r="EAD26" s="3327"/>
      <c r="EAE26" s="3327"/>
      <c r="EAF26" s="3327"/>
      <c r="EAG26" s="3327"/>
      <c r="EAH26" s="3327"/>
      <c r="EAI26" s="3327"/>
      <c r="EAJ26" s="3327"/>
      <c r="EAK26" s="3327"/>
      <c r="EAL26" s="3327"/>
      <c r="EAM26" s="3327"/>
      <c r="EAN26" s="3327"/>
      <c r="EAO26" s="3327"/>
      <c r="EAP26" s="3327"/>
      <c r="EAQ26" s="3327"/>
      <c r="EAR26" s="3327"/>
      <c r="EAS26" s="3327"/>
      <c r="EAT26" s="3327"/>
      <c r="EAU26" s="3327"/>
      <c r="EAV26" s="3327"/>
      <c r="EAW26" s="3327"/>
      <c r="EAX26" s="3327"/>
      <c r="EAY26" s="3327"/>
      <c r="EAZ26" s="3327"/>
      <c r="EBA26" s="3327"/>
      <c r="EBB26" s="3327"/>
      <c r="EBC26" s="3327"/>
      <c r="EBD26" s="3327"/>
      <c r="EBE26" s="3327"/>
      <c r="EBF26" s="3327"/>
      <c r="EBG26" s="3327"/>
      <c r="EBH26" s="3327"/>
      <c r="EBI26" s="3327"/>
      <c r="EBJ26" s="3327"/>
      <c r="EBK26" s="3327"/>
      <c r="EBL26" s="3327"/>
      <c r="EBM26" s="3327"/>
      <c r="EBN26" s="3327"/>
      <c r="EBO26" s="3327"/>
      <c r="EBP26" s="3327"/>
      <c r="EBQ26" s="3327"/>
      <c r="EBR26" s="3327"/>
      <c r="EBS26" s="3327"/>
      <c r="EBT26" s="3327"/>
      <c r="EBU26" s="3327"/>
      <c r="EBV26" s="3327"/>
      <c r="EBW26" s="3327"/>
      <c r="EBX26" s="3327"/>
      <c r="EBY26" s="3327"/>
      <c r="EBZ26" s="3327"/>
      <c r="ECA26" s="3327"/>
      <c r="ECB26" s="3327"/>
      <c r="ECC26" s="3327"/>
      <c r="ECD26" s="3327"/>
      <c r="ECE26" s="3327"/>
      <c r="ECF26" s="3327"/>
      <c r="ECG26" s="3327"/>
      <c r="ECH26" s="3327"/>
      <c r="ECI26" s="3327"/>
      <c r="ECJ26" s="3327"/>
      <c r="ECK26" s="3327"/>
      <c r="ECL26" s="3327"/>
      <c r="ECM26" s="3327"/>
      <c r="ECN26" s="3327"/>
      <c r="ECO26" s="3327"/>
      <c r="ECP26" s="3327"/>
      <c r="ECQ26" s="3327"/>
      <c r="ECR26" s="3327"/>
      <c r="ECS26" s="3327"/>
      <c r="ECT26" s="3327"/>
      <c r="ECU26" s="3327"/>
      <c r="ECV26" s="3327"/>
      <c r="ECW26" s="3327"/>
      <c r="ECX26" s="3327"/>
      <c r="ECY26" s="3327"/>
      <c r="ECZ26" s="3327"/>
      <c r="EDA26" s="3327"/>
      <c r="EDB26" s="3327"/>
      <c r="EDC26" s="3327"/>
      <c r="EDD26" s="3327"/>
      <c r="EDE26" s="3327"/>
      <c r="EDF26" s="3327"/>
      <c r="EDG26" s="3327"/>
      <c r="EDH26" s="3327"/>
      <c r="EDI26" s="3327"/>
      <c r="EDJ26" s="3327"/>
      <c r="EDK26" s="3327"/>
      <c r="EDL26" s="3327"/>
      <c r="EDM26" s="3327"/>
      <c r="EDN26" s="3327"/>
      <c r="EDO26" s="3327"/>
      <c r="EDP26" s="3327"/>
      <c r="EDQ26" s="3327"/>
      <c r="EDR26" s="3327"/>
      <c r="EDS26" s="3327"/>
      <c r="EDT26" s="3327"/>
      <c r="EDU26" s="3327"/>
      <c r="EDV26" s="3327"/>
      <c r="EDW26" s="3327"/>
      <c r="EDX26" s="3327"/>
      <c r="EDY26" s="3327"/>
      <c r="EDZ26" s="3327"/>
      <c r="EEA26" s="3327"/>
      <c r="EEB26" s="3327"/>
      <c r="EEC26" s="3327"/>
      <c r="EED26" s="3327"/>
      <c r="EEE26" s="3327"/>
      <c r="EEF26" s="3327"/>
      <c r="EEG26" s="3327"/>
      <c r="EEH26" s="3327"/>
      <c r="EEI26" s="3327"/>
      <c r="EEJ26" s="3327"/>
      <c r="EEK26" s="3327"/>
      <c r="EEL26" s="3327"/>
      <c r="EEM26" s="3327"/>
      <c r="EEN26" s="3327"/>
      <c r="EEO26" s="3327"/>
      <c r="EEP26" s="3327"/>
      <c r="EEQ26" s="3327"/>
      <c r="EER26" s="3327"/>
      <c r="EES26" s="3327"/>
      <c r="EET26" s="3327"/>
      <c r="EEU26" s="3327"/>
      <c r="EEV26" s="3327"/>
      <c r="EEW26" s="3327"/>
      <c r="EEX26" s="3327"/>
      <c r="EEY26" s="3327"/>
      <c r="EEZ26" s="3327"/>
      <c r="EFA26" s="3327"/>
      <c r="EFB26" s="3327"/>
      <c r="EFC26" s="3327"/>
      <c r="EFD26" s="3327"/>
      <c r="EFE26" s="3327"/>
      <c r="EFF26" s="3327"/>
      <c r="EFG26" s="3327"/>
      <c r="EFH26" s="3327"/>
      <c r="EFI26" s="3327"/>
      <c r="EFJ26" s="3327"/>
      <c r="EFK26" s="3327"/>
      <c r="EFL26" s="3327"/>
      <c r="EFM26" s="3327"/>
      <c r="EFN26" s="3327"/>
      <c r="EFO26" s="3327"/>
      <c r="EFP26" s="3327"/>
      <c r="EFQ26" s="3327"/>
      <c r="EFR26" s="3327"/>
      <c r="EFS26" s="3327"/>
      <c r="EFT26" s="3327"/>
      <c r="EFU26" s="3327"/>
      <c r="EFV26" s="3327"/>
      <c r="EFW26" s="3327"/>
      <c r="EFX26" s="3327"/>
      <c r="EFY26" s="3327"/>
      <c r="EFZ26" s="3327"/>
      <c r="EGA26" s="3327"/>
      <c r="EGB26" s="3327"/>
      <c r="EGC26" s="3327"/>
      <c r="EGD26" s="3327"/>
      <c r="EGE26" s="3327"/>
      <c r="EGF26" s="3327"/>
      <c r="EGG26" s="3327"/>
      <c r="EGH26" s="3327"/>
      <c r="EGI26" s="3327"/>
      <c r="EGJ26" s="3327"/>
      <c r="EGK26" s="3327"/>
      <c r="EGL26" s="3327"/>
      <c r="EGM26" s="3327"/>
      <c r="EGN26" s="3327"/>
      <c r="EGO26" s="3327"/>
      <c r="EGP26" s="3327"/>
      <c r="EGQ26" s="3327"/>
      <c r="EGR26" s="3327"/>
      <c r="EGS26" s="3327"/>
      <c r="EGT26" s="3327"/>
      <c r="EGU26" s="3327"/>
      <c r="EGV26" s="3327"/>
      <c r="EGW26" s="3327"/>
      <c r="EGX26" s="3327"/>
      <c r="EGY26" s="3327"/>
      <c r="EGZ26" s="3327"/>
      <c r="EHA26" s="3327"/>
      <c r="EHB26" s="3327"/>
      <c r="EHC26" s="3327"/>
      <c r="EHD26" s="3327"/>
      <c r="EHE26" s="3327"/>
      <c r="EHF26" s="3327"/>
      <c r="EHG26" s="3327"/>
      <c r="EHH26" s="3327"/>
      <c r="EHI26" s="3327"/>
      <c r="EHJ26" s="3327"/>
      <c r="EHK26" s="3327"/>
      <c r="EHL26" s="3327"/>
      <c r="EHM26" s="3327"/>
      <c r="EHN26" s="3327"/>
      <c r="EHO26" s="3327"/>
      <c r="EHP26" s="3327"/>
      <c r="EHQ26" s="3327"/>
      <c r="EHR26" s="3327"/>
      <c r="EHS26" s="3327"/>
      <c r="EHT26" s="3327"/>
      <c r="EHU26" s="3327"/>
      <c r="EHV26" s="3327"/>
      <c r="EHW26" s="3327"/>
      <c r="EHX26" s="3327"/>
      <c r="EHY26" s="3327"/>
      <c r="EHZ26" s="3327"/>
      <c r="EIA26" s="3327"/>
      <c r="EIB26" s="3327"/>
      <c r="EIC26" s="3327"/>
      <c r="EID26" s="3327"/>
      <c r="EIE26" s="3327"/>
      <c r="EIF26" s="3327"/>
      <c r="EIG26" s="3327"/>
      <c r="EIH26" s="3327"/>
      <c r="EII26" s="3327"/>
      <c r="EIJ26" s="3327"/>
      <c r="EIK26" s="3327"/>
      <c r="EIL26" s="3327"/>
      <c r="EIM26" s="3327"/>
      <c r="EIN26" s="3327"/>
      <c r="EIO26" s="3327"/>
      <c r="EIP26" s="3327"/>
      <c r="EIQ26" s="3327"/>
      <c r="EIR26" s="3327"/>
      <c r="EIS26" s="3327"/>
      <c r="EIT26" s="3327"/>
      <c r="EIU26" s="3327"/>
      <c r="EIV26" s="3327"/>
      <c r="EIW26" s="3327"/>
      <c r="EIX26" s="3327"/>
      <c r="EIY26" s="3327"/>
      <c r="EIZ26" s="3327"/>
      <c r="EJA26" s="3327"/>
      <c r="EJB26" s="3327"/>
      <c r="EJC26" s="3327"/>
      <c r="EJD26" s="3327"/>
      <c r="EJE26" s="3327"/>
      <c r="EJF26" s="3327"/>
      <c r="EJG26" s="3327"/>
      <c r="EJH26" s="3327"/>
      <c r="EJI26" s="3327"/>
      <c r="EJJ26" s="3327"/>
      <c r="EJK26" s="3327"/>
      <c r="EJL26" s="3327"/>
      <c r="EJM26" s="3327"/>
      <c r="EJN26" s="3327"/>
      <c r="EJO26" s="3327"/>
      <c r="EJP26" s="3327"/>
      <c r="EJQ26" s="3327"/>
      <c r="EJR26" s="3327"/>
      <c r="EJS26" s="3327"/>
      <c r="EJT26" s="3327"/>
      <c r="EJU26" s="3327"/>
      <c r="EJV26" s="3327"/>
      <c r="EJW26" s="3327"/>
      <c r="EJX26" s="3327"/>
      <c r="EJY26" s="3327"/>
      <c r="EJZ26" s="3327"/>
      <c r="EKA26" s="3327"/>
      <c r="EKB26" s="3327"/>
      <c r="EKC26" s="3327"/>
      <c r="EKD26" s="3327"/>
      <c r="EKE26" s="3327"/>
      <c r="EKF26" s="3327"/>
      <c r="EKG26" s="3327"/>
      <c r="EKH26" s="3327"/>
      <c r="EKI26" s="3327"/>
      <c r="EKJ26" s="3327"/>
      <c r="EKK26" s="3327"/>
      <c r="EKL26" s="3327"/>
      <c r="EKM26" s="3327"/>
      <c r="EKN26" s="3327"/>
      <c r="EKO26" s="3327"/>
      <c r="EKP26" s="3327"/>
      <c r="EKQ26" s="3327"/>
      <c r="EKR26" s="3327"/>
      <c r="EKS26" s="3327"/>
      <c r="EKT26" s="3327"/>
      <c r="EKU26" s="3327"/>
      <c r="EKV26" s="3327"/>
      <c r="EKW26" s="3327"/>
      <c r="EKX26" s="3327"/>
      <c r="EKY26" s="3327"/>
      <c r="EKZ26" s="3327"/>
      <c r="ELA26" s="3327"/>
      <c r="ELB26" s="3327"/>
      <c r="ELC26" s="3327"/>
      <c r="ELD26" s="3327"/>
      <c r="ELE26" s="3327"/>
      <c r="ELF26" s="3327"/>
      <c r="ELG26" s="3327"/>
      <c r="ELH26" s="3327"/>
      <c r="ELI26" s="3327"/>
      <c r="ELJ26" s="3327"/>
      <c r="ELK26" s="3327"/>
      <c r="ELL26" s="3327"/>
      <c r="ELM26" s="3327"/>
      <c r="ELN26" s="3327"/>
      <c r="ELO26" s="3327"/>
      <c r="ELP26" s="3327"/>
      <c r="ELQ26" s="3327"/>
      <c r="ELR26" s="3327"/>
      <c r="ELS26" s="3327"/>
      <c r="ELT26" s="3327"/>
      <c r="ELU26" s="3327"/>
      <c r="ELV26" s="3327"/>
      <c r="ELW26" s="3327"/>
      <c r="ELX26" s="3327"/>
      <c r="ELY26" s="3327"/>
      <c r="ELZ26" s="3327"/>
      <c r="EMA26" s="3327"/>
      <c r="EMB26" s="3327"/>
      <c r="EMC26" s="3327"/>
      <c r="EMD26" s="3327"/>
      <c r="EME26" s="3327"/>
      <c r="EMF26" s="3327"/>
      <c r="EMG26" s="3327"/>
      <c r="EMH26" s="3327"/>
      <c r="EMI26" s="3327"/>
      <c r="EMJ26" s="3327"/>
      <c r="EMK26" s="3327"/>
      <c r="EML26" s="3327"/>
      <c r="EMM26" s="3327"/>
      <c r="EMN26" s="3327"/>
      <c r="EMO26" s="3327"/>
      <c r="EMP26" s="3327"/>
      <c r="EMQ26" s="3327"/>
      <c r="EMR26" s="3327"/>
      <c r="EMS26" s="3327"/>
      <c r="EMT26" s="3327"/>
      <c r="EMU26" s="3327"/>
      <c r="EMV26" s="3327"/>
      <c r="EMW26" s="3327"/>
      <c r="EMX26" s="3327"/>
      <c r="EMY26" s="3327"/>
      <c r="EMZ26" s="3327"/>
      <c r="ENA26" s="3327"/>
      <c r="ENB26" s="3327"/>
      <c r="ENC26" s="3327"/>
      <c r="END26" s="3327"/>
      <c r="ENE26" s="3327"/>
      <c r="ENF26" s="3327"/>
      <c r="ENG26" s="3327"/>
      <c r="ENH26" s="3327"/>
      <c r="ENI26" s="3327"/>
      <c r="ENJ26" s="3327"/>
      <c r="ENK26" s="3327"/>
      <c r="ENL26" s="3327"/>
      <c r="ENM26" s="3327"/>
      <c r="ENN26" s="3327"/>
      <c r="ENO26" s="3327"/>
      <c r="ENP26" s="3327"/>
      <c r="ENQ26" s="3327"/>
      <c r="ENR26" s="3327"/>
      <c r="ENS26" s="3327"/>
      <c r="ENT26" s="3327"/>
      <c r="ENU26" s="3327"/>
      <c r="ENV26" s="3327"/>
      <c r="ENW26" s="3327"/>
      <c r="ENX26" s="3327"/>
      <c r="ENY26" s="3327"/>
      <c r="ENZ26" s="3327"/>
      <c r="EOA26" s="3327"/>
      <c r="EOB26" s="3327"/>
      <c r="EOC26" s="3327"/>
      <c r="EOD26" s="3327"/>
      <c r="EOE26" s="3327"/>
      <c r="EOF26" s="3327"/>
      <c r="EOG26" s="3327"/>
      <c r="EOH26" s="3327"/>
      <c r="EOI26" s="3327"/>
      <c r="EOJ26" s="3327"/>
      <c r="EOK26" s="3327"/>
      <c r="EOL26" s="3327"/>
      <c r="EOM26" s="3327"/>
      <c r="EON26" s="3327"/>
      <c r="EOO26" s="3327"/>
      <c r="EOP26" s="3327"/>
      <c r="EOQ26" s="3327"/>
      <c r="EOR26" s="3327"/>
      <c r="EOS26" s="3327"/>
      <c r="EOT26" s="3327"/>
      <c r="EOU26" s="3327"/>
      <c r="EOV26" s="3327"/>
      <c r="EOW26" s="3327"/>
      <c r="EOX26" s="3327"/>
      <c r="EOY26" s="3327"/>
      <c r="EOZ26" s="3327"/>
      <c r="EPA26" s="3327"/>
      <c r="EPB26" s="3327"/>
      <c r="EPC26" s="3327"/>
      <c r="EPD26" s="3327"/>
      <c r="EPE26" s="3327"/>
      <c r="EPF26" s="3327"/>
      <c r="EPG26" s="3327"/>
      <c r="EPH26" s="3327"/>
      <c r="EPI26" s="3327"/>
      <c r="EPJ26" s="3327"/>
      <c r="EPK26" s="3327"/>
      <c r="EPL26" s="3327"/>
      <c r="EPM26" s="3327"/>
      <c r="EPN26" s="3327"/>
      <c r="EPO26" s="3327"/>
      <c r="EPP26" s="3327"/>
      <c r="EPQ26" s="3327"/>
      <c r="EPR26" s="3327"/>
      <c r="EPS26" s="3327"/>
      <c r="EPT26" s="3327"/>
      <c r="EPU26" s="3327"/>
      <c r="EPV26" s="3327"/>
      <c r="EPW26" s="3327"/>
      <c r="EPX26" s="3327"/>
      <c r="EPY26" s="3327"/>
      <c r="EPZ26" s="3327"/>
      <c r="EQA26" s="3327"/>
      <c r="EQB26" s="3327"/>
      <c r="EQC26" s="3327"/>
      <c r="EQD26" s="3327"/>
      <c r="EQE26" s="3327"/>
      <c r="EQF26" s="3327"/>
      <c r="EQG26" s="3327"/>
      <c r="EQH26" s="3327"/>
      <c r="EQI26" s="3327"/>
      <c r="EQJ26" s="3327"/>
      <c r="EQK26" s="3327"/>
      <c r="EQL26" s="3327"/>
      <c r="EQM26" s="3327"/>
      <c r="EQN26" s="3327"/>
      <c r="EQO26" s="3327"/>
      <c r="EQP26" s="3327"/>
      <c r="EQQ26" s="3327"/>
      <c r="EQR26" s="3327"/>
      <c r="EQS26" s="3327"/>
      <c r="EQT26" s="3327"/>
      <c r="EQU26" s="3327"/>
      <c r="EQV26" s="3327"/>
      <c r="EQW26" s="3327"/>
      <c r="EQX26" s="3327"/>
      <c r="EQY26" s="3327"/>
      <c r="EQZ26" s="3327"/>
      <c r="ERA26" s="3327"/>
      <c r="ERB26" s="3327"/>
      <c r="ERC26" s="3327"/>
      <c r="ERD26" s="3327"/>
      <c r="ERE26" s="3327"/>
      <c r="ERF26" s="3327"/>
      <c r="ERG26" s="3327"/>
      <c r="ERH26" s="3327"/>
      <c r="ERI26" s="3327"/>
      <c r="ERJ26" s="3327"/>
      <c r="ERK26" s="3327"/>
      <c r="ERL26" s="3327"/>
      <c r="ERM26" s="3327"/>
      <c r="ERN26" s="3327"/>
      <c r="ERO26" s="3327"/>
      <c r="ERP26" s="3327"/>
      <c r="ERQ26" s="3327"/>
      <c r="ERR26" s="3327"/>
      <c r="ERS26" s="3327"/>
      <c r="ERT26" s="3327"/>
      <c r="ERU26" s="3327"/>
      <c r="ERV26" s="3327"/>
      <c r="ERW26" s="3327"/>
      <c r="ERX26" s="3327"/>
      <c r="ERY26" s="3327"/>
      <c r="ERZ26" s="3327"/>
      <c r="ESA26" s="3327"/>
      <c r="ESB26" s="3327"/>
      <c r="ESC26" s="3327"/>
      <c r="ESD26" s="3327"/>
      <c r="ESE26" s="3327"/>
      <c r="ESF26" s="3327"/>
      <c r="ESG26" s="3327"/>
      <c r="ESH26" s="3327"/>
      <c r="ESI26" s="3327"/>
      <c r="ESJ26" s="3327"/>
      <c r="ESK26" s="3327"/>
      <c r="ESL26" s="3327"/>
      <c r="ESM26" s="3327"/>
      <c r="ESN26" s="3327"/>
      <c r="ESO26" s="3327"/>
      <c r="ESP26" s="3327"/>
      <c r="ESQ26" s="3327"/>
      <c r="ESR26" s="3327"/>
      <c r="ESS26" s="3327"/>
      <c r="EST26" s="3327"/>
      <c r="ESU26" s="3327"/>
      <c r="ESV26" s="3327"/>
      <c r="ESW26" s="3327"/>
      <c r="ESX26" s="3327"/>
      <c r="ESY26" s="3327"/>
      <c r="ESZ26" s="3327"/>
      <c r="ETA26" s="3327"/>
      <c r="ETB26" s="3327"/>
      <c r="ETC26" s="3327"/>
      <c r="ETD26" s="3327"/>
      <c r="ETE26" s="3327"/>
      <c r="ETF26" s="3327"/>
      <c r="ETG26" s="3327"/>
      <c r="ETH26" s="3327"/>
      <c r="ETI26" s="3327"/>
      <c r="ETJ26" s="3327"/>
      <c r="ETK26" s="3327"/>
      <c r="ETL26" s="3327"/>
      <c r="ETM26" s="3327"/>
      <c r="ETN26" s="3327"/>
      <c r="ETO26" s="3327"/>
      <c r="ETP26" s="3327"/>
      <c r="ETQ26" s="3327"/>
      <c r="ETR26" s="3327"/>
      <c r="ETS26" s="3327"/>
      <c r="ETT26" s="3327"/>
      <c r="ETU26" s="3327"/>
      <c r="ETV26" s="3327"/>
      <c r="ETW26" s="3327"/>
      <c r="ETX26" s="3327"/>
      <c r="ETY26" s="3327"/>
      <c r="ETZ26" s="3327"/>
      <c r="EUA26" s="3327"/>
      <c r="EUB26" s="3327"/>
      <c r="EUC26" s="3327"/>
      <c r="EUD26" s="3327"/>
      <c r="EUE26" s="3327"/>
      <c r="EUF26" s="3327"/>
      <c r="EUG26" s="3327"/>
      <c r="EUH26" s="3327"/>
      <c r="EUI26" s="3327"/>
      <c r="EUJ26" s="3327"/>
      <c r="EUK26" s="3327"/>
      <c r="EUL26" s="3327"/>
      <c r="EUM26" s="3327"/>
      <c r="EUN26" s="3327"/>
      <c r="EUO26" s="3327"/>
      <c r="EUP26" s="3327"/>
      <c r="EUQ26" s="3327"/>
      <c r="EUR26" s="3327"/>
      <c r="EUS26" s="3327"/>
      <c r="EUT26" s="3327"/>
      <c r="EUU26" s="3327"/>
      <c r="EUV26" s="3327"/>
      <c r="EUW26" s="3327"/>
      <c r="EUX26" s="3327"/>
      <c r="EUY26" s="3327"/>
      <c r="EUZ26" s="3327"/>
      <c r="EVA26" s="3327"/>
      <c r="EVB26" s="3327"/>
      <c r="EVC26" s="3327"/>
      <c r="EVD26" s="3327"/>
      <c r="EVE26" s="3327"/>
      <c r="EVF26" s="3327"/>
      <c r="EVG26" s="3327"/>
      <c r="EVH26" s="3327"/>
      <c r="EVI26" s="3327"/>
      <c r="EVJ26" s="3327"/>
      <c r="EVK26" s="3327"/>
      <c r="EVL26" s="3327"/>
      <c r="EVM26" s="3327"/>
      <c r="EVN26" s="3327"/>
      <c r="EVO26" s="3327"/>
      <c r="EVP26" s="3327"/>
      <c r="EVQ26" s="3327"/>
      <c r="EVR26" s="3327"/>
      <c r="EVS26" s="3327"/>
      <c r="EVT26" s="3327"/>
      <c r="EVU26" s="3327"/>
      <c r="EVV26" s="3327"/>
      <c r="EVW26" s="3327"/>
      <c r="EVX26" s="3327"/>
      <c r="EVY26" s="3327"/>
      <c r="EVZ26" s="3327"/>
      <c r="EWA26" s="3327"/>
      <c r="EWB26" s="3327"/>
      <c r="EWC26" s="3327"/>
      <c r="EWD26" s="3327"/>
      <c r="EWE26" s="3327"/>
      <c r="EWF26" s="3327"/>
      <c r="EWG26" s="3327"/>
      <c r="EWH26" s="3327"/>
      <c r="EWI26" s="3327"/>
      <c r="EWJ26" s="3327"/>
      <c r="EWK26" s="3327"/>
      <c r="EWL26" s="3327"/>
      <c r="EWM26" s="3327"/>
      <c r="EWN26" s="3327"/>
      <c r="EWO26" s="3327"/>
      <c r="EWP26" s="3327"/>
      <c r="EWQ26" s="3327"/>
      <c r="EWR26" s="3327"/>
      <c r="EWS26" s="3327"/>
      <c r="EWT26" s="3327"/>
      <c r="EWU26" s="3327"/>
      <c r="EWV26" s="3327"/>
      <c r="EWW26" s="3327"/>
      <c r="EWX26" s="3327"/>
      <c r="EWY26" s="3327"/>
      <c r="EWZ26" s="3327"/>
      <c r="EXA26" s="3327"/>
      <c r="EXB26" s="3327"/>
      <c r="EXC26" s="3327"/>
      <c r="EXD26" s="3327"/>
      <c r="EXE26" s="3327"/>
      <c r="EXF26" s="3327"/>
      <c r="EXG26" s="3327"/>
      <c r="EXH26" s="3327"/>
      <c r="EXI26" s="3327"/>
      <c r="EXJ26" s="3327"/>
      <c r="EXK26" s="3327"/>
      <c r="EXL26" s="3327"/>
      <c r="EXM26" s="3327"/>
      <c r="EXN26" s="3327"/>
      <c r="EXO26" s="3327"/>
      <c r="EXP26" s="3327"/>
      <c r="EXQ26" s="3327"/>
      <c r="EXR26" s="3327"/>
      <c r="EXS26" s="3327"/>
      <c r="EXT26" s="3327"/>
      <c r="EXU26" s="3327"/>
      <c r="EXV26" s="3327"/>
      <c r="EXW26" s="3327"/>
      <c r="EXX26" s="3327"/>
      <c r="EXY26" s="3327"/>
      <c r="EXZ26" s="3327"/>
      <c r="EYA26" s="3327"/>
      <c r="EYB26" s="3327"/>
      <c r="EYC26" s="3327"/>
      <c r="EYD26" s="3327"/>
      <c r="EYE26" s="3327"/>
      <c r="EYF26" s="3327"/>
      <c r="EYG26" s="3327"/>
      <c r="EYH26" s="3327"/>
      <c r="EYI26" s="3327"/>
      <c r="EYJ26" s="3327"/>
      <c r="EYK26" s="3327"/>
      <c r="EYL26" s="3327"/>
      <c r="EYM26" s="3327"/>
      <c r="EYN26" s="3327"/>
      <c r="EYO26" s="3327"/>
      <c r="EYP26" s="3327"/>
      <c r="EYQ26" s="3327"/>
      <c r="EYR26" s="3327"/>
      <c r="EYS26" s="3327"/>
      <c r="EYT26" s="3327"/>
      <c r="EYU26" s="3327"/>
      <c r="EYV26" s="3327"/>
      <c r="EYW26" s="3327"/>
      <c r="EYX26" s="3327"/>
      <c r="EYY26" s="3327"/>
      <c r="EYZ26" s="3327"/>
      <c r="EZA26" s="3327"/>
      <c r="EZB26" s="3327"/>
      <c r="EZC26" s="3327"/>
      <c r="EZD26" s="3327"/>
      <c r="EZE26" s="3327"/>
      <c r="EZF26" s="3327"/>
      <c r="EZG26" s="3327"/>
      <c r="EZH26" s="3327"/>
      <c r="EZI26" s="3327"/>
      <c r="EZJ26" s="3327"/>
      <c r="EZK26" s="3327"/>
      <c r="EZL26" s="3327"/>
      <c r="EZM26" s="3327"/>
      <c r="EZN26" s="3327"/>
      <c r="EZO26" s="3327"/>
      <c r="EZP26" s="3327"/>
      <c r="EZQ26" s="3327"/>
      <c r="EZR26" s="3327"/>
      <c r="EZS26" s="3327"/>
      <c r="EZT26" s="3327"/>
      <c r="EZU26" s="3327"/>
      <c r="EZV26" s="3327"/>
      <c r="EZW26" s="3327"/>
      <c r="EZX26" s="3327"/>
      <c r="EZY26" s="3327"/>
      <c r="EZZ26" s="3327"/>
      <c r="FAA26" s="3327"/>
      <c r="FAB26" s="3327"/>
      <c r="FAC26" s="3327"/>
      <c r="FAD26" s="3327"/>
      <c r="FAE26" s="3327"/>
      <c r="FAF26" s="3327"/>
      <c r="FAG26" s="3327"/>
      <c r="FAH26" s="3327"/>
      <c r="FAI26" s="3327"/>
      <c r="FAJ26" s="3327"/>
      <c r="FAK26" s="3327"/>
      <c r="FAL26" s="3327"/>
      <c r="FAM26" s="3327"/>
      <c r="FAN26" s="3327"/>
      <c r="FAO26" s="3327"/>
      <c r="FAP26" s="3327"/>
      <c r="FAQ26" s="3327"/>
      <c r="FAR26" s="3327"/>
      <c r="FAS26" s="3327"/>
      <c r="FAT26" s="3327"/>
      <c r="FAU26" s="3327"/>
      <c r="FAV26" s="3327"/>
      <c r="FAW26" s="3327"/>
      <c r="FAX26" s="3327"/>
      <c r="FAY26" s="3327"/>
      <c r="FAZ26" s="3327"/>
      <c r="FBA26" s="3327"/>
      <c r="FBB26" s="3327"/>
      <c r="FBC26" s="3327"/>
      <c r="FBD26" s="3327"/>
      <c r="FBE26" s="3327"/>
      <c r="FBF26" s="3327"/>
      <c r="FBG26" s="3327"/>
      <c r="FBH26" s="3327"/>
      <c r="FBI26" s="3327"/>
      <c r="FBJ26" s="3327"/>
      <c r="FBK26" s="3327"/>
      <c r="FBL26" s="3327"/>
      <c r="FBM26" s="3327"/>
      <c r="FBN26" s="3327"/>
      <c r="FBO26" s="3327"/>
      <c r="FBP26" s="3327"/>
      <c r="FBQ26" s="3327"/>
      <c r="FBR26" s="3327"/>
      <c r="FBS26" s="3327"/>
      <c r="FBT26" s="3327"/>
      <c r="FBU26" s="3327"/>
      <c r="FBV26" s="3327"/>
      <c r="FBW26" s="3327"/>
      <c r="FBX26" s="3327"/>
      <c r="FBY26" s="3327"/>
      <c r="FBZ26" s="3327"/>
      <c r="FCA26" s="3327"/>
      <c r="FCB26" s="3327"/>
      <c r="FCC26" s="3327"/>
      <c r="FCD26" s="3327"/>
      <c r="FCE26" s="3327"/>
      <c r="FCF26" s="3327"/>
      <c r="FCG26" s="3327"/>
      <c r="FCH26" s="3327"/>
      <c r="FCI26" s="3327"/>
      <c r="FCJ26" s="3327"/>
      <c r="FCK26" s="3327"/>
      <c r="FCL26" s="3327"/>
      <c r="FCM26" s="3327"/>
      <c r="FCN26" s="3327"/>
      <c r="FCO26" s="3327"/>
      <c r="FCP26" s="3327"/>
      <c r="FCQ26" s="3327"/>
      <c r="FCR26" s="3327"/>
      <c r="FCS26" s="3327"/>
      <c r="FCT26" s="3327"/>
      <c r="FCU26" s="3327"/>
      <c r="FCV26" s="3327"/>
      <c r="FCW26" s="3327"/>
      <c r="FCX26" s="3327"/>
      <c r="FCY26" s="3327"/>
      <c r="FCZ26" s="3327"/>
      <c r="FDA26" s="3327"/>
      <c r="FDB26" s="3327"/>
      <c r="FDC26" s="3327"/>
      <c r="FDD26" s="3327"/>
      <c r="FDE26" s="3327"/>
      <c r="FDF26" s="3327"/>
      <c r="FDG26" s="3327"/>
      <c r="FDH26" s="3327"/>
      <c r="FDI26" s="3327"/>
      <c r="FDJ26" s="3327"/>
      <c r="FDK26" s="3327"/>
      <c r="FDL26" s="3327"/>
      <c r="FDM26" s="3327"/>
      <c r="FDN26" s="3327"/>
      <c r="FDO26" s="3327"/>
      <c r="FDP26" s="3327"/>
      <c r="FDQ26" s="3327"/>
      <c r="FDR26" s="3327"/>
      <c r="FDS26" s="3327"/>
      <c r="FDT26" s="3327"/>
      <c r="FDU26" s="3327"/>
      <c r="FDV26" s="3327"/>
      <c r="FDW26" s="3327"/>
      <c r="FDX26" s="3327"/>
      <c r="FDY26" s="3327"/>
      <c r="FDZ26" s="3327"/>
      <c r="FEA26" s="3327"/>
      <c r="FEB26" s="3327"/>
      <c r="FEC26" s="3327"/>
      <c r="FED26" s="3327"/>
      <c r="FEE26" s="3327"/>
      <c r="FEF26" s="3327"/>
      <c r="FEG26" s="3327"/>
      <c r="FEH26" s="3327"/>
      <c r="FEI26" s="3327"/>
      <c r="FEJ26" s="3327"/>
      <c r="FEK26" s="3327"/>
      <c r="FEL26" s="3327"/>
      <c r="FEM26" s="3327"/>
      <c r="FEN26" s="3327"/>
      <c r="FEO26" s="3327"/>
      <c r="FEP26" s="3327"/>
      <c r="FEQ26" s="3327"/>
      <c r="FER26" s="3327"/>
      <c r="FES26" s="3327"/>
      <c r="FET26" s="3327"/>
      <c r="FEU26" s="3327"/>
      <c r="FEV26" s="3327"/>
      <c r="FEW26" s="3327"/>
      <c r="FEX26" s="3327"/>
      <c r="FEY26" s="3327"/>
      <c r="FEZ26" s="3327"/>
      <c r="FFA26" s="3327"/>
      <c r="FFB26" s="3327"/>
      <c r="FFC26" s="3327"/>
      <c r="FFD26" s="3327"/>
      <c r="FFE26" s="3327"/>
      <c r="FFF26" s="3327"/>
      <c r="FFG26" s="3327"/>
      <c r="FFH26" s="3327"/>
      <c r="FFI26" s="3327"/>
      <c r="FFJ26" s="3327"/>
      <c r="FFK26" s="3327"/>
      <c r="FFL26" s="3327"/>
      <c r="FFM26" s="3327"/>
      <c r="FFN26" s="3327"/>
      <c r="FFO26" s="3327"/>
      <c r="FFP26" s="3327"/>
      <c r="FFQ26" s="3327"/>
      <c r="FFR26" s="3327"/>
      <c r="FFS26" s="3327"/>
      <c r="FFT26" s="3327"/>
      <c r="FFU26" s="3327"/>
      <c r="FFV26" s="3327"/>
      <c r="FFW26" s="3327"/>
      <c r="FFX26" s="3327"/>
      <c r="FFY26" s="3327"/>
      <c r="FFZ26" s="3327"/>
      <c r="FGA26" s="3327"/>
      <c r="FGB26" s="3327"/>
      <c r="FGC26" s="3327"/>
      <c r="FGD26" s="3327"/>
      <c r="FGE26" s="3327"/>
      <c r="FGF26" s="3327"/>
      <c r="FGG26" s="3327"/>
      <c r="FGH26" s="3327"/>
      <c r="FGI26" s="3327"/>
      <c r="FGJ26" s="3327"/>
      <c r="FGK26" s="3327"/>
      <c r="FGL26" s="3327"/>
      <c r="FGM26" s="3327"/>
      <c r="FGN26" s="3327"/>
      <c r="FGO26" s="3327"/>
      <c r="FGP26" s="3327"/>
      <c r="FGQ26" s="3327"/>
      <c r="FGR26" s="3327"/>
      <c r="FGS26" s="3327"/>
      <c r="FGT26" s="3327"/>
      <c r="FGU26" s="3327"/>
      <c r="FGV26" s="3327"/>
      <c r="FGW26" s="3327"/>
      <c r="FGX26" s="3327"/>
      <c r="FGY26" s="3327"/>
      <c r="FGZ26" s="3327"/>
      <c r="FHA26" s="3327"/>
      <c r="FHB26" s="3327"/>
      <c r="FHC26" s="3327"/>
      <c r="FHD26" s="3327"/>
      <c r="FHE26" s="3327"/>
      <c r="FHF26" s="3327"/>
      <c r="FHG26" s="3327"/>
      <c r="FHH26" s="3327"/>
      <c r="FHI26" s="3327"/>
      <c r="FHJ26" s="3327"/>
      <c r="FHK26" s="3327"/>
      <c r="FHL26" s="3327"/>
      <c r="FHM26" s="3327"/>
      <c r="FHN26" s="3327"/>
      <c r="FHO26" s="3327"/>
      <c r="FHP26" s="3327"/>
      <c r="FHQ26" s="3327"/>
      <c r="FHR26" s="3327"/>
      <c r="FHS26" s="3327"/>
      <c r="FHT26" s="3327"/>
      <c r="FHU26" s="3327"/>
      <c r="FHV26" s="3327"/>
      <c r="FHW26" s="3327"/>
      <c r="FHX26" s="3327"/>
      <c r="FHY26" s="3327"/>
      <c r="FHZ26" s="3327"/>
      <c r="FIA26" s="3327"/>
      <c r="FIB26" s="3327"/>
      <c r="FIC26" s="3327"/>
      <c r="FID26" s="3327"/>
      <c r="FIE26" s="3327"/>
      <c r="FIF26" s="3327"/>
      <c r="FIG26" s="3327"/>
      <c r="FIH26" s="3327"/>
      <c r="FII26" s="3327"/>
      <c r="FIJ26" s="3327"/>
      <c r="FIK26" s="3327"/>
      <c r="FIL26" s="3327"/>
      <c r="FIM26" s="3327"/>
      <c r="FIN26" s="3327"/>
      <c r="FIO26" s="3327"/>
      <c r="FIP26" s="3327"/>
      <c r="FIQ26" s="3327"/>
      <c r="FIR26" s="3327"/>
      <c r="FIS26" s="3327"/>
      <c r="FIT26" s="3327"/>
      <c r="FIU26" s="3327"/>
      <c r="FIV26" s="3327"/>
      <c r="FIW26" s="3327"/>
      <c r="FIX26" s="3327"/>
      <c r="FIY26" s="3327"/>
      <c r="FIZ26" s="3327"/>
      <c r="FJA26" s="3327"/>
      <c r="FJB26" s="3327"/>
      <c r="FJC26" s="3327"/>
      <c r="FJD26" s="3327"/>
      <c r="FJE26" s="3327"/>
      <c r="FJF26" s="3327"/>
      <c r="FJG26" s="3327"/>
      <c r="FJH26" s="3327"/>
      <c r="FJI26" s="3327"/>
      <c r="FJJ26" s="3327"/>
      <c r="FJK26" s="3327"/>
      <c r="FJL26" s="3327"/>
      <c r="FJM26" s="3327"/>
      <c r="FJN26" s="3327"/>
      <c r="FJO26" s="3327"/>
      <c r="FJP26" s="3327"/>
      <c r="FJQ26" s="3327"/>
      <c r="FJR26" s="3327"/>
      <c r="FJS26" s="3327"/>
      <c r="FJT26" s="3327"/>
      <c r="FJU26" s="3327"/>
      <c r="FJV26" s="3327"/>
      <c r="FJW26" s="3327"/>
      <c r="FJX26" s="3327"/>
      <c r="FJY26" s="3327"/>
      <c r="FJZ26" s="3327"/>
      <c r="FKA26" s="3327"/>
      <c r="FKB26" s="3327"/>
      <c r="FKC26" s="3327"/>
      <c r="FKD26" s="3327"/>
      <c r="FKE26" s="3327"/>
      <c r="FKF26" s="3327"/>
      <c r="FKG26" s="3327"/>
      <c r="FKH26" s="3327"/>
      <c r="FKI26" s="3327"/>
      <c r="FKJ26" s="3327"/>
      <c r="FKK26" s="3327"/>
      <c r="FKL26" s="3327"/>
      <c r="FKM26" s="3327"/>
      <c r="FKN26" s="3327"/>
      <c r="FKO26" s="3327"/>
      <c r="FKP26" s="3327"/>
      <c r="FKQ26" s="3327"/>
      <c r="FKR26" s="3327"/>
      <c r="FKS26" s="3327"/>
      <c r="FKT26" s="3327"/>
      <c r="FKU26" s="3327"/>
      <c r="FKV26" s="3327"/>
      <c r="FKW26" s="3327"/>
      <c r="FKX26" s="3327"/>
      <c r="FKY26" s="3327"/>
      <c r="FKZ26" s="3327"/>
      <c r="FLA26" s="3327"/>
      <c r="FLB26" s="3327"/>
      <c r="FLC26" s="3327"/>
      <c r="FLD26" s="3327"/>
      <c r="FLE26" s="3327"/>
      <c r="FLF26" s="3327"/>
      <c r="FLG26" s="3327"/>
      <c r="FLH26" s="3327"/>
      <c r="FLI26" s="3327"/>
      <c r="FLJ26" s="3327"/>
      <c r="FLK26" s="3327"/>
      <c r="FLL26" s="3327"/>
      <c r="FLM26" s="3327"/>
      <c r="FLN26" s="3327"/>
      <c r="FLO26" s="3327"/>
      <c r="FLP26" s="3327"/>
      <c r="FLQ26" s="3327"/>
      <c r="FLR26" s="3327"/>
      <c r="FLS26" s="3327"/>
      <c r="FLT26" s="3327"/>
      <c r="FLU26" s="3327"/>
      <c r="FLV26" s="3327"/>
      <c r="FLW26" s="3327"/>
      <c r="FLX26" s="3327"/>
      <c r="FLY26" s="3327"/>
      <c r="FLZ26" s="3327"/>
      <c r="FMA26" s="3327"/>
      <c r="FMB26" s="3327"/>
      <c r="FMC26" s="3327"/>
      <c r="FMD26" s="3327"/>
      <c r="FME26" s="3327"/>
      <c r="FMF26" s="3327"/>
      <c r="FMG26" s="3327"/>
      <c r="FMH26" s="3327"/>
      <c r="FMI26" s="3327"/>
      <c r="FMJ26" s="3327"/>
      <c r="FMK26" s="3327"/>
      <c r="FML26" s="3327"/>
      <c r="FMM26" s="3327"/>
      <c r="FMN26" s="3327"/>
      <c r="FMO26" s="3327"/>
      <c r="FMP26" s="3327"/>
      <c r="FMQ26" s="3327"/>
      <c r="FMR26" s="3327"/>
      <c r="FMS26" s="3327"/>
      <c r="FMT26" s="3327"/>
      <c r="FMU26" s="3327"/>
      <c r="FMV26" s="3327"/>
      <c r="FMW26" s="3327"/>
      <c r="FMX26" s="3327"/>
      <c r="FMY26" s="3327"/>
      <c r="FMZ26" s="3327"/>
      <c r="FNA26" s="3327"/>
      <c r="FNB26" s="3327"/>
      <c r="FNC26" s="3327"/>
      <c r="FND26" s="3327"/>
      <c r="FNE26" s="3327"/>
      <c r="FNF26" s="3327"/>
      <c r="FNG26" s="3327"/>
      <c r="FNH26" s="3327"/>
      <c r="FNI26" s="3327"/>
      <c r="FNJ26" s="3327"/>
      <c r="FNK26" s="3327"/>
      <c r="FNL26" s="3327"/>
      <c r="FNM26" s="3327"/>
      <c r="FNN26" s="3327"/>
      <c r="FNO26" s="3327"/>
      <c r="FNP26" s="3327"/>
      <c r="FNQ26" s="3327"/>
      <c r="FNR26" s="3327"/>
      <c r="FNS26" s="3327"/>
      <c r="FNT26" s="3327"/>
      <c r="FNU26" s="3327"/>
      <c r="FNV26" s="3327"/>
      <c r="FNW26" s="3327"/>
      <c r="FNX26" s="3327"/>
      <c r="FNY26" s="3327"/>
      <c r="FNZ26" s="3327"/>
      <c r="FOA26" s="3327"/>
      <c r="FOB26" s="3327"/>
      <c r="FOC26" s="3327"/>
      <c r="FOD26" s="3327"/>
      <c r="FOE26" s="3327"/>
      <c r="FOF26" s="3327"/>
      <c r="FOG26" s="3327"/>
      <c r="FOH26" s="3327"/>
      <c r="FOI26" s="3327"/>
      <c r="FOJ26" s="3327"/>
      <c r="FOK26" s="3327"/>
      <c r="FOL26" s="3327"/>
      <c r="FOM26" s="3327"/>
      <c r="FON26" s="3327"/>
      <c r="FOO26" s="3327"/>
      <c r="FOP26" s="3327"/>
      <c r="FOQ26" s="3327"/>
      <c r="FOR26" s="3327"/>
      <c r="FOS26" s="3327"/>
      <c r="FOT26" s="3327"/>
      <c r="FOU26" s="3327"/>
      <c r="FOV26" s="3327"/>
      <c r="FOW26" s="3327"/>
      <c r="FOX26" s="3327"/>
      <c r="FOY26" s="3327"/>
      <c r="FOZ26" s="3327"/>
      <c r="FPA26" s="3327"/>
      <c r="FPB26" s="3327"/>
      <c r="FPC26" s="3327"/>
      <c r="FPD26" s="3327"/>
      <c r="FPE26" s="3327"/>
      <c r="FPF26" s="3327"/>
      <c r="FPG26" s="3327"/>
      <c r="FPH26" s="3327"/>
      <c r="FPI26" s="3327"/>
      <c r="FPJ26" s="3327"/>
      <c r="FPK26" s="3327"/>
      <c r="FPL26" s="3327"/>
      <c r="FPM26" s="3327"/>
      <c r="FPN26" s="3327"/>
      <c r="FPO26" s="3327"/>
      <c r="FPP26" s="3327"/>
      <c r="FPQ26" s="3327"/>
      <c r="FPR26" s="3327"/>
      <c r="FPS26" s="3327"/>
      <c r="FPT26" s="3327"/>
      <c r="FPU26" s="3327"/>
      <c r="FPV26" s="3327"/>
      <c r="FPW26" s="3327"/>
      <c r="FPX26" s="3327"/>
      <c r="FPY26" s="3327"/>
      <c r="FPZ26" s="3327"/>
      <c r="FQA26" s="3327"/>
      <c r="FQB26" s="3327"/>
      <c r="FQC26" s="3327"/>
      <c r="FQD26" s="3327"/>
      <c r="FQE26" s="3327"/>
      <c r="FQF26" s="3327"/>
      <c r="FQG26" s="3327"/>
      <c r="FQH26" s="3327"/>
      <c r="FQI26" s="3327"/>
      <c r="FQJ26" s="3327"/>
      <c r="FQK26" s="3327"/>
      <c r="FQL26" s="3327"/>
      <c r="FQM26" s="3327"/>
      <c r="FQN26" s="3327"/>
      <c r="FQO26" s="3327"/>
      <c r="FQP26" s="3327"/>
      <c r="FQQ26" s="3327"/>
      <c r="FQR26" s="3327"/>
      <c r="FQS26" s="3327"/>
      <c r="FQT26" s="3327"/>
      <c r="FQU26" s="3327"/>
      <c r="FQV26" s="3327"/>
      <c r="FQW26" s="3327"/>
      <c r="FQX26" s="3327"/>
      <c r="FQY26" s="3327"/>
      <c r="FQZ26" s="3327"/>
      <c r="FRA26" s="3327"/>
      <c r="FRB26" s="3327"/>
      <c r="FRC26" s="3327"/>
      <c r="FRD26" s="3327"/>
      <c r="FRE26" s="3327"/>
      <c r="FRF26" s="3327"/>
      <c r="FRG26" s="3327"/>
      <c r="FRH26" s="3327"/>
      <c r="FRI26" s="3327"/>
      <c r="FRJ26" s="3327"/>
      <c r="FRK26" s="3327"/>
      <c r="FRL26" s="3327"/>
      <c r="FRM26" s="3327"/>
      <c r="FRN26" s="3327"/>
      <c r="FRO26" s="3327"/>
      <c r="FRP26" s="3327"/>
      <c r="FRQ26" s="3327"/>
      <c r="FRR26" s="3327"/>
      <c r="FRS26" s="3327"/>
      <c r="FRT26" s="3327"/>
      <c r="FRU26" s="3327"/>
      <c r="FRV26" s="3327"/>
      <c r="FRW26" s="3327"/>
      <c r="FRX26" s="3327"/>
      <c r="FRY26" s="3327"/>
      <c r="FRZ26" s="3327"/>
      <c r="FSA26" s="3327"/>
      <c r="FSB26" s="3327"/>
      <c r="FSC26" s="3327"/>
      <c r="FSD26" s="3327"/>
      <c r="FSE26" s="3327"/>
      <c r="FSF26" s="3327"/>
      <c r="FSG26" s="3327"/>
      <c r="FSH26" s="3327"/>
      <c r="FSI26" s="3327"/>
      <c r="FSJ26" s="3327"/>
      <c r="FSK26" s="3327"/>
      <c r="FSL26" s="3327"/>
      <c r="FSM26" s="3327"/>
      <c r="FSN26" s="3327"/>
      <c r="FSO26" s="3327"/>
      <c r="FSP26" s="3327"/>
      <c r="FSQ26" s="3327"/>
      <c r="FSR26" s="3327"/>
      <c r="FSS26" s="3327"/>
      <c r="FST26" s="3327"/>
      <c r="FSU26" s="3327"/>
      <c r="FSV26" s="3327"/>
      <c r="FSW26" s="3327"/>
      <c r="FSX26" s="3327"/>
      <c r="FSY26" s="3327"/>
      <c r="FSZ26" s="3327"/>
      <c r="FTA26" s="3327"/>
      <c r="FTB26" s="3327"/>
      <c r="FTC26" s="3327"/>
      <c r="FTD26" s="3327"/>
      <c r="FTE26" s="3327"/>
      <c r="FTF26" s="3327"/>
      <c r="FTG26" s="3327"/>
      <c r="FTH26" s="3327"/>
      <c r="FTI26" s="3327"/>
      <c r="FTJ26" s="3327"/>
      <c r="FTK26" s="3327"/>
      <c r="FTL26" s="3327"/>
      <c r="FTM26" s="3327"/>
      <c r="FTN26" s="3327"/>
      <c r="FTO26" s="3327"/>
      <c r="FTP26" s="3327"/>
      <c r="FTQ26" s="3327"/>
      <c r="FTR26" s="3327"/>
      <c r="FTS26" s="3327"/>
      <c r="FTT26" s="3327"/>
      <c r="FTU26" s="3327"/>
      <c r="FTV26" s="3327"/>
      <c r="FTW26" s="3327"/>
      <c r="FTX26" s="3327"/>
      <c r="FTY26" s="3327"/>
      <c r="FTZ26" s="3327"/>
      <c r="FUA26" s="3327"/>
      <c r="FUB26" s="3327"/>
      <c r="FUC26" s="3327"/>
      <c r="FUD26" s="3327"/>
      <c r="FUE26" s="3327"/>
      <c r="FUF26" s="3327"/>
      <c r="FUG26" s="3327"/>
      <c r="FUH26" s="3327"/>
      <c r="FUI26" s="3327"/>
      <c r="FUJ26" s="3327"/>
      <c r="FUK26" s="3327"/>
      <c r="FUL26" s="3327"/>
      <c r="FUM26" s="3327"/>
      <c r="FUN26" s="3327"/>
      <c r="FUO26" s="3327"/>
      <c r="FUP26" s="3327"/>
      <c r="FUQ26" s="3327"/>
      <c r="FUR26" s="3327"/>
      <c r="FUS26" s="3327"/>
      <c r="FUT26" s="3327"/>
      <c r="FUU26" s="3327"/>
      <c r="FUV26" s="3327"/>
      <c r="FUW26" s="3327"/>
      <c r="FUX26" s="3327"/>
      <c r="FUY26" s="3327"/>
      <c r="FUZ26" s="3327"/>
      <c r="FVA26" s="3327"/>
      <c r="FVB26" s="3327"/>
      <c r="FVC26" s="3327"/>
      <c r="FVD26" s="3327"/>
      <c r="FVE26" s="3327"/>
      <c r="FVF26" s="3327"/>
      <c r="FVG26" s="3327"/>
      <c r="FVH26" s="3327"/>
      <c r="FVI26" s="3327"/>
      <c r="FVJ26" s="3327"/>
      <c r="FVK26" s="3327"/>
      <c r="FVL26" s="3327"/>
      <c r="FVM26" s="3327"/>
      <c r="FVN26" s="3327"/>
      <c r="FVO26" s="3327"/>
      <c r="FVP26" s="3327"/>
      <c r="FVQ26" s="3327"/>
      <c r="FVR26" s="3327"/>
      <c r="FVS26" s="3327"/>
      <c r="FVT26" s="3327"/>
      <c r="FVU26" s="3327"/>
      <c r="FVV26" s="3327"/>
      <c r="FVW26" s="3327"/>
      <c r="FVX26" s="3327"/>
      <c r="FVY26" s="3327"/>
      <c r="FVZ26" s="3327"/>
      <c r="FWA26" s="3327"/>
      <c r="FWB26" s="3327"/>
      <c r="FWC26" s="3327"/>
      <c r="FWD26" s="3327"/>
      <c r="FWE26" s="3327"/>
      <c r="FWF26" s="3327"/>
      <c r="FWG26" s="3327"/>
      <c r="FWH26" s="3327"/>
      <c r="FWI26" s="3327"/>
      <c r="FWJ26" s="3327"/>
      <c r="FWK26" s="3327"/>
      <c r="FWL26" s="3327"/>
      <c r="FWM26" s="3327"/>
      <c r="FWN26" s="3327"/>
      <c r="FWO26" s="3327"/>
      <c r="FWP26" s="3327"/>
      <c r="FWQ26" s="3327"/>
      <c r="FWR26" s="3327"/>
      <c r="FWS26" s="3327"/>
      <c r="FWT26" s="3327"/>
      <c r="FWU26" s="3327"/>
      <c r="FWV26" s="3327"/>
      <c r="FWW26" s="3327"/>
      <c r="FWX26" s="3327"/>
      <c r="FWY26" s="3327"/>
      <c r="FWZ26" s="3327"/>
      <c r="FXA26" s="3327"/>
      <c r="FXB26" s="3327"/>
      <c r="FXC26" s="3327"/>
      <c r="FXD26" s="3327"/>
      <c r="FXE26" s="3327"/>
      <c r="FXF26" s="3327"/>
      <c r="FXG26" s="3327"/>
      <c r="FXH26" s="3327"/>
      <c r="FXI26" s="3327"/>
      <c r="FXJ26" s="3327"/>
      <c r="FXK26" s="3327"/>
      <c r="FXL26" s="3327"/>
      <c r="FXM26" s="3327"/>
      <c r="FXN26" s="3327"/>
      <c r="FXO26" s="3327"/>
      <c r="FXP26" s="3327"/>
      <c r="FXQ26" s="3327"/>
      <c r="FXR26" s="3327"/>
      <c r="FXS26" s="3327"/>
      <c r="FXT26" s="3327"/>
      <c r="FXU26" s="3327"/>
      <c r="FXV26" s="3327"/>
      <c r="FXW26" s="3327"/>
      <c r="FXX26" s="3327"/>
      <c r="FXY26" s="3327"/>
      <c r="FXZ26" s="3327"/>
      <c r="FYA26" s="3327"/>
      <c r="FYB26" s="3327"/>
      <c r="FYC26" s="3327"/>
      <c r="FYD26" s="3327"/>
      <c r="FYE26" s="3327"/>
      <c r="FYF26" s="3327"/>
      <c r="FYG26" s="3327"/>
      <c r="FYH26" s="3327"/>
      <c r="FYI26" s="3327"/>
      <c r="FYJ26" s="3327"/>
      <c r="FYK26" s="3327"/>
      <c r="FYL26" s="3327"/>
      <c r="FYM26" s="3327"/>
      <c r="FYN26" s="3327"/>
      <c r="FYO26" s="3327"/>
      <c r="FYP26" s="3327"/>
      <c r="FYQ26" s="3327"/>
      <c r="FYR26" s="3327"/>
      <c r="FYS26" s="3327"/>
      <c r="FYT26" s="3327"/>
      <c r="FYU26" s="3327"/>
      <c r="FYV26" s="3327"/>
      <c r="FYW26" s="3327"/>
      <c r="FYX26" s="3327"/>
      <c r="FYY26" s="3327"/>
      <c r="FYZ26" s="3327"/>
      <c r="FZA26" s="3327"/>
      <c r="FZB26" s="3327"/>
      <c r="FZC26" s="3327"/>
      <c r="FZD26" s="3327"/>
      <c r="FZE26" s="3327"/>
      <c r="FZF26" s="3327"/>
      <c r="FZG26" s="3327"/>
      <c r="FZH26" s="3327"/>
      <c r="FZI26" s="3327"/>
      <c r="FZJ26" s="3327"/>
      <c r="FZK26" s="3327"/>
      <c r="FZL26" s="3327"/>
      <c r="FZM26" s="3327"/>
      <c r="FZN26" s="3327"/>
      <c r="FZO26" s="3327"/>
      <c r="FZP26" s="3327"/>
      <c r="FZQ26" s="3327"/>
      <c r="FZR26" s="3327"/>
      <c r="FZS26" s="3327"/>
      <c r="FZT26" s="3327"/>
      <c r="FZU26" s="3327"/>
      <c r="FZV26" s="3327"/>
      <c r="FZW26" s="3327"/>
      <c r="FZX26" s="3327"/>
      <c r="FZY26" s="3327"/>
      <c r="FZZ26" s="3327"/>
      <c r="GAA26" s="3327"/>
      <c r="GAB26" s="3327"/>
      <c r="GAC26" s="3327"/>
      <c r="GAD26" s="3327"/>
      <c r="GAE26" s="3327"/>
      <c r="GAF26" s="3327"/>
      <c r="GAG26" s="3327"/>
      <c r="GAH26" s="3327"/>
      <c r="GAI26" s="3327"/>
      <c r="GAJ26" s="3327"/>
      <c r="GAK26" s="3327"/>
      <c r="GAL26" s="3327"/>
      <c r="GAM26" s="3327"/>
      <c r="GAN26" s="3327"/>
      <c r="GAO26" s="3327"/>
      <c r="GAP26" s="3327"/>
      <c r="GAQ26" s="3327"/>
      <c r="GAR26" s="3327"/>
      <c r="GAS26" s="3327"/>
      <c r="GAT26" s="3327"/>
      <c r="GAU26" s="3327"/>
      <c r="GAV26" s="3327"/>
      <c r="GAW26" s="3327"/>
      <c r="GAX26" s="3327"/>
      <c r="GAY26" s="3327"/>
      <c r="GAZ26" s="3327"/>
      <c r="GBA26" s="3327"/>
      <c r="GBB26" s="3327"/>
      <c r="GBC26" s="3327"/>
      <c r="GBD26" s="3327"/>
      <c r="GBE26" s="3327"/>
      <c r="GBF26" s="3327"/>
      <c r="GBG26" s="3327"/>
      <c r="GBH26" s="3327"/>
      <c r="GBI26" s="3327"/>
      <c r="GBJ26" s="3327"/>
      <c r="GBK26" s="3327"/>
      <c r="GBL26" s="3327"/>
      <c r="GBM26" s="3327"/>
      <c r="GBN26" s="3327"/>
      <c r="GBO26" s="3327"/>
      <c r="GBP26" s="3327"/>
      <c r="GBQ26" s="3327"/>
      <c r="GBR26" s="3327"/>
      <c r="GBS26" s="3327"/>
      <c r="GBT26" s="3327"/>
      <c r="GBU26" s="3327"/>
      <c r="GBV26" s="3327"/>
      <c r="GBW26" s="3327"/>
      <c r="GBX26" s="3327"/>
      <c r="GBY26" s="3327"/>
      <c r="GBZ26" s="3327"/>
      <c r="GCA26" s="3327"/>
      <c r="GCB26" s="3327"/>
      <c r="GCC26" s="3327"/>
      <c r="GCD26" s="3327"/>
      <c r="GCE26" s="3327"/>
      <c r="GCF26" s="3327"/>
      <c r="GCG26" s="3327"/>
      <c r="GCH26" s="3327"/>
      <c r="GCI26" s="3327"/>
      <c r="GCJ26" s="3327"/>
      <c r="GCK26" s="3327"/>
      <c r="GCL26" s="3327"/>
      <c r="GCM26" s="3327"/>
      <c r="GCN26" s="3327"/>
      <c r="GCO26" s="3327"/>
      <c r="GCP26" s="3327"/>
      <c r="GCQ26" s="3327"/>
      <c r="GCR26" s="3327"/>
      <c r="GCS26" s="3327"/>
      <c r="GCT26" s="3327"/>
      <c r="GCU26" s="3327"/>
      <c r="GCV26" s="3327"/>
      <c r="GCW26" s="3327"/>
      <c r="GCX26" s="3327"/>
      <c r="GCY26" s="3327"/>
      <c r="GCZ26" s="3327"/>
      <c r="GDA26" s="3327"/>
      <c r="GDB26" s="3327"/>
      <c r="GDC26" s="3327"/>
      <c r="GDD26" s="3327"/>
      <c r="GDE26" s="3327"/>
      <c r="GDF26" s="3327"/>
      <c r="GDG26" s="3327"/>
      <c r="GDH26" s="3327"/>
      <c r="GDI26" s="3327"/>
      <c r="GDJ26" s="3327"/>
      <c r="GDK26" s="3327"/>
      <c r="GDL26" s="3327"/>
      <c r="GDM26" s="3327"/>
      <c r="GDN26" s="3327"/>
      <c r="GDO26" s="3327"/>
      <c r="GDP26" s="3327"/>
      <c r="GDQ26" s="3327"/>
      <c r="GDR26" s="3327"/>
      <c r="GDS26" s="3327"/>
      <c r="GDT26" s="3327"/>
      <c r="GDU26" s="3327"/>
      <c r="GDV26" s="3327"/>
      <c r="GDW26" s="3327"/>
      <c r="GDX26" s="3327"/>
      <c r="GDY26" s="3327"/>
      <c r="GDZ26" s="3327"/>
      <c r="GEA26" s="3327"/>
      <c r="GEB26" s="3327"/>
      <c r="GEC26" s="3327"/>
      <c r="GED26" s="3327"/>
      <c r="GEE26" s="3327"/>
      <c r="GEF26" s="3327"/>
      <c r="GEG26" s="3327"/>
      <c r="GEH26" s="3327"/>
      <c r="GEI26" s="3327"/>
      <c r="GEJ26" s="3327"/>
      <c r="GEK26" s="3327"/>
      <c r="GEL26" s="3327"/>
      <c r="GEM26" s="3327"/>
      <c r="GEN26" s="3327"/>
      <c r="GEO26" s="3327"/>
      <c r="GEP26" s="3327"/>
      <c r="GEQ26" s="3327"/>
      <c r="GER26" s="3327"/>
      <c r="GES26" s="3327"/>
      <c r="GET26" s="3327"/>
      <c r="GEU26" s="3327"/>
      <c r="GEV26" s="3327"/>
      <c r="GEW26" s="3327"/>
      <c r="GEX26" s="3327"/>
      <c r="GEY26" s="3327"/>
      <c r="GEZ26" s="3327"/>
      <c r="GFA26" s="3327"/>
      <c r="GFB26" s="3327"/>
      <c r="GFC26" s="3327"/>
      <c r="GFD26" s="3327"/>
      <c r="GFE26" s="3327"/>
      <c r="GFF26" s="3327"/>
      <c r="GFG26" s="3327"/>
      <c r="GFH26" s="3327"/>
      <c r="GFI26" s="3327"/>
      <c r="GFJ26" s="3327"/>
      <c r="GFK26" s="3327"/>
      <c r="GFL26" s="3327"/>
      <c r="GFM26" s="3327"/>
      <c r="GFN26" s="3327"/>
      <c r="GFO26" s="3327"/>
      <c r="GFP26" s="3327"/>
      <c r="GFQ26" s="3327"/>
      <c r="GFR26" s="3327"/>
      <c r="GFS26" s="3327"/>
      <c r="GFT26" s="3327"/>
      <c r="GFU26" s="3327"/>
      <c r="GFV26" s="3327"/>
      <c r="GFW26" s="3327"/>
      <c r="GFX26" s="3327"/>
      <c r="GFY26" s="3327"/>
      <c r="GFZ26" s="3327"/>
      <c r="GGA26" s="3327"/>
      <c r="GGB26" s="3327"/>
      <c r="GGC26" s="3327"/>
      <c r="GGD26" s="3327"/>
      <c r="GGE26" s="3327"/>
      <c r="GGF26" s="3327"/>
      <c r="GGG26" s="3327"/>
      <c r="GGH26" s="3327"/>
      <c r="GGI26" s="3327"/>
      <c r="GGJ26" s="3327"/>
      <c r="GGK26" s="3327"/>
      <c r="GGL26" s="3327"/>
      <c r="GGM26" s="3327"/>
      <c r="GGN26" s="3327"/>
      <c r="GGO26" s="3327"/>
      <c r="GGP26" s="3327"/>
      <c r="GGQ26" s="3327"/>
      <c r="GGR26" s="3327"/>
      <c r="GGS26" s="3327"/>
      <c r="GGT26" s="3327"/>
      <c r="GGU26" s="3327"/>
      <c r="GGV26" s="3327"/>
      <c r="GGW26" s="3327"/>
      <c r="GGX26" s="3327"/>
      <c r="GGY26" s="3327"/>
      <c r="GGZ26" s="3327"/>
      <c r="GHA26" s="3327"/>
      <c r="GHB26" s="3327"/>
      <c r="GHC26" s="3327"/>
      <c r="GHD26" s="3327"/>
      <c r="GHE26" s="3327"/>
      <c r="GHF26" s="3327"/>
      <c r="GHG26" s="3327"/>
      <c r="GHH26" s="3327"/>
      <c r="GHI26" s="3327"/>
      <c r="GHJ26" s="3327"/>
      <c r="GHK26" s="3327"/>
      <c r="GHL26" s="3327"/>
      <c r="GHM26" s="3327"/>
      <c r="GHN26" s="3327"/>
      <c r="GHO26" s="3327"/>
      <c r="GHP26" s="3327"/>
      <c r="GHQ26" s="3327"/>
      <c r="GHR26" s="3327"/>
      <c r="GHS26" s="3327"/>
      <c r="GHT26" s="3327"/>
      <c r="GHU26" s="3327"/>
      <c r="GHV26" s="3327"/>
      <c r="GHW26" s="3327"/>
      <c r="GHX26" s="3327"/>
      <c r="GHY26" s="3327"/>
      <c r="GHZ26" s="3327"/>
      <c r="GIA26" s="3327"/>
      <c r="GIB26" s="3327"/>
      <c r="GIC26" s="3327"/>
      <c r="GID26" s="3327"/>
      <c r="GIE26" s="3327"/>
      <c r="GIF26" s="3327"/>
      <c r="GIG26" s="3327"/>
      <c r="GIH26" s="3327"/>
      <c r="GII26" s="3327"/>
      <c r="GIJ26" s="3327"/>
      <c r="GIK26" s="3327"/>
      <c r="GIL26" s="3327"/>
      <c r="GIM26" s="3327"/>
      <c r="GIN26" s="3327"/>
      <c r="GIO26" s="3327"/>
      <c r="GIP26" s="3327"/>
      <c r="GIQ26" s="3327"/>
      <c r="GIR26" s="3327"/>
      <c r="GIS26" s="3327"/>
      <c r="GIT26" s="3327"/>
      <c r="GIU26" s="3327"/>
      <c r="GIV26" s="3327"/>
      <c r="GIW26" s="3327"/>
      <c r="GIX26" s="3327"/>
      <c r="GIY26" s="3327"/>
      <c r="GIZ26" s="3327"/>
      <c r="GJA26" s="3327"/>
      <c r="GJB26" s="3327"/>
      <c r="GJC26" s="3327"/>
      <c r="GJD26" s="3327"/>
      <c r="GJE26" s="3327"/>
      <c r="GJF26" s="3327"/>
      <c r="GJG26" s="3327"/>
      <c r="GJH26" s="3327"/>
      <c r="GJI26" s="3327"/>
      <c r="GJJ26" s="3327"/>
      <c r="GJK26" s="3327"/>
      <c r="GJL26" s="3327"/>
      <c r="GJM26" s="3327"/>
      <c r="GJN26" s="3327"/>
      <c r="GJO26" s="3327"/>
      <c r="GJP26" s="3327"/>
      <c r="GJQ26" s="3327"/>
      <c r="GJR26" s="3327"/>
      <c r="GJS26" s="3327"/>
      <c r="GJT26" s="3327"/>
      <c r="GJU26" s="3327"/>
      <c r="GJV26" s="3327"/>
      <c r="GJW26" s="3327"/>
      <c r="GJX26" s="3327"/>
      <c r="GJY26" s="3327"/>
      <c r="GJZ26" s="3327"/>
      <c r="GKA26" s="3327"/>
      <c r="GKB26" s="3327"/>
      <c r="GKC26" s="3327"/>
      <c r="GKD26" s="3327"/>
      <c r="GKE26" s="3327"/>
      <c r="GKF26" s="3327"/>
      <c r="GKG26" s="3327"/>
      <c r="GKH26" s="3327"/>
      <c r="GKI26" s="3327"/>
      <c r="GKJ26" s="3327"/>
      <c r="GKK26" s="3327"/>
      <c r="GKL26" s="3327"/>
      <c r="GKM26" s="3327"/>
      <c r="GKN26" s="3327"/>
      <c r="GKO26" s="3327"/>
      <c r="GKP26" s="3327"/>
      <c r="GKQ26" s="3327"/>
      <c r="GKR26" s="3327"/>
      <c r="GKS26" s="3327"/>
      <c r="GKT26" s="3327"/>
      <c r="GKU26" s="3327"/>
      <c r="GKV26" s="3327"/>
      <c r="GKW26" s="3327"/>
      <c r="GKX26" s="3327"/>
      <c r="GKY26" s="3327"/>
      <c r="GKZ26" s="3327"/>
      <c r="GLA26" s="3327"/>
      <c r="GLB26" s="3327"/>
      <c r="GLC26" s="3327"/>
      <c r="GLD26" s="3327"/>
      <c r="GLE26" s="3327"/>
      <c r="GLF26" s="3327"/>
      <c r="GLG26" s="3327"/>
      <c r="GLH26" s="3327"/>
      <c r="GLI26" s="3327"/>
      <c r="GLJ26" s="3327"/>
      <c r="GLK26" s="3327"/>
      <c r="GLL26" s="3327"/>
      <c r="GLM26" s="3327"/>
      <c r="GLN26" s="3327"/>
      <c r="GLO26" s="3327"/>
      <c r="GLP26" s="3327"/>
      <c r="GLQ26" s="3327"/>
      <c r="GLR26" s="3327"/>
      <c r="GLS26" s="3327"/>
      <c r="GLT26" s="3327"/>
      <c r="GLU26" s="3327"/>
      <c r="GLV26" s="3327"/>
      <c r="GLW26" s="3327"/>
      <c r="GLX26" s="3327"/>
      <c r="GLY26" s="3327"/>
      <c r="GLZ26" s="3327"/>
      <c r="GMA26" s="3327"/>
      <c r="GMB26" s="3327"/>
      <c r="GMC26" s="3327"/>
      <c r="GMD26" s="3327"/>
      <c r="GME26" s="3327"/>
      <c r="GMF26" s="3327"/>
      <c r="GMG26" s="3327"/>
      <c r="GMH26" s="3327"/>
      <c r="GMI26" s="3327"/>
      <c r="GMJ26" s="3327"/>
      <c r="GMK26" s="3327"/>
      <c r="GML26" s="3327"/>
      <c r="GMM26" s="3327"/>
      <c r="GMN26" s="3327"/>
      <c r="GMO26" s="3327"/>
      <c r="GMP26" s="3327"/>
      <c r="GMQ26" s="3327"/>
      <c r="GMR26" s="3327"/>
      <c r="GMS26" s="3327"/>
      <c r="GMT26" s="3327"/>
      <c r="GMU26" s="3327"/>
      <c r="GMV26" s="3327"/>
      <c r="GMW26" s="3327"/>
      <c r="GMX26" s="3327"/>
      <c r="GMY26" s="3327"/>
      <c r="GMZ26" s="3327"/>
      <c r="GNA26" s="3327"/>
      <c r="GNB26" s="3327"/>
      <c r="GNC26" s="3327"/>
      <c r="GND26" s="3327"/>
      <c r="GNE26" s="3327"/>
      <c r="GNF26" s="3327"/>
      <c r="GNG26" s="3327"/>
      <c r="GNH26" s="3327"/>
      <c r="GNI26" s="3327"/>
      <c r="GNJ26" s="3327"/>
      <c r="GNK26" s="3327"/>
      <c r="GNL26" s="3327"/>
      <c r="GNM26" s="3327"/>
      <c r="GNN26" s="3327"/>
      <c r="GNO26" s="3327"/>
      <c r="GNP26" s="3327"/>
      <c r="GNQ26" s="3327"/>
      <c r="GNR26" s="3327"/>
      <c r="GNS26" s="3327"/>
      <c r="GNT26" s="3327"/>
      <c r="GNU26" s="3327"/>
      <c r="GNV26" s="3327"/>
      <c r="GNW26" s="3327"/>
      <c r="GNX26" s="3327"/>
      <c r="GNY26" s="3327"/>
      <c r="GNZ26" s="3327"/>
      <c r="GOA26" s="3327"/>
      <c r="GOB26" s="3327"/>
      <c r="GOC26" s="3327"/>
      <c r="GOD26" s="3327"/>
      <c r="GOE26" s="3327"/>
      <c r="GOF26" s="3327"/>
      <c r="GOG26" s="3327"/>
      <c r="GOH26" s="3327"/>
      <c r="GOI26" s="3327"/>
      <c r="GOJ26" s="3327"/>
      <c r="GOK26" s="3327"/>
      <c r="GOL26" s="3327"/>
      <c r="GOM26" s="3327"/>
      <c r="GON26" s="3327"/>
      <c r="GOO26" s="3327"/>
      <c r="GOP26" s="3327"/>
      <c r="GOQ26" s="3327"/>
      <c r="GOR26" s="3327"/>
      <c r="GOS26" s="3327"/>
      <c r="GOT26" s="3327"/>
      <c r="GOU26" s="3327"/>
      <c r="GOV26" s="3327"/>
      <c r="GOW26" s="3327"/>
      <c r="GOX26" s="3327"/>
      <c r="GOY26" s="3327"/>
      <c r="GOZ26" s="3327"/>
      <c r="GPA26" s="3327"/>
      <c r="GPB26" s="3327"/>
      <c r="GPC26" s="3327"/>
      <c r="GPD26" s="3327"/>
      <c r="GPE26" s="3327"/>
      <c r="GPF26" s="3327"/>
      <c r="GPG26" s="3327"/>
      <c r="GPH26" s="3327"/>
      <c r="GPI26" s="3327"/>
      <c r="GPJ26" s="3327"/>
      <c r="GPK26" s="3327"/>
      <c r="GPL26" s="3327"/>
      <c r="GPM26" s="3327"/>
      <c r="GPN26" s="3327"/>
      <c r="GPO26" s="3327"/>
      <c r="GPP26" s="3327"/>
      <c r="GPQ26" s="3327"/>
      <c r="GPR26" s="3327"/>
      <c r="GPS26" s="3327"/>
      <c r="GPT26" s="3327"/>
      <c r="GPU26" s="3327"/>
      <c r="GPV26" s="3327"/>
      <c r="GPW26" s="3327"/>
      <c r="GPX26" s="3327"/>
      <c r="GPY26" s="3327"/>
      <c r="GPZ26" s="3327"/>
      <c r="GQA26" s="3327"/>
      <c r="GQB26" s="3327"/>
      <c r="GQC26" s="3327"/>
      <c r="GQD26" s="3327"/>
      <c r="GQE26" s="3327"/>
      <c r="GQF26" s="3327"/>
      <c r="GQG26" s="3327"/>
      <c r="GQH26" s="3327"/>
      <c r="GQI26" s="3327"/>
      <c r="GQJ26" s="3327"/>
      <c r="GQK26" s="3327"/>
      <c r="GQL26" s="3327"/>
      <c r="GQM26" s="3327"/>
      <c r="GQN26" s="3327"/>
      <c r="GQO26" s="3327"/>
      <c r="GQP26" s="3327"/>
      <c r="GQQ26" s="3327"/>
      <c r="GQR26" s="3327"/>
      <c r="GQS26" s="3327"/>
      <c r="GQT26" s="3327"/>
      <c r="GQU26" s="3327"/>
      <c r="GQV26" s="3327"/>
      <c r="GQW26" s="3327"/>
      <c r="GQX26" s="3327"/>
      <c r="GQY26" s="3327"/>
      <c r="GQZ26" s="3327"/>
      <c r="GRA26" s="3327"/>
      <c r="GRB26" s="3327"/>
      <c r="GRC26" s="3327"/>
      <c r="GRD26" s="3327"/>
      <c r="GRE26" s="3327"/>
      <c r="GRF26" s="3327"/>
      <c r="GRG26" s="3327"/>
      <c r="GRH26" s="3327"/>
      <c r="GRI26" s="3327"/>
      <c r="GRJ26" s="3327"/>
      <c r="GRK26" s="3327"/>
      <c r="GRL26" s="3327"/>
      <c r="GRM26" s="3327"/>
      <c r="GRN26" s="3327"/>
      <c r="GRO26" s="3327"/>
      <c r="GRP26" s="3327"/>
      <c r="GRQ26" s="3327"/>
      <c r="GRR26" s="3327"/>
      <c r="GRS26" s="3327"/>
      <c r="GRT26" s="3327"/>
      <c r="GRU26" s="3327"/>
      <c r="GRV26" s="3327"/>
      <c r="GRW26" s="3327"/>
      <c r="GRX26" s="3327"/>
      <c r="GRY26" s="3327"/>
      <c r="GRZ26" s="3327"/>
      <c r="GSA26" s="3327"/>
      <c r="GSB26" s="3327"/>
      <c r="GSC26" s="3327"/>
      <c r="GSD26" s="3327"/>
      <c r="GSE26" s="3327"/>
      <c r="GSF26" s="3327"/>
      <c r="GSG26" s="3327"/>
      <c r="GSH26" s="3327"/>
      <c r="GSI26" s="3327"/>
      <c r="GSJ26" s="3327"/>
      <c r="GSK26" s="3327"/>
      <c r="GSL26" s="3327"/>
      <c r="GSM26" s="3327"/>
      <c r="GSN26" s="3327"/>
      <c r="GSO26" s="3327"/>
      <c r="GSP26" s="3327"/>
      <c r="GSQ26" s="3327"/>
      <c r="GSR26" s="3327"/>
      <c r="GSS26" s="3327"/>
      <c r="GST26" s="3327"/>
      <c r="GSU26" s="3327"/>
      <c r="GSV26" s="3327"/>
      <c r="GSW26" s="3327"/>
      <c r="GSX26" s="3327"/>
      <c r="GSY26" s="3327"/>
      <c r="GSZ26" s="3327"/>
      <c r="GTA26" s="3327"/>
      <c r="GTB26" s="3327"/>
      <c r="GTC26" s="3327"/>
      <c r="GTD26" s="3327"/>
      <c r="GTE26" s="3327"/>
      <c r="GTF26" s="3327"/>
      <c r="GTG26" s="3327"/>
      <c r="GTH26" s="3327"/>
      <c r="GTI26" s="3327"/>
      <c r="GTJ26" s="3327"/>
      <c r="GTK26" s="3327"/>
      <c r="GTL26" s="3327"/>
      <c r="GTM26" s="3327"/>
      <c r="GTN26" s="3327"/>
      <c r="GTO26" s="3327"/>
      <c r="GTP26" s="3327"/>
      <c r="GTQ26" s="3327"/>
      <c r="GTR26" s="3327"/>
      <c r="GTS26" s="3327"/>
      <c r="GTT26" s="3327"/>
      <c r="GTU26" s="3327"/>
      <c r="GTV26" s="3327"/>
      <c r="GTW26" s="3327"/>
      <c r="GTX26" s="3327"/>
      <c r="GTY26" s="3327"/>
      <c r="GTZ26" s="3327"/>
      <c r="GUA26" s="3327"/>
      <c r="GUB26" s="3327"/>
      <c r="GUC26" s="3327"/>
      <c r="GUD26" s="3327"/>
      <c r="GUE26" s="3327"/>
      <c r="GUF26" s="3327"/>
      <c r="GUG26" s="3327"/>
      <c r="GUH26" s="3327"/>
      <c r="GUI26" s="3327"/>
      <c r="GUJ26" s="3327"/>
      <c r="GUK26" s="3327"/>
      <c r="GUL26" s="3327"/>
      <c r="GUM26" s="3327"/>
      <c r="GUN26" s="3327"/>
      <c r="GUO26" s="3327"/>
      <c r="GUP26" s="3327"/>
      <c r="GUQ26" s="3327"/>
      <c r="GUR26" s="3327"/>
      <c r="GUS26" s="3327"/>
      <c r="GUT26" s="3327"/>
      <c r="GUU26" s="3327"/>
      <c r="GUV26" s="3327"/>
      <c r="GUW26" s="3327"/>
      <c r="GUX26" s="3327"/>
      <c r="GUY26" s="3327"/>
      <c r="GUZ26" s="3327"/>
      <c r="GVA26" s="3327"/>
      <c r="GVB26" s="3327"/>
      <c r="GVC26" s="3327"/>
      <c r="GVD26" s="3327"/>
      <c r="GVE26" s="3327"/>
      <c r="GVF26" s="3327"/>
      <c r="GVG26" s="3327"/>
      <c r="GVH26" s="3327"/>
      <c r="GVI26" s="3327"/>
      <c r="GVJ26" s="3327"/>
      <c r="GVK26" s="3327"/>
      <c r="GVL26" s="3327"/>
      <c r="GVM26" s="3327"/>
      <c r="GVN26" s="3327"/>
      <c r="GVO26" s="3327"/>
      <c r="GVP26" s="3327"/>
      <c r="GVQ26" s="3327"/>
      <c r="GVR26" s="3327"/>
      <c r="GVS26" s="3327"/>
      <c r="GVT26" s="3327"/>
      <c r="GVU26" s="3327"/>
      <c r="GVV26" s="3327"/>
      <c r="GVW26" s="3327"/>
      <c r="GVX26" s="3327"/>
      <c r="GVY26" s="3327"/>
      <c r="GVZ26" s="3327"/>
      <c r="GWA26" s="3327"/>
      <c r="GWB26" s="3327"/>
      <c r="GWC26" s="3327"/>
      <c r="GWD26" s="3327"/>
      <c r="GWE26" s="3327"/>
      <c r="GWF26" s="3327"/>
      <c r="GWG26" s="3327"/>
      <c r="GWH26" s="3327"/>
      <c r="GWI26" s="3327"/>
      <c r="GWJ26" s="3327"/>
      <c r="GWK26" s="3327"/>
      <c r="GWL26" s="3327"/>
      <c r="GWM26" s="3327"/>
      <c r="GWN26" s="3327"/>
      <c r="GWO26" s="3327"/>
      <c r="GWP26" s="3327"/>
      <c r="GWQ26" s="3327"/>
      <c r="GWR26" s="3327"/>
      <c r="GWS26" s="3327"/>
      <c r="GWT26" s="3327"/>
      <c r="GWU26" s="3327"/>
      <c r="GWV26" s="3327"/>
      <c r="GWW26" s="3327"/>
      <c r="GWX26" s="3327"/>
      <c r="GWY26" s="3327"/>
      <c r="GWZ26" s="3327"/>
      <c r="GXA26" s="3327"/>
      <c r="GXB26" s="3327"/>
      <c r="GXC26" s="3327"/>
      <c r="GXD26" s="3327"/>
      <c r="GXE26" s="3327"/>
      <c r="GXF26" s="3327"/>
      <c r="GXG26" s="3327"/>
      <c r="GXH26" s="3327"/>
      <c r="GXI26" s="3327"/>
      <c r="GXJ26" s="3327"/>
      <c r="GXK26" s="3327"/>
      <c r="GXL26" s="3327"/>
      <c r="GXM26" s="3327"/>
      <c r="GXN26" s="3327"/>
      <c r="GXO26" s="3327"/>
      <c r="GXP26" s="3327"/>
      <c r="GXQ26" s="3327"/>
      <c r="GXR26" s="3327"/>
      <c r="GXS26" s="3327"/>
      <c r="GXT26" s="3327"/>
      <c r="GXU26" s="3327"/>
      <c r="GXV26" s="3327"/>
      <c r="GXW26" s="3327"/>
      <c r="GXX26" s="3327"/>
      <c r="GXY26" s="3327"/>
      <c r="GXZ26" s="3327"/>
      <c r="GYA26" s="3327"/>
      <c r="GYB26" s="3327"/>
      <c r="GYC26" s="3327"/>
      <c r="GYD26" s="3327"/>
      <c r="GYE26" s="3327"/>
      <c r="GYF26" s="3327"/>
      <c r="GYG26" s="3327"/>
      <c r="GYH26" s="3327"/>
      <c r="GYI26" s="3327"/>
      <c r="GYJ26" s="3327"/>
      <c r="GYK26" s="3327"/>
      <c r="GYL26" s="3327"/>
      <c r="GYM26" s="3327"/>
      <c r="GYN26" s="3327"/>
      <c r="GYO26" s="3327"/>
      <c r="GYP26" s="3327"/>
      <c r="GYQ26" s="3327"/>
      <c r="GYR26" s="3327"/>
      <c r="GYS26" s="3327"/>
      <c r="GYT26" s="3327"/>
      <c r="GYU26" s="3327"/>
      <c r="GYV26" s="3327"/>
      <c r="GYW26" s="3327"/>
      <c r="GYX26" s="3327"/>
      <c r="GYY26" s="3327"/>
      <c r="GYZ26" s="3327"/>
      <c r="GZA26" s="3327"/>
      <c r="GZB26" s="3327"/>
      <c r="GZC26" s="3327"/>
      <c r="GZD26" s="3327"/>
      <c r="GZE26" s="3327"/>
      <c r="GZF26" s="3327"/>
      <c r="GZG26" s="3327"/>
      <c r="GZH26" s="3327"/>
      <c r="GZI26" s="3327"/>
      <c r="GZJ26" s="3327"/>
      <c r="GZK26" s="3327"/>
      <c r="GZL26" s="3327"/>
      <c r="GZM26" s="3327"/>
      <c r="GZN26" s="3327"/>
      <c r="GZO26" s="3327"/>
      <c r="GZP26" s="3327"/>
      <c r="GZQ26" s="3327"/>
      <c r="GZR26" s="3327"/>
      <c r="GZS26" s="3327"/>
      <c r="GZT26" s="3327"/>
      <c r="GZU26" s="3327"/>
      <c r="GZV26" s="3327"/>
      <c r="GZW26" s="3327"/>
      <c r="GZX26" s="3327"/>
      <c r="GZY26" s="3327"/>
      <c r="GZZ26" s="3327"/>
      <c r="HAA26" s="3327"/>
      <c r="HAB26" s="3327"/>
      <c r="HAC26" s="3327"/>
      <c r="HAD26" s="3327"/>
      <c r="HAE26" s="3327"/>
      <c r="HAF26" s="3327"/>
      <c r="HAG26" s="3327"/>
      <c r="HAH26" s="3327"/>
      <c r="HAI26" s="3327"/>
      <c r="HAJ26" s="3327"/>
      <c r="HAK26" s="3327"/>
      <c r="HAL26" s="3327"/>
      <c r="HAM26" s="3327"/>
      <c r="HAN26" s="3327"/>
      <c r="HAO26" s="3327"/>
      <c r="HAP26" s="3327"/>
      <c r="HAQ26" s="3327"/>
      <c r="HAR26" s="3327"/>
      <c r="HAS26" s="3327"/>
      <c r="HAT26" s="3327"/>
      <c r="HAU26" s="3327"/>
      <c r="HAV26" s="3327"/>
      <c r="HAW26" s="3327"/>
      <c r="HAX26" s="3327"/>
      <c r="HAY26" s="3327"/>
      <c r="HAZ26" s="3327"/>
      <c r="HBA26" s="3327"/>
      <c r="HBB26" s="3327"/>
      <c r="HBC26" s="3327"/>
      <c r="HBD26" s="3327"/>
      <c r="HBE26" s="3327"/>
      <c r="HBF26" s="3327"/>
      <c r="HBG26" s="3327"/>
      <c r="HBH26" s="3327"/>
      <c r="HBI26" s="3327"/>
      <c r="HBJ26" s="3327"/>
      <c r="HBK26" s="3327"/>
      <c r="HBL26" s="3327"/>
      <c r="HBM26" s="3327"/>
      <c r="HBN26" s="3327"/>
      <c r="HBO26" s="3327"/>
      <c r="HBP26" s="3327"/>
      <c r="HBQ26" s="3327"/>
      <c r="HBR26" s="3327"/>
      <c r="HBS26" s="3327"/>
      <c r="HBT26" s="3327"/>
      <c r="HBU26" s="3327"/>
      <c r="HBV26" s="3327"/>
      <c r="HBW26" s="3327"/>
      <c r="HBX26" s="3327"/>
      <c r="HBY26" s="3327"/>
      <c r="HBZ26" s="3327"/>
      <c r="HCA26" s="3327"/>
      <c r="HCB26" s="3327"/>
      <c r="HCC26" s="3327"/>
      <c r="HCD26" s="3327"/>
      <c r="HCE26" s="3327"/>
      <c r="HCF26" s="3327"/>
      <c r="HCG26" s="3327"/>
      <c r="HCH26" s="3327"/>
      <c r="HCI26" s="3327"/>
      <c r="HCJ26" s="3327"/>
      <c r="HCK26" s="3327"/>
      <c r="HCL26" s="3327"/>
      <c r="HCM26" s="3327"/>
      <c r="HCN26" s="3327"/>
      <c r="HCO26" s="3327"/>
      <c r="HCP26" s="3327"/>
      <c r="HCQ26" s="3327"/>
      <c r="HCR26" s="3327"/>
      <c r="HCS26" s="3327"/>
      <c r="HCT26" s="3327"/>
      <c r="HCU26" s="3327"/>
      <c r="HCV26" s="3327"/>
      <c r="HCW26" s="3327"/>
      <c r="HCX26" s="3327"/>
      <c r="HCY26" s="3327"/>
      <c r="HCZ26" s="3327"/>
      <c r="HDA26" s="3327"/>
      <c r="HDB26" s="3327"/>
      <c r="HDC26" s="3327"/>
      <c r="HDD26" s="3327"/>
      <c r="HDE26" s="3327"/>
      <c r="HDF26" s="3327"/>
      <c r="HDG26" s="3327"/>
      <c r="HDH26" s="3327"/>
      <c r="HDI26" s="3327"/>
      <c r="HDJ26" s="3327"/>
      <c r="HDK26" s="3327"/>
      <c r="HDL26" s="3327"/>
      <c r="HDM26" s="3327"/>
      <c r="HDN26" s="3327"/>
      <c r="HDO26" s="3327"/>
      <c r="HDP26" s="3327"/>
      <c r="HDQ26" s="3327"/>
      <c r="HDR26" s="3327"/>
      <c r="HDS26" s="3327"/>
      <c r="HDT26" s="3327"/>
      <c r="HDU26" s="3327"/>
      <c r="HDV26" s="3327"/>
      <c r="HDW26" s="3327"/>
      <c r="HDX26" s="3327"/>
      <c r="HDY26" s="3327"/>
      <c r="HDZ26" s="3327"/>
      <c r="HEA26" s="3327"/>
      <c r="HEB26" s="3327"/>
      <c r="HEC26" s="3327"/>
      <c r="HED26" s="3327"/>
      <c r="HEE26" s="3327"/>
      <c r="HEF26" s="3327"/>
      <c r="HEG26" s="3327"/>
      <c r="HEH26" s="3327"/>
      <c r="HEI26" s="3327"/>
      <c r="HEJ26" s="3327"/>
      <c r="HEK26" s="3327"/>
      <c r="HEL26" s="3327"/>
      <c r="HEM26" s="3327"/>
      <c r="HEN26" s="3327"/>
      <c r="HEO26" s="3327"/>
      <c r="HEP26" s="3327"/>
      <c r="HEQ26" s="3327"/>
      <c r="HER26" s="3327"/>
      <c r="HES26" s="3327"/>
      <c r="HET26" s="3327"/>
      <c r="HEU26" s="3327"/>
      <c r="HEV26" s="3327"/>
      <c r="HEW26" s="3327"/>
      <c r="HEX26" s="3327"/>
      <c r="HEY26" s="3327"/>
      <c r="HEZ26" s="3327"/>
      <c r="HFA26" s="3327"/>
      <c r="HFB26" s="3327"/>
      <c r="HFC26" s="3327"/>
      <c r="HFD26" s="3327"/>
      <c r="HFE26" s="3327"/>
      <c r="HFF26" s="3327"/>
      <c r="HFG26" s="3327"/>
      <c r="HFH26" s="3327"/>
      <c r="HFI26" s="3327"/>
      <c r="HFJ26" s="3327"/>
      <c r="HFK26" s="3327"/>
      <c r="HFL26" s="3327"/>
      <c r="HFM26" s="3327"/>
      <c r="HFN26" s="3327"/>
      <c r="HFO26" s="3327"/>
      <c r="HFP26" s="3327"/>
      <c r="HFQ26" s="3327"/>
      <c r="HFR26" s="3327"/>
      <c r="HFS26" s="3327"/>
      <c r="HFT26" s="3327"/>
      <c r="HFU26" s="3327"/>
      <c r="HFV26" s="3327"/>
      <c r="HFW26" s="3327"/>
      <c r="HFX26" s="3327"/>
      <c r="HFY26" s="3327"/>
      <c r="HFZ26" s="3327"/>
      <c r="HGA26" s="3327"/>
      <c r="HGB26" s="3327"/>
      <c r="HGC26" s="3327"/>
      <c r="HGD26" s="3327"/>
      <c r="HGE26" s="3327"/>
      <c r="HGF26" s="3327"/>
      <c r="HGG26" s="3327"/>
      <c r="HGH26" s="3327"/>
      <c r="HGI26" s="3327"/>
      <c r="HGJ26" s="3327"/>
      <c r="HGK26" s="3327"/>
      <c r="HGL26" s="3327"/>
      <c r="HGM26" s="3327"/>
      <c r="HGN26" s="3327"/>
      <c r="HGO26" s="3327"/>
      <c r="HGP26" s="3327"/>
      <c r="HGQ26" s="3327"/>
      <c r="HGR26" s="3327"/>
      <c r="HGS26" s="3327"/>
      <c r="HGT26" s="3327"/>
      <c r="HGU26" s="3327"/>
      <c r="HGV26" s="3327"/>
      <c r="HGW26" s="3327"/>
      <c r="HGX26" s="3327"/>
      <c r="HGY26" s="3327"/>
      <c r="HGZ26" s="3327"/>
      <c r="HHA26" s="3327"/>
      <c r="HHB26" s="3327"/>
      <c r="HHC26" s="3327"/>
      <c r="HHD26" s="3327"/>
      <c r="HHE26" s="3327"/>
      <c r="HHF26" s="3327"/>
      <c r="HHG26" s="3327"/>
      <c r="HHH26" s="3327"/>
      <c r="HHI26" s="3327"/>
      <c r="HHJ26" s="3327"/>
      <c r="HHK26" s="3327"/>
      <c r="HHL26" s="3327"/>
      <c r="HHM26" s="3327"/>
      <c r="HHN26" s="3327"/>
      <c r="HHO26" s="3327"/>
      <c r="HHP26" s="3327"/>
      <c r="HHQ26" s="3327"/>
      <c r="HHR26" s="3327"/>
      <c r="HHS26" s="3327"/>
      <c r="HHT26" s="3327"/>
      <c r="HHU26" s="3327"/>
      <c r="HHV26" s="3327"/>
      <c r="HHW26" s="3327"/>
      <c r="HHX26" s="3327"/>
      <c r="HHY26" s="3327"/>
      <c r="HHZ26" s="3327"/>
      <c r="HIA26" s="3327"/>
      <c r="HIB26" s="3327"/>
      <c r="HIC26" s="3327"/>
      <c r="HID26" s="3327"/>
      <c r="HIE26" s="3327"/>
      <c r="HIF26" s="3327"/>
      <c r="HIG26" s="3327"/>
      <c r="HIH26" s="3327"/>
      <c r="HII26" s="3327"/>
      <c r="HIJ26" s="3327"/>
      <c r="HIK26" s="3327"/>
      <c r="HIL26" s="3327"/>
      <c r="HIM26" s="3327"/>
      <c r="HIN26" s="3327"/>
      <c r="HIO26" s="3327"/>
      <c r="HIP26" s="3327"/>
      <c r="HIQ26" s="3327"/>
      <c r="HIR26" s="3327"/>
      <c r="HIS26" s="3327"/>
      <c r="HIT26" s="3327"/>
      <c r="HIU26" s="3327"/>
      <c r="HIV26" s="3327"/>
      <c r="HIW26" s="3327"/>
      <c r="HIX26" s="3327"/>
      <c r="HIY26" s="3327"/>
      <c r="HIZ26" s="3327"/>
      <c r="HJA26" s="3327"/>
      <c r="HJB26" s="3327"/>
      <c r="HJC26" s="3327"/>
      <c r="HJD26" s="3327"/>
      <c r="HJE26" s="3327"/>
      <c r="HJF26" s="3327"/>
      <c r="HJG26" s="3327"/>
      <c r="HJH26" s="3327"/>
      <c r="HJI26" s="3327"/>
      <c r="HJJ26" s="3327"/>
      <c r="HJK26" s="3327"/>
      <c r="HJL26" s="3327"/>
      <c r="HJM26" s="3327"/>
      <c r="HJN26" s="3327"/>
      <c r="HJO26" s="3327"/>
      <c r="HJP26" s="3327"/>
      <c r="HJQ26" s="3327"/>
      <c r="HJR26" s="3327"/>
      <c r="HJS26" s="3327"/>
      <c r="HJT26" s="3327"/>
      <c r="HJU26" s="3327"/>
      <c r="HJV26" s="3327"/>
      <c r="HJW26" s="3327"/>
      <c r="HJX26" s="3327"/>
      <c r="HJY26" s="3327"/>
      <c r="HJZ26" s="3327"/>
      <c r="HKA26" s="3327"/>
      <c r="HKB26" s="3327"/>
      <c r="HKC26" s="3327"/>
      <c r="HKD26" s="3327"/>
      <c r="HKE26" s="3327"/>
      <c r="HKF26" s="3327"/>
      <c r="HKG26" s="3327"/>
      <c r="HKH26" s="3327"/>
      <c r="HKI26" s="3327"/>
      <c r="HKJ26" s="3327"/>
      <c r="HKK26" s="3327"/>
      <c r="HKL26" s="3327"/>
      <c r="HKM26" s="3327"/>
      <c r="HKN26" s="3327"/>
      <c r="HKO26" s="3327"/>
      <c r="HKP26" s="3327"/>
      <c r="HKQ26" s="3327"/>
      <c r="HKR26" s="3327"/>
      <c r="HKS26" s="3327"/>
      <c r="HKT26" s="3327"/>
      <c r="HKU26" s="3327"/>
      <c r="HKV26" s="3327"/>
      <c r="HKW26" s="3327"/>
      <c r="HKX26" s="3327"/>
      <c r="HKY26" s="3327"/>
      <c r="HKZ26" s="3327"/>
      <c r="HLA26" s="3327"/>
      <c r="HLB26" s="3327"/>
      <c r="HLC26" s="3327"/>
      <c r="HLD26" s="3327"/>
      <c r="HLE26" s="3327"/>
      <c r="HLF26" s="3327"/>
      <c r="HLG26" s="3327"/>
      <c r="HLH26" s="3327"/>
      <c r="HLI26" s="3327"/>
      <c r="HLJ26" s="3327"/>
      <c r="HLK26" s="3327"/>
      <c r="HLL26" s="3327"/>
      <c r="HLM26" s="3327"/>
      <c r="HLN26" s="3327"/>
      <c r="HLO26" s="3327"/>
      <c r="HLP26" s="3327"/>
      <c r="HLQ26" s="3327"/>
      <c r="HLR26" s="3327"/>
      <c r="HLS26" s="3327"/>
      <c r="HLT26" s="3327"/>
      <c r="HLU26" s="3327"/>
      <c r="HLV26" s="3327"/>
      <c r="HLW26" s="3327"/>
      <c r="HLX26" s="3327"/>
      <c r="HLY26" s="3327"/>
      <c r="HLZ26" s="3327"/>
      <c r="HMA26" s="3327"/>
      <c r="HMB26" s="3327"/>
      <c r="HMC26" s="3327"/>
      <c r="HMD26" s="3327"/>
      <c r="HME26" s="3327"/>
      <c r="HMF26" s="3327"/>
      <c r="HMG26" s="3327"/>
      <c r="HMH26" s="3327"/>
      <c r="HMI26" s="3327"/>
      <c r="HMJ26" s="3327"/>
      <c r="HMK26" s="3327"/>
      <c r="HML26" s="3327"/>
      <c r="HMM26" s="3327"/>
      <c r="HMN26" s="3327"/>
      <c r="HMO26" s="3327"/>
      <c r="HMP26" s="3327"/>
      <c r="HMQ26" s="3327"/>
      <c r="HMR26" s="3327"/>
      <c r="HMS26" s="3327"/>
      <c r="HMT26" s="3327"/>
      <c r="HMU26" s="3327"/>
      <c r="HMV26" s="3327"/>
      <c r="HMW26" s="3327"/>
      <c r="HMX26" s="3327"/>
      <c r="HMY26" s="3327"/>
      <c r="HMZ26" s="3327"/>
      <c r="HNA26" s="3327"/>
      <c r="HNB26" s="3327"/>
      <c r="HNC26" s="3327"/>
      <c r="HND26" s="3327"/>
      <c r="HNE26" s="3327"/>
      <c r="HNF26" s="3327"/>
      <c r="HNG26" s="3327"/>
      <c r="HNH26" s="3327"/>
      <c r="HNI26" s="3327"/>
      <c r="HNJ26" s="3327"/>
      <c r="HNK26" s="3327"/>
      <c r="HNL26" s="3327"/>
      <c r="HNM26" s="3327"/>
      <c r="HNN26" s="3327"/>
      <c r="HNO26" s="3327"/>
      <c r="HNP26" s="3327"/>
      <c r="HNQ26" s="3327"/>
      <c r="HNR26" s="3327"/>
      <c r="HNS26" s="3327"/>
      <c r="HNT26" s="3327"/>
      <c r="HNU26" s="3327"/>
      <c r="HNV26" s="3327"/>
      <c r="HNW26" s="3327"/>
      <c r="HNX26" s="3327"/>
      <c r="HNY26" s="3327"/>
      <c r="HNZ26" s="3327"/>
      <c r="HOA26" s="3327"/>
      <c r="HOB26" s="3327"/>
      <c r="HOC26" s="3327"/>
      <c r="HOD26" s="3327"/>
      <c r="HOE26" s="3327"/>
      <c r="HOF26" s="3327"/>
      <c r="HOG26" s="3327"/>
      <c r="HOH26" s="3327"/>
      <c r="HOI26" s="3327"/>
      <c r="HOJ26" s="3327"/>
      <c r="HOK26" s="3327"/>
      <c r="HOL26" s="3327"/>
      <c r="HOM26" s="3327"/>
      <c r="HON26" s="3327"/>
      <c r="HOO26" s="3327"/>
      <c r="HOP26" s="3327"/>
      <c r="HOQ26" s="3327"/>
      <c r="HOR26" s="3327"/>
      <c r="HOS26" s="3327"/>
      <c r="HOT26" s="3327"/>
      <c r="HOU26" s="3327"/>
      <c r="HOV26" s="3327"/>
      <c r="HOW26" s="3327"/>
      <c r="HOX26" s="3327"/>
      <c r="HOY26" s="3327"/>
      <c r="HOZ26" s="3327"/>
      <c r="HPA26" s="3327"/>
      <c r="HPB26" s="3327"/>
      <c r="HPC26" s="3327"/>
      <c r="HPD26" s="3327"/>
      <c r="HPE26" s="3327"/>
      <c r="HPF26" s="3327"/>
      <c r="HPG26" s="3327"/>
      <c r="HPH26" s="3327"/>
      <c r="HPI26" s="3327"/>
      <c r="HPJ26" s="3327"/>
      <c r="HPK26" s="3327"/>
      <c r="HPL26" s="3327"/>
      <c r="HPM26" s="3327"/>
      <c r="HPN26" s="3327"/>
      <c r="HPO26" s="3327"/>
      <c r="HPP26" s="3327"/>
      <c r="HPQ26" s="3327"/>
      <c r="HPR26" s="3327"/>
      <c r="HPS26" s="3327"/>
      <c r="HPT26" s="3327"/>
      <c r="HPU26" s="3327"/>
      <c r="HPV26" s="3327"/>
      <c r="HPW26" s="3327"/>
      <c r="HPX26" s="3327"/>
      <c r="HPY26" s="3327"/>
      <c r="HPZ26" s="3327"/>
      <c r="HQA26" s="3327"/>
      <c r="HQB26" s="3327"/>
      <c r="HQC26" s="3327"/>
      <c r="HQD26" s="3327"/>
      <c r="HQE26" s="3327"/>
      <c r="HQF26" s="3327"/>
      <c r="HQG26" s="3327"/>
      <c r="HQH26" s="3327"/>
      <c r="HQI26" s="3327"/>
      <c r="HQJ26" s="3327"/>
      <c r="HQK26" s="3327"/>
      <c r="HQL26" s="3327"/>
      <c r="HQM26" s="3327"/>
      <c r="HQN26" s="3327"/>
      <c r="HQO26" s="3327"/>
      <c r="HQP26" s="3327"/>
      <c r="HQQ26" s="3327"/>
      <c r="HQR26" s="3327"/>
      <c r="HQS26" s="3327"/>
      <c r="HQT26" s="3327"/>
      <c r="HQU26" s="3327"/>
      <c r="HQV26" s="3327"/>
      <c r="HQW26" s="3327"/>
      <c r="HQX26" s="3327"/>
      <c r="HQY26" s="3327"/>
      <c r="HQZ26" s="3327"/>
      <c r="HRA26" s="3327"/>
      <c r="HRB26" s="3327"/>
      <c r="HRC26" s="3327"/>
      <c r="HRD26" s="3327"/>
      <c r="HRE26" s="3327"/>
      <c r="HRF26" s="3327"/>
      <c r="HRG26" s="3327"/>
      <c r="HRH26" s="3327"/>
      <c r="HRI26" s="3327"/>
      <c r="HRJ26" s="3327"/>
      <c r="HRK26" s="3327"/>
      <c r="HRL26" s="3327"/>
      <c r="HRM26" s="3327"/>
      <c r="HRN26" s="3327"/>
      <c r="HRO26" s="3327"/>
      <c r="HRP26" s="3327"/>
      <c r="HRQ26" s="3327"/>
      <c r="HRR26" s="3327"/>
      <c r="HRS26" s="3327"/>
      <c r="HRT26" s="3327"/>
      <c r="HRU26" s="3327"/>
      <c r="HRV26" s="3327"/>
      <c r="HRW26" s="3327"/>
      <c r="HRX26" s="3327"/>
      <c r="HRY26" s="3327"/>
      <c r="HRZ26" s="3327"/>
      <c r="HSA26" s="3327"/>
      <c r="HSB26" s="3327"/>
      <c r="HSC26" s="3327"/>
      <c r="HSD26" s="3327"/>
      <c r="HSE26" s="3327"/>
      <c r="HSF26" s="3327"/>
      <c r="HSG26" s="3327"/>
      <c r="HSH26" s="3327"/>
      <c r="HSI26" s="3327"/>
      <c r="HSJ26" s="3327"/>
      <c r="HSK26" s="3327"/>
      <c r="HSL26" s="3327"/>
      <c r="HSM26" s="3327"/>
      <c r="HSN26" s="3327"/>
      <c r="HSO26" s="3327"/>
      <c r="HSP26" s="3327"/>
      <c r="HSQ26" s="3327"/>
      <c r="HSR26" s="3327"/>
      <c r="HSS26" s="3327"/>
      <c r="HST26" s="3327"/>
      <c r="HSU26" s="3327"/>
      <c r="HSV26" s="3327"/>
      <c r="HSW26" s="3327"/>
      <c r="HSX26" s="3327"/>
      <c r="HSY26" s="3327"/>
      <c r="HSZ26" s="3327"/>
      <c r="HTA26" s="3327"/>
      <c r="HTB26" s="3327"/>
      <c r="HTC26" s="3327"/>
      <c r="HTD26" s="3327"/>
      <c r="HTE26" s="3327"/>
      <c r="HTF26" s="3327"/>
      <c r="HTG26" s="3327"/>
      <c r="HTH26" s="3327"/>
      <c r="HTI26" s="3327"/>
      <c r="HTJ26" s="3327"/>
      <c r="HTK26" s="3327"/>
      <c r="HTL26" s="3327"/>
      <c r="HTM26" s="3327"/>
      <c r="HTN26" s="3327"/>
      <c r="HTO26" s="3327"/>
      <c r="HTP26" s="3327"/>
      <c r="HTQ26" s="3327"/>
      <c r="HTR26" s="3327"/>
      <c r="HTS26" s="3327"/>
      <c r="HTT26" s="3327"/>
      <c r="HTU26" s="3327"/>
      <c r="HTV26" s="3327"/>
      <c r="HTW26" s="3327"/>
      <c r="HTX26" s="3327"/>
      <c r="HTY26" s="3327"/>
      <c r="HTZ26" s="3327"/>
      <c r="HUA26" s="3327"/>
      <c r="HUB26" s="3327"/>
      <c r="HUC26" s="3327"/>
      <c r="HUD26" s="3327"/>
      <c r="HUE26" s="3327"/>
      <c r="HUF26" s="3327"/>
      <c r="HUG26" s="3327"/>
      <c r="HUH26" s="3327"/>
      <c r="HUI26" s="3327"/>
      <c r="HUJ26" s="3327"/>
      <c r="HUK26" s="3327"/>
      <c r="HUL26" s="3327"/>
      <c r="HUM26" s="3327"/>
      <c r="HUN26" s="3327"/>
      <c r="HUO26" s="3327"/>
      <c r="HUP26" s="3327"/>
      <c r="HUQ26" s="3327"/>
      <c r="HUR26" s="3327"/>
      <c r="HUS26" s="3327"/>
      <c r="HUT26" s="3327"/>
      <c r="HUU26" s="3327"/>
      <c r="HUV26" s="3327"/>
      <c r="HUW26" s="3327"/>
      <c r="HUX26" s="3327"/>
      <c r="HUY26" s="3327"/>
      <c r="HUZ26" s="3327"/>
      <c r="HVA26" s="3327"/>
      <c r="HVB26" s="3327"/>
      <c r="HVC26" s="3327"/>
      <c r="HVD26" s="3327"/>
      <c r="HVE26" s="3327"/>
      <c r="HVF26" s="3327"/>
      <c r="HVG26" s="3327"/>
      <c r="HVH26" s="3327"/>
      <c r="HVI26" s="3327"/>
      <c r="HVJ26" s="3327"/>
      <c r="HVK26" s="3327"/>
      <c r="HVL26" s="3327"/>
      <c r="HVM26" s="3327"/>
      <c r="HVN26" s="3327"/>
      <c r="HVO26" s="3327"/>
      <c r="HVP26" s="3327"/>
      <c r="HVQ26" s="3327"/>
      <c r="HVR26" s="3327"/>
      <c r="HVS26" s="3327"/>
      <c r="HVT26" s="3327"/>
      <c r="HVU26" s="3327"/>
      <c r="HVV26" s="3327"/>
      <c r="HVW26" s="3327"/>
      <c r="HVX26" s="3327"/>
      <c r="HVY26" s="3327"/>
      <c r="HVZ26" s="3327"/>
      <c r="HWA26" s="3327"/>
      <c r="HWB26" s="3327"/>
      <c r="HWC26" s="3327"/>
      <c r="HWD26" s="3327"/>
      <c r="HWE26" s="3327"/>
      <c r="HWF26" s="3327"/>
      <c r="HWG26" s="3327"/>
      <c r="HWH26" s="3327"/>
      <c r="HWI26" s="3327"/>
      <c r="HWJ26" s="3327"/>
      <c r="HWK26" s="3327"/>
      <c r="HWL26" s="3327"/>
      <c r="HWM26" s="3327"/>
      <c r="HWN26" s="3327"/>
      <c r="HWO26" s="3327"/>
      <c r="HWP26" s="3327"/>
      <c r="HWQ26" s="3327"/>
      <c r="HWR26" s="3327"/>
      <c r="HWS26" s="3327"/>
      <c r="HWT26" s="3327"/>
      <c r="HWU26" s="3327"/>
      <c r="HWV26" s="3327"/>
      <c r="HWW26" s="3327"/>
      <c r="HWX26" s="3327"/>
      <c r="HWY26" s="3327"/>
      <c r="HWZ26" s="3327"/>
      <c r="HXA26" s="3327"/>
      <c r="HXB26" s="3327"/>
      <c r="HXC26" s="3327"/>
      <c r="HXD26" s="3327"/>
      <c r="HXE26" s="3327"/>
      <c r="HXF26" s="3327"/>
      <c r="HXG26" s="3327"/>
      <c r="HXH26" s="3327"/>
      <c r="HXI26" s="3327"/>
      <c r="HXJ26" s="3327"/>
      <c r="HXK26" s="3327"/>
      <c r="HXL26" s="3327"/>
      <c r="HXM26" s="3327"/>
      <c r="HXN26" s="3327"/>
      <c r="HXO26" s="3327"/>
      <c r="HXP26" s="3327"/>
      <c r="HXQ26" s="3327"/>
      <c r="HXR26" s="3327"/>
      <c r="HXS26" s="3327"/>
      <c r="HXT26" s="3327"/>
      <c r="HXU26" s="3327"/>
      <c r="HXV26" s="3327"/>
      <c r="HXW26" s="3327"/>
      <c r="HXX26" s="3327"/>
      <c r="HXY26" s="3327"/>
      <c r="HXZ26" s="3327"/>
      <c r="HYA26" s="3327"/>
      <c r="HYB26" s="3327"/>
      <c r="HYC26" s="3327"/>
      <c r="HYD26" s="3327"/>
      <c r="HYE26" s="3327"/>
      <c r="HYF26" s="3327"/>
      <c r="HYG26" s="3327"/>
      <c r="HYH26" s="3327"/>
      <c r="HYI26" s="3327"/>
      <c r="HYJ26" s="3327"/>
      <c r="HYK26" s="3327"/>
      <c r="HYL26" s="3327"/>
      <c r="HYM26" s="3327"/>
      <c r="HYN26" s="3327"/>
      <c r="HYO26" s="3327"/>
      <c r="HYP26" s="3327"/>
      <c r="HYQ26" s="3327"/>
      <c r="HYR26" s="3327"/>
      <c r="HYS26" s="3327"/>
      <c r="HYT26" s="3327"/>
      <c r="HYU26" s="3327"/>
      <c r="HYV26" s="3327"/>
      <c r="HYW26" s="3327"/>
      <c r="HYX26" s="3327"/>
      <c r="HYY26" s="3327"/>
      <c r="HYZ26" s="3327"/>
      <c r="HZA26" s="3327"/>
      <c r="HZB26" s="3327"/>
      <c r="HZC26" s="3327"/>
      <c r="HZD26" s="3327"/>
      <c r="HZE26" s="3327"/>
      <c r="HZF26" s="3327"/>
      <c r="HZG26" s="3327"/>
      <c r="HZH26" s="3327"/>
      <c r="HZI26" s="3327"/>
      <c r="HZJ26" s="3327"/>
      <c r="HZK26" s="3327"/>
      <c r="HZL26" s="3327"/>
      <c r="HZM26" s="3327"/>
      <c r="HZN26" s="3327"/>
      <c r="HZO26" s="3327"/>
      <c r="HZP26" s="3327"/>
      <c r="HZQ26" s="3327"/>
      <c r="HZR26" s="3327"/>
      <c r="HZS26" s="3327"/>
      <c r="HZT26" s="3327"/>
      <c r="HZU26" s="3327"/>
      <c r="HZV26" s="3327"/>
      <c r="HZW26" s="3327"/>
      <c r="HZX26" s="3327"/>
      <c r="HZY26" s="3327"/>
      <c r="HZZ26" s="3327"/>
      <c r="IAA26" s="3327"/>
      <c r="IAB26" s="3327"/>
      <c r="IAC26" s="3327"/>
      <c r="IAD26" s="3327"/>
      <c r="IAE26" s="3327"/>
      <c r="IAF26" s="3327"/>
      <c r="IAG26" s="3327"/>
      <c r="IAH26" s="3327"/>
      <c r="IAI26" s="3327"/>
      <c r="IAJ26" s="3327"/>
      <c r="IAK26" s="3327"/>
      <c r="IAL26" s="3327"/>
      <c r="IAM26" s="3327"/>
      <c r="IAN26" s="3327"/>
      <c r="IAO26" s="3327"/>
      <c r="IAP26" s="3327"/>
      <c r="IAQ26" s="3327"/>
      <c r="IAR26" s="3327"/>
      <c r="IAS26" s="3327"/>
      <c r="IAT26" s="3327"/>
      <c r="IAU26" s="3327"/>
      <c r="IAV26" s="3327"/>
      <c r="IAW26" s="3327"/>
      <c r="IAX26" s="3327"/>
      <c r="IAY26" s="3327"/>
      <c r="IAZ26" s="3327"/>
      <c r="IBA26" s="3327"/>
      <c r="IBB26" s="3327"/>
      <c r="IBC26" s="3327"/>
      <c r="IBD26" s="3327"/>
      <c r="IBE26" s="3327"/>
      <c r="IBF26" s="3327"/>
      <c r="IBG26" s="3327"/>
      <c r="IBH26" s="3327"/>
      <c r="IBI26" s="3327"/>
      <c r="IBJ26" s="3327"/>
      <c r="IBK26" s="3327"/>
      <c r="IBL26" s="3327"/>
      <c r="IBM26" s="3327"/>
      <c r="IBN26" s="3327"/>
      <c r="IBO26" s="3327"/>
      <c r="IBP26" s="3327"/>
      <c r="IBQ26" s="3327"/>
      <c r="IBR26" s="3327"/>
      <c r="IBS26" s="3327"/>
      <c r="IBT26" s="3327"/>
      <c r="IBU26" s="3327"/>
      <c r="IBV26" s="3327"/>
      <c r="IBW26" s="3327"/>
      <c r="IBX26" s="3327"/>
      <c r="IBY26" s="3327"/>
      <c r="IBZ26" s="3327"/>
      <c r="ICA26" s="3327"/>
      <c r="ICB26" s="3327"/>
      <c r="ICC26" s="3327"/>
      <c r="ICD26" s="3327"/>
      <c r="ICE26" s="3327"/>
      <c r="ICF26" s="3327"/>
      <c r="ICG26" s="3327"/>
      <c r="ICH26" s="3327"/>
      <c r="ICI26" s="3327"/>
      <c r="ICJ26" s="3327"/>
      <c r="ICK26" s="3327"/>
      <c r="ICL26" s="3327"/>
      <c r="ICM26" s="3327"/>
      <c r="ICN26" s="3327"/>
      <c r="ICO26" s="3327"/>
      <c r="ICP26" s="3327"/>
      <c r="ICQ26" s="3327"/>
      <c r="ICR26" s="3327"/>
      <c r="ICS26" s="3327"/>
      <c r="ICT26" s="3327"/>
      <c r="ICU26" s="3327"/>
      <c r="ICV26" s="3327"/>
      <c r="ICW26" s="3327"/>
      <c r="ICX26" s="3327"/>
      <c r="ICY26" s="3327"/>
      <c r="ICZ26" s="3327"/>
      <c r="IDA26" s="3327"/>
      <c r="IDB26" s="3327"/>
      <c r="IDC26" s="3327"/>
      <c r="IDD26" s="3327"/>
      <c r="IDE26" s="3327"/>
      <c r="IDF26" s="3327"/>
      <c r="IDG26" s="3327"/>
      <c r="IDH26" s="3327"/>
      <c r="IDI26" s="3327"/>
      <c r="IDJ26" s="3327"/>
      <c r="IDK26" s="3327"/>
      <c r="IDL26" s="3327"/>
      <c r="IDM26" s="3327"/>
      <c r="IDN26" s="3327"/>
      <c r="IDO26" s="3327"/>
      <c r="IDP26" s="3327"/>
      <c r="IDQ26" s="3327"/>
      <c r="IDR26" s="3327"/>
      <c r="IDS26" s="3327"/>
      <c r="IDT26" s="3327"/>
      <c r="IDU26" s="3327"/>
      <c r="IDV26" s="3327"/>
      <c r="IDW26" s="3327"/>
      <c r="IDX26" s="3327"/>
      <c r="IDY26" s="3327"/>
      <c r="IDZ26" s="3327"/>
      <c r="IEA26" s="3327"/>
      <c r="IEB26" s="3327"/>
      <c r="IEC26" s="3327"/>
      <c r="IED26" s="3327"/>
      <c r="IEE26" s="3327"/>
      <c r="IEF26" s="3327"/>
      <c r="IEG26" s="3327"/>
      <c r="IEH26" s="3327"/>
      <c r="IEI26" s="3327"/>
      <c r="IEJ26" s="3327"/>
      <c r="IEK26" s="3327"/>
      <c r="IEL26" s="3327"/>
      <c r="IEM26" s="3327"/>
      <c r="IEN26" s="3327"/>
      <c r="IEO26" s="3327"/>
      <c r="IEP26" s="3327"/>
      <c r="IEQ26" s="3327"/>
      <c r="IER26" s="3327"/>
      <c r="IES26" s="3327"/>
      <c r="IET26" s="3327"/>
      <c r="IEU26" s="3327"/>
      <c r="IEV26" s="3327"/>
      <c r="IEW26" s="3327"/>
      <c r="IEX26" s="3327"/>
      <c r="IEY26" s="3327"/>
      <c r="IEZ26" s="3327"/>
      <c r="IFA26" s="3327"/>
      <c r="IFB26" s="3327"/>
      <c r="IFC26" s="3327"/>
      <c r="IFD26" s="3327"/>
      <c r="IFE26" s="3327"/>
      <c r="IFF26" s="3327"/>
      <c r="IFG26" s="3327"/>
      <c r="IFH26" s="3327"/>
      <c r="IFI26" s="3327"/>
      <c r="IFJ26" s="3327"/>
      <c r="IFK26" s="3327"/>
      <c r="IFL26" s="3327"/>
      <c r="IFM26" s="3327"/>
      <c r="IFN26" s="3327"/>
      <c r="IFO26" s="3327"/>
      <c r="IFP26" s="3327"/>
      <c r="IFQ26" s="3327"/>
      <c r="IFR26" s="3327"/>
      <c r="IFS26" s="3327"/>
      <c r="IFT26" s="3327"/>
      <c r="IFU26" s="3327"/>
      <c r="IFV26" s="3327"/>
      <c r="IFW26" s="3327"/>
      <c r="IFX26" s="3327"/>
      <c r="IFY26" s="3327"/>
      <c r="IFZ26" s="3327"/>
      <c r="IGA26" s="3327"/>
      <c r="IGB26" s="3327"/>
      <c r="IGC26" s="3327"/>
      <c r="IGD26" s="3327"/>
      <c r="IGE26" s="3327"/>
      <c r="IGF26" s="3327"/>
      <c r="IGG26" s="3327"/>
      <c r="IGH26" s="3327"/>
      <c r="IGI26" s="3327"/>
      <c r="IGJ26" s="3327"/>
      <c r="IGK26" s="3327"/>
      <c r="IGL26" s="3327"/>
      <c r="IGM26" s="3327"/>
      <c r="IGN26" s="3327"/>
      <c r="IGO26" s="3327"/>
      <c r="IGP26" s="3327"/>
      <c r="IGQ26" s="3327"/>
      <c r="IGR26" s="3327"/>
      <c r="IGS26" s="3327"/>
      <c r="IGT26" s="3327"/>
      <c r="IGU26" s="3327"/>
      <c r="IGV26" s="3327"/>
      <c r="IGW26" s="3327"/>
      <c r="IGX26" s="3327"/>
      <c r="IGY26" s="3327"/>
      <c r="IGZ26" s="3327"/>
      <c r="IHA26" s="3327"/>
      <c r="IHB26" s="3327"/>
      <c r="IHC26" s="3327"/>
      <c r="IHD26" s="3327"/>
      <c r="IHE26" s="3327"/>
      <c r="IHF26" s="3327"/>
      <c r="IHG26" s="3327"/>
      <c r="IHH26" s="3327"/>
      <c r="IHI26" s="3327"/>
      <c r="IHJ26" s="3327"/>
      <c r="IHK26" s="3327"/>
      <c r="IHL26" s="3327"/>
      <c r="IHM26" s="3327"/>
      <c r="IHN26" s="3327"/>
      <c r="IHO26" s="3327"/>
      <c r="IHP26" s="3327"/>
      <c r="IHQ26" s="3327"/>
      <c r="IHR26" s="3327"/>
      <c r="IHS26" s="3327"/>
      <c r="IHT26" s="3327"/>
      <c r="IHU26" s="3327"/>
      <c r="IHV26" s="3327"/>
      <c r="IHW26" s="3327"/>
      <c r="IHX26" s="3327"/>
      <c r="IHY26" s="3327"/>
      <c r="IHZ26" s="3327"/>
      <c r="IIA26" s="3327"/>
      <c r="IIB26" s="3327"/>
      <c r="IIC26" s="3327"/>
      <c r="IID26" s="3327"/>
      <c r="IIE26" s="3327"/>
      <c r="IIF26" s="3327"/>
      <c r="IIG26" s="3327"/>
      <c r="IIH26" s="3327"/>
      <c r="III26" s="3327"/>
      <c r="IIJ26" s="3327"/>
      <c r="IIK26" s="3327"/>
      <c r="IIL26" s="3327"/>
      <c r="IIM26" s="3327"/>
      <c r="IIN26" s="3327"/>
      <c r="IIO26" s="3327"/>
      <c r="IIP26" s="3327"/>
      <c r="IIQ26" s="3327"/>
      <c r="IIR26" s="3327"/>
      <c r="IIS26" s="3327"/>
      <c r="IIT26" s="3327"/>
      <c r="IIU26" s="3327"/>
      <c r="IIV26" s="3327"/>
      <c r="IIW26" s="3327"/>
      <c r="IIX26" s="3327"/>
      <c r="IIY26" s="3327"/>
      <c r="IIZ26" s="3327"/>
      <c r="IJA26" s="3327"/>
      <c r="IJB26" s="3327"/>
      <c r="IJC26" s="3327"/>
      <c r="IJD26" s="3327"/>
      <c r="IJE26" s="3327"/>
      <c r="IJF26" s="3327"/>
      <c r="IJG26" s="3327"/>
      <c r="IJH26" s="3327"/>
      <c r="IJI26" s="3327"/>
      <c r="IJJ26" s="3327"/>
      <c r="IJK26" s="3327"/>
      <c r="IJL26" s="3327"/>
      <c r="IJM26" s="3327"/>
      <c r="IJN26" s="3327"/>
      <c r="IJO26" s="3327"/>
      <c r="IJP26" s="3327"/>
      <c r="IJQ26" s="3327"/>
      <c r="IJR26" s="3327"/>
      <c r="IJS26" s="3327"/>
      <c r="IJT26" s="3327"/>
      <c r="IJU26" s="3327"/>
      <c r="IJV26" s="3327"/>
      <c r="IJW26" s="3327"/>
      <c r="IJX26" s="3327"/>
      <c r="IJY26" s="3327"/>
      <c r="IJZ26" s="3327"/>
      <c r="IKA26" s="3327"/>
      <c r="IKB26" s="3327"/>
      <c r="IKC26" s="3327"/>
      <c r="IKD26" s="3327"/>
      <c r="IKE26" s="3327"/>
      <c r="IKF26" s="3327"/>
      <c r="IKG26" s="3327"/>
      <c r="IKH26" s="3327"/>
      <c r="IKI26" s="3327"/>
      <c r="IKJ26" s="3327"/>
      <c r="IKK26" s="3327"/>
      <c r="IKL26" s="3327"/>
      <c r="IKM26" s="3327"/>
      <c r="IKN26" s="3327"/>
      <c r="IKO26" s="3327"/>
      <c r="IKP26" s="3327"/>
      <c r="IKQ26" s="3327"/>
      <c r="IKR26" s="3327"/>
      <c r="IKS26" s="3327"/>
      <c r="IKT26" s="3327"/>
      <c r="IKU26" s="3327"/>
      <c r="IKV26" s="3327"/>
      <c r="IKW26" s="3327"/>
      <c r="IKX26" s="3327"/>
      <c r="IKY26" s="3327"/>
      <c r="IKZ26" s="3327"/>
      <c r="ILA26" s="3327"/>
      <c r="ILB26" s="3327"/>
      <c r="ILC26" s="3327"/>
      <c r="ILD26" s="3327"/>
      <c r="ILE26" s="3327"/>
      <c r="ILF26" s="3327"/>
      <c r="ILG26" s="3327"/>
      <c r="ILH26" s="3327"/>
      <c r="ILI26" s="3327"/>
      <c r="ILJ26" s="3327"/>
      <c r="ILK26" s="3327"/>
      <c r="ILL26" s="3327"/>
      <c r="ILM26" s="3327"/>
      <c r="ILN26" s="3327"/>
      <c r="ILO26" s="3327"/>
      <c r="ILP26" s="3327"/>
      <c r="ILQ26" s="3327"/>
      <c r="ILR26" s="3327"/>
      <c r="ILS26" s="3327"/>
      <c r="ILT26" s="3327"/>
      <c r="ILU26" s="3327"/>
      <c r="ILV26" s="3327"/>
      <c r="ILW26" s="3327"/>
      <c r="ILX26" s="3327"/>
      <c r="ILY26" s="3327"/>
      <c r="ILZ26" s="3327"/>
      <c r="IMA26" s="3327"/>
      <c r="IMB26" s="3327"/>
      <c r="IMC26" s="3327"/>
      <c r="IMD26" s="3327"/>
      <c r="IME26" s="3327"/>
      <c r="IMF26" s="3327"/>
      <c r="IMG26" s="3327"/>
      <c r="IMH26" s="3327"/>
      <c r="IMI26" s="3327"/>
      <c r="IMJ26" s="3327"/>
      <c r="IMK26" s="3327"/>
      <c r="IML26" s="3327"/>
      <c r="IMM26" s="3327"/>
      <c r="IMN26" s="3327"/>
      <c r="IMO26" s="3327"/>
      <c r="IMP26" s="3327"/>
      <c r="IMQ26" s="3327"/>
      <c r="IMR26" s="3327"/>
      <c r="IMS26" s="3327"/>
      <c r="IMT26" s="3327"/>
      <c r="IMU26" s="3327"/>
      <c r="IMV26" s="3327"/>
      <c r="IMW26" s="3327"/>
      <c r="IMX26" s="3327"/>
      <c r="IMY26" s="3327"/>
      <c r="IMZ26" s="3327"/>
      <c r="INA26" s="3327"/>
      <c r="INB26" s="3327"/>
      <c r="INC26" s="3327"/>
      <c r="IND26" s="3327"/>
      <c r="INE26" s="3327"/>
      <c r="INF26" s="3327"/>
      <c r="ING26" s="3327"/>
      <c r="INH26" s="3327"/>
      <c r="INI26" s="3327"/>
      <c r="INJ26" s="3327"/>
      <c r="INK26" s="3327"/>
      <c r="INL26" s="3327"/>
      <c r="INM26" s="3327"/>
      <c r="INN26" s="3327"/>
      <c r="INO26" s="3327"/>
      <c r="INP26" s="3327"/>
      <c r="INQ26" s="3327"/>
      <c r="INR26" s="3327"/>
      <c r="INS26" s="3327"/>
      <c r="INT26" s="3327"/>
      <c r="INU26" s="3327"/>
      <c r="INV26" s="3327"/>
      <c r="INW26" s="3327"/>
      <c r="INX26" s="3327"/>
      <c r="INY26" s="3327"/>
      <c r="INZ26" s="3327"/>
      <c r="IOA26" s="3327"/>
      <c r="IOB26" s="3327"/>
      <c r="IOC26" s="3327"/>
      <c r="IOD26" s="3327"/>
      <c r="IOE26" s="3327"/>
      <c r="IOF26" s="3327"/>
      <c r="IOG26" s="3327"/>
      <c r="IOH26" s="3327"/>
      <c r="IOI26" s="3327"/>
      <c r="IOJ26" s="3327"/>
      <c r="IOK26" s="3327"/>
      <c r="IOL26" s="3327"/>
      <c r="IOM26" s="3327"/>
      <c r="ION26" s="3327"/>
      <c r="IOO26" s="3327"/>
      <c r="IOP26" s="3327"/>
      <c r="IOQ26" s="3327"/>
      <c r="IOR26" s="3327"/>
      <c r="IOS26" s="3327"/>
      <c r="IOT26" s="3327"/>
      <c r="IOU26" s="3327"/>
      <c r="IOV26" s="3327"/>
      <c r="IOW26" s="3327"/>
      <c r="IOX26" s="3327"/>
      <c r="IOY26" s="3327"/>
      <c r="IOZ26" s="3327"/>
      <c r="IPA26" s="3327"/>
      <c r="IPB26" s="3327"/>
      <c r="IPC26" s="3327"/>
      <c r="IPD26" s="3327"/>
      <c r="IPE26" s="3327"/>
      <c r="IPF26" s="3327"/>
      <c r="IPG26" s="3327"/>
      <c r="IPH26" s="3327"/>
      <c r="IPI26" s="3327"/>
      <c r="IPJ26" s="3327"/>
      <c r="IPK26" s="3327"/>
      <c r="IPL26" s="3327"/>
      <c r="IPM26" s="3327"/>
      <c r="IPN26" s="3327"/>
      <c r="IPO26" s="3327"/>
      <c r="IPP26" s="3327"/>
      <c r="IPQ26" s="3327"/>
      <c r="IPR26" s="3327"/>
      <c r="IPS26" s="3327"/>
      <c r="IPT26" s="3327"/>
      <c r="IPU26" s="3327"/>
      <c r="IPV26" s="3327"/>
      <c r="IPW26" s="3327"/>
      <c r="IPX26" s="3327"/>
      <c r="IPY26" s="3327"/>
      <c r="IPZ26" s="3327"/>
      <c r="IQA26" s="3327"/>
      <c r="IQB26" s="3327"/>
      <c r="IQC26" s="3327"/>
      <c r="IQD26" s="3327"/>
      <c r="IQE26" s="3327"/>
      <c r="IQF26" s="3327"/>
      <c r="IQG26" s="3327"/>
      <c r="IQH26" s="3327"/>
      <c r="IQI26" s="3327"/>
      <c r="IQJ26" s="3327"/>
      <c r="IQK26" s="3327"/>
      <c r="IQL26" s="3327"/>
      <c r="IQM26" s="3327"/>
      <c r="IQN26" s="3327"/>
      <c r="IQO26" s="3327"/>
      <c r="IQP26" s="3327"/>
      <c r="IQQ26" s="3327"/>
      <c r="IQR26" s="3327"/>
      <c r="IQS26" s="3327"/>
      <c r="IQT26" s="3327"/>
      <c r="IQU26" s="3327"/>
      <c r="IQV26" s="3327"/>
      <c r="IQW26" s="3327"/>
      <c r="IQX26" s="3327"/>
      <c r="IQY26" s="3327"/>
      <c r="IQZ26" s="3327"/>
      <c r="IRA26" s="3327"/>
      <c r="IRB26" s="3327"/>
      <c r="IRC26" s="3327"/>
      <c r="IRD26" s="3327"/>
      <c r="IRE26" s="3327"/>
      <c r="IRF26" s="3327"/>
      <c r="IRG26" s="3327"/>
      <c r="IRH26" s="3327"/>
      <c r="IRI26" s="3327"/>
      <c r="IRJ26" s="3327"/>
      <c r="IRK26" s="3327"/>
      <c r="IRL26" s="3327"/>
      <c r="IRM26" s="3327"/>
      <c r="IRN26" s="3327"/>
      <c r="IRO26" s="3327"/>
      <c r="IRP26" s="3327"/>
      <c r="IRQ26" s="3327"/>
      <c r="IRR26" s="3327"/>
      <c r="IRS26" s="3327"/>
      <c r="IRT26" s="3327"/>
      <c r="IRU26" s="3327"/>
      <c r="IRV26" s="3327"/>
      <c r="IRW26" s="3327"/>
      <c r="IRX26" s="3327"/>
      <c r="IRY26" s="3327"/>
      <c r="IRZ26" s="3327"/>
      <c r="ISA26" s="3327"/>
      <c r="ISB26" s="3327"/>
      <c r="ISC26" s="3327"/>
      <c r="ISD26" s="3327"/>
      <c r="ISE26" s="3327"/>
      <c r="ISF26" s="3327"/>
      <c r="ISG26" s="3327"/>
      <c r="ISH26" s="3327"/>
      <c r="ISI26" s="3327"/>
      <c r="ISJ26" s="3327"/>
      <c r="ISK26" s="3327"/>
      <c r="ISL26" s="3327"/>
      <c r="ISM26" s="3327"/>
      <c r="ISN26" s="3327"/>
      <c r="ISO26" s="3327"/>
      <c r="ISP26" s="3327"/>
      <c r="ISQ26" s="3327"/>
      <c r="ISR26" s="3327"/>
      <c r="ISS26" s="3327"/>
      <c r="IST26" s="3327"/>
      <c r="ISU26" s="3327"/>
      <c r="ISV26" s="3327"/>
      <c r="ISW26" s="3327"/>
      <c r="ISX26" s="3327"/>
      <c r="ISY26" s="3327"/>
      <c r="ISZ26" s="3327"/>
      <c r="ITA26" s="3327"/>
      <c r="ITB26" s="3327"/>
      <c r="ITC26" s="3327"/>
      <c r="ITD26" s="3327"/>
      <c r="ITE26" s="3327"/>
      <c r="ITF26" s="3327"/>
      <c r="ITG26" s="3327"/>
      <c r="ITH26" s="3327"/>
      <c r="ITI26" s="3327"/>
      <c r="ITJ26" s="3327"/>
      <c r="ITK26" s="3327"/>
      <c r="ITL26" s="3327"/>
      <c r="ITM26" s="3327"/>
      <c r="ITN26" s="3327"/>
      <c r="ITO26" s="3327"/>
      <c r="ITP26" s="3327"/>
      <c r="ITQ26" s="3327"/>
      <c r="ITR26" s="3327"/>
      <c r="ITS26" s="3327"/>
      <c r="ITT26" s="3327"/>
      <c r="ITU26" s="3327"/>
      <c r="ITV26" s="3327"/>
      <c r="ITW26" s="3327"/>
      <c r="ITX26" s="3327"/>
      <c r="ITY26" s="3327"/>
      <c r="ITZ26" s="3327"/>
      <c r="IUA26" s="3327"/>
      <c r="IUB26" s="3327"/>
      <c r="IUC26" s="3327"/>
      <c r="IUD26" s="3327"/>
      <c r="IUE26" s="3327"/>
      <c r="IUF26" s="3327"/>
      <c r="IUG26" s="3327"/>
      <c r="IUH26" s="3327"/>
      <c r="IUI26" s="3327"/>
      <c r="IUJ26" s="3327"/>
      <c r="IUK26" s="3327"/>
      <c r="IUL26" s="3327"/>
      <c r="IUM26" s="3327"/>
      <c r="IUN26" s="3327"/>
      <c r="IUO26" s="3327"/>
      <c r="IUP26" s="3327"/>
      <c r="IUQ26" s="3327"/>
      <c r="IUR26" s="3327"/>
      <c r="IUS26" s="3327"/>
      <c r="IUT26" s="3327"/>
      <c r="IUU26" s="3327"/>
      <c r="IUV26" s="3327"/>
      <c r="IUW26" s="3327"/>
      <c r="IUX26" s="3327"/>
      <c r="IUY26" s="3327"/>
      <c r="IUZ26" s="3327"/>
      <c r="IVA26" s="3327"/>
      <c r="IVB26" s="3327"/>
      <c r="IVC26" s="3327"/>
      <c r="IVD26" s="3327"/>
      <c r="IVE26" s="3327"/>
      <c r="IVF26" s="3327"/>
      <c r="IVG26" s="3327"/>
      <c r="IVH26" s="3327"/>
      <c r="IVI26" s="3327"/>
      <c r="IVJ26" s="3327"/>
      <c r="IVK26" s="3327"/>
      <c r="IVL26" s="3327"/>
      <c r="IVM26" s="3327"/>
      <c r="IVN26" s="3327"/>
      <c r="IVO26" s="3327"/>
      <c r="IVP26" s="3327"/>
      <c r="IVQ26" s="3327"/>
      <c r="IVR26" s="3327"/>
      <c r="IVS26" s="3327"/>
      <c r="IVT26" s="3327"/>
      <c r="IVU26" s="3327"/>
      <c r="IVV26" s="3327"/>
      <c r="IVW26" s="3327"/>
      <c r="IVX26" s="3327"/>
      <c r="IVY26" s="3327"/>
      <c r="IVZ26" s="3327"/>
      <c r="IWA26" s="3327"/>
      <c r="IWB26" s="3327"/>
      <c r="IWC26" s="3327"/>
      <c r="IWD26" s="3327"/>
      <c r="IWE26" s="3327"/>
      <c r="IWF26" s="3327"/>
      <c r="IWG26" s="3327"/>
      <c r="IWH26" s="3327"/>
      <c r="IWI26" s="3327"/>
      <c r="IWJ26" s="3327"/>
      <c r="IWK26" s="3327"/>
      <c r="IWL26" s="3327"/>
      <c r="IWM26" s="3327"/>
      <c r="IWN26" s="3327"/>
      <c r="IWO26" s="3327"/>
      <c r="IWP26" s="3327"/>
      <c r="IWQ26" s="3327"/>
      <c r="IWR26" s="3327"/>
      <c r="IWS26" s="3327"/>
      <c r="IWT26" s="3327"/>
      <c r="IWU26" s="3327"/>
      <c r="IWV26" s="3327"/>
      <c r="IWW26" s="3327"/>
      <c r="IWX26" s="3327"/>
      <c r="IWY26" s="3327"/>
      <c r="IWZ26" s="3327"/>
      <c r="IXA26" s="3327"/>
      <c r="IXB26" s="3327"/>
      <c r="IXC26" s="3327"/>
      <c r="IXD26" s="3327"/>
      <c r="IXE26" s="3327"/>
      <c r="IXF26" s="3327"/>
      <c r="IXG26" s="3327"/>
      <c r="IXH26" s="3327"/>
      <c r="IXI26" s="3327"/>
      <c r="IXJ26" s="3327"/>
      <c r="IXK26" s="3327"/>
      <c r="IXL26" s="3327"/>
      <c r="IXM26" s="3327"/>
      <c r="IXN26" s="3327"/>
      <c r="IXO26" s="3327"/>
      <c r="IXP26" s="3327"/>
      <c r="IXQ26" s="3327"/>
      <c r="IXR26" s="3327"/>
      <c r="IXS26" s="3327"/>
      <c r="IXT26" s="3327"/>
      <c r="IXU26" s="3327"/>
      <c r="IXV26" s="3327"/>
      <c r="IXW26" s="3327"/>
      <c r="IXX26" s="3327"/>
      <c r="IXY26" s="3327"/>
      <c r="IXZ26" s="3327"/>
      <c r="IYA26" s="3327"/>
      <c r="IYB26" s="3327"/>
      <c r="IYC26" s="3327"/>
      <c r="IYD26" s="3327"/>
      <c r="IYE26" s="3327"/>
      <c r="IYF26" s="3327"/>
      <c r="IYG26" s="3327"/>
      <c r="IYH26" s="3327"/>
      <c r="IYI26" s="3327"/>
      <c r="IYJ26" s="3327"/>
      <c r="IYK26" s="3327"/>
      <c r="IYL26" s="3327"/>
      <c r="IYM26" s="3327"/>
      <c r="IYN26" s="3327"/>
      <c r="IYO26" s="3327"/>
      <c r="IYP26" s="3327"/>
      <c r="IYQ26" s="3327"/>
      <c r="IYR26" s="3327"/>
      <c r="IYS26" s="3327"/>
      <c r="IYT26" s="3327"/>
      <c r="IYU26" s="3327"/>
      <c r="IYV26" s="3327"/>
      <c r="IYW26" s="3327"/>
      <c r="IYX26" s="3327"/>
      <c r="IYY26" s="3327"/>
      <c r="IYZ26" s="3327"/>
      <c r="IZA26" s="3327"/>
      <c r="IZB26" s="3327"/>
      <c r="IZC26" s="3327"/>
      <c r="IZD26" s="3327"/>
      <c r="IZE26" s="3327"/>
      <c r="IZF26" s="3327"/>
      <c r="IZG26" s="3327"/>
      <c r="IZH26" s="3327"/>
      <c r="IZI26" s="3327"/>
      <c r="IZJ26" s="3327"/>
      <c r="IZK26" s="3327"/>
      <c r="IZL26" s="3327"/>
      <c r="IZM26" s="3327"/>
      <c r="IZN26" s="3327"/>
      <c r="IZO26" s="3327"/>
      <c r="IZP26" s="3327"/>
      <c r="IZQ26" s="3327"/>
      <c r="IZR26" s="3327"/>
      <c r="IZS26" s="3327"/>
      <c r="IZT26" s="3327"/>
      <c r="IZU26" s="3327"/>
      <c r="IZV26" s="3327"/>
      <c r="IZW26" s="3327"/>
      <c r="IZX26" s="3327"/>
      <c r="IZY26" s="3327"/>
      <c r="IZZ26" s="3327"/>
      <c r="JAA26" s="3327"/>
      <c r="JAB26" s="3327"/>
      <c r="JAC26" s="3327"/>
      <c r="JAD26" s="3327"/>
      <c r="JAE26" s="3327"/>
      <c r="JAF26" s="3327"/>
      <c r="JAG26" s="3327"/>
      <c r="JAH26" s="3327"/>
      <c r="JAI26" s="3327"/>
      <c r="JAJ26" s="3327"/>
      <c r="JAK26" s="3327"/>
      <c r="JAL26" s="3327"/>
      <c r="JAM26" s="3327"/>
      <c r="JAN26" s="3327"/>
      <c r="JAO26" s="3327"/>
      <c r="JAP26" s="3327"/>
      <c r="JAQ26" s="3327"/>
      <c r="JAR26" s="3327"/>
      <c r="JAS26" s="3327"/>
      <c r="JAT26" s="3327"/>
      <c r="JAU26" s="3327"/>
      <c r="JAV26" s="3327"/>
      <c r="JAW26" s="3327"/>
      <c r="JAX26" s="3327"/>
      <c r="JAY26" s="3327"/>
      <c r="JAZ26" s="3327"/>
      <c r="JBA26" s="3327"/>
      <c r="JBB26" s="3327"/>
      <c r="JBC26" s="3327"/>
      <c r="JBD26" s="3327"/>
      <c r="JBE26" s="3327"/>
      <c r="JBF26" s="3327"/>
      <c r="JBG26" s="3327"/>
      <c r="JBH26" s="3327"/>
      <c r="JBI26" s="3327"/>
      <c r="JBJ26" s="3327"/>
      <c r="JBK26" s="3327"/>
      <c r="JBL26" s="3327"/>
      <c r="JBM26" s="3327"/>
      <c r="JBN26" s="3327"/>
      <c r="JBO26" s="3327"/>
      <c r="JBP26" s="3327"/>
      <c r="JBQ26" s="3327"/>
      <c r="JBR26" s="3327"/>
      <c r="JBS26" s="3327"/>
      <c r="JBT26" s="3327"/>
      <c r="JBU26" s="3327"/>
      <c r="JBV26" s="3327"/>
      <c r="JBW26" s="3327"/>
      <c r="JBX26" s="3327"/>
      <c r="JBY26" s="3327"/>
      <c r="JBZ26" s="3327"/>
      <c r="JCA26" s="3327"/>
      <c r="JCB26" s="3327"/>
      <c r="JCC26" s="3327"/>
      <c r="JCD26" s="3327"/>
      <c r="JCE26" s="3327"/>
      <c r="JCF26" s="3327"/>
      <c r="JCG26" s="3327"/>
      <c r="JCH26" s="3327"/>
      <c r="JCI26" s="3327"/>
      <c r="JCJ26" s="3327"/>
      <c r="JCK26" s="3327"/>
      <c r="JCL26" s="3327"/>
      <c r="JCM26" s="3327"/>
      <c r="JCN26" s="3327"/>
      <c r="JCO26" s="3327"/>
      <c r="JCP26" s="3327"/>
      <c r="JCQ26" s="3327"/>
      <c r="JCR26" s="3327"/>
      <c r="JCS26" s="3327"/>
      <c r="JCT26" s="3327"/>
      <c r="JCU26" s="3327"/>
      <c r="JCV26" s="3327"/>
      <c r="JCW26" s="3327"/>
      <c r="JCX26" s="3327"/>
      <c r="JCY26" s="3327"/>
      <c r="JCZ26" s="3327"/>
      <c r="JDA26" s="3327"/>
      <c r="JDB26" s="3327"/>
      <c r="JDC26" s="3327"/>
      <c r="JDD26" s="3327"/>
      <c r="JDE26" s="3327"/>
      <c r="JDF26" s="3327"/>
      <c r="JDG26" s="3327"/>
      <c r="JDH26" s="3327"/>
      <c r="JDI26" s="3327"/>
      <c r="JDJ26" s="3327"/>
      <c r="JDK26" s="3327"/>
      <c r="JDL26" s="3327"/>
      <c r="JDM26" s="3327"/>
      <c r="JDN26" s="3327"/>
      <c r="JDO26" s="3327"/>
      <c r="JDP26" s="3327"/>
      <c r="JDQ26" s="3327"/>
      <c r="JDR26" s="3327"/>
      <c r="JDS26" s="3327"/>
      <c r="JDT26" s="3327"/>
      <c r="JDU26" s="3327"/>
      <c r="JDV26" s="3327"/>
      <c r="JDW26" s="3327"/>
      <c r="JDX26" s="3327"/>
      <c r="JDY26" s="3327"/>
      <c r="JDZ26" s="3327"/>
      <c r="JEA26" s="3327"/>
      <c r="JEB26" s="3327"/>
      <c r="JEC26" s="3327"/>
      <c r="JED26" s="3327"/>
      <c r="JEE26" s="3327"/>
      <c r="JEF26" s="3327"/>
      <c r="JEG26" s="3327"/>
      <c r="JEH26" s="3327"/>
      <c r="JEI26" s="3327"/>
      <c r="JEJ26" s="3327"/>
      <c r="JEK26" s="3327"/>
      <c r="JEL26" s="3327"/>
      <c r="JEM26" s="3327"/>
      <c r="JEN26" s="3327"/>
      <c r="JEO26" s="3327"/>
      <c r="JEP26" s="3327"/>
      <c r="JEQ26" s="3327"/>
      <c r="JER26" s="3327"/>
      <c r="JES26" s="3327"/>
      <c r="JET26" s="3327"/>
      <c r="JEU26" s="3327"/>
      <c r="JEV26" s="3327"/>
      <c r="JEW26" s="3327"/>
      <c r="JEX26" s="3327"/>
      <c r="JEY26" s="3327"/>
      <c r="JEZ26" s="3327"/>
      <c r="JFA26" s="3327"/>
      <c r="JFB26" s="3327"/>
      <c r="JFC26" s="3327"/>
      <c r="JFD26" s="3327"/>
      <c r="JFE26" s="3327"/>
      <c r="JFF26" s="3327"/>
      <c r="JFG26" s="3327"/>
      <c r="JFH26" s="3327"/>
      <c r="JFI26" s="3327"/>
      <c r="JFJ26" s="3327"/>
      <c r="JFK26" s="3327"/>
      <c r="JFL26" s="3327"/>
      <c r="JFM26" s="3327"/>
      <c r="JFN26" s="3327"/>
      <c r="JFO26" s="3327"/>
      <c r="JFP26" s="3327"/>
      <c r="JFQ26" s="3327"/>
      <c r="JFR26" s="3327"/>
      <c r="JFS26" s="3327"/>
      <c r="JFT26" s="3327"/>
      <c r="JFU26" s="3327"/>
      <c r="JFV26" s="3327"/>
      <c r="JFW26" s="3327"/>
      <c r="JFX26" s="3327"/>
      <c r="JFY26" s="3327"/>
      <c r="JFZ26" s="3327"/>
      <c r="JGA26" s="3327"/>
      <c r="JGB26" s="3327"/>
      <c r="JGC26" s="3327"/>
      <c r="JGD26" s="3327"/>
      <c r="JGE26" s="3327"/>
      <c r="JGF26" s="3327"/>
      <c r="JGG26" s="3327"/>
      <c r="JGH26" s="3327"/>
      <c r="JGI26" s="3327"/>
      <c r="JGJ26" s="3327"/>
      <c r="JGK26" s="3327"/>
      <c r="JGL26" s="3327"/>
      <c r="JGM26" s="3327"/>
      <c r="JGN26" s="3327"/>
      <c r="JGO26" s="3327"/>
      <c r="JGP26" s="3327"/>
      <c r="JGQ26" s="3327"/>
      <c r="JGR26" s="3327"/>
      <c r="JGS26" s="3327"/>
      <c r="JGT26" s="3327"/>
      <c r="JGU26" s="3327"/>
      <c r="JGV26" s="3327"/>
      <c r="JGW26" s="3327"/>
      <c r="JGX26" s="3327"/>
      <c r="JGY26" s="3327"/>
      <c r="JGZ26" s="3327"/>
      <c r="JHA26" s="3327"/>
      <c r="JHB26" s="3327"/>
      <c r="JHC26" s="3327"/>
      <c r="JHD26" s="3327"/>
      <c r="JHE26" s="3327"/>
      <c r="JHF26" s="3327"/>
      <c r="JHG26" s="3327"/>
      <c r="JHH26" s="3327"/>
      <c r="JHI26" s="3327"/>
      <c r="JHJ26" s="3327"/>
      <c r="JHK26" s="3327"/>
      <c r="JHL26" s="3327"/>
      <c r="JHM26" s="3327"/>
      <c r="JHN26" s="3327"/>
      <c r="JHO26" s="3327"/>
      <c r="JHP26" s="3327"/>
      <c r="JHQ26" s="3327"/>
      <c r="JHR26" s="3327"/>
      <c r="JHS26" s="3327"/>
      <c r="JHT26" s="3327"/>
      <c r="JHU26" s="3327"/>
      <c r="JHV26" s="3327"/>
      <c r="JHW26" s="3327"/>
      <c r="JHX26" s="3327"/>
      <c r="JHY26" s="3327"/>
      <c r="JHZ26" s="3327"/>
      <c r="JIA26" s="3327"/>
      <c r="JIB26" s="3327"/>
      <c r="JIC26" s="3327"/>
      <c r="JID26" s="3327"/>
      <c r="JIE26" s="3327"/>
      <c r="JIF26" s="3327"/>
      <c r="JIG26" s="3327"/>
      <c r="JIH26" s="3327"/>
      <c r="JII26" s="3327"/>
      <c r="JIJ26" s="3327"/>
      <c r="JIK26" s="3327"/>
      <c r="JIL26" s="3327"/>
      <c r="JIM26" s="3327"/>
      <c r="JIN26" s="3327"/>
      <c r="JIO26" s="3327"/>
      <c r="JIP26" s="3327"/>
      <c r="JIQ26" s="3327"/>
      <c r="JIR26" s="3327"/>
      <c r="JIS26" s="3327"/>
      <c r="JIT26" s="3327"/>
      <c r="JIU26" s="3327"/>
      <c r="JIV26" s="3327"/>
      <c r="JIW26" s="3327"/>
      <c r="JIX26" s="3327"/>
      <c r="JIY26" s="3327"/>
      <c r="JIZ26" s="3327"/>
      <c r="JJA26" s="3327"/>
      <c r="JJB26" s="3327"/>
      <c r="JJC26" s="3327"/>
      <c r="JJD26" s="3327"/>
      <c r="JJE26" s="3327"/>
      <c r="JJF26" s="3327"/>
      <c r="JJG26" s="3327"/>
      <c r="JJH26" s="3327"/>
      <c r="JJI26" s="3327"/>
      <c r="JJJ26" s="3327"/>
      <c r="JJK26" s="3327"/>
      <c r="JJL26" s="3327"/>
      <c r="JJM26" s="3327"/>
      <c r="JJN26" s="3327"/>
      <c r="JJO26" s="3327"/>
      <c r="JJP26" s="3327"/>
      <c r="JJQ26" s="3327"/>
      <c r="JJR26" s="3327"/>
      <c r="JJS26" s="3327"/>
      <c r="JJT26" s="3327"/>
      <c r="JJU26" s="3327"/>
      <c r="JJV26" s="3327"/>
      <c r="JJW26" s="3327"/>
      <c r="JJX26" s="3327"/>
      <c r="JJY26" s="3327"/>
      <c r="JJZ26" s="3327"/>
      <c r="JKA26" s="3327"/>
      <c r="JKB26" s="3327"/>
      <c r="JKC26" s="3327"/>
      <c r="JKD26" s="3327"/>
      <c r="JKE26" s="3327"/>
      <c r="JKF26" s="3327"/>
      <c r="JKG26" s="3327"/>
      <c r="JKH26" s="3327"/>
      <c r="JKI26" s="3327"/>
      <c r="JKJ26" s="3327"/>
      <c r="JKK26" s="3327"/>
      <c r="JKL26" s="3327"/>
      <c r="JKM26" s="3327"/>
      <c r="JKN26" s="3327"/>
      <c r="JKO26" s="3327"/>
      <c r="JKP26" s="3327"/>
      <c r="JKQ26" s="3327"/>
      <c r="JKR26" s="3327"/>
      <c r="JKS26" s="3327"/>
      <c r="JKT26" s="3327"/>
      <c r="JKU26" s="3327"/>
      <c r="JKV26" s="3327"/>
      <c r="JKW26" s="3327"/>
      <c r="JKX26" s="3327"/>
      <c r="JKY26" s="3327"/>
      <c r="JKZ26" s="3327"/>
      <c r="JLA26" s="3327"/>
      <c r="JLB26" s="3327"/>
      <c r="JLC26" s="3327"/>
      <c r="JLD26" s="3327"/>
      <c r="JLE26" s="3327"/>
      <c r="JLF26" s="3327"/>
      <c r="JLG26" s="3327"/>
      <c r="JLH26" s="3327"/>
      <c r="JLI26" s="3327"/>
      <c r="JLJ26" s="3327"/>
      <c r="JLK26" s="3327"/>
      <c r="JLL26" s="3327"/>
      <c r="JLM26" s="3327"/>
      <c r="JLN26" s="3327"/>
      <c r="JLO26" s="3327"/>
      <c r="JLP26" s="3327"/>
      <c r="JLQ26" s="3327"/>
      <c r="JLR26" s="3327"/>
      <c r="JLS26" s="3327"/>
      <c r="JLT26" s="3327"/>
      <c r="JLU26" s="3327"/>
      <c r="JLV26" s="3327"/>
      <c r="JLW26" s="3327"/>
      <c r="JLX26" s="3327"/>
      <c r="JLY26" s="3327"/>
      <c r="JLZ26" s="3327"/>
      <c r="JMA26" s="3327"/>
      <c r="JMB26" s="3327"/>
      <c r="JMC26" s="3327"/>
      <c r="JMD26" s="3327"/>
      <c r="JME26" s="3327"/>
      <c r="JMF26" s="3327"/>
      <c r="JMG26" s="3327"/>
      <c r="JMH26" s="3327"/>
      <c r="JMI26" s="3327"/>
      <c r="JMJ26" s="3327"/>
      <c r="JMK26" s="3327"/>
      <c r="JML26" s="3327"/>
      <c r="JMM26" s="3327"/>
      <c r="JMN26" s="3327"/>
      <c r="JMO26" s="3327"/>
      <c r="JMP26" s="3327"/>
      <c r="JMQ26" s="3327"/>
      <c r="JMR26" s="3327"/>
      <c r="JMS26" s="3327"/>
      <c r="JMT26" s="3327"/>
      <c r="JMU26" s="3327"/>
      <c r="JMV26" s="3327"/>
      <c r="JMW26" s="3327"/>
      <c r="JMX26" s="3327"/>
      <c r="JMY26" s="3327"/>
      <c r="JMZ26" s="3327"/>
      <c r="JNA26" s="3327"/>
      <c r="JNB26" s="3327"/>
      <c r="JNC26" s="3327"/>
      <c r="JND26" s="3327"/>
      <c r="JNE26" s="3327"/>
      <c r="JNF26" s="3327"/>
      <c r="JNG26" s="3327"/>
      <c r="JNH26" s="3327"/>
      <c r="JNI26" s="3327"/>
      <c r="JNJ26" s="3327"/>
      <c r="JNK26" s="3327"/>
      <c r="JNL26" s="3327"/>
      <c r="JNM26" s="3327"/>
      <c r="JNN26" s="3327"/>
      <c r="JNO26" s="3327"/>
      <c r="JNP26" s="3327"/>
      <c r="JNQ26" s="3327"/>
      <c r="JNR26" s="3327"/>
      <c r="JNS26" s="3327"/>
      <c r="JNT26" s="3327"/>
      <c r="JNU26" s="3327"/>
      <c r="JNV26" s="3327"/>
      <c r="JNW26" s="3327"/>
      <c r="JNX26" s="3327"/>
      <c r="JNY26" s="3327"/>
      <c r="JNZ26" s="3327"/>
      <c r="JOA26" s="3327"/>
      <c r="JOB26" s="3327"/>
      <c r="JOC26" s="3327"/>
      <c r="JOD26" s="3327"/>
      <c r="JOE26" s="3327"/>
      <c r="JOF26" s="3327"/>
      <c r="JOG26" s="3327"/>
      <c r="JOH26" s="3327"/>
      <c r="JOI26" s="3327"/>
      <c r="JOJ26" s="3327"/>
      <c r="JOK26" s="3327"/>
      <c r="JOL26" s="3327"/>
      <c r="JOM26" s="3327"/>
      <c r="JON26" s="3327"/>
      <c r="JOO26" s="3327"/>
      <c r="JOP26" s="3327"/>
      <c r="JOQ26" s="3327"/>
      <c r="JOR26" s="3327"/>
      <c r="JOS26" s="3327"/>
      <c r="JOT26" s="3327"/>
      <c r="JOU26" s="3327"/>
      <c r="JOV26" s="3327"/>
      <c r="JOW26" s="3327"/>
      <c r="JOX26" s="3327"/>
      <c r="JOY26" s="3327"/>
      <c r="JOZ26" s="3327"/>
      <c r="JPA26" s="3327"/>
      <c r="JPB26" s="3327"/>
      <c r="JPC26" s="3327"/>
      <c r="JPD26" s="3327"/>
      <c r="JPE26" s="3327"/>
      <c r="JPF26" s="3327"/>
      <c r="JPG26" s="3327"/>
      <c r="JPH26" s="3327"/>
      <c r="JPI26" s="3327"/>
      <c r="JPJ26" s="3327"/>
      <c r="JPK26" s="3327"/>
      <c r="JPL26" s="3327"/>
      <c r="JPM26" s="3327"/>
      <c r="JPN26" s="3327"/>
      <c r="JPO26" s="3327"/>
      <c r="JPP26" s="3327"/>
      <c r="JPQ26" s="3327"/>
      <c r="JPR26" s="3327"/>
      <c r="JPS26" s="3327"/>
      <c r="JPT26" s="3327"/>
      <c r="JPU26" s="3327"/>
      <c r="JPV26" s="3327"/>
      <c r="JPW26" s="3327"/>
      <c r="JPX26" s="3327"/>
      <c r="JPY26" s="3327"/>
      <c r="JPZ26" s="3327"/>
      <c r="JQA26" s="3327"/>
      <c r="JQB26" s="3327"/>
      <c r="JQC26" s="3327"/>
      <c r="JQD26" s="3327"/>
      <c r="JQE26" s="3327"/>
      <c r="JQF26" s="3327"/>
      <c r="JQG26" s="3327"/>
      <c r="JQH26" s="3327"/>
      <c r="JQI26" s="3327"/>
      <c r="JQJ26" s="3327"/>
      <c r="JQK26" s="3327"/>
      <c r="JQL26" s="3327"/>
      <c r="JQM26" s="3327"/>
      <c r="JQN26" s="3327"/>
      <c r="JQO26" s="3327"/>
      <c r="JQP26" s="3327"/>
      <c r="JQQ26" s="3327"/>
      <c r="JQR26" s="3327"/>
      <c r="JQS26" s="3327"/>
      <c r="JQT26" s="3327"/>
      <c r="JQU26" s="3327"/>
      <c r="JQV26" s="3327"/>
      <c r="JQW26" s="3327"/>
      <c r="JQX26" s="3327"/>
      <c r="JQY26" s="3327"/>
      <c r="JQZ26" s="3327"/>
      <c r="JRA26" s="3327"/>
      <c r="JRB26" s="3327"/>
      <c r="JRC26" s="3327"/>
      <c r="JRD26" s="3327"/>
      <c r="JRE26" s="3327"/>
      <c r="JRF26" s="3327"/>
      <c r="JRG26" s="3327"/>
      <c r="JRH26" s="3327"/>
      <c r="JRI26" s="3327"/>
      <c r="JRJ26" s="3327"/>
      <c r="JRK26" s="3327"/>
      <c r="JRL26" s="3327"/>
      <c r="JRM26" s="3327"/>
      <c r="JRN26" s="3327"/>
      <c r="JRO26" s="3327"/>
      <c r="JRP26" s="3327"/>
      <c r="JRQ26" s="3327"/>
      <c r="JRR26" s="3327"/>
      <c r="JRS26" s="3327"/>
      <c r="JRT26" s="3327"/>
      <c r="JRU26" s="3327"/>
      <c r="JRV26" s="3327"/>
      <c r="JRW26" s="3327"/>
      <c r="JRX26" s="3327"/>
      <c r="JRY26" s="3327"/>
      <c r="JRZ26" s="3327"/>
      <c r="JSA26" s="3327"/>
      <c r="JSB26" s="3327"/>
      <c r="JSC26" s="3327"/>
      <c r="JSD26" s="3327"/>
      <c r="JSE26" s="3327"/>
      <c r="JSF26" s="3327"/>
      <c r="JSG26" s="3327"/>
      <c r="JSH26" s="3327"/>
      <c r="JSI26" s="3327"/>
      <c r="JSJ26" s="3327"/>
      <c r="JSK26" s="3327"/>
      <c r="JSL26" s="3327"/>
      <c r="JSM26" s="3327"/>
      <c r="JSN26" s="3327"/>
      <c r="JSO26" s="3327"/>
      <c r="JSP26" s="3327"/>
      <c r="JSQ26" s="3327"/>
      <c r="JSR26" s="3327"/>
      <c r="JSS26" s="3327"/>
      <c r="JST26" s="3327"/>
      <c r="JSU26" s="3327"/>
      <c r="JSV26" s="3327"/>
      <c r="JSW26" s="3327"/>
      <c r="JSX26" s="3327"/>
      <c r="JSY26" s="3327"/>
      <c r="JSZ26" s="3327"/>
      <c r="JTA26" s="3327"/>
      <c r="JTB26" s="3327"/>
      <c r="JTC26" s="3327"/>
      <c r="JTD26" s="3327"/>
      <c r="JTE26" s="3327"/>
      <c r="JTF26" s="3327"/>
      <c r="JTG26" s="3327"/>
      <c r="JTH26" s="3327"/>
      <c r="JTI26" s="3327"/>
      <c r="JTJ26" s="3327"/>
      <c r="JTK26" s="3327"/>
      <c r="JTL26" s="3327"/>
      <c r="JTM26" s="3327"/>
      <c r="JTN26" s="3327"/>
      <c r="JTO26" s="3327"/>
      <c r="JTP26" s="3327"/>
      <c r="JTQ26" s="3327"/>
      <c r="JTR26" s="3327"/>
      <c r="JTS26" s="3327"/>
      <c r="JTT26" s="3327"/>
      <c r="JTU26" s="3327"/>
      <c r="JTV26" s="3327"/>
      <c r="JTW26" s="3327"/>
      <c r="JTX26" s="3327"/>
      <c r="JTY26" s="3327"/>
      <c r="JTZ26" s="3327"/>
      <c r="JUA26" s="3327"/>
      <c r="JUB26" s="3327"/>
      <c r="JUC26" s="3327"/>
      <c r="JUD26" s="3327"/>
      <c r="JUE26" s="3327"/>
      <c r="JUF26" s="3327"/>
      <c r="JUG26" s="3327"/>
      <c r="JUH26" s="3327"/>
      <c r="JUI26" s="3327"/>
      <c r="JUJ26" s="3327"/>
      <c r="JUK26" s="3327"/>
      <c r="JUL26" s="3327"/>
      <c r="JUM26" s="3327"/>
      <c r="JUN26" s="3327"/>
      <c r="JUO26" s="3327"/>
      <c r="JUP26" s="3327"/>
      <c r="JUQ26" s="3327"/>
      <c r="JUR26" s="3327"/>
      <c r="JUS26" s="3327"/>
      <c r="JUT26" s="3327"/>
      <c r="JUU26" s="3327"/>
      <c r="JUV26" s="3327"/>
      <c r="JUW26" s="3327"/>
      <c r="JUX26" s="3327"/>
      <c r="JUY26" s="3327"/>
      <c r="JUZ26" s="3327"/>
      <c r="JVA26" s="3327"/>
      <c r="JVB26" s="3327"/>
      <c r="JVC26" s="3327"/>
      <c r="JVD26" s="3327"/>
      <c r="JVE26" s="3327"/>
      <c r="JVF26" s="3327"/>
      <c r="JVG26" s="3327"/>
      <c r="JVH26" s="3327"/>
      <c r="JVI26" s="3327"/>
      <c r="JVJ26" s="3327"/>
      <c r="JVK26" s="3327"/>
      <c r="JVL26" s="3327"/>
      <c r="JVM26" s="3327"/>
      <c r="JVN26" s="3327"/>
      <c r="JVO26" s="3327"/>
      <c r="JVP26" s="3327"/>
      <c r="JVQ26" s="3327"/>
      <c r="JVR26" s="3327"/>
      <c r="JVS26" s="3327"/>
      <c r="JVT26" s="3327"/>
      <c r="JVU26" s="3327"/>
      <c r="JVV26" s="3327"/>
      <c r="JVW26" s="3327"/>
      <c r="JVX26" s="3327"/>
      <c r="JVY26" s="3327"/>
      <c r="JVZ26" s="3327"/>
      <c r="JWA26" s="3327"/>
      <c r="JWB26" s="3327"/>
      <c r="JWC26" s="3327"/>
      <c r="JWD26" s="3327"/>
      <c r="JWE26" s="3327"/>
      <c r="JWF26" s="3327"/>
      <c r="JWG26" s="3327"/>
      <c r="JWH26" s="3327"/>
      <c r="JWI26" s="3327"/>
      <c r="JWJ26" s="3327"/>
      <c r="JWK26" s="3327"/>
      <c r="JWL26" s="3327"/>
      <c r="JWM26" s="3327"/>
      <c r="JWN26" s="3327"/>
      <c r="JWO26" s="3327"/>
      <c r="JWP26" s="3327"/>
      <c r="JWQ26" s="3327"/>
      <c r="JWR26" s="3327"/>
      <c r="JWS26" s="3327"/>
      <c r="JWT26" s="3327"/>
      <c r="JWU26" s="3327"/>
      <c r="JWV26" s="3327"/>
      <c r="JWW26" s="3327"/>
      <c r="JWX26" s="3327"/>
      <c r="JWY26" s="3327"/>
      <c r="JWZ26" s="3327"/>
      <c r="JXA26" s="3327"/>
      <c r="JXB26" s="3327"/>
      <c r="JXC26" s="3327"/>
      <c r="JXD26" s="3327"/>
      <c r="JXE26" s="3327"/>
      <c r="JXF26" s="3327"/>
      <c r="JXG26" s="3327"/>
      <c r="JXH26" s="3327"/>
      <c r="JXI26" s="3327"/>
      <c r="JXJ26" s="3327"/>
      <c r="JXK26" s="3327"/>
      <c r="JXL26" s="3327"/>
      <c r="JXM26" s="3327"/>
      <c r="JXN26" s="3327"/>
      <c r="JXO26" s="3327"/>
      <c r="JXP26" s="3327"/>
      <c r="JXQ26" s="3327"/>
      <c r="JXR26" s="3327"/>
      <c r="JXS26" s="3327"/>
      <c r="JXT26" s="3327"/>
      <c r="JXU26" s="3327"/>
      <c r="JXV26" s="3327"/>
      <c r="JXW26" s="3327"/>
      <c r="JXX26" s="3327"/>
      <c r="JXY26" s="3327"/>
      <c r="JXZ26" s="3327"/>
      <c r="JYA26" s="3327"/>
      <c r="JYB26" s="3327"/>
      <c r="JYC26" s="3327"/>
      <c r="JYD26" s="3327"/>
      <c r="JYE26" s="3327"/>
      <c r="JYF26" s="3327"/>
      <c r="JYG26" s="3327"/>
      <c r="JYH26" s="3327"/>
      <c r="JYI26" s="3327"/>
      <c r="JYJ26" s="3327"/>
      <c r="JYK26" s="3327"/>
      <c r="JYL26" s="3327"/>
      <c r="JYM26" s="3327"/>
      <c r="JYN26" s="3327"/>
      <c r="JYO26" s="3327"/>
      <c r="JYP26" s="3327"/>
      <c r="JYQ26" s="3327"/>
      <c r="JYR26" s="3327"/>
      <c r="JYS26" s="3327"/>
      <c r="JYT26" s="3327"/>
      <c r="JYU26" s="3327"/>
      <c r="JYV26" s="3327"/>
      <c r="JYW26" s="3327"/>
      <c r="JYX26" s="3327"/>
      <c r="JYY26" s="3327"/>
      <c r="JYZ26" s="3327"/>
      <c r="JZA26" s="3327"/>
      <c r="JZB26" s="3327"/>
      <c r="JZC26" s="3327"/>
      <c r="JZD26" s="3327"/>
      <c r="JZE26" s="3327"/>
      <c r="JZF26" s="3327"/>
      <c r="JZG26" s="3327"/>
      <c r="JZH26" s="3327"/>
      <c r="JZI26" s="3327"/>
      <c r="JZJ26" s="3327"/>
      <c r="JZK26" s="3327"/>
      <c r="JZL26" s="3327"/>
      <c r="JZM26" s="3327"/>
      <c r="JZN26" s="3327"/>
      <c r="JZO26" s="3327"/>
      <c r="JZP26" s="3327"/>
      <c r="JZQ26" s="3327"/>
      <c r="JZR26" s="3327"/>
      <c r="JZS26" s="3327"/>
      <c r="JZT26" s="3327"/>
      <c r="JZU26" s="3327"/>
      <c r="JZV26" s="3327"/>
      <c r="JZW26" s="3327"/>
      <c r="JZX26" s="3327"/>
      <c r="JZY26" s="3327"/>
      <c r="JZZ26" s="3327"/>
      <c r="KAA26" s="3327"/>
      <c r="KAB26" s="3327"/>
      <c r="KAC26" s="3327"/>
      <c r="KAD26" s="3327"/>
      <c r="KAE26" s="3327"/>
      <c r="KAF26" s="3327"/>
      <c r="KAG26" s="3327"/>
      <c r="KAH26" s="3327"/>
      <c r="KAI26" s="3327"/>
      <c r="KAJ26" s="3327"/>
      <c r="KAK26" s="3327"/>
      <c r="KAL26" s="3327"/>
      <c r="KAM26" s="3327"/>
      <c r="KAN26" s="3327"/>
      <c r="KAO26" s="3327"/>
      <c r="KAP26" s="3327"/>
      <c r="KAQ26" s="3327"/>
      <c r="KAR26" s="3327"/>
      <c r="KAS26" s="3327"/>
      <c r="KAT26" s="3327"/>
      <c r="KAU26" s="3327"/>
      <c r="KAV26" s="3327"/>
      <c r="KAW26" s="3327"/>
      <c r="KAX26" s="3327"/>
      <c r="KAY26" s="3327"/>
      <c r="KAZ26" s="3327"/>
      <c r="KBA26" s="3327"/>
      <c r="KBB26" s="3327"/>
      <c r="KBC26" s="3327"/>
      <c r="KBD26" s="3327"/>
      <c r="KBE26" s="3327"/>
      <c r="KBF26" s="3327"/>
      <c r="KBG26" s="3327"/>
      <c r="KBH26" s="3327"/>
      <c r="KBI26" s="3327"/>
      <c r="KBJ26" s="3327"/>
      <c r="KBK26" s="3327"/>
      <c r="KBL26" s="3327"/>
      <c r="KBM26" s="3327"/>
      <c r="KBN26" s="3327"/>
      <c r="KBO26" s="3327"/>
      <c r="KBP26" s="3327"/>
      <c r="KBQ26" s="3327"/>
      <c r="KBR26" s="3327"/>
      <c r="KBS26" s="3327"/>
      <c r="KBT26" s="3327"/>
      <c r="KBU26" s="3327"/>
      <c r="KBV26" s="3327"/>
      <c r="KBW26" s="3327"/>
      <c r="KBX26" s="3327"/>
      <c r="KBY26" s="3327"/>
      <c r="KBZ26" s="3327"/>
      <c r="KCA26" s="3327"/>
      <c r="KCB26" s="3327"/>
      <c r="KCC26" s="3327"/>
      <c r="KCD26" s="3327"/>
      <c r="KCE26" s="3327"/>
      <c r="KCF26" s="3327"/>
      <c r="KCG26" s="3327"/>
      <c r="KCH26" s="3327"/>
      <c r="KCI26" s="3327"/>
      <c r="KCJ26" s="3327"/>
      <c r="KCK26" s="3327"/>
      <c r="KCL26" s="3327"/>
      <c r="KCM26" s="3327"/>
      <c r="KCN26" s="3327"/>
      <c r="KCO26" s="3327"/>
      <c r="KCP26" s="3327"/>
      <c r="KCQ26" s="3327"/>
      <c r="KCR26" s="3327"/>
      <c r="KCS26" s="3327"/>
      <c r="KCT26" s="3327"/>
      <c r="KCU26" s="3327"/>
      <c r="KCV26" s="3327"/>
      <c r="KCW26" s="3327"/>
      <c r="KCX26" s="3327"/>
      <c r="KCY26" s="3327"/>
      <c r="KCZ26" s="3327"/>
      <c r="KDA26" s="3327"/>
      <c r="KDB26" s="3327"/>
      <c r="KDC26" s="3327"/>
      <c r="KDD26" s="3327"/>
      <c r="KDE26" s="3327"/>
      <c r="KDF26" s="3327"/>
      <c r="KDG26" s="3327"/>
      <c r="KDH26" s="3327"/>
      <c r="KDI26" s="3327"/>
      <c r="KDJ26" s="3327"/>
      <c r="KDK26" s="3327"/>
      <c r="KDL26" s="3327"/>
      <c r="KDM26" s="3327"/>
      <c r="KDN26" s="3327"/>
      <c r="KDO26" s="3327"/>
      <c r="KDP26" s="3327"/>
      <c r="KDQ26" s="3327"/>
      <c r="KDR26" s="3327"/>
      <c r="KDS26" s="3327"/>
      <c r="KDT26" s="3327"/>
      <c r="KDU26" s="3327"/>
      <c r="KDV26" s="3327"/>
      <c r="KDW26" s="3327"/>
      <c r="KDX26" s="3327"/>
      <c r="KDY26" s="3327"/>
      <c r="KDZ26" s="3327"/>
      <c r="KEA26" s="3327"/>
      <c r="KEB26" s="3327"/>
      <c r="KEC26" s="3327"/>
      <c r="KED26" s="3327"/>
      <c r="KEE26" s="3327"/>
      <c r="KEF26" s="3327"/>
      <c r="KEG26" s="3327"/>
      <c r="KEH26" s="3327"/>
      <c r="KEI26" s="3327"/>
      <c r="KEJ26" s="3327"/>
      <c r="KEK26" s="3327"/>
      <c r="KEL26" s="3327"/>
      <c r="KEM26" s="3327"/>
      <c r="KEN26" s="3327"/>
      <c r="KEO26" s="3327"/>
      <c r="KEP26" s="3327"/>
      <c r="KEQ26" s="3327"/>
      <c r="KER26" s="3327"/>
      <c r="KES26" s="3327"/>
      <c r="KET26" s="3327"/>
      <c r="KEU26" s="3327"/>
      <c r="KEV26" s="3327"/>
      <c r="KEW26" s="3327"/>
      <c r="KEX26" s="3327"/>
      <c r="KEY26" s="3327"/>
      <c r="KEZ26" s="3327"/>
      <c r="KFA26" s="3327"/>
      <c r="KFB26" s="3327"/>
      <c r="KFC26" s="3327"/>
      <c r="KFD26" s="3327"/>
      <c r="KFE26" s="3327"/>
      <c r="KFF26" s="3327"/>
      <c r="KFG26" s="3327"/>
      <c r="KFH26" s="3327"/>
      <c r="KFI26" s="3327"/>
      <c r="KFJ26" s="3327"/>
      <c r="KFK26" s="3327"/>
      <c r="KFL26" s="3327"/>
      <c r="KFM26" s="3327"/>
      <c r="KFN26" s="3327"/>
      <c r="KFO26" s="3327"/>
      <c r="KFP26" s="3327"/>
      <c r="KFQ26" s="3327"/>
      <c r="KFR26" s="3327"/>
      <c r="KFS26" s="3327"/>
      <c r="KFT26" s="3327"/>
      <c r="KFU26" s="3327"/>
      <c r="KFV26" s="3327"/>
      <c r="KFW26" s="3327"/>
      <c r="KFX26" s="3327"/>
      <c r="KFY26" s="3327"/>
      <c r="KFZ26" s="3327"/>
      <c r="KGA26" s="3327"/>
      <c r="KGB26" s="3327"/>
      <c r="KGC26" s="3327"/>
      <c r="KGD26" s="3327"/>
      <c r="KGE26" s="3327"/>
      <c r="KGF26" s="3327"/>
      <c r="KGG26" s="3327"/>
      <c r="KGH26" s="3327"/>
      <c r="KGI26" s="3327"/>
      <c r="KGJ26" s="3327"/>
      <c r="KGK26" s="3327"/>
      <c r="KGL26" s="3327"/>
      <c r="KGM26" s="3327"/>
      <c r="KGN26" s="3327"/>
      <c r="KGO26" s="3327"/>
      <c r="KGP26" s="3327"/>
      <c r="KGQ26" s="3327"/>
      <c r="KGR26" s="3327"/>
      <c r="KGS26" s="3327"/>
      <c r="KGT26" s="3327"/>
      <c r="KGU26" s="3327"/>
      <c r="KGV26" s="3327"/>
      <c r="KGW26" s="3327"/>
      <c r="KGX26" s="3327"/>
      <c r="KGY26" s="3327"/>
      <c r="KGZ26" s="3327"/>
      <c r="KHA26" s="3327"/>
      <c r="KHB26" s="3327"/>
      <c r="KHC26" s="3327"/>
      <c r="KHD26" s="3327"/>
      <c r="KHE26" s="3327"/>
      <c r="KHF26" s="3327"/>
      <c r="KHG26" s="3327"/>
      <c r="KHH26" s="3327"/>
      <c r="KHI26" s="3327"/>
      <c r="KHJ26" s="3327"/>
      <c r="KHK26" s="3327"/>
      <c r="KHL26" s="3327"/>
      <c r="KHM26" s="3327"/>
      <c r="KHN26" s="3327"/>
      <c r="KHO26" s="3327"/>
      <c r="KHP26" s="3327"/>
      <c r="KHQ26" s="3327"/>
      <c r="KHR26" s="3327"/>
      <c r="KHS26" s="3327"/>
      <c r="KHT26" s="3327"/>
      <c r="KHU26" s="3327"/>
      <c r="KHV26" s="3327"/>
      <c r="KHW26" s="3327"/>
      <c r="KHX26" s="3327"/>
      <c r="KHY26" s="3327"/>
      <c r="KHZ26" s="3327"/>
      <c r="KIA26" s="3327"/>
      <c r="KIB26" s="3327"/>
      <c r="KIC26" s="3327"/>
      <c r="KID26" s="3327"/>
      <c r="KIE26" s="3327"/>
      <c r="KIF26" s="3327"/>
      <c r="KIG26" s="3327"/>
      <c r="KIH26" s="3327"/>
      <c r="KII26" s="3327"/>
      <c r="KIJ26" s="3327"/>
      <c r="KIK26" s="3327"/>
      <c r="KIL26" s="3327"/>
      <c r="KIM26" s="3327"/>
      <c r="KIN26" s="3327"/>
      <c r="KIO26" s="3327"/>
      <c r="KIP26" s="3327"/>
      <c r="KIQ26" s="3327"/>
      <c r="KIR26" s="3327"/>
      <c r="KIS26" s="3327"/>
      <c r="KIT26" s="3327"/>
      <c r="KIU26" s="3327"/>
      <c r="KIV26" s="3327"/>
      <c r="KIW26" s="3327"/>
      <c r="KIX26" s="3327"/>
      <c r="KIY26" s="3327"/>
      <c r="KIZ26" s="3327"/>
      <c r="KJA26" s="3327"/>
      <c r="KJB26" s="3327"/>
      <c r="KJC26" s="3327"/>
      <c r="KJD26" s="3327"/>
      <c r="KJE26" s="3327"/>
      <c r="KJF26" s="3327"/>
      <c r="KJG26" s="3327"/>
      <c r="KJH26" s="3327"/>
      <c r="KJI26" s="3327"/>
      <c r="KJJ26" s="3327"/>
      <c r="KJK26" s="3327"/>
      <c r="KJL26" s="3327"/>
      <c r="KJM26" s="3327"/>
      <c r="KJN26" s="3327"/>
      <c r="KJO26" s="3327"/>
      <c r="KJP26" s="3327"/>
      <c r="KJQ26" s="3327"/>
      <c r="KJR26" s="3327"/>
      <c r="KJS26" s="3327"/>
      <c r="KJT26" s="3327"/>
      <c r="KJU26" s="3327"/>
      <c r="KJV26" s="3327"/>
      <c r="KJW26" s="3327"/>
      <c r="KJX26" s="3327"/>
      <c r="KJY26" s="3327"/>
      <c r="KJZ26" s="3327"/>
      <c r="KKA26" s="3327"/>
      <c r="KKB26" s="3327"/>
      <c r="KKC26" s="3327"/>
      <c r="KKD26" s="3327"/>
      <c r="KKE26" s="3327"/>
      <c r="KKF26" s="3327"/>
      <c r="KKG26" s="3327"/>
      <c r="KKH26" s="3327"/>
      <c r="KKI26" s="3327"/>
      <c r="KKJ26" s="3327"/>
      <c r="KKK26" s="3327"/>
      <c r="KKL26" s="3327"/>
      <c r="KKM26" s="3327"/>
      <c r="KKN26" s="3327"/>
      <c r="KKO26" s="3327"/>
      <c r="KKP26" s="3327"/>
      <c r="KKQ26" s="3327"/>
      <c r="KKR26" s="3327"/>
      <c r="KKS26" s="3327"/>
      <c r="KKT26" s="3327"/>
      <c r="KKU26" s="3327"/>
      <c r="KKV26" s="3327"/>
      <c r="KKW26" s="3327"/>
      <c r="KKX26" s="3327"/>
      <c r="KKY26" s="3327"/>
      <c r="KKZ26" s="3327"/>
      <c r="KLA26" s="3327"/>
      <c r="KLB26" s="3327"/>
      <c r="KLC26" s="3327"/>
      <c r="KLD26" s="3327"/>
      <c r="KLE26" s="3327"/>
      <c r="KLF26" s="3327"/>
      <c r="KLG26" s="3327"/>
      <c r="KLH26" s="3327"/>
      <c r="KLI26" s="3327"/>
      <c r="KLJ26" s="3327"/>
      <c r="KLK26" s="3327"/>
      <c r="KLL26" s="3327"/>
      <c r="KLM26" s="3327"/>
      <c r="KLN26" s="3327"/>
      <c r="KLO26" s="3327"/>
      <c r="KLP26" s="3327"/>
      <c r="KLQ26" s="3327"/>
      <c r="KLR26" s="3327"/>
      <c r="KLS26" s="3327"/>
      <c r="KLT26" s="3327"/>
      <c r="KLU26" s="3327"/>
      <c r="KLV26" s="3327"/>
      <c r="KLW26" s="3327"/>
      <c r="KLX26" s="3327"/>
      <c r="KLY26" s="3327"/>
      <c r="KLZ26" s="3327"/>
      <c r="KMA26" s="3327"/>
      <c r="KMB26" s="3327"/>
      <c r="KMC26" s="3327"/>
      <c r="KMD26" s="3327"/>
      <c r="KME26" s="3327"/>
      <c r="KMF26" s="3327"/>
      <c r="KMG26" s="3327"/>
      <c r="KMH26" s="3327"/>
      <c r="KMI26" s="3327"/>
      <c r="KMJ26" s="3327"/>
      <c r="KMK26" s="3327"/>
      <c r="KML26" s="3327"/>
      <c r="KMM26" s="3327"/>
      <c r="KMN26" s="3327"/>
      <c r="KMO26" s="3327"/>
      <c r="KMP26" s="3327"/>
      <c r="KMQ26" s="3327"/>
      <c r="KMR26" s="3327"/>
      <c r="KMS26" s="3327"/>
      <c r="KMT26" s="3327"/>
      <c r="KMU26" s="3327"/>
      <c r="KMV26" s="3327"/>
      <c r="KMW26" s="3327"/>
      <c r="KMX26" s="3327"/>
      <c r="KMY26" s="3327"/>
      <c r="KMZ26" s="3327"/>
      <c r="KNA26" s="3327"/>
      <c r="KNB26" s="3327"/>
      <c r="KNC26" s="3327"/>
      <c r="KND26" s="3327"/>
      <c r="KNE26" s="3327"/>
      <c r="KNF26" s="3327"/>
      <c r="KNG26" s="3327"/>
      <c r="KNH26" s="3327"/>
      <c r="KNI26" s="3327"/>
      <c r="KNJ26" s="3327"/>
      <c r="KNK26" s="3327"/>
      <c r="KNL26" s="3327"/>
      <c r="KNM26" s="3327"/>
      <c r="KNN26" s="3327"/>
      <c r="KNO26" s="3327"/>
      <c r="KNP26" s="3327"/>
      <c r="KNQ26" s="3327"/>
      <c r="KNR26" s="3327"/>
      <c r="KNS26" s="3327"/>
      <c r="KNT26" s="3327"/>
      <c r="KNU26" s="3327"/>
      <c r="KNV26" s="3327"/>
      <c r="KNW26" s="3327"/>
      <c r="KNX26" s="3327"/>
      <c r="KNY26" s="3327"/>
      <c r="KNZ26" s="3327"/>
      <c r="KOA26" s="3327"/>
      <c r="KOB26" s="3327"/>
      <c r="KOC26" s="3327"/>
      <c r="KOD26" s="3327"/>
      <c r="KOE26" s="3327"/>
      <c r="KOF26" s="3327"/>
      <c r="KOG26" s="3327"/>
      <c r="KOH26" s="3327"/>
      <c r="KOI26" s="3327"/>
      <c r="KOJ26" s="3327"/>
      <c r="KOK26" s="3327"/>
      <c r="KOL26" s="3327"/>
      <c r="KOM26" s="3327"/>
      <c r="KON26" s="3327"/>
      <c r="KOO26" s="3327"/>
      <c r="KOP26" s="3327"/>
      <c r="KOQ26" s="3327"/>
      <c r="KOR26" s="3327"/>
      <c r="KOS26" s="3327"/>
      <c r="KOT26" s="3327"/>
      <c r="KOU26" s="3327"/>
      <c r="KOV26" s="3327"/>
      <c r="KOW26" s="3327"/>
      <c r="KOX26" s="3327"/>
      <c r="KOY26" s="3327"/>
      <c r="KOZ26" s="3327"/>
      <c r="KPA26" s="3327"/>
      <c r="KPB26" s="3327"/>
      <c r="KPC26" s="3327"/>
      <c r="KPD26" s="3327"/>
      <c r="KPE26" s="3327"/>
      <c r="KPF26" s="3327"/>
      <c r="KPG26" s="3327"/>
      <c r="KPH26" s="3327"/>
      <c r="KPI26" s="3327"/>
      <c r="KPJ26" s="3327"/>
      <c r="KPK26" s="3327"/>
      <c r="KPL26" s="3327"/>
      <c r="KPM26" s="3327"/>
      <c r="KPN26" s="3327"/>
      <c r="KPO26" s="3327"/>
      <c r="KPP26" s="3327"/>
      <c r="KPQ26" s="3327"/>
      <c r="KPR26" s="3327"/>
      <c r="KPS26" s="3327"/>
      <c r="KPT26" s="3327"/>
      <c r="KPU26" s="3327"/>
      <c r="KPV26" s="3327"/>
      <c r="KPW26" s="3327"/>
      <c r="KPX26" s="3327"/>
      <c r="KPY26" s="3327"/>
      <c r="KPZ26" s="3327"/>
      <c r="KQA26" s="3327"/>
      <c r="KQB26" s="3327"/>
      <c r="KQC26" s="3327"/>
      <c r="KQD26" s="3327"/>
      <c r="KQE26" s="3327"/>
      <c r="KQF26" s="3327"/>
      <c r="KQG26" s="3327"/>
      <c r="KQH26" s="3327"/>
      <c r="KQI26" s="3327"/>
      <c r="KQJ26" s="3327"/>
      <c r="KQK26" s="3327"/>
      <c r="KQL26" s="3327"/>
      <c r="KQM26" s="3327"/>
      <c r="KQN26" s="3327"/>
      <c r="KQO26" s="3327"/>
      <c r="KQP26" s="3327"/>
      <c r="KQQ26" s="3327"/>
      <c r="KQR26" s="3327"/>
      <c r="KQS26" s="3327"/>
      <c r="KQT26" s="3327"/>
      <c r="KQU26" s="3327"/>
      <c r="KQV26" s="3327"/>
      <c r="KQW26" s="3327"/>
      <c r="KQX26" s="3327"/>
      <c r="KQY26" s="3327"/>
      <c r="KQZ26" s="3327"/>
      <c r="KRA26" s="3327"/>
      <c r="KRB26" s="3327"/>
      <c r="KRC26" s="3327"/>
      <c r="KRD26" s="3327"/>
      <c r="KRE26" s="3327"/>
      <c r="KRF26" s="3327"/>
      <c r="KRG26" s="3327"/>
      <c r="KRH26" s="3327"/>
      <c r="KRI26" s="3327"/>
      <c r="KRJ26" s="3327"/>
      <c r="KRK26" s="3327"/>
      <c r="KRL26" s="3327"/>
      <c r="KRM26" s="3327"/>
      <c r="KRN26" s="3327"/>
      <c r="KRO26" s="3327"/>
      <c r="KRP26" s="3327"/>
      <c r="KRQ26" s="3327"/>
      <c r="KRR26" s="3327"/>
      <c r="KRS26" s="3327"/>
      <c r="KRT26" s="3327"/>
      <c r="KRU26" s="3327"/>
      <c r="KRV26" s="3327"/>
      <c r="KRW26" s="3327"/>
      <c r="KRX26" s="3327"/>
      <c r="KRY26" s="3327"/>
      <c r="KRZ26" s="3327"/>
      <c r="KSA26" s="3327"/>
      <c r="KSB26" s="3327"/>
      <c r="KSC26" s="3327"/>
      <c r="KSD26" s="3327"/>
      <c r="KSE26" s="3327"/>
      <c r="KSF26" s="3327"/>
      <c r="KSG26" s="3327"/>
      <c r="KSH26" s="3327"/>
      <c r="KSI26" s="3327"/>
      <c r="KSJ26" s="3327"/>
      <c r="KSK26" s="3327"/>
      <c r="KSL26" s="3327"/>
      <c r="KSM26" s="3327"/>
      <c r="KSN26" s="3327"/>
      <c r="KSO26" s="3327"/>
      <c r="KSP26" s="3327"/>
      <c r="KSQ26" s="3327"/>
      <c r="KSR26" s="3327"/>
      <c r="KSS26" s="3327"/>
      <c r="KST26" s="3327"/>
      <c r="KSU26" s="3327"/>
      <c r="KSV26" s="3327"/>
      <c r="KSW26" s="3327"/>
      <c r="KSX26" s="3327"/>
      <c r="KSY26" s="3327"/>
      <c r="KSZ26" s="3327"/>
      <c r="KTA26" s="3327"/>
      <c r="KTB26" s="3327"/>
      <c r="KTC26" s="3327"/>
      <c r="KTD26" s="3327"/>
      <c r="KTE26" s="3327"/>
      <c r="KTF26" s="3327"/>
      <c r="KTG26" s="3327"/>
      <c r="KTH26" s="3327"/>
      <c r="KTI26" s="3327"/>
      <c r="KTJ26" s="3327"/>
      <c r="KTK26" s="3327"/>
      <c r="KTL26" s="3327"/>
      <c r="KTM26" s="3327"/>
      <c r="KTN26" s="3327"/>
      <c r="KTO26" s="3327"/>
      <c r="KTP26" s="3327"/>
      <c r="KTQ26" s="3327"/>
      <c r="KTR26" s="3327"/>
      <c r="KTS26" s="3327"/>
      <c r="KTT26" s="3327"/>
      <c r="KTU26" s="3327"/>
      <c r="KTV26" s="3327"/>
      <c r="KTW26" s="3327"/>
      <c r="KTX26" s="3327"/>
      <c r="KTY26" s="3327"/>
      <c r="KTZ26" s="3327"/>
      <c r="KUA26" s="3327"/>
      <c r="KUB26" s="3327"/>
      <c r="KUC26" s="3327"/>
      <c r="KUD26" s="3327"/>
      <c r="KUE26" s="3327"/>
      <c r="KUF26" s="3327"/>
      <c r="KUG26" s="3327"/>
      <c r="KUH26" s="3327"/>
      <c r="KUI26" s="3327"/>
      <c r="KUJ26" s="3327"/>
      <c r="KUK26" s="3327"/>
      <c r="KUL26" s="3327"/>
      <c r="KUM26" s="3327"/>
      <c r="KUN26" s="3327"/>
      <c r="KUO26" s="3327"/>
      <c r="KUP26" s="3327"/>
      <c r="KUQ26" s="3327"/>
      <c r="KUR26" s="3327"/>
      <c r="KUS26" s="3327"/>
      <c r="KUT26" s="3327"/>
      <c r="KUU26" s="3327"/>
      <c r="KUV26" s="3327"/>
      <c r="KUW26" s="3327"/>
      <c r="KUX26" s="3327"/>
      <c r="KUY26" s="3327"/>
      <c r="KUZ26" s="3327"/>
      <c r="KVA26" s="3327"/>
      <c r="KVB26" s="3327"/>
      <c r="KVC26" s="3327"/>
      <c r="KVD26" s="3327"/>
      <c r="KVE26" s="3327"/>
      <c r="KVF26" s="3327"/>
      <c r="KVG26" s="3327"/>
      <c r="KVH26" s="3327"/>
      <c r="KVI26" s="3327"/>
      <c r="KVJ26" s="3327"/>
      <c r="KVK26" s="3327"/>
      <c r="KVL26" s="3327"/>
      <c r="KVM26" s="3327"/>
      <c r="KVN26" s="3327"/>
      <c r="KVO26" s="3327"/>
      <c r="KVP26" s="3327"/>
      <c r="KVQ26" s="3327"/>
      <c r="KVR26" s="3327"/>
      <c r="KVS26" s="3327"/>
      <c r="KVT26" s="3327"/>
      <c r="KVU26" s="3327"/>
      <c r="KVV26" s="3327"/>
      <c r="KVW26" s="3327"/>
      <c r="KVX26" s="3327"/>
      <c r="KVY26" s="3327"/>
      <c r="KVZ26" s="3327"/>
      <c r="KWA26" s="3327"/>
      <c r="KWB26" s="3327"/>
      <c r="KWC26" s="3327"/>
      <c r="KWD26" s="3327"/>
      <c r="KWE26" s="3327"/>
      <c r="KWF26" s="3327"/>
      <c r="KWG26" s="3327"/>
      <c r="KWH26" s="3327"/>
      <c r="KWI26" s="3327"/>
      <c r="KWJ26" s="3327"/>
      <c r="KWK26" s="3327"/>
      <c r="KWL26" s="3327"/>
      <c r="KWM26" s="3327"/>
      <c r="KWN26" s="3327"/>
      <c r="KWO26" s="3327"/>
      <c r="KWP26" s="3327"/>
      <c r="KWQ26" s="3327"/>
      <c r="KWR26" s="3327"/>
      <c r="KWS26" s="3327"/>
      <c r="KWT26" s="3327"/>
      <c r="KWU26" s="3327"/>
      <c r="KWV26" s="3327"/>
      <c r="KWW26" s="3327"/>
      <c r="KWX26" s="3327"/>
      <c r="KWY26" s="3327"/>
      <c r="KWZ26" s="3327"/>
      <c r="KXA26" s="3327"/>
      <c r="KXB26" s="3327"/>
      <c r="KXC26" s="3327"/>
      <c r="KXD26" s="3327"/>
      <c r="KXE26" s="3327"/>
      <c r="KXF26" s="3327"/>
      <c r="KXG26" s="3327"/>
      <c r="KXH26" s="3327"/>
      <c r="KXI26" s="3327"/>
      <c r="KXJ26" s="3327"/>
      <c r="KXK26" s="3327"/>
      <c r="KXL26" s="3327"/>
      <c r="KXM26" s="3327"/>
      <c r="KXN26" s="3327"/>
      <c r="KXO26" s="3327"/>
      <c r="KXP26" s="3327"/>
      <c r="KXQ26" s="3327"/>
      <c r="KXR26" s="3327"/>
      <c r="KXS26" s="3327"/>
      <c r="KXT26" s="3327"/>
      <c r="KXU26" s="3327"/>
      <c r="KXV26" s="3327"/>
      <c r="KXW26" s="3327"/>
      <c r="KXX26" s="3327"/>
      <c r="KXY26" s="3327"/>
      <c r="KXZ26" s="3327"/>
      <c r="KYA26" s="3327"/>
      <c r="KYB26" s="3327"/>
      <c r="KYC26" s="3327"/>
      <c r="KYD26" s="3327"/>
      <c r="KYE26" s="3327"/>
      <c r="KYF26" s="3327"/>
      <c r="KYG26" s="3327"/>
      <c r="KYH26" s="3327"/>
      <c r="KYI26" s="3327"/>
      <c r="KYJ26" s="3327"/>
      <c r="KYK26" s="3327"/>
      <c r="KYL26" s="3327"/>
      <c r="KYM26" s="3327"/>
      <c r="KYN26" s="3327"/>
      <c r="KYO26" s="3327"/>
      <c r="KYP26" s="3327"/>
      <c r="KYQ26" s="3327"/>
      <c r="KYR26" s="3327"/>
      <c r="KYS26" s="3327"/>
      <c r="KYT26" s="3327"/>
      <c r="KYU26" s="3327"/>
      <c r="KYV26" s="3327"/>
      <c r="KYW26" s="3327"/>
      <c r="KYX26" s="3327"/>
      <c r="KYY26" s="3327"/>
      <c r="KYZ26" s="3327"/>
      <c r="KZA26" s="3327"/>
      <c r="KZB26" s="3327"/>
      <c r="KZC26" s="3327"/>
      <c r="KZD26" s="3327"/>
      <c r="KZE26" s="3327"/>
      <c r="KZF26" s="3327"/>
      <c r="KZG26" s="3327"/>
      <c r="KZH26" s="3327"/>
      <c r="KZI26" s="3327"/>
      <c r="KZJ26" s="3327"/>
      <c r="KZK26" s="3327"/>
      <c r="KZL26" s="3327"/>
      <c r="KZM26" s="3327"/>
      <c r="KZN26" s="3327"/>
      <c r="KZO26" s="3327"/>
      <c r="KZP26" s="3327"/>
      <c r="KZQ26" s="3327"/>
      <c r="KZR26" s="3327"/>
      <c r="KZS26" s="3327"/>
      <c r="KZT26" s="3327"/>
      <c r="KZU26" s="3327"/>
      <c r="KZV26" s="3327"/>
      <c r="KZW26" s="3327"/>
      <c r="KZX26" s="3327"/>
      <c r="KZY26" s="3327"/>
      <c r="KZZ26" s="3327"/>
      <c r="LAA26" s="3327"/>
      <c r="LAB26" s="3327"/>
      <c r="LAC26" s="3327"/>
      <c r="LAD26" s="3327"/>
      <c r="LAE26" s="3327"/>
      <c r="LAF26" s="3327"/>
      <c r="LAG26" s="3327"/>
      <c r="LAH26" s="3327"/>
      <c r="LAI26" s="3327"/>
      <c r="LAJ26" s="3327"/>
      <c r="LAK26" s="3327"/>
      <c r="LAL26" s="3327"/>
      <c r="LAM26" s="3327"/>
      <c r="LAN26" s="3327"/>
      <c r="LAO26" s="3327"/>
      <c r="LAP26" s="3327"/>
      <c r="LAQ26" s="3327"/>
      <c r="LAR26" s="3327"/>
      <c r="LAS26" s="3327"/>
      <c r="LAT26" s="3327"/>
      <c r="LAU26" s="3327"/>
      <c r="LAV26" s="3327"/>
      <c r="LAW26" s="3327"/>
      <c r="LAX26" s="3327"/>
      <c r="LAY26" s="3327"/>
      <c r="LAZ26" s="3327"/>
      <c r="LBA26" s="3327"/>
      <c r="LBB26" s="3327"/>
      <c r="LBC26" s="3327"/>
      <c r="LBD26" s="3327"/>
      <c r="LBE26" s="3327"/>
      <c r="LBF26" s="3327"/>
      <c r="LBG26" s="3327"/>
      <c r="LBH26" s="3327"/>
      <c r="LBI26" s="3327"/>
      <c r="LBJ26" s="3327"/>
      <c r="LBK26" s="3327"/>
      <c r="LBL26" s="3327"/>
      <c r="LBM26" s="3327"/>
      <c r="LBN26" s="3327"/>
      <c r="LBO26" s="3327"/>
      <c r="LBP26" s="3327"/>
      <c r="LBQ26" s="3327"/>
      <c r="LBR26" s="3327"/>
      <c r="LBS26" s="3327"/>
      <c r="LBT26" s="3327"/>
      <c r="LBU26" s="3327"/>
      <c r="LBV26" s="3327"/>
      <c r="LBW26" s="3327"/>
      <c r="LBX26" s="3327"/>
      <c r="LBY26" s="3327"/>
      <c r="LBZ26" s="3327"/>
      <c r="LCA26" s="3327"/>
      <c r="LCB26" s="3327"/>
      <c r="LCC26" s="3327"/>
      <c r="LCD26" s="3327"/>
      <c r="LCE26" s="3327"/>
      <c r="LCF26" s="3327"/>
      <c r="LCG26" s="3327"/>
      <c r="LCH26" s="3327"/>
      <c r="LCI26" s="3327"/>
      <c r="LCJ26" s="3327"/>
      <c r="LCK26" s="3327"/>
      <c r="LCL26" s="3327"/>
      <c r="LCM26" s="3327"/>
      <c r="LCN26" s="3327"/>
      <c r="LCO26" s="3327"/>
      <c r="LCP26" s="3327"/>
      <c r="LCQ26" s="3327"/>
      <c r="LCR26" s="3327"/>
      <c r="LCS26" s="3327"/>
      <c r="LCT26" s="3327"/>
      <c r="LCU26" s="3327"/>
      <c r="LCV26" s="3327"/>
      <c r="LCW26" s="3327"/>
      <c r="LCX26" s="3327"/>
      <c r="LCY26" s="3327"/>
      <c r="LCZ26" s="3327"/>
      <c r="LDA26" s="3327"/>
      <c r="LDB26" s="3327"/>
      <c r="LDC26" s="3327"/>
      <c r="LDD26" s="3327"/>
      <c r="LDE26" s="3327"/>
      <c r="LDF26" s="3327"/>
      <c r="LDG26" s="3327"/>
      <c r="LDH26" s="3327"/>
      <c r="LDI26" s="3327"/>
      <c r="LDJ26" s="3327"/>
      <c r="LDK26" s="3327"/>
      <c r="LDL26" s="3327"/>
      <c r="LDM26" s="3327"/>
      <c r="LDN26" s="3327"/>
      <c r="LDO26" s="3327"/>
      <c r="LDP26" s="3327"/>
      <c r="LDQ26" s="3327"/>
      <c r="LDR26" s="3327"/>
      <c r="LDS26" s="3327"/>
      <c r="LDT26" s="3327"/>
      <c r="LDU26" s="3327"/>
      <c r="LDV26" s="3327"/>
      <c r="LDW26" s="3327"/>
      <c r="LDX26" s="3327"/>
      <c r="LDY26" s="3327"/>
      <c r="LDZ26" s="3327"/>
      <c r="LEA26" s="3327"/>
      <c r="LEB26" s="3327"/>
      <c r="LEC26" s="3327"/>
      <c r="LED26" s="3327"/>
      <c r="LEE26" s="3327"/>
      <c r="LEF26" s="3327"/>
      <c r="LEG26" s="3327"/>
      <c r="LEH26" s="3327"/>
      <c r="LEI26" s="3327"/>
      <c r="LEJ26" s="3327"/>
      <c r="LEK26" s="3327"/>
      <c r="LEL26" s="3327"/>
      <c r="LEM26" s="3327"/>
      <c r="LEN26" s="3327"/>
      <c r="LEO26" s="3327"/>
      <c r="LEP26" s="3327"/>
      <c r="LEQ26" s="3327"/>
      <c r="LER26" s="3327"/>
      <c r="LES26" s="3327"/>
      <c r="LET26" s="3327"/>
      <c r="LEU26" s="3327"/>
      <c r="LEV26" s="3327"/>
      <c r="LEW26" s="3327"/>
      <c r="LEX26" s="3327"/>
      <c r="LEY26" s="3327"/>
      <c r="LEZ26" s="3327"/>
      <c r="LFA26" s="3327"/>
      <c r="LFB26" s="3327"/>
      <c r="LFC26" s="3327"/>
      <c r="LFD26" s="3327"/>
      <c r="LFE26" s="3327"/>
      <c r="LFF26" s="3327"/>
      <c r="LFG26" s="3327"/>
      <c r="LFH26" s="3327"/>
      <c r="LFI26" s="3327"/>
      <c r="LFJ26" s="3327"/>
      <c r="LFK26" s="3327"/>
      <c r="LFL26" s="3327"/>
      <c r="LFM26" s="3327"/>
      <c r="LFN26" s="3327"/>
      <c r="LFO26" s="3327"/>
      <c r="LFP26" s="3327"/>
      <c r="LFQ26" s="3327"/>
      <c r="LFR26" s="3327"/>
      <c r="LFS26" s="3327"/>
      <c r="LFT26" s="3327"/>
      <c r="LFU26" s="3327"/>
      <c r="LFV26" s="3327"/>
      <c r="LFW26" s="3327"/>
      <c r="LFX26" s="3327"/>
      <c r="LFY26" s="3327"/>
      <c r="LFZ26" s="3327"/>
      <c r="LGA26" s="3327"/>
      <c r="LGB26" s="3327"/>
      <c r="LGC26" s="3327"/>
      <c r="LGD26" s="3327"/>
      <c r="LGE26" s="3327"/>
      <c r="LGF26" s="3327"/>
      <c r="LGG26" s="3327"/>
      <c r="LGH26" s="3327"/>
      <c r="LGI26" s="3327"/>
      <c r="LGJ26" s="3327"/>
      <c r="LGK26" s="3327"/>
      <c r="LGL26" s="3327"/>
      <c r="LGM26" s="3327"/>
      <c r="LGN26" s="3327"/>
      <c r="LGO26" s="3327"/>
      <c r="LGP26" s="3327"/>
      <c r="LGQ26" s="3327"/>
      <c r="LGR26" s="3327"/>
      <c r="LGS26" s="3327"/>
      <c r="LGT26" s="3327"/>
      <c r="LGU26" s="3327"/>
      <c r="LGV26" s="3327"/>
      <c r="LGW26" s="3327"/>
      <c r="LGX26" s="3327"/>
      <c r="LGY26" s="3327"/>
      <c r="LGZ26" s="3327"/>
      <c r="LHA26" s="3327"/>
      <c r="LHB26" s="3327"/>
      <c r="LHC26" s="3327"/>
      <c r="LHD26" s="3327"/>
      <c r="LHE26" s="3327"/>
      <c r="LHF26" s="3327"/>
      <c r="LHG26" s="3327"/>
      <c r="LHH26" s="3327"/>
      <c r="LHI26" s="3327"/>
      <c r="LHJ26" s="3327"/>
      <c r="LHK26" s="3327"/>
      <c r="LHL26" s="3327"/>
      <c r="LHM26" s="3327"/>
      <c r="LHN26" s="3327"/>
      <c r="LHO26" s="3327"/>
      <c r="LHP26" s="3327"/>
      <c r="LHQ26" s="3327"/>
      <c r="LHR26" s="3327"/>
      <c r="LHS26" s="3327"/>
      <c r="LHT26" s="3327"/>
      <c r="LHU26" s="3327"/>
      <c r="LHV26" s="3327"/>
      <c r="LHW26" s="3327"/>
      <c r="LHX26" s="3327"/>
      <c r="LHY26" s="3327"/>
      <c r="LHZ26" s="3327"/>
      <c r="LIA26" s="3327"/>
      <c r="LIB26" s="3327"/>
      <c r="LIC26" s="3327"/>
      <c r="LID26" s="3327"/>
      <c r="LIE26" s="3327"/>
      <c r="LIF26" s="3327"/>
      <c r="LIG26" s="3327"/>
      <c r="LIH26" s="3327"/>
      <c r="LII26" s="3327"/>
      <c r="LIJ26" s="3327"/>
      <c r="LIK26" s="3327"/>
      <c r="LIL26" s="3327"/>
      <c r="LIM26" s="3327"/>
      <c r="LIN26" s="3327"/>
      <c r="LIO26" s="3327"/>
      <c r="LIP26" s="3327"/>
      <c r="LIQ26" s="3327"/>
      <c r="LIR26" s="3327"/>
      <c r="LIS26" s="3327"/>
      <c r="LIT26" s="3327"/>
      <c r="LIU26" s="3327"/>
      <c r="LIV26" s="3327"/>
      <c r="LIW26" s="3327"/>
      <c r="LIX26" s="3327"/>
      <c r="LIY26" s="3327"/>
      <c r="LIZ26" s="3327"/>
      <c r="LJA26" s="3327"/>
      <c r="LJB26" s="3327"/>
      <c r="LJC26" s="3327"/>
      <c r="LJD26" s="3327"/>
      <c r="LJE26" s="3327"/>
      <c r="LJF26" s="3327"/>
      <c r="LJG26" s="3327"/>
      <c r="LJH26" s="3327"/>
      <c r="LJI26" s="3327"/>
      <c r="LJJ26" s="3327"/>
      <c r="LJK26" s="3327"/>
      <c r="LJL26" s="3327"/>
      <c r="LJM26" s="3327"/>
      <c r="LJN26" s="3327"/>
      <c r="LJO26" s="3327"/>
      <c r="LJP26" s="3327"/>
      <c r="LJQ26" s="3327"/>
      <c r="LJR26" s="3327"/>
      <c r="LJS26" s="3327"/>
      <c r="LJT26" s="3327"/>
      <c r="LJU26" s="3327"/>
      <c r="LJV26" s="3327"/>
      <c r="LJW26" s="3327"/>
      <c r="LJX26" s="3327"/>
      <c r="LJY26" s="3327"/>
      <c r="LJZ26" s="3327"/>
      <c r="LKA26" s="3327"/>
      <c r="LKB26" s="3327"/>
      <c r="LKC26" s="3327"/>
      <c r="LKD26" s="3327"/>
      <c r="LKE26" s="3327"/>
      <c r="LKF26" s="3327"/>
      <c r="LKG26" s="3327"/>
      <c r="LKH26" s="3327"/>
      <c r="LKI26" s="3327"/>
      <c r="LKJ26" s="3327"/>
      <c r="LKK26" s="3327"/>
      <c r="LKL26" s="3327"/>
      <c r="LKM26" s="3327"/>
      <c r="LKN26" s="3327"/>
      <c r="LKO26" s="3327"/>
      <c r="LKP26" s="3327"/>
      <c r="LKQ26" s="3327"/>
      <c r="LKR26" s="3327"/>
      <c r="LKS26" s="3327"/>
      <c r="LKT26" s="3327"/>
      <c r="LKU26" s="3327"/>
      <c r="LKV26" s="3327"/>
      <c r="LKW26" s="3327"/>
      <c r="LKX26" s="3327"/>
      <c r="LKY26" s="3327"/>
      <c r="LKZ26" s="3327"/>
      <c r="LLA26" s="3327"/>
      <c r="LLB26" s="3327"/>
      <c r="LLC26" s="3327"/>
      <c r="LLD26" s="3327"/>
      <c r="LLE26" s="3327"/>
      <c r="LLF26" s="3327"/>
      <c r="LLG26" s="3327"/>
      <c r="LLH26" s="3327"/>
      <c r="LLI26" s="3327"/>
      <c r="LLJ26" s="3327"/>
      <c r="LLK26" s="3327"/>
      <c r="LLL26" s="3327"/>
      <c r="LLM26" s="3327"/>
      <c r="LLN26" s="3327"/>
      <c r="LLO26" s="3327"/>
      <c r="LLP26" s="3327"/>
      <c r="LLQ26" s="3327"/>
      <c r="LLR26" s="3327"/>
      <c r="LLS26" s="3327"/>
      <c r="LLT26" s="3327"/>
      <c r="LLU26" s="3327"/>
      <c r="LLV26" s="3327"/>
      <c r="LLW26" s="3327"/>
      <c r="LLX26" s="3327"/>
      <c r="LLY26" s="3327"/>
      <c r="LLZ26" s="3327"/>
      <c r="LMA26" s="3327"/>
      <c r="LMB26" s="3327"/>
      <c r="LMC26" s="3327"/>
      <c r="LMD26" s="3327"/>
      <c r="LME26" s="3327"/>
      <c r="LMF26" s="3327"/>
      <c r="LMG26" s="3327"/>
      <c r="LMH26" s="3327"/>
      <c r="LMI26" s="3327"/>
      <c r="LMJ26" s="3327"/>
      <c r="LMK26" s="3327"/>
      <c r="LML26" s="3327"/>
      <c r="LMM26" s="3327"/>
      <c r="LMN26" s="3327"/>
      <c r="LMO26" s="3327"/>
      <c r="LMP26" s="3327"/>
      <c r="LMQ26" s="3327"/>
      <c r="LMR26" s="3327"/>
      <c r="LMS26" s="3327"/>
      <c r="LMT26" s="3327"/>
      <c r="LMU26" s="3327"/>
      <c r="LMV26" s="3327"/>
      <c r="LMW26" s="3327"/>
      <c r="LMX26" s="3327"/>
      <c r="LMY26" s="3327"/>
      <c r="LMZ26" s="3327"/>
      <c r="LNA26" s="3327"/>
      <c r="LNB26" s="3327"/>
      <c r="LNC26" s="3327"/>
      <c r="LND26" s="3327"/>
      <c r="LNE26" s="3327"/>
      <c r="LNF26" s="3327"/>
      <c r="LNG26" s="3327"/>
      <c r="LNH26" s="3327"/>
      <c r="LNI26" s="3327"/>
      <c r="LNJ26" s="3327"/>
      <c r="LNK26" s="3327"/>
      <c r="LNL26" s="3327"/>
      <c r="LNM26" s="3327"/>
      <c r="LNN26" s="3327"/>
      <c r="LNO26" s="3327"/>
      <c r="LNP26" s="3327"/>
      <c r="LNQ26" s="3327"/>
      <c r="LNR26" s="3327"/>
      <c r="LNS26" s="3327"/>
      <c r="LNT26" s="3327"/>
      <c r="LNU26" s="3327"/>
      <c r="LNV26" s="3327"/>
      <c r="LNW26" s="3327"/>
      <c r="LNX26" s="3327"/>
      <c r="LNY26" s="3327"/>
      <c r="LNZ26" s="3327"/>
      <c r="LOA26" s="3327"/>
      <c r="LOB26" s="3327"/>
      <c r="LOC26" s="3327"/>
      <c r="LOD26" s="3327"/>
      <c r="LOE26" s="3327"/>
      <c r="LOF26" s="3327"/>
      <c r="LOG26" s="3327"/>
      <c r="LOH26" s="3327"/>
      <c r="LOI26" s="3327"/>
      <c r="LOJ26" s="3327"/>
      <c r="LOK26" s="3327"/>
      <c r="LOL26" s="3327"/>
      <c r="LOM26" s="3327"/>
      <c r="LON26" s="3327"/>
      <c r="LOO26" s="3327"/>
      <c r="LOP26" s="3327"/>
      <c r="LOQ26" s="3327"/>
      <c r="LOR26" s="3327"/>
      <c r="LOS26" s="3327"/>
      <c r="LOT26" s="3327"/>
      <c r="LOU26" s="3327"/>
      <c r="LOV26" s="3327"/>
      <c r="LOW26" s="3327"/>
      <c r="LOX26" s="3327"/>
      <c r="LOY26" s="3327"/>
      <c r="LOZ26" s="3327"/>
      <c r="LPA26" s="3327"/>
      <c r="LPB26" s="3327"/>
      <c r="LPC26" s="3327"/>
      <c r="LPD26" s="3327"/>
      <c r="LPE26" s="3327"/>
      <c r="LPF26" s="3327"/>
      <c r="LPG26" s="3327"/>
      <c r="LPH26" s="3327"/>
      <c r="LPI26" s="3327"/>
      <c r="LPJ26" s="3327"/>
      <c r="LPK26" s="3327"/>
      <c r="LPL26" s="3327"/>
      <c r="LPM26" s="3327"/>
      <c r="LPN26" s="3327"/>
      <c r="LPO26" s="3327"/>
      <c r="LPP26" s="3327"/>
      <c r="LPQ26" s="3327"/>
      <c r="LPR26" s="3327"/>
      <c r="LPS26" s="3327"/>
      <c r="LPT26" s="3327"/>
      <c r="LPU26" s="3327"/>
      <c r="LPV26" s="3327"/>
      <c r="LPW26" s="3327"/>
      <c r="LPX26" s="3327"/>
      <c r="LPY26" s="3327"/>
      <c r="LPZ26" s="3327"/>
      <c r="LQA26" s="3327"/>
      <c r="LQB26" s="3327"/>
      <c r="LQC26" s="3327"/>
      <c r="LQD26" s="3327"/>
      <c r="LQE26" s="3327"/>
      <c r="LQF26" s="3327"/>
      <c r="LQG26" s="3327"/>
      <c r="LQH26" s="3327"/>
      <c r="LQI26" s="3327"/>
      <c r="LQJ26" s="3327"/>
      <c r="LQK26" s="3327"/>
      <c r="LQL26" s="3327"/>
      <c r="LQM26" s="3327"/>
      <c r="LQN26" s="3327"/>
      <c r="LQO26" s="3327"/>
      <c r="LQP26" s="3327"/>
      <c r="LQQ26" s="3327"/>
      <c r="LQR26" s="3327"/>
      <c r="LQS26" s="3327"/>
      <c r="LQT26" s="3327"/>
      <c r="LQU26" s="3327"/>
      <c r="LQV26" s="3327"/>
      <c r="LQW26" s="3327"/>
      <c r="LQX26" s="3327"/>
      <c r="LQY26" s="3327"/>
      <c r="LQZ26" s="3327"/>
      <c r="LRA26" s="3327"/>
      <c r="LRB26" s="3327"/>
      <c r="LRC26" s="3327"/>
      <c r="LRD26" s="3327"/>
      <c r="LRE26" s="3327"/>
      <c r="LRF26" s="3327"/>
      <c r="LRG26" s="3327"/>
      <c r="LRH26" s="3327"/>
      <c r="LRI26" s="3327"/>
      <c r="LRJ26" s="3327"/>
      <c r="LRK26" s="3327"/>
      <c r="LRL26" s="3327"/>
      <c r="LRM26" s="3327"/>
      <c r="LRN26" s="3327"/>
      <c r="LRO26" s="3327"/>
      <c r="LRP26" s="3327"/>
      <c r="LRQ26" s="3327"/>
      <c r="LRR26" s="3327"/>
      <c r="LRS26" s="3327"/>
      <c r="LRT26" s="3327"/>
      <c r="LRU26" s="3327"/>
      <c r="LRV26" s="3327"/>
      <c r="LRW26" s="3327"/>
      <c r="LRX26" s="3327"/>
      <c r="LRY26" s="3327"/>
      <c r="LRZ26" s="3327"/>
      <c r="LSA26" s="3327"/>
      <c r="LSB26" s="3327"/>
      <c r="LSC26" s="3327"/>
      <c r="LSD26" s="3327"/>
      <c r="LSE26" s="3327"/>
      <c r="LSF26" s="3327"/>
      <c r="LSG26" s="3327"/>
      <c r="LSH26" s="3327"/>
      <c r="LSI26" s="3327"/>
      <c r="LSJ26" s="3327"/>
      <c r="LSK26" s="3327"/>
      <c r="LSL26" s="3327"/>
      <c r="LSM26" s="3327"/>
      <c r="LSN26" s="3327"/>
      <c r="LSO26" s="3327"/>
      <c r="LSP26" s="3327"/>
      <c r="LSQ26" s="3327"/>
      <c r="LSR26" s="3327"/>
      <c r="LSS26" s="3327"/>
      <c r="LST26" s="3327"/>
      <c r="LSU26" s="3327"/>
      <c r="LSV26" s="3327"/>
      <c r="LSW26" s="3327"/>
      <c r="LSX26" s="3327"/>
      <c r="LSY26" s="3327"/>
      <c r="LSZ26" s="3327"/>
      <c r="LTA26" s="3327"/>
      <c r="LTB26" s="3327"/>
      <c r="LTC26" s="3327"/>
      <c r="LTD26" s="3327"/>
      <c r="LTE26" s="3327"/>
      <c r="LTF26" s="3327"/>
      <c r="LTG26" s="3327"/>
      <c r="LTH26" s="3327"/>
      <c r="LTI26" s="3327"/>
      <c r="LTJ26" s="3327"/>
      <c r="LTK26" s="3327"/>
      <c r="LTL26" s="3327"/>
      <c r="LTM26" s="3327"/>
      <c r="LTN26" s="3327"/>
      <c r="LTO26" s="3327"/>
      <c r="LTP26" s="3327"/>
      <c r="LTQ26" s="3327"/>
      <c r="LTR26" s="3327"/>
      <c r="LTS26" s="3327"/>
      <c r="LTT26" s="3327"/>
      <c r="LTU26" s="3327"/>
      <c r="LTV26" s="3327"/>
      <c r="LTW26" s="3327"/>
      <c r="LTX26" s="3327"/>
      <c r="LTY26" s="3327"/>
      <c r="LTZ26" s="3327"/>
      <c r="LUA26" s="3327"/>
      <c r="LUB26" s="3327"/>
      <c r="LUC26" s="3327"/>
      <c r="LUD26" s="3327"/>
      <c r="LUE26" s="3327"/>
      <c r="LUF26" s="3327"/>
      <c r="LUG26" s="3327"/>
      <c r="LUH26" s="3327"/>
      <c r="LUI26" s="3327"/>
      <c r="LUJ26" s="3327"/>
      <c r="LUK26" s="3327"/>
      <c r="LUL26" s="3327"/>
      <c r="LUM26" s="3327"/>
      <c r="LUN26" s="3327"/>
      <c r="LUO26" s="3327"/>
      <c r="LUP26" s="3327"/>
      <c r="LUQ26" s="3327"/>
      <c r="LUR26" s="3327"/>
      <c r="LUS26" s="3327"/>
      <c r="LUT26" s="3327"/>
      <c r="LUU26" s="3327"/>
      <c r="LUV26" s="3327"/>
      <c r="LUW26" s="3327"/>
      <c r="LUX26" s="3327"/>
      <c r="LUY26" s="3327"/>
      <c r="LUZ26" s="3327"/>
      <c r="LVA26" s="3327"/>
      <c r="LVB26" s="3327"/>
      <c r="LVC26" s="3327"/>
      <c r="LVD26" s="3327"/>
      <c r="LVE26" s="3327"/>
      <c r="LVF26" s="3327"/>
      <c r="LVG26" s="3327"/>
      <c r="LVH26" s="3327"/>
      <c r="LVI26" s="3327"/>
      <c r="LVJ26" s="3327"/>
      <c r="LVK26" s="3327"/>
      <c r="LVL26" s="3327"/>
      <c r="LVM26" s="3327"/>
      <c r="LVN26" s="3327"/>
      <c r="LVO26" s="3327"/>
      <c r="LVP26" s="3327"/>
      <c r="LVQ26" s="3327"/>
      <c r="LVR26" s="3327"/>
      <c r="LVS26" s="3327"/>
      <c r="LVT26" s="3327"/>
      <c r="LVU26" s="3327"/>
      <c r="LVV26" s="3327"/>
      <c r="LVW26" s="3327"/>
      <c r="LVX26" s="3327"/>
      <c r="LVY26" s="3327"/>
      <c r="LVZ26" s="3327"/>
      <c r="LWA26" s="3327"/>
      <c r="LWB26" s="3327"/>
      <c r="LWC26" s="3327"/>
      <c r="LWD26" s="3327"/>
      <c r="LWE26" s="3327"/>
      <c r="LWF26" s="3327"/>
      <c r="LWG26" s="3327"/>
      <c r="LWH26" s="3327"/>
      <c r="LWI26" s="3327"/>
      <c r="LWJ26" s="3327"/>
      <c r="LWK26" s="3327"/>
      <c r="LWL26" s="3327"/>
      <c r="LWM26" s="3327"/>
      <c r="LWN26" s="3327"/>
      <c r="LWO26" s="3327"/>
      <c r="LWP26" s="3327"/>
      <c r="LWQ26" s="3327"/>
      <c r="LWR26" s="3327"/>
      <c r="LWS26" s="3327"/>
      <c r="LWT26" s="3327"/>
      <c r="LWU26" s="3327"/>
      <c r="LWV26" s="3327"/>
      <c r="LWW26" s="3327"/>
      <c r="LWX26" s="3327"/>
      <c r="LWY26" s="3327"/>
      <c r="LWZ26" s="3327"/>
      <c r="LXA26" s="3327"/>
      <c r="LXB26" s="3327"/>
      <c r="LXC26" s="3327"/>
      <c r="LXD26" s="3327"/>
      <c r="LXE26" s="3327"/>
      <c r="LXF26" s="3327"/>
      <c r="LXG26" s="3327"/>
      <c r="LXH26" s="3327"/>
      <c r="LXI26" s="3327"/>
      <c r="LXJ26" s="3327"/>
      <c r="LXK26" s="3327"/>
      <c r="LXL26" s="3327"/>
      <c r="LXM26" s="3327"/>
      <c r="LXN26" s="3327"/>
      <c r="LXO26" s="3327"/>
      <c r="LXP26" s="3327"/>
      <c r="LXQ26" s="3327"/>
      <c r="LXR26" s="3327"/>
      <c r="LXS26" s="3327"/>
      <c r="LXT26" s="3327"/>
      <c r="LXU26" s="3327"/>
      <c r="LXV26" s="3327"/>
      <c r="LXW26" s="3327"/>
      <c r="LXX26" s="3327"/>
      <c r="LXY26" s="3327"/>
      <c r="LXZ26" s="3327"/>
      <c r="LYA26" s="3327"/>
      <c r="LYB26" s="3327"/>
      <c r="LYC26" s="3327"/>
      <c r="LYD26" s="3327"/>
      <c r="LYE26" s="3327"/>
      <c r="LYF26" s="3327"/>
      <c r="LYG26" s="3327"/>
      <c r="LYH26" s="3327"/>
      <c r="LYI26" s="3327"/>
      <c r="LYJ26" s="3327"/>
      <c r="LYK26" s="3327"/>
      <c r="LYL26" s="3327"/>
      <c r="LYM26" s="3327"/>
      <c r="LYN26" s="3327"/>
      <c r="LYO26" s="3327"/>
      <c r="LYP26" s="3327"/>
      <c r="LYQ26" s="3327"/>
      <c r="LYR26" s="3327"/>
      <c r="LYS26" s="3327"/>
      <c r="LYT26" s="3327"/>
      <c r="LYU26" s="3327"/>
      <c r="LYV26" s="3327"/>
      <c r="LYW26" s="3327"/>
      <c r="LYX26" s="3327"/>
      <c r="LYY26" s="3327"/>
      <c r="LYZ26" s="3327"/>
      <c r="LZA26" s="3327"/>
      <c r="LZB26" s="3327"/>
      <c r="LZC26" s="3327"/>
      <c r="LZD26" s="3327"/>
      <c r="LZE26" s="3327"/>
      <c r="LZF26" s="3327"/>
      <c r="LZG26" s="3327"/>
      <c r="LZH26" s="3327"/>
      <c r="LZI26" s="3327"/>
      <c r="LZJ26" s="3327"/>
      <c r="LZK26" s="3327"/>
      <c r="LZL26" s="3327"/>
      <c r="LZM26" s="3327"/>
      <c r="LZN26" s="3327"/>
      <c r="LZO26" s="3327"/>
      <c r="LZP26" s="3327"/>
      <c r="LZQ26" s="3327"/>
      <c r="LZR26" s="3327"/>
      <c r="LZS26" s="3327"/>
      <c r="LZT26" s="3327"/>
      <c r="LZU26" s="3327"/>
      <c r="LZV26" s="3327"/>
      <c r="LZW26" s="3327"/>
      <c r="LZX26" s="3327"/>
      <c r="LZY26" s="3327"/>
      <c r="LZZ26" s="3327"/>
      <c r="MAA26" s="3327"/>
      <c r="MAB26" s="3327"/>
      <c r="MAC26" s="3327"/>
      <c r="MAD26" s="3327"/>
      <c r="MAE26" s="3327"/>
      <c r="MAF26" s="3327"/>
      <c r="MAG26" s="3327"/>
      <c r="MAH26" s="3327"/>
      <c r="MAI26" s="3327"/>
      <c r="MAJ26" s="3327"/>
      <c r="MAK26" s="3327"/>
      <c r="MAL26" s="3327"/>
      <c r="MAM26" s="3327"/>
      <c r="MAN26" s="3327"/>
      <c r="MAO26" s="3327"/>
      <c r="MAP26" s="3327"/>
      <c r="MAQ26" s="3327"/>
      <c r="MAR26" s="3327"/>
      <c r="MAS26" s="3327"/>
      <c r="MAT26" s="3327"/>
      <c r="MAU26" s="3327"/>
      <c r="MAV26" s="3327"/>
      <c r="MAW26" s="3327"/>
      <c r="MAX26" s="3327"/>
      <c r="MAY26" s="3327"/>
      <c r="MAZ26" s="3327"/>
      <c r="MBA26" s="3327"/>
      <c r="MBB26" s="3327"/>
      <c r="MBC26" s="3327"/>
      <c r="MBD26" s="3327"/>
      <c r="MBE26" s="3327"/>
      <c r="MBF26" s="3327"/>
      <c r="MBG26" s="3327"/>
      <c r="MBH26" s="3327"/>
      <c r="MBI26" s="3327"/>
      <c r="MBJ26" s="3327"/>
      <c r="MBK26" s="3327"/>
      <c r="MBL26" s="3327"/>
      <c r="MBM26" s="3327"/>
      <c r="MBN26" s="3327"/>
      <c r="MBO26" s="3327"/>
      <c r="MBP26" s="3327"/>
      <c r="MBQ26" s="3327"/>
      <c r="MBR26" s="3327"/>
      <c r="MBS26" s="3327"/>
      <c r="MBT26" s="3327"/>
      <c r="MBU26" s="3327"/>
      <c r="MBV26" s="3327"/>
      <c r="MBW26" s="3327"/>
      <c r="MBX26" s="3327"/>
      <c r="MBY26" s="3327"/>
      <c r="MBZ26" s="3327"/>
      <c r="MCA26" s="3327"/>
      <c r="MCB26" s="3327"/>
      <c r="MCC26" s="3327"/>
      <c r="MCD26" s="3327"/>
      <c r="MCE26" s="3327"/>
      <c r="MCF26" s="3327"/>
      <c r="MCG26" s="3327"/>
      <c r="MCH26" s="3327"/>
      <c r="MCI26" s="3327"/>
      <c r="MCJ26" s="3327"/>
      <c r="MCK26" s="3327"/>
      <c r="MCL26" s="3327"/>
      <c r="MCM26" s="3327"/>
      <c r="MCN26" s="3327"/>
      <c r="MCO26" s="3327"/>
      <c r="MCP26" s="3327"/>
      <c r="MCQ26" s="3327"/>
      <c r="MCR26" s="3327"/>
      <c r="MCS26" s="3327"/>
      <c r="MCT26" s="3327"/>
      <c r="MCU26" s="3327"/>
      <c r="MCV26" s="3327"/>
      <c r="MCW26" s="3327"/>
      <c r="MCX26" s="3327"/>
      <c r="MCY26" s="3327"/>
      <c r="MCZ26" s="3327"/>
      <c r="MDA26" s="3327"/>
      <c r="MDB26" s="3327"/>
      <c r="MDC26" s="3327"/>
      <c r="MDD26" s="3327"/>
      <c r="MDE26" s="3327"/>
      <c r="MDF26" s="3327"/>
      <c r="MDG26" s="3327"/>
      <c r="MDH26" s="3327"/>
      <c r="MDI26" s="3327"/>
      <c r="MDJ26" s="3327"/>
      <c r="MDK26" s="3327"/>
      <c r="MDL26" s="3327"/>
      <c r="MDM26" s="3327"/>
      <c r="MDN26" s="3327"/>
      <c r="MDO26" s="3327"/>
      <c r="MDP26" s="3327"/>
      <c r="MDQ26" s="3327"/>
      <c r="MDR26" s="3327"/>
      <c r="MDS26" s="3327"/>
      <c r="MDT26" s="3327"/>
      <c r="MDU26" s="3327"/>
      <c r="MDV26" s="3327"/>
      <c r="MDW26" s="3327"/>
      <c r="MDX26" s="3327"/>
      <c r="MDY26" s="3327"/>
      <c r="MDZ26" s="3327"/>
      <c r="MEA26" s="3327"/>
      <c r="MEB26" s="3327"/>
      <c r="MEC26" s="3327"/>
      <c r="MED26" s="3327"/>
      <c r="MEE26" s="3327"/>
      <c r="MEF26" s="3327"/>
      <c r="MEG26" s="3327"/>
      <c r="MEH26" s="3327"/>
      <c r="MEI26" s="3327"/>
      <c r="MEJ26" s="3327"/>
      <c r="MEK26" s="3327"/>
      <c r="MEL26" s="3327"/>
      <c r="MEM26" s="3327"/>
      <c r="MEN26" s="3327"/>
      <c r="MEO26" s="3327"/>
      <c r="MEP26" s="3327"/>
      <c r="MEQ26" s="3327"/>
      <c r="MER26" s="3327"/>
      <c r="MES26" s="3327"/>
      <c r="MET26" s="3327"/>
      <c r="MEU26" s="3327"/>
      <c r="MEV26" s="3327"/>
      <c r="MEW26" s="3327"/>
      <c r="MEX26" s="3327"/>
      <c r="MEY26" s="3327"/>
      <c r="MEZ26" s="3327"/>
      <c r="MFA26" s="3327"/>
      <c r="MFB26" s="3327"/>
      <c r="MFC26" s="3327"/>
      <c r="MFD26" s="3327"/>
      <c r="MFE26" s="3327"/>
      <c r="MFF26" s="3327"/>
      <c r="MFG26" s="3327"/>
      <c r="MFH26" s="3327"/>
      <c r="MFI26" s="3327"/>
      <c r="MFJ26" s="3327"/>
      <c r="MFK26" s="3327"/>
      <c r="MFL26" s="3327"/>
      <c r="MFM26" s="3327"/>
      <c r="MFN26" s="3327"/>
      <c r="MFO26" s="3327"/>
      <c r="MFP26" s="3327"/>
      <c r="MFQ26" s="3327"/>
      <c r="MFR26" s="3327"/>
      <c r="MFS26" s="3327"/>
      <c r="MFT26" s="3327"/>
      <c r="MFU26" s="3327"/>
      <c r="MFV26" s="3327"/>
      <c r="MFW26" s="3327"/>
      <c r="MFX26" s="3327"/>
      <c r="MFY26" s="3327"/>
      <c r="MFZ26" s="3327"/>
      <c r="MGA26" s="3327"/>
      <c r="MGB26" s="3327"/>
      <c r="MGC26" s="3327"/>
      <c r="MGD26" s="3327"/>
      <c r="MGE26" s="3327"/>
      <c r="MGF26" s="3327"/>
      <c r="MGG26" s="3327"/>
      <c r="MGH26" s="3327"/>
      <c r="MGI26" s="3327"/>
      <c r="MGJ26" s="3327"/>
      <c r="MGK26" s="3327"/>
      <c r="MGL26" s="3327"/>
      <c r="MGM26" s="3327"/>
      <c r="MGN26" s="3327"/>
      <c r="MGO26" s="3327"/>
      <c r="MGP26" s="3327"/>
      <c r="MGQ26" s="3327"/>
      <c r="MGR26" s="3327"/>
      <c r="MGS26" s="3327"/>
      <c r="MGT26" s="3327"/>
      <c r="MGU26" s="3327"/>
      <c r="MGV26" s="3327"/>
      <c r="MGW26" s="3327"/>
      <c r="MGX26" s="3327"/>
      <c r="MGY26" s="3327"/>
      <c r="MGZ26" s="3327"/>
      <c r="MHA26" s="3327"/>
      <c r="MHB26" s="3327"/>
      <c r="MHC26" s="3327"/>
      <c r="MHD26" s="3327"/>
      <c r="MHE26" s="3327"/>
      <c r="MHF26" s="3327"/>
      <c r="MHG26" s="3327"/>
      <c r="MHH26" s="3327"/>
      <c r="MHI26" s="3327"/>
      <c r="MHJ26" s="3327"/>
      <c r="MHK26" s="3327"/>
      <c r="MHL26" s="3327"/>
      <c r="MHM26" s="3327"/>
      <c r="MHN26" s="3327"/>
      <c r="MHO26" s="3327"/>
      <c r="MHP26" s="3327"/>
      <c r="MHQ26" s="3327"/>
      <c r="MHR26" s="3327"/>
      <c r="MHS26" s="3327"/>
      <c r="MHT26" s="3327"/>
      <c r="MHU26" s="3327"/>
      <c r="MHV26" s="3327"/>
      <c r="MHW26" s="3327"/>
      <c r="MHX26" s="3327"/>
      <c r="MHY26" s="3327"/>
      <c r="MHZ26" s="3327"/>
      <c r="MIA26" s="3327"/>
      <c r="MIB26" s="3327"/>
      <c r="MIC26" s="3327"/>
      <c r="MID26" s="3327"/>
      <c r="MIE26" s="3327"/>
      <c r="MIF26" s="3327"/>
      <c r="MIG26" s="3327"/>
      <c r="MIH26" s="3327"/>
      <c r="MII26" s="3327"/>
      <c r="MIJ26" s="3327"/>
      <c r="MIK26" s="3327"/>
      <c r="MIL26" s="3327"/>
      <c r="MIM26" s="3327"/>
      <c r="MIN26" s="3327"/>
      <c r="MIO26" s="3327"/>
      <c r="MIP26" s="3327"/>
      <c r="MIQ26" s="3327"/>
      <c r="MIR26" s="3327"/>
      <c r="MIS26" s="3327"/>
      <c r="MIT26" s="3327"/>
      <c r="MIU26" s="3327"/>
      <c r="MIV26" s="3327"/>
      <c r="MIW26" s="3327"/>
      <c r="MIX26" s="3327"/>
      <c r="MIY26" s="3327"/>
      <c r="MIZ26" s="3327"/>
      <c r="MJA26" s="3327"/>
      <c r="MJB26" s="3327"/>
      <c r="MJC26" s="3327"/>
      <c r="MJD26" s="3327"/>
      <c r="MJE26" s="3327"/>
      <c r="MJF26" s="3327"/>
      <c r="MJG26" s="3327"/>
      <c r="MJH26" s="3327"/>
      <c r="MJI26" s="3327"/>
      <c r="MJJ26" s="3327"/>
      <c r="MJK26" s="3327"/>
      <c r="MJL26" s="3327"/>
      <c r="MJM26" s="3327"/>
      <c r="MJN26" s="3327"/>
      <c r="MJO26" s="3327"/>
      <c r="MJP26" s="3327"/>
      <c r="MJQ26" s="3327"/>
      <c r="MJR26" s="3327"/>
      <c r="MJS26" s="3327"/>
      <c r="MJT26" s="3327"/>
      <c r="MJU26" s="3327"/>
      <c r="MJV26" s="3327"/>
      <c r="MJW26" s="3327"/>
      <c r="MJX26" s="3327"/>
      <c r="MJY26" s="3327"/>
      <c r="MJZ26" s="3327"/>
      <c r="MKA26" s="3327"/>
      <c r="MKB26" s="3327"/>
      <c r="MKC26" s="3327"/>
      <c r="MKD26" s="3327"/>
      <c r="MKE26" s="3327"/>
      <c r="MKF26" s="3327"/>
      <c r="MKG26" s="3327"/>
      <c r="MKH26" s="3327"/>
      <c r="MKI26" s="3327"/>
      <c r="MKJ26" s="3327"/>
      <c r="MKK26" s="3327"/>
      <c r="MKL26" s="3327"/>
      <c r="MKM26" s="3327"/>
      <c r="MKN26" s="3327"/>
      <c r="MKO26" s="3327"/>
      <c r="MKP26" s="3327"/>
      <c r="MKQ26" s="3327"/>
      <c r="MKR26" s="3327"/>
      <c r="MKS26" s="3327"/>
      <c r="MKT26" s="3327"/>
      <c r="MKU26" s="3327"/>
      <c r="MKV26" s="3327"/>
      <c r="MKW26" s="3327"/>
      <c r="MKX26" s="3327"/>
      <c r="MKY26" s="3327"/>
      <c r="MKZ26" s="3327"/>
      <c r="MLA26" s="3327"/>
      <c r="MLB26" s="3327"/>
      <c r="MLC26" s="3327"/>
      <c r="MLD26" s="3327"/>
      <c r="MLE26" s="3327"/>
      <c r="MLF26" s="3327"/>
      <c r="MLG26" s="3327"/>
      <c r="MLH26" s="3327"/>
      <c r="MLI26" s="3327"/>
      <c r="MLJ26" s="3327"/>
      <c r="MLK26" s="3327"/>
      <c r="MLL26" s="3327"/>
      <c r="MLM26" s="3327"/>
      <c r="MLN26" s="3327"/>
      <c r="MLO26" s="3327"/>
      <c r="MLP26" s="3327"/>
      <c r="MLQ26" s="3327"/>
      <c r="MLR26" s="3327"/>
      <c r="MLS26" s="3327"/>
      <c r="MLT26" s="3327"/>
      <c r="MLU26" s="3327"/>
      <c r="MLV26" s="3327"/>
      <c r="MLW26" s="3327"/>
      <c r="MLX26" s="3327"/>
      <c r="MLY26" s="3327"/>
      <c r="MLZ26" s="3327"/>
      <c r="MMA26" s="3327"/>
      <c r="MMB26" s="3327"/>
      <c r="MMC26" s="3327"/>
      <c r="MMD26" s="3327"/>
      <c r="MME26" s="3327"/>
      <c r="MMF26" s="3327"/>
      <c r="MMG26" s="3327"/>
      <c r="MMH26" s="3327"/>
      <c r="MMI26" s="3327"/>
      <c r="MMJ26" s="3327"/>
      <c r="MMK26" s="3327"/>
      <c r="MML26" s="3327"/>
      <c r="MMM26" s="3327"/>
      <c r="MMN26" s="3327"/>
      <c r="MMO26" s="3327"/>
      <c r="MMP26" s="3327"/>
      <c r="MMQ26" s="3327"/>
      <c r="MMR26" s="3327"/>
      <c r="MMS26" s="3327"/>
      <c r="MMT26" s="3327"/>
      <c r="MMU26" s="3327"/>
      <c r="MMV26" s="3327"/>
      <c r="MMW26" s="3327"/>
      <c r="MMX26" s="3327"/>
      <c r="MMY26" s="3327"/>
      <c r="MMZ26" s="3327"/>
      <c r="MNA26" s="3327"/>
      <c r="MNB26" s="3327"/>
      <c r="MNC26" s="3327"/>
      <c r="MND26" s="3327"/>
      <c r="MNE26" s="3327"/>
      <c r="MNF26" s="3327"/>
      <c r="MNG26" s="3327"/>
      <c r="MNH26" s="3327"/>
      <c r="MNI26" s="3327"/>
      <c r="MNJ26" s="3327"/>
      <c r="MNK26" s="3327"/>
      <c r="MNL26" s="3327"/>
      <c r="MNM26" s="3327"/>
      <c r="MNN26" s="3327"/>
      <c r="MNO26" s="3327"/>
      <c r="MNP26" s="3327"/>
      <c r="MNQ26" s="3327"/>
      <c r="MNR26" s="3327"/>
      <c r="MNS26" s="3327"/>
      <c r="MNT26" s="3327"/>
      <c r="MNU26" s="3327"/>
      <c r="MNV26" s="3327"/>
      <c r="MNW26" s="3327"/>
      <c r="MNX26" s="3327"/>
      <c r="MNY26" s="3327"/>
      <c r="MNZ26" s="3327"/>
      <c r="MOA26" s="3327"/>
      <c r="MOB26" s="3327"/>
      <c r="MOC26" s="3327"/>
      <c r="MOD26" s="3327"/>
      <c r="MOE26" s="3327"/>
      <c r="MOF26" s="3327"/>
      <c r="MOG26" s="3327"/>
      <c r="MOH26" s="3327"/>
      <c r="MOI26" s="3327"/>
      <c r="MOJ26" s="3327"/>
      <c r="MOK26" s="3327"/>
      <c r="MOL26" s="3327"/>
      <c r="MOM26" s="3327"/>
      <c r="MON26" s="3327"/>
      <c r="MOO26" s="3327"/>
      <c r="MOP26" s="3327"/>
      <c r="MOQ26" s="3327"/>
      <c r="MOR26" s="3327"/>
      <c r="MOS26" s="3327"/>
      <c r="MOT26" s="3327"/>
      <c r="MOU26" s="3327"/>
      <c r="MOV26" s="3327"/>
      <c r="MOW26" s="3327"/>
      <c r="MOX26" s="3327"/>
      <c r="MOY26" s="3327"/>
      <c r="MOZ26" s="3327"/>
      <c r="MPA26" s="3327"/>
      <c r="MPB26" s="3327"/>
      <c r="MPC26" s="3327"/>
      <c r="MPD26" s="3327"/>
      <c r="MPE26" s="3327"/>
      <c r="MPF26" s="3327"/>
      <c r="MPG26" s="3327"/>
      <c r="MPH26" s="3327"/>
      <c r="MPI26" s="3327"/>
      <c r="MPJ26" s="3327"/>
      <c r="MPK26" s="3327"/>
      <c r="MPL26" s="3327"/>
      <c r="MPM26" s="3327"/>
      <c r="MPN26" s="3327"/>
      <c r="MPO26" s="3327"/>
      <c r="MPP26" s="3327"/>
      <c r="MPQ26" s="3327"/>
      <c r="MPR26" s="3327"/>
      <c r="MPS26" s="3327"/>
      <c r="MPT26" s="3327"/>
      <c r="MPU26" s="3327"/>
      <c r="MPV26" s="3327"/>
      <c r="MPW26" s="3327"/>
      <c r="MPX26" s="3327"/>
      <c r="MPY26" s="3327"/>
      <c r="MPZ26" s="3327"/>
      <c r="MQA26" s="3327"/>
      <c r="MQB26" s="3327"/>
      <c r="MQC26" s="3327"/>
      <c r="MQD26" s="3327"/>
      <c r="MQE26" s="3327"/>
      <c r="MQF26" s="3327"/>
      <c r="MQG26" s="3327"/>
      <c r="MQH26" s="3327"/>
      <c r="MQI26" s="3327"/>
      <c r="MQJ26" s="3327"/>
      <c r="MQK26" s="3327"/>
      <c r="MQL26" s="3327"/>
      <c r="MQM26" s="3327"/>
      <c r="MQN26" s="3327"/>
      <c r="MQO26" s="3327"/>
      <c r="MQP26" s="3327"/>
      <c r="MQQ26" s="3327"/>
      <c r="MQR26" s="3327"/>
      <c r="MQS26" s="3327"/>
      <c r="MQT26" s="3327"/>
      <c r="MQU26" s="3327"/>
      <c r="MQV26" s="3327"/>
      <c r="MQW26" s="3327"/>
      <c r="MQX26" s="3327"/>
      <c r="MQY26" s="3327"/>
      <c r="MQZ26" s="3327"/>
      <c r="MRA26" s="3327"/>
      <c r="MRB26" s="3327"/>
      <c r="MRC26" s="3327"/>
      <c r="MRD26" s="3327"/>
      <c r="MRE26" s="3327"/>
      <c r="MRF26" s="3327"/>
      <c r="MRG26" s="3327"/>
      <c r="MRH26" s="3327"/>
      <c r="MRI26" s="3327"/>
      <c r="MRJ26" s="3327"/>
      <c r="MRK26" s="3327"/>
      <c r="MRL26" s="3327"/>
      <c r="MRM26" s="3327"/>
      <c r="MRN26" s="3327"/>
      <c r="MRO26" s="3327"/>
      <c r="MRP26" s="3327"/>
      <c r="MRQ26" s="3327"/>
      <c r="MRR26" s="3327"/>
      <c r="MRS26" s="3327"/>
      <c r="MRT26" s="3327"/>
      <c r="MRU26" s="3327"/>
      <c r="MRV26" s="3327"/>
      <c r="MRW26" s="3327"/>
      <c r="MRX26" s="3327"/>
      <c r="MRY26" s="3327"/>
      <c r="MRZ26" s="3327"/>
      <c r="MSA26" s="3327"/>
      <c r="MSB26" s="3327"/>
      <c r="MSC26" s="3327"/>
      <c r="MSD26" s="3327"/>
      <c r="MSE26" s="3327"/>
      <c r="MSF26" s="3327"/>
      <c r="MSG26" s="3327"/>
      <c r="MSH26" s="3327"/>
      <c r="MSI26" s="3327"/>
      <c r="MSJ26" s="3327"/>
      <c r="MSK26" s="3327"/>
      <c r="MSL26" s="3327"/>
      <c r="MSM26" s="3327"/>
      <c r="MSN26" s="3327"/>
      <c r="MSO26" s="3327"/>
      <c r="MSP26" s="3327"/>
      <c r="MSQ26" s="3327"/>
      <c r="MSR26" s="3327"/>
      <c r="MSS26" s="3327"/>
      <c r="MST26" s="3327"/>
      <c r="MSU26" s="3327"/>
      <c r="MSV26" s="3327"/>
      <c r="MSW26" s="3327"/>
      <c r="MSX26" s="3327"/>
      <c r="MSY26" s="3327"/>
      <c r="MSZ26" s="3327"/>
      <c r="MTA26" s="3327"/>
      <c r="MTB26" s="3327"/>
      <c r="MTC26" s="3327"/>
      <c r="MTD26" s="3327"/>
      <c r="MTE26" s="3327"/>
      <c r="MTF26" s="3327"/>
      <c r="MTG26" s="3327"/>
      <c r="MTH26" s="3327"/>
      <c r="MTI26" s="3327"/>
      <c r="MTJ26" s="3327"/>
      <c r="MTK26" s="3327"/>
      <c r="MTL26" s="3327"/>
      <c r="MTM26" s="3327"/>
      <c r="MTN26" s="3327"/>
      <c r="MTO26" s="3327"/>
      <c r="MTP26" s="3327"/>
      <c r="MTQ26" s="3327"/>
      <c r="MTR26" s="3327"/>
      <c r="MTS26" s="3327"/>
      <c r="MTT26" s="3327"/>
      <c r="MTU26" s="3327"/>
      <c r="MTV26" s="3327"/>
      <c r="MTW26" s="3327"/>
      <c r="MTX26" s="3327"/>
      <c r="MTY26" s="3327"/>
      <c r="MTZ26" s="3327"/>
      <c r="MUA26" s="3327"/>
      <c r="MUB26" s="3327"/>
      <c r="MUC26" s="3327"/>
      <c r="MUD26" s="3327"/>
      <c r="MUE26" s="3327"/>
      <c r="MUF26" s="3327"/>
      <c r="MUG26" s="3327"/>
      <c r="MUH26" s="3327"/>
      <c r="MUI26" s="3327"/>
      <c r="MUJ26" s="3327"/>
      <c r="MUK26" s="3327"/>
      <c r="MUL26" s="3327"/>
      <c r="MUM26" s="3327"/>
      <c r="MUN26" s="3327"/>
      <c r="MUO26" s="3327"/>
      <c r="MUP26" s="3327"/>
      <c r="MUQ26" s="3327"/>
      <c r="MUR26" s="3327"/>
      <c r="MUS26" s="3327"/>
      <c r="MUT26" s="3327"/>
      <c r="MUU26" s="3327"/>
      <c r="MUV26" s="3327"/>
      <c r="MUW26" s="3327"/>
      <c r="MUX26" s="3327"/>
      <c r="MUY26" s="3327"/>
      <c r="MUZ26" s="3327"/>
      <c r="MVA26" s="3327"/>
      <c r="MVB26" s="3327"/>
      <c r="MVC26" s="3327"/>
      <c r="MVD26" s="3327"/>
      <c r="MVE26" s="3327"/>
      <c r="MVF26" s="3327"/>
      <c r="MVG26" s="3327"/>
      <c r="MVH26" s="3327"/>
      <c r="MVI26" s="3327"/>
      <c r="MVJ26" s="3327"/>
      <c r="MVK26" s="3327"/>
      <c r="MVL26" s="3327"/>
      <c r="MVM26" s="3327"/>
      <c r="MVN26" s="3327"/>
      <c r="MVO26" s="3327"/>
      <c r="MVP26" s="3327"/>
      <c r="MVQ26" s="3327"/>
      <c r="MVR26" s="3327"/>
      <c r="MVS26" s="3327"/>
      <c r="MVT26" s="3327"/>
      <c r="MVU26" s="3327"/>
      <c r="MVV26" s="3327"/>
      <c r="MVW26" s="3327"/>
      <c r="MVX26" s="3327"/>
      <c r="MVY26" s="3327"/>
      <c r="MVZ26" s="3327"/>
      <c r="MWA26" s="3327"/>
      <c r="MWB26" s="3327"/>
      <c r="MWC26" s="3327"/>
      <c r="MWD26" s="3327"/>
      <c r="MWE26" s="3327"/>
      <c r="MWF26" s="3327"/>
      <c r="MWG26" s="3327"/>
      <c r="MWH26" s="3327"/>
      <c r="MWI26" s="3327"/>
      <c r="MWJ26" s="3327"/>
      <c r="MWK26" s="3327"/>
      <c r="MWL26" s="3327"/>
      <c r="MWM26" s="3327"/>
      <c r="MWN26" s="3327"/>
      <c r="MWO26" s="3327"/>
      <c r="MWP26" s="3327"/>
      <c r="MWQ26" s="3327"/>
      <c r="MWR26" s="3327"/>
      <c r="MWS26" s="3327"/>
      <c r="MWT26" s="3327"/>
      <c r="MWU26" s="3327"/>
      <c r="MWV26" s="3327"/>
      <c r="MWW26" s="3327"/>
      <c r="MWX26" s="3327"/>
      <c r="MWY26" s="3327"/>
      <c r="MWZ26" s="3327"/>
      <c r="MXA26" s="3327"/>
      <c r="MXB26" s="3327"/>
      <c r="MXC26" s="3327"/>
      <c r="MXD26" s="3327"/>
      <c r="MXE26" s="3327"/>
      <c r="MXF26" s="3327"/>
      <c r="MXG26" s="3327"/>
      <c r="MXH26" s="3327"/>
      <c r="MXI26" s="3327"/>
      <c r="MXJ26" s="3327"/>
      <c r="MXK26" s="3327"/>
      <c r="MXL26" s="3327"/>
      <c r="MXM26" s="3327"/>
      <c r="MXN26" s="3327"/>
      <c r="MXO26" s="3327"/>
      <c r="MXP26" s="3327"/>
      <c r="MXQ26" s="3327"/>
      <c r="MXR26" s="3327"/>
      <c r="MXS26" s="3327"/>
      <c r="MXT26" s="3327"/>
      <c r="MXU26" s="3327"/>
      <c r="MXV26" s="3327"/>
      <c r="MXW26" s="3327"/>
      <c r="MXX26" s="3327"/>
      <c r="MXY26" s="3327"/>
      <c r="MXZ26" s="3327"/>
      <c r="MYA26" s="3327"/>
      <c r="MYB26" s="3327"/>
      <c r="MYC26" s="3327"/>
      <c r="MYD26" s="3327"/>
      <c r="MYE26" s="3327"/>
      <c r="MYF26" s="3327"/>
      <c r="MYG26" s="3327"/>
      <c r="MYH26" s="3327"/>
      <c r="MYI26" s="3327"/>
      <c r="MYJ26" s="3327"/>
      <c r="MYK26" s="3327"/>
      <c r="MYL26" s="3327"/>
      <c r="MYM26" s="3327"/>
      <c r="MYN26" s="3327"/>
      <c r="MYO26" s="3327"/>
      <c r="MYP26" s="3327"/>
      <c r="MYQ26" s="3327"/>
      <c r="MYR26" s="3327"/>
      <c r="MYS26" s="3327"/>
      <c r="MYT26" s="3327"/>
      <c r="MYU26" s="3327"/>
      <c r="MYV26" s="3327"/>
      <c r="MYW26" s="3327"/>
      <c r="MYX26" s="3327"/>
      <c r="MYY26" s="3327"/>
      <c r="MYZ26" s="3327"/>
      <c r="MZA26" s="3327"/>
      <c r="MZB26" s="3327"/>
      <c r="MZC26" s="3327"/>
      <c r="MZD26" s="3327"/>
      <c r="MZE26" s="3327"/>
      <c r="MZF26" s="3327"/>
      <c r="MZG26" s="3327"/>
      <c r="MZH26" s="3327"/>
      <c r="MZI26" s="3327"/>
      <c r="MZJ26" s="3327"/>
      <c r="MZK26" s="3327"/>
      <c r="MZL26" s="3327"/>
      <c r="MZM26" s="3327"/>
      <c r="MZN26" s="3327"/>
      <c r="MZO26" s="3327"/>
      <c r="MZP26" s="3327"/>
      <c r="MZQ26" s="3327"/>
      <c r="MZR26" s="3327"/>
      <c r="MZS26" s="3327"/>
      <c r="MZT26" s="3327"/>
      <c r="MZU26" s="3327"/>
      <c r="MZV26" s="3327"/>
      <c r="MZW26" s="3327"/>
      <c r="MZX26" s="3327"/>
      <c r="MZY26" s="3327"/>
      <c r="MZZ26" s="3327"/>
      <c r="NAA26" s="3327"/>
      <c r="NAB26" s="3327"/>
      <c r="NAC26" s="3327"/>
      <c r="NAD26" s="3327"/>
      <c r="NAE26" s="3327"/>
      <c r="NAF26" s="3327"/>
      <c r="NAG26" s="3327"/>
      <c r="NAH26" s="3327"/>
      <c r="NAI26" s="3327"/>
      <c r="NAJ26" s="3327"/>
      <c r="NAK26" s="3327"/>
      <c r="NAL26" s="3327"/>
      <c r="NAM26" s="3327"/>
      <c r="NAN26" s="3327"/>
      <c r="NAO26" s="3327"/>
      <c r="NAP26" s="3327"/>
      <c r="NAQ26" s="3327"/>
      <c r="NAR26" s="3327"/>
      <c r="NAS26" s="3327"/>
      <c r="NAT26" s="3327"/>
      <c r="NAU26" s="3327"/>
      <c r="NAV26" s="3327"/>
      <c r="NAW26" s="3327"/>
      <c r="NAX26" s="3327"/>
      <c r="NAY26" s="3327"/>
      <c r="NAZ26" s="3327"/>
      <c r="NBA26" s="3327"/>
      <c r="NBB26" s="3327"/>
      <c r="NBC26" s="3327"/>
      <c r="NBD26" s="3327"/>
      <c r="NBE26" s="3327"/>
      <c r="NBF26" s="3327"/>
      <c r="NBG26" s="3327"/>
      <c r="NBH26" s="3327"/>
      <c r="NBI26" s="3327"/>
      <c r="NBJ26" s="3327"/>
      <c r="NBK26" s="3327"/>
      <c r="NBL26" s="3327"/>
      <c r="NBM26" s="3327"/>
      <c r="NBN26" s="3327"/>
      <c r="NBO26" s="3327"/>
      <c r="NBP26" s="3327"/>
      <c r="NBQ26" s="3327"/>
      <c r="NBR26" s="3327"/>
      <c r="NBS26" s="3327"/>
      <c r="NBT26" s="3327"/>
      <c r="NBU26" s="3327"/>
      <c r="NBV26" s="3327"/>
      <c r="NBW26" s="3327"/>
      <c r="NBX26" s="3327"/>
      <c r="NBY26" s="3327"/>
      <c r="NBZ26" s="3327"/>
      <c r="NCA26" s="3327"/>
      <c r="NCB26" s="3327"/>
      <c r="NCC26" s="3327"/>
      <c r="NCD26" s="3327"/>
      <c r="NCE26" s="3327"/>
      <c r="NCF26" s="3327"/>
      <c r="NCG26" s="3327"/>
      <c r="NCH26" s="3327"/>
      <c r="NCI26" s="3327"/>
      <c r="NCJ26" s="3327"/>
      <c r="NCK26" s="3327"/>
      <c r="NCL26" s="3327"/>
      <c r="NCM26" s="3327"/>
      <c r="NCN26" s="3327"/>
      <c r="NCO26" s="3327"/>
      <c r="NCP26" s="3327"/>
      <c r="NCQ26" s="3327"/>
      <c r="NCR26" s="3327"/>
      <c r="NCS26" s="3327"/>
      <c r="NCT26" s="3327"/>
      <c r="NCU26" s="3327"/>
      <c r="NCV26" s="3327"/>
      <c r="NCW26" s="3327"/>
      <c r="NCX26" s="3327"/>
      <c r="NCY26" s="3327"/>
      <c r="NCZ26" s="3327"/>
      <c r="NDA26" s="3327"/>
      <c r="NDB26" s="3327"/>
      <c r="NDC26" s="3327"/>
      <c r="NDD26" s="3327"/>
      <c r="NDE26" s="3327"/>
      <c r="NDF26" s="3327"/>
      <c r="NDG26" s="3327"/>
      <c r="NDH26" s="3327"/>
      <c r="NDI26" s="3327"/>
      <c r="NDJ26" s="3327"/>
      <c r="NDK26" s="3327"/>
      <c r="NDL26" s="3327"/>
      <c r="NDM26" s="3327"/>
      <c r="NDN26" s="3327"/>
      <c r="NDO26" s="3327"/>
      <c r="NDP26" s="3327"/>
      <c r="NDQ26" s="3327"/>
      <c r="NDR26" s="3327"/>
      <c r="NDS26" s="3327"/>
      <c r="NDT26" s="3327"/>
      <c r="NDU26" s="3327"/>
      <c r="NDV26" s="3327"/>
      <c r="NDW26" s="3327"/>
      <c r="NDX26" s="3327"/>
      <c r="NDY26" s="3327"/>
      <c r="NDZ26" s="3327"/>
      <c r="NEA26" s="3327"/>
      <c r="NEB26" s="3327"/>
      <c r="NEC26" s="3327"/>
      <c r="NED26" s="3327"/>
      <c r="NEE26" s="3327"/>
      <c r="NEF26" s="3327"/>
      <c r="NEG26" s="3327"/>
      <c r="NEH26" s="3327"/>
      <c r="NEI26" s="3327"/>
      <c r="NEJ26" s="3327"/>
      <c r="NEK26" s="3327"/>
      <c r="NEL26" s="3327"/>
      <c r="NEM26" s="3327"/>
      <c r="NEN26" s="3327"/>
      <c r="NEO26" s="3327"/>
      <c r="NEP26" s="3327"/>
      <c r="NEQ26" s="3327"/>
      <c r="NER26" s="3327"/>
      <c r="NES26" s="3327"/>
      <c r="NET26" s="3327"/>
      <c r="NEU26" s="3327"/>
      <c r="NEV26" s="3327"/>
      <c r="NEW26" s="3327"/>
      <c r="NEX26" s="3327"/>
      <c r="NEY26" s="3327"/>
      <c r="NEZ26" s="3327"/>
      <c r="NFA26" s="3327"/>
      <c r="NFB26" s="3327"/>
      <c r="NFC26" s="3327"/>
      <c r="NFD26" s="3327"/>
      <c r="NFE26" s="3327"/>
      <c r="NFF26" s="3327"/>
      <c r="NFG26" s="3327"/>
      <c r="NFH26" s="3327"/>
      <c r="NFI26" s="3327"/>
      <c r="NFJ26" s="3327"/>
      <c r="NFK26" s="3327"/>
      <c r="NFL26" s="3327"/>
      <c r="NFM26" s="3327"/>
      <c r="NFN26" s="3327"/>
      <c r="NFO26" s="3327"/>
      <c r="NFP26" s="3327"/>
      <c r="NFQ26" s="3327"/>
      <c r="NFR26" s="3327"/>
      <c r="NFS26" s="3327"/>
      <c r="NFT26" s="3327"/>
      <c r="NFU26" s="3327"/>
      <c r="NFV26" s="3327"/>
      <c r="NFW26" s="3327"/>
      <c r="NFX26" s="3327"/>
      <c r="NFY26" s="3327"/>
      <c r="NFZ26" s="3327"/>
      <c r="NGA26" s="3327"/>
      <c r="NGB26" s="3327"/>
      <c r="NGC26" s="3327"/>
      <c r="NGD26" s="3327"/>
      <c r="NGE26" s="3327"/>
      <c r="NGF26" s="3327"/>
      <c r="NGG26" s="3327"/>
      <c r="NGH26" s="3327"/>
      <c r="NGI26" s="3327"/>
      <c r="NGJ26" s="3327"/>
      <c r="NGK26" s="3327"/>
      <c r="NGL26" s="3327"/>
      <c r="NGM26" s="3327"/>
      <c r="NGN26" s="3327"/>
      <c r="NGO26" s="3327"/>
      <c r="NGP26" s="3327"/>
      <c r="NGQ26" s="3327"/>
      <c r="NGR26" s="3327"/>
      <c r="NGS26" s="3327"/>
      <c r="NGT26" s="3327"/>
      <c r="NGU26" s="3327"/>
      <c r="NGV26" s="3327"/>
      <c r="NGW26" s="3327"/>
      <c r="NGX26" s="3327"/>
      <c r="NGY26" s="3327"/>
      <c r="NGZ26" s="3327"/>
      <c r="NHA26" s="3327"/>
      <c r="NHB26" s="3327"/>
      <c r="NHC26" s="3327"/>
      <c r="NHD26" s="3327"/>
      <c r="NHE26" s="3327"/>
      <c r="NHF26" s="3327"/>
      <c r="NHG26" s="3327"/>
      <c r="NHH26" s="3327"/>
      <c r="NHI26" s="3327"/>
      <c r="NHJ26" s="3327"/>
      <c r="NHK26" s="3327"/>
      <c r="NHL26" s="3327"/>
      <c r="NHM26" s="3327"/>
      <c r="NHN26" s="3327"/>
      <c r="NHO26" s="3327"/>
      <c r="NHP26" s="3327"/>
      <c r="NHQ26" s="3327"/>
      <c r="NHR26" s="3327"/>
      <c r="NHS26" s="3327"/>
      <c r="NHT26" s="3327"/>
      <c r="NHU26" s="3327"/>
      <c r="NHV26" s="3327"/>
      <c r="NHW26" s="3327"/>
      <c r="NHX26" s="3327"/>
      <c r="NHY26" s="3327"/>
      <c r="NHZ26" s="3327"/>
      <c r="NIA26" s="3327"/>
      <c r="NIB26" s="3327"/>
      <c r="NIC26" s="3327"/>
      <c r="NID26" s="3327"/>
      <c r="NIE26" s="3327"/>
      <c r="NIF26" s="3327"/>
      <c r="NIG26" s="3327"/>
      <c r="NIH26" s="3327"/>
      <c r="NII26" s="3327"/>
      <c r="NIJ26" s="3327"/>
      <c r="NIK26" s="3327"/>
      <c r="NIL26" s="3327"/>
      <c r="NIM26" s="3327"/>
      <c r="NIN26" s="3327"/>
      <c r="NIO26" s="3327"/>
      <c r="NIP26" s="3327"/>
      <c r="NIQ26" s="3327"/>
      <c r="NIR26" s="3327"/>
      <c r="NIS26" s="3327"/>
      <c r="NIT26" s="3327"/>
      <c r="NIU26" s="3327"/>
      <c r="NIV26" s="3327"/>
      <c r="NIW26" s="3327"/>
      <c r="NIX26" s="3327"/>
      <c r="NIY26" s="3327"/>
      <c r="NIZ26" s="3327"/>
      <c r="NJA26" s="3327"/>
      <c r="NJB26" s="3327"/>
      <c r="NJC26" s="3327"/>
      <c r="NJD26" s="3327"/>
      <c r="NJE26" s="3327"/>
      <c r="NJF26" s="3327"/>
      <c r="NJG26" s="3327"/>
      <c r="NJH26" s="3327"/>
      <c r="NJI26" s="3327"/>
      <c r="NJJ26" s="3327"/>
      <c r="NJK26" s="3327"/>
      <c r="NJL26" s="3327"/>
      <c r="NJM26" s="3327"/>
      <c r="NJN26" s="3327"/>
      <c r="NJO26" s="3327"/>
      <c r="NJP26" s="3327"/>
      <c r="NJQ26" s="3327"/>
      <c r="NJR26" s="3327"/>
      <c r="NJS26" s="3327"/>
      <c r="NJT26" s="3327"/>
      <c r="NJU26" s="3327"/>
      <c r="NJV26" s="3327"/>
      <c r="NJW26" s="3327"/>
      <c r="NJX26" s="3327"/>
      <c r="NJY26" s="3327"/>
      <c r="NJZ26" s="3327"/>
      <c r="NKA26" s="3327"/>
      <c r="NKB26" s="3327"/>
      <c r="NKC26" s="3327"/>
      <c r="NKD26" s="3327"/>
      <c r="NKE26" s="3327"/>
      <c r="NKF26" s="3327"/>
      <c r="NKG26" s="3327"/>
      <c r="NKH26" s="3327"/>
      <c r="NKI26" s="3327"/>
      <c r="NKJ26" s="3327"/>
      <c r="NKK26" s="3327"/>
      <c r="NKL26" s="3327"/>
      <c r="NKM26" s="3327"/>
      <c r="NKN26" s="3327"/>
      <c r="NKO26" s="3327"/>
      <c r="NKP26" s="3327"/>
      <c r="NKQ26" s="3327"/>
      <c r="NKR26" s="3327"/>
      <c r="NKS26" s="3327"/>
      <c r="NKT26" s="3327"/>
      <c r="NKU26" s="3327"/>
      <c r="NKV26" s="3327"/>
      <c r="NKW26" s="3327"/>
      <c r="NKX26" s="3327"/>
      <c r="NKY26" s="3327"/>
      <c r="NKZ26" s="3327"/>
      <c r="NLA26" s="3327"/>
      <c r="NLB26" s="3327"/>
      <c r="NLC26" s="3327"/>
      <c r="NLD26" s="3327"/>
      <c r="NLE26" s="3327"/>
      <c r="NLF26" s="3327"/>
      <c r="NLG26" s="3327"/>
      <c r="NLH26" s="3327"/>
      <c r="NLI26" s="3327"/>
      <c r="NLJ26" s="3327"/>
      <c r="NLK26" s="3327"/>
      <c r="NLL26" s="3327"/>
      <c r="NLM26" s="3327"/>
      <c r="NLN26" s="3327"/>
      <c r="NLO26" s="3327"/>
      <c r="NLP26" s="3327"/>
      <c r="NLQ26" s="3327"/>
      <c r="NLR26" s="3327"/>
      <c r="NLS26" s="3327"/>
      <c r="NLT26" s="3327"/>
      <c r="NLU26" s="3327"/>
      <c r="NLV26" s="3327"/>
      <c r="NLW26" s="3327"/>
      <c r="NLX26" s="3327"/>
      <c r="NLY26" s="3327"/>
      <c r="NLZ26" s="3327"/>
      <c r="NMA26" s="3327"/>
      <c r="NMB26" s="3327"/>
      <c r="NMC26" s="3327"/>
      <c r="NMD26" s="3327"/>
      <c r="NME26" s="3327"/>
      <c r="NMF26" s="3327"/>
      <c r="NMG26" s="3327"/>
      <c r="NMH26" s="3327"/>
      <c r="NMI26" s="3327"/>
      <c r="NMJ26" s="3327"/>
      <c r="NMK26" s="3327"/>
      <c r="NML26" s="3327"/>
      <c r="NMM26" s="3327"/>
      <c r="NMN26" s="3327"/>
      <c r="NMO26" s="3327"/>
      <c r="NMP26" s="3327"/>
      <c r="NMQ26" s="3327"/>
      <c r="NMR26" s="3327"/>
      <c r="NMS26" s="3327"/>
      <c r="NMT26" s="3327"/>
      <c r="NMU26" s="3327"/>
      <c r="NMV26" s="3327"/>
      <c r="NMW26" s="3327"/>
      <c r="NMX26" s="3327"/>
      <c r="NMY26" s="3327"/>
      <c r="NMZ26" s="3327"/>
      <c r="NNA26" s="3327"/>
      <c r="NNB26" s="3327"/>
      <c r="NNC26" s="3327"/>
      <c r="NND26" s="3327"/>
      <c r="NNE26" s="3327"/>
      <c r="NNF26" s="3327"/>
      <c r="NNG26" s="3327"/>
      <c r="NNH26" s="3327"/>
      <c r="NNI26" s="3327"/>
      <c r="NNJ26" s="3327"/>
      <c r="NNK26" s="3327"/>
      <c r="NNL26" s="3327"/>
      <c r="NNM26" s="3327"/>
      <c r="NNN26" s="3327"/>
      <c r="NNO26" s="3327"/>
      <c r="NNP26" s="3327"/>
      <c r="NNQ26" s="3327"/>
      <c r="NNR26" s="3327"/>
      <c r="NNS26" s="3327"/>
      <c r="NNT26" s="3327"/>
      <c r="NNU26" s="3327"/>
      <c r="NNV26" s="3327"/>
      <c r="NNW26" s="3327"/>
      <c r="NNX26" s="3327"/>
      <c r="NNY26" s="3327"/>
      <c r="NNZ26" s="3327"/>
      <c r="NOA26" s="3327"/>
      <c r="NOB26" s="3327"/>
      <c r="NOC26" s="3327"/>
      <c r="NOD26" s="3327"/>
      <c r="NOE26" s="3327"/>
      <c r="NOF26" s="3327"/>
      <c r="NOG26" s="3327"/>
      <c r="NOH26" s="3327"/>
      <c r="NOI26" s="3327"/>
      <c r="NOJ26" s="3327"/>
      <c r="NOK26" s="3327"/>
      <c r="NOL26" s="3327"/>
      <c r="NOM26" s="3327"/>
      <c r="NON26" s="3327"/>
      <c r="NOO26" s="3327"/>
      <c r="NOP26" s="3327"/>
      <c r="NOQ26" s="3327"/>
      <c r="NOR26" s="3327"/>
      <c r="NOS26" s="3327"/>
      <c r="NOT26" s="3327"/>
      <c r="NOU26" s="3327"/>
      <c r="NOV26" s="3327"/>
      <c r="NOW26" s="3327"/>
      <c r="NOX26" s="3327"/>
      <c r="NOY26" s="3327"/>
      <c r="NOZ26" s="3327"/>
      <c r="NPA26" s="3327"/>
      <c r="NPB26" s="3327"/>
      <c r="NPC26" s="3327"/>
      <c r="NPD26" s="3327"/>
      <c r="NPE26" s="3327"/>
      <c r="NPF26" s="3327"/>
      <c r="NPG26" s="3327"/>
      <c r="NPH26" s="3327"/>
      <c r="NPI26" s="3327"/>
      <c r="NPJ26" s="3327"/>
      <c r="NPK26" s="3327"/>
      <c r="NPL26" s="3327"/>
      <c r="NPM26" s="3327"/>
      <c r="NPN26" s="3327"/>
      <c r="NPO26" s="3327"/>
      <c r="NPP26" s="3327"/>
      <c r="NPQ26" s="3327"/>
      <c r="NPR26" s="3327"/>
      <c r="NPS26" s="3327"/>
      <c r="NPT26" s="3327"/>
      <c r="NPU26" s="3327"/>
      <c r="NPV26" s="3327"/>
      <c r="NPW26" s="3327"/>
      <c r="NPX26" s="3327"/>
      <c r="NPY26" s="3327"/>
      <c r="NPZ26" s="3327"/>
      <c r="NQA26" s="3327"/>
      <c r="NQB26" s="3327"/>
      <c r="NQC26" s="3327"/>
      <c r="NQD26" s="3327"/>
      <c r="NQE26" s="3327"/>
      <c r="NQF26" s="3327"/>
      <c r="NQG26" s="3327"/>
      <c r="NQH26" s="3327"/>
      <c r="NQI26" s="3327"/>
      <c r="NQJ26" s="3327"/>
      <c r="NQK26" s="3327"/>
      <c r="NQL26" s="3327"/>
      <c r="NQM26" s="3327"/>
      <c r="NQN26" s="3327"/>
      <c r="NQO26" s="3327"/>
      <c r="NQP26" s="3327"/>
      <c r="NQQ26" s="3327"/>
      <c r="NQR26" s="3327"/>
      <c r="NQS26" s="3327"/>
      <c r="NQT26" s="3327"/>
      <c r="NQU26" s="3327"/>
      <c r="NQV26" s="3327"/>
      <c r="NQW26" s="3327"/>
      <c r="NQX26" s="3327"/>
      <c r="NQY26" s="3327"/>
      <c r="NQZ26" s="3327"/>
      <c r="NRA26" s="3327"/>
      <c r="NRB26" s="3327"/>
      <c r="NRC26" s="3327"/>
      <c r="NRD26" s="3327"/>
      <c r="NRE26" s="3327"/>
      <c r="NRF26" s="3327"/>
      <c r="NRG26" s="3327"/>
      <c r="NRH26" s="3327"/>
      <c r="NRI26" s="3327"/>
      <c r="NRJ26" s="3327"/>
      <c r="NRK26" s="3327"/>
      <c r="NRL26" s="3327"/>
      <c r="NRM26" s="3327"/>
      <c r="NRN26" s="3327"/>
      <c r="NRO26" s="3327"/>
      <c r="NRP26" s="3327"/>
      <c r="NRQ26" s="3327"/>
      <c r="NRR26" s="3327"/>
      <c r="NRS26" s="3327"/>
      <c r="NRT26" s="3327"/>
      <c r="NRU26" s="3327"/>
      <c r="NRV26" s="3327"/>
      <c r="NRW26" s="3327"/>
      <c r="NRX26" s="3327"/>
      <c r="NRY26" s="3327"/>
      <c r="NRZ26" s="3327"/>
      <c r="NSA26" s="3327"/>
      <c r="NSB26" s="3327"/>
      <c r="NSC26" s="3327"/>
      <c r="NSD26" s="3327"/>
      <c r="NSE26" s="3327"/>
      <c r="NSF26" s="3327"/>
      <c r="NSG26" s="3327"/>
      <c r="NSH26" s="3327"/>
      <c r="NSI26" s="3327"/>
      <c r="NSJ26" s="3327"/>
      <c r="NSK26" s="3327"/>
      <c r="NSL26" s="3327"/>
      <c r="NSM26" s="3327"/>
      <c r="NSN26" s="3327"/>
      <c r="NSO26" s="3327"/>
      <c r="NSP26" s="3327"/>
      <c r="NSQ26" s="3327"/>
      <c r="NSR26" s="3327"/>
      <c r="NSS26" s="3327"/>
      <c r="NST26" s="3327"/>
      <c r="NSU26" s="3327"/>
      <c r="NSV26" s="3327"/>
      <c r="NSW26" s="3327"/>
      <c r="NSX26" s="3327"/>
      <c r="NSY26" s="3327"/>
      <c r="NSZ26" s="3327"/>
      <c r="NTA26" s="3327"/>
      <c r="NTB26" s="3327"/>
      <c r="NTC26" s="3327"/>
      <c r="NTD26" s="3327"/>
      <c r="NTE26" s="3327"/>
      <c r="NTF26" s="3327"/>
      <c r="NTG26" s="3327"/>
      <c r="NTH26" s="3327"/>
      <c r="NTI26" s="3327"/>
      <c r="NTJ26" s="3327"/>
      <c r="NTK26" s="3327"/>
      <c r="NTL26" s="3327"/>
      <c r="NTM26" s="3327"/>
      <c r="NTN26" s="3327"/>
      <c r="NTO26" s="3327"/>
      <c r="NTP26" s="3327"/>
      <c r="NTQ26" s="3327"/>
      <c r="NTR26" s="3327"/>
      <c r="NTS26" s="3327"/>
      <c r="NTT26" s="3327"/>
      <c r="NTU26" s="3327"/>
      <c r="NTV26" s="3327"/>
      <c r="NTW26" s="3327"/>
      <c r="NTX26" s="3327"/>
      <c r="NTY26" s="3327"/>
      <c r="NTZ26" s="3327"/>
      <c r="NUA26" s="3327"/>
      <c r="NUB26" s="3327"/>
      <c r="NUC26" s="3327"/>
      <c r="NUD26" s="3327"/>
      <c r="NUE26" s="3327"/>
      <c r="NUF26" s="3327"/>
      <c r="NUG26" s="3327"/>
      <c r="NUH26" s="3327"/>
      <c r="NUI26" s="3327"/>
      <c r="NUJ26" s="3327"/>
      <c r="NUK26" s="3327"/>
      <c r="NUL26" s="3327"/>
      <c r="NUM26" s="3327"/>
      <c r="NUN26" s="3327"/>
      <c r="NUO26" s="3327"/>
      <c r="NUP26" s="3327"/>
      <c r="NUQ26" s="3327"/>
      <c r="NUR26" s="3327"/>
      <c r="NUS26" s="3327"/>
      <c r="NUT26" s="3327"/>
      <c r="NUU26" s="3327"/>
      <c r="NUV26" s="3327"/>
      <c r="NUW26" s="3327"/>
      <c r="NUX26" s="3327"/>
      <c r="NUY26" s="3327"/>
      <c r="NUZ26" s="3327"/>
      <c r="NVA26" s="3327"/>
      <c r="NVB26" s="3327"/>
      <c r="NVC26" s="3327"/>
      <c r="NVD26" s="3327"/>
      <c r="NVE26" s="3327"/>
      <c r="NVF26" s="3327"/>
      <c r="NVG26" s="3327"/>
      <c r="NVH26" s="3327"/>
      <c r="NVI26" s="3327"/>
      <c r="NVJ26" s="3327"/>
      <c r="NVK26" s="3327"/>
      <c r="NVL26" s="3327"/>
      <c r="NVM26" s="3327"/>
      <c r="NVN26" s="3327"/>
      <c r="NVO26" s="3327"/>
      <c r="NVP26" s="3327"/>
      <c r="NVQ26" s="3327"/>
      <c r="NVR26" s="3327"/>
      <c r="NVS26" s="3327"/>
      <c r="NVT26" s="3327"/>
      <c r="NVU26" s="3327"/>
      <c r="NVV26" s="3327"/>
      <c r="NVW26" s="3327"/>
      <c r="NVX26" s="3327"/>
      <c r="NVY26" s="3327"/>
      <c r="NVZ26" s="3327"/>
      <c r="NWA26" s="3327"/>
      <c r="NWB26" s="3327"/>
      <c r="NWC26" s="3327"/>
      <c r="NWD26" s="3327"/>
      <c r="NWE26" s="3327"/>
      <c r="NWF26" s="3327"/>
      <c r="NWG26" s="3327"/>
      <c r="NWH26" s="3327"/>
      <c r="NWI26" s="3327"/>
      <c r="NWJ26" s="3327"/>
      <c r="NWK26" s="3327"/>
      <c r="NWL26" s="3327"/>
      <c r="NWM26" s="3327"/>
      <c r="NWN26" s="3327"/>
      <c r="NWO26" s="3327"/>
      <c r="NWP26" s="3327"/>
      <c r="NWQ26" s="3327"/>
      <c r="NWR26" s="3327"/>
      <c r="NWS26" s="3327"/>
      <c r="NWT26" s="3327"/>
      <c r="NWU26" s="3327"/>
      <c r="NWV26" s="3327"/>
      <c r="NWW26" s="3327"/>
      <c r="NWX26" s="3327"/>
      <c r="NWY26" s="3327"/>
      <c r="NWZ26" s="3327"/>
      <c r="NXA26" s="3327"/>
      <c r="NXB26" s="3327"/>
      <c r="NXC26" s="3327"/>
      <c r="NXD26" s="3327"/>
      <c r="NXE26" s="3327"/>
      <c r="NXF26" s="3327"/>
      <c r="NXG26" s="3327"/>
      <c r="NXH26" s="3327"/>
      <c r="NXI26" s="3327"/>
      <c r="NXJ26" s="3327"/>
      <c r="NXK26" s="3327"/>
      <c r="NXL26" s="3327"/>
      <c r="NXM26" s="3327"/>
      <c r="NXN26" s="3327"/>
      <c r="NXO26" s="3327"/>
      <c r="NXP26" s="3327"/>
      <c r="NXQ26" s="3327"/>
      <c r="NXR26" s="3327"/>
      <c r="NXS26" s="3327"/>
      <c r="NXT26" s="3327"/>
      <c r="NXU26" s="3327"/>
      <c r="NXV26" s="3327"/>
      <c r="NXW26" s="3327"/>
      <c r="NXX26" s="3327"/>
      <c r="NXY26" s="3327"/>
      <c r="NXZ26" s="3327"/>
      <c r="NYA26" s="3327"/>
      <c r="NYB26" s="3327"/>
      <c r="NYC26" s="3327"/>
      <c r="NYD26" s="3327"/>
      <c r="NYE26" s="3327"/>
      <c r="NYF26" s="3327"/>
      <c r="NYG26" s="3327"/>
      <c r="NYH26" s="3327"/>
      <c r="NYI26" s="3327"/>
      <c r="NYJ26" s="3327"/>
      <c r="NYK26" s="3327"/>
      <c r="NYL26" s="3327"/>
      <c r="NYM26" s="3327"/>
      <c r="NYN26" s="3327"/>
      <c r="NYO26" s="3327"/>
      <c r="NYP26" s="3327"/>
      <c r="NYQ26" s="3327"/>
      <c r="NYR26" s="3327"/>
      <c r="NYS26" s="3327"/>
      <c r="NYT26" s="3327"/>
      <c r="NYU26" s="3327"/>
      <c r="NYV26" s="3327"/>
      <c r="NYW26" s="3327"/>
      <c r="NYX26" s="3327"/>
      <c r="NYY26" s="3327"/>
      <c r="NYZ26" s="3327"/>
      <c r="NZA26" s="3327"/>
      <c r="NZB26" s="3327"/>
      <c r="NZC26" s="3327"/>
      <c r="NZD26" s="3327"/>
      <c r="NZE26" s="3327"/>
      <c r="NZF26" s="3327"/>
      <c r="NZG26" s="3327"/>
      <c r="NZH26" s="3327"/>
      <c r="NZI26" s="3327"/>
      <c r="NZJ26" s="3327"/>
      <c r="NZK26" s="3327"/>
      <c r="NZL26" s="3327"/>
      <c r="NZM26" s="3327"/>
      <c r="NZN26" s="3327"/>
      <c r="NZO26" s="3327"/>
      <c r="NZP26" s="3327"/>
      <c r="NZQ26" s="3327"/>
      <c r="NZR26" s="3327"/>
      <c r="NZS26" s="3327"/>
      <c r="NZT26" s="3327"/>
      <c r="NZU26" s="3327"/>
      <c r="NZV26" s="3327"/>
      <c r="NZW26" s="3327"/>
      <c r="NZX26" s="3327"/>
      <c r="NZY26" s="3327"/>
      <c r="NZZ26" s="3327"/>
      <c r="OAA26" s="3327"/>
      <c r="OAB26" s="3327"/>
      <c r="OAC26" s="3327"/>
      <c r="OAD26" s="3327"/>
      <c r="OAE26" s="3327"/>
      <c r="OAF26" s="3327"/>
      <c r="OAG26" s="3327"/>
      <c r="OAH26" s="3327"/>
      <c r="OAI26" s="3327"/>
      <c r="OAJ26" s="3327"/>
      <c r="OAK26" s="3327"/>
      <c r="OAL26" s="3327"/>
      <c r="OAM26" s="3327"/>
      <c r="OAN26" s="3327"/>
      <c r="OAO26" s="3327"/>
      <c r="OAP26" s="3327"/>
      <c r="OAQ26" s="3327"/>
      <c r="OAR26" s="3327"/>
      <c r="OAS26" s="3327"/>
      <c r="OAT26" s="3327"/>
      <c r="OAU26" s="3327"/>
      <c r="OAV26" s="3327"/>
      <c r="OAW26" s="3327"/>
      <c r="OAX26" s="3327"/>
      <c r="OAY26" s="3327"/>
      <c r="OAZ26" s="3327"/>
      <c r="OBA26" s="3327"/>
      <c r="OBB26" s="3327"/>
      <c r="OBC26" s="3327"/>
      <c r="OBD26" s="3327"/>
      <c r="OBE26" s="3327"/>
      <c r="OBF26" s="3327"/>
      <c r="OBG26" s="3327"/>
      <c r="OBH26" s="3327"/>
      <c r="OBI26" s="3327"/>
      <c r="OBJ26" s="3327"/>
      <c r="OBK26" s="3327"/>
      <c r="OBL26" s="3327"/>
      <c r="OBM26" s="3327"/>
      <c r="OBN26" s="3327"/>
      <c r="OBO26" s="3327"/>
      <c r="OBP26" s="3327"/>
      <c r="OBQ26" s="3327"/>
      <c r="OBR26" s="3327"/>
      <c r="OBS26" s="3327"/>
      <c r="OBT26" s="3327"/>
      <c r="OBU26" s="3327"/>
      <c r="OBV26" s="3327"/>
      <c r="OBW26" s="3327"/>
      <c r="OBX26" s="3327"/>
      <c r="OBY26" s="3327"/>
      <c r="OBZ26" s="3327"/>
      <c r="OCA26" s="3327"/>
      <c r="OCB26" s="3327"/>
      <c r="OCC26" s="3327"/>
      <c r="OCD26" s="3327"/>
      <c r="OCE26" s="3327"/>
      <c r="OCF26" s="3327"/>
      <c r="OCG26" s="3327"/>
      <c r="OCH26" s="3327"/>
      <c r="OCI26" s="3327"/>
      <c r="OCJ26" s="3327"/>
      <c r="OCK26" s="3327"/>
      <c r="OCL26" s="3327"/>
      <c r="OCM26" s="3327"/>
      <c r="OCN26" s="3327"/>
      <c r="OCO26" s="3327"/>
      <c r="OCP26" s="3327"/>
      <c r="OCQ26" s="3327"/>
      <c r="OCR26" s="3327"/>
      <c r="OCS26" s="3327"/>
      <c r="OCT26" s="3327"/>
      <c r="OCU26" s="3327"/>
      <c r="OCV26" s="3327"/>
      <c r="OCW26" s="3327"/>
      <c r="OCX26" s="3327"/>
      <c r="OCY26" s="3327"/>
      <c r="OCZ26" s="3327"/>
      <c r="ODA26" s="3327"/>
      <c r="ODB26" s="3327"/>
      <c r="ODC26" s="3327"/>
      <c r="ODD26" s="3327"/>
      <c r="ODE26" s="3327"/>
      <c r="ODF26" s="3327"/>
      <c r="ODG26" s="3327"/>
      <c r="ODH26" s="3327"/>
      <c r="ODI26" s="3327"/>
      <c r="ODJ26" s="3327"/>
      <c r="ODK26" s="3327"/>
      <c r="ODL26" s="3327"/>
      <c r="ODM26" s="3327"/>
      <c r="ODN26" s="3327"/>
      <c r="ODO26" s="3327"/>
      <c r="ODP26" s="3327"/>
      <c r="ODQ26" s="3327"/>
      <c r="ODR26" s="3327"/>
      <c r="ODS26" s="3327"/>
      <c r="ODT26" s="3327"/>
      <c r="ODU26" s="3327"/>
      <c r="ODV26" s="3327"/>
      <c r="ODW26" s="3327"/>
      <c r="ODX26" s="3327"/>
      <c r="ODY26" s="3327"/>
      <c r="ODZ26" s="3327"/>
      <c r="OEA26" s="3327"/>
      <c r="OEB26" s="3327"/>
      <c r="OEC26" s="3327"/>
      <c r="OED26" s="3327"/>
      <c r="OEE26" s="3327"/>
      <c r="OEF26" s="3327"/>
      <c r="OEG26" s="3327"/>
      <c r="OEH26" s="3327"/>
      <c r="OEI26" s="3327"/>
      <c r="OEJ26" s="3327"/>
      <c r="OEK26" s="3327"/>
      <c r="OEL26" s="3327"/>
      <c r="OEM26" s="3327"/>
      <c r="OEN26" s="3327"/>
      <c r="OEO26" s="3327"/>
      <c r="OEP26" s="3327"/>
      <c r="OEQ26" s="3327"/>
      <c r="OER26" s="3327"/>
      <c r="OES26" s="3327"/>
      <c r="OET26" s="3327"/>
      <c r="OEU26" s="3327"/>
      <c r="OEV26" s="3327"/>
      <c r="OEW26" s="3327"/>
      <c r="OEX26" s="3327"/>
      <c r="OEY26" s="3327"/>
      <c r="OEZ26" s="3327"/>
      <c r="OFA26" s="3327"/>
      <c r="OFB26" s="3327"/>
      <c r="OFC26" s="3327"/>
      <c r="OFD26" s="3327"/>
      <c r="OFE26" s="3327"/>
      <c r="OFF26" s="3327"/>
      <c r="OFG26" s="3327"/>
      <c r="OFH26" s="3327"/>
      <c r="OFI26" s="3327"/>
      <c r="OFJ26" s="3327"/>
      <c r="OFK26" s="3327"/>
      <c r="OFL26" s="3327"/>
      <c r="OFM26" s="3327"/>
      <c r="OFN26" s="3327"/>
      <c r="OFO26" s="3327"/>
      <c r="OFP26" s="3327"/>
      <c r="OFQ26" s="3327"/>
      <c r="OFR26" s="3327"/>
      <c r="OFS26" s="3327"/>
      <c r="OFT26" s="3327"/>
      <c r="OFU26" s="3327"/>
      <c r="OFV26" s="3327"/>
      <c r="OFW26" s="3327"/>
      <c r="OFX26" s="3327"/>
      <c r="OFY26" s="3327"/>
      <c r="OFZ26" s="3327"/>
      <c r="OGA26" s="3327"/>
      <c r="OGB26" s="3327"/>
      <c r="OGC26" s="3327"/>
      <c r="OGD26" s="3327"/>
      <c r="OGE26" s="3327"/>
      <c r="OGF26" s="3327"/>
      <c r="OGG26" s="3327"/>
      <c r="OGH26" s="3327"/>
      <c r="OGI26" s="3327"/>
      <c r="OGJ26" s="3327"/>
      <c r="OGK26" s="3327"/>
      <c r="OGL26" s="3327"/>
      <c r="OGM26" s="3327"/>
      <c r="OGN26" s="3327"/>
      <c r="OGO26" s="3327"/>
      <c r="OGP26" s="3327"/>
      <c r="OGQ26" s="3327"/>
      <c r="OGR26" s="3327"/>
      <c r="OGS26" s="3327"/>
      <c r="OGT26" s="3327"/>
      <c r="OGU26" s="3327"/>
      <c r="OGV26" s="3327"/>
      <c r="OGW26" s="3327"/>
      <c r="OGX26" s="3327"/>
      <c r="OGY26" s="3327"/>
      <c r="OGZ26" s="3327"/>
      <c r="OHA26" s="3327"/>
      <c r="OHB26" s="3327"/>
      <c r="OHC26" s="3327"/>
      <c r="OHD26" s="3327"/>
      <c r="OHE26" s="3327"/>
      <c r="OHF26" s="3327"/>
      <c r="OHG26" s="3327"/>
      <c r="OHH26" s="3327"/>
      <c r="OHI26" s="3327"/>
      <c r="OHJ26" s="3327"/>
      <c r="OHK26" s="3327"/>
      <c r="OHL26" s="3327"/>
      <c r="OHM26" s="3327"/>
      <c r="OHN26" s="3327"/>
      <c r="OHO26" s="3327"/>
      <c r="OHP26" s="3327"/>
      <c r="OHQ26" s="3327"/>
      <c r="OHR26" s="3327"/>
      <c r="OHS26" s="3327"/>
      <c r="OHT26" s="3327"/>
      <c r="OHU26" s="3327"/>
      <c r="OHV26" s="3327"/>
      <c r="OHW26" s="3327"/>
      <c r="OHX26" s="3327"/>
      <c r="OHY26" s="3327"/>
      <c r="OHZ26" s="3327"/>
      <c r="OIA26" s="3327"/>
      <c r="OIB26" s="3327"/>
      <c r="OIC26" s="3327"/>
      <c r="OID26" s="3327"/>
      <c r="OIE26" s="3327"/>
      <c r="OIF26" s="3327"/>
      <c r="OIG26" s="3327"/>
      <c r="OIH26" s="3327"/>
      <c r="OII26" s="3327"/>
      <c r="OIJ26" s="3327"/>
      <c r="OIK26" s="3327"/>
      <c r="OIL26" s="3327"/>
      <c r="OIM26" s="3327"/>
      <c r="OIN26" s="3327"/>
      <c r="OIO26" s="3327"/>
      <c r="OIP26" s="3327"/>
      <c r="OIQ26" s="3327"/>
      <c r="OIR26" s="3327"/>
      <c r="OIS26" s="3327"/>
      <c r="OIT26" s="3327"/>
      <c r="OIU26" s="3327"/>
      <c r="OIV26" s="3327"/>
      <c r="OIW26" s="3327"/>
      <c r="OIX26" s="3327"/>
      <c r="OIY26" s="3327"/>
      <c r="OIZ26" s="3327"/>
      <c r="OJA26" s="3327"/>
      <c r="OJB26" s="3327"/>
      <c r="OJC26" s="3327"/>
      <c r="OJD26" s="3327"/>
      <c r="OJE26" s="3327"/>
      <c r="OJF26" s="3327"/>
      <c r="OJG26" s="3327"/>
      <c r="OJH26" s="3327"/>
      <c r="OJI26" s="3327"/>
      <c r="OJJ26" s="3327"/>
      <c r="OJK26" s="3327"/>
      <c r="OJL26" s="3327"/>
      <c r="OJM26" s="3327"/>
      <c r="OJN26" s="3327"/>
      <c r="OJO26" s="3327"/>
      <c r="OJP26" s="3327"/>
      <c r="OJQ26" s="3327"/>
      <c r="OJR26" s="3327"/>
      <c r="OJS26" s="3327"/>
      <c r="OJT26" s="3327"/>
      <c r="OJU26" s="3327"/>
      <c r="OJV26" s="3327"/>
      <c r="OJW26" s="3327"/>
      <c r="OJX26" s="3327"/>
      <c r="OJY26" s="3327"/>
      <c r="OJZ26" s="3327"/>
      <c r="OKA26" s="3327"/>
      <c r="OKB26" s="3327"/>
      <c r="OKC26" s="3327"/>
      <c r="OKD26" s="3327"/>
      <c r="OKE26" s="3327"/>
      <c r="OKF26" s="3327"/>
      <c r="OKG26" s="3327"/>
      <c r="OKH26" s="3327"/>
      <c r="OKI26" s="3327"/>
      <c r="OKJ26" s="3327"/>
      <c r="OKK26" s="3327"/>
      <c r="OKL26" s="3327"/>
      <c r="OKM26" s="3327"/>
      <c r="OKN26" s="3327"/>
      <c r="OKO26" s="3327"/>
      <c r="OKP26" s="3327"/>
      <c r="OKQ26" s="3327"/>
      <c r="OKR26" s="3327"/>
      <c r="OKS26" s="3327"/>
      <c r="OKT26" s="3327"/>
      <c r="OKU26" s="3327"/>
      <c r="OKV26" s="3327"/>
      <c r="OKW26" s="3327"/>
      <c r="OKX26" s="3327"/>
      <c r="OKY26" s="3327"/>
      <c r="OKZ26" s="3327"/>
      <c r="OLA26" s="3327"/>
      <c r="OLB26" s="3327"/>
      <c r="OLC26" s="3327"/>
      <c r="OLD26" s="3327"/>
      <c r="OLE26" s="3327"/>
      <c r="OLF26" s="3327"/>
      <c r="OLG26" s="3327"/>
      <c r="OLH26" s="3327"/>
      <c r="OLI26" s="3327"/>
      <c r="OLJ26" s="3327"/>
      <c r="OLK26" s="3327"/>
      <c r="OLL26" s="3327"/>
      <c r="OLM26" s="3327"/>
      <c r="OLN26" s="3327"/>
      <c r="OLO26" s="3327"/>
      <c r="OLP26" s="3327"/>
      <c r="OLQ26" s="3327"/>
      <c r="OLR26" s="3327"/>
      <c r="OLS26" s="3327"/>
      <c r="OLT26" s="3327"/>
      <c r="OLU26" s="3327"/>
      <c r="OLV26" s="3327"/>
      <c r="OLW26" s="3327"/>
      <c r="OLX26" s="3327"/>
      <c r="OLY26" s="3327"/>
      <c r="OLZ26" s="3327"/>
      <c r="OMA26" s="3327"/>
      <c r="OMB26" s="3327"/>
      <c r="OMC26" s="3327"/>
      <c r="OMD26" s="3327"/>
      <c r="OME26" s="3327"/>
      <c r="OMF26" s="3327"/>
      <c r="OMG26" s="3327"/>
      <c r="OMH26" s="3327"/>
      <c r="OMI26" s="3327"/>
      <c r="OMJ26" s="3327"/>
      <c r="OMK26" s="3327"/>
      <c r="OML26" s="3327"/>
      <c r="OMM26" s="3327"/>
      <c r="OMN26" s="3327"/>
      <c r="OMO26" s="3327"/>
      <c r="OMP26" s="3327"/>
      <c r="OMQ26" s="3327"/>
      <c r="OMR26" s="3327"/>
      <c r="OMS26" s="3327"/>
      <c r="OMT26" s="3327"/>
      <c r="OMU26" s="3327"/>
      <c r="OMV26" s="3327"/>
      <c r="OMW26" s="3327"/>
      <c r="OMX26" s="3327"/>
      <c r="OMY26" s="3327"/>
      <c r="OMZ26" s="3327"/>
      <c r="ONA26" s="3327"/>
      <c r="ONB26" s="3327"/>
      <c r="ONC26" s="3327"/>
      <c r="OND26" s="3327"/>
      <c r="ONE26" s="3327"/>
      <c r="ONF26" s="3327"/>
      <c r="ONG26" s="3327"/>
      <c r="ONH26" s="3327"/>
      <c r="ONI26" s="3327"/>
      <c r="ONJ26" s="3327"/>
      <c r="ONK26" s="3327"/>
      <c r="ONL26" s="3327"/>
      <c r="ONM26" s="3327"/>
      <c r="ONN26" s="3327"/>
      <c r="ONO26" s="3327"/>
      <c r="ONP26" s="3327"/>
      <c r="ONQ26" s="3327"/>
      <c r="ONR26" s="3327"/>
      <c r="ONS26" s="3327"/>
      <c r="ONT26" s="3327"/>
      <c r="ONU26" s="3327"/>
      <c r="ONV26" s="3327"/>
      <c r="ONW26" s="3327"/>
      <c r="ONX26" s="3327"/>
      <c r="ONY26" s="3327"/>
      <c r="ONZ26" s="3327"/>
      <c r="OOA26" s="3327"/>
      <c r="OOB26" s="3327"/>
      <c r="OOC26" s="3327"/>
      <c r="OOD26" s="3327"/>
      <c r="OOE26" s="3327"/>
      <c r="OOF26" s="3327"/>
      <c r="OOG26" s="3327"/>
      <c r="OOH26" s="3327"/>
      <c r="OOI26" s="3327"/>
      <c r="OOJ26" s="3327"/>
      <c r="OOK26" s="3327"/>
      <c r="OOL26" s="3327"/>
      <c r="OOM26" s="3327"/>
      <c r="OON26" s="3327"/>
      <c r="OOO26" s="3327"/>
      <c r="OOP26" s="3327"/>
      <c r="OOQ26" s="3327"/>
      <c r="OOR26" s="3327"/>
      <c r="OOS26" s="3327"/>
      <c r="OOT26" s="3327"/>
      <c r="OOU26" s="3327"/>
      <c r="OOV26" s="3327"/>
      <c r="OOW26" s="3327"/>
      <c r="OOX26" s="3327"/>
      <c r="OOY26" s="3327"/>
      <c r="OOZ26" s="3327"/>
      <c r="OPA26" s="3327"/>
      <c r="OPB26" s="3327"/>
      <c r="OPC26" s="3327"/>
      <c r="OPD26" s="3327"/>
      <c r="OPE26" s="3327"/>
      <c r="OPF26" s="3327"/>
      <c r="OPG26" s="3327"/>
      <c r="OPH26" s="3327"/>
      <c r="OPI26" s="3327"/>
      <c r="OPJ26" s="3327"/>
      <c r="OPK26" s="3327"/>
      <c r="OPL26" s="3327"/>
      <c r="OPM26" s="3327"/>
      <c r="OPN26" s="3327"/>
      <c r="OPO26" s="3327"/>
      <c r="OPP26" s="3327"/>
      <c r="OPQ26" s="3327"/>
      <c r="OPR26" s="3327"/>
      <c r="OPS26" s="3327"/>
      <c r="OPT26" s="3327"/>
      <c r="OPU26" s="3327"/>
      <c r="OPV26" s="3327"/>
      <c r="OPW26" s="3327"/>
      <c r="OPX26" s="3327"/>
      <c r="OPY26" s="3327"/>
      <c r="OPZ26" s="3327"/>
      <c r="OQA26" s="3327"/>
      <c r="OQB26" s="3327"/>
      <c r="OQC26" s="3327"/>
      <c r="OQD26" s="3327"/>
      <c r="OQE26" s="3327"/>
      <c r="OQF26" s="3327"/>
      <c r="OQG26" s="3327"/>
      <c r="OQH26" s="3327"/>
      <c r="OQI26" s="3327"/>
      <c r="OQJ26" s="3327"/>
      <c r="OQK26" s="3327"/>
      <c r="OQL26" s="3327"/>
      <c r="OQM26" s="3327"/>
      <c r="OQN26" s="3327"/>
      <c r="OQO26" s="3327"/>
      <c r="OQP26" s="3327"/>
      <c r="OQQ26" s="3327"/>
      <c r="OQR26" s="3327"/>
      <c r="OQS26" s="3327"/>
      <c r="OQT26" s="3327"/>
      <c r="OQU26" s="3327"/>
      <c r="OQV26" s="3327"/>
      <c r="OQW26" s="3327"/>
      <c r="OQX26" s="3327"/>
      <c r="OQY26" s="3327"/>
      <c r="OQZ26" s="3327"/>
      <c r="ORA26" s="3327"/>
      <c r="ORB26" s="3327"/>
      <c r="ORC26" s="3327"/>
      <c r="ORD26" s="3327"/>
      <c r="ORE26" s="3327"/>
      <c r="ORF26" s="3327"/>
      <c r="ORG26" s="3327"/>
      <c r="ORH26" s="3327"/>
      <c r="ORI26" s="3327"/>
      <c r="ORJ26" s="3327"/>
      <c r="ORK26" s="3327"/>
      <c r="ORL26" s="3327"/>
      <c r="ORM26" s="3327"/>
      <c r="ORN26" s="3327"/>
      <c r="ORO26" s="3327"/>
      <c r="ORP26" s="3327"/>
      <c r="ORQ26" s="3327"/>
      <c r="ORR26" s="3327"/>
      <c r="ORS26" s="3327"/>
      <c r="ORT26" s="3327"/>
      <c r="ORU26" s="3327"/>
      <c r="ORV26" s="3327"/>
      <c r="ORW26" s="3327"/>
      <c r="ORX26" s="3327"/>
      <c r="ORY26" s="3327"/>
      <c r="ORZ26" s="3327"/>
      <c r="OSA26" s="3327"/>
      <c r="OSB26" s="3327"/>
      <c r="OSC26" s="3327"/>
      <c r="OSD26" s="3327"/>
      <c r="OSE26" s="3327"/>
      <c r="OSF26" s="3327"/>
      <c r="OSG26" s="3327"/>
      <c r="OSH26" s="3327"/>
      <c r="OSI26" s="3327"/>
      <c r="OSJ26" s="3327"/>
      <c r="OSK26" s="3327"/>
      <c r="OSL26" s="3327"/>
      <c r="OSM26" s="3327"/>
      <c r="OSN26" s="3327"/>
      <c r="OSO26" s="3327"/>
      <c r="OSP26" s="3327"/>
      <c r="OSQ26" s="3327"/>
      <c r="OSR26" s="3327"/>
      <c r="OSS26" s="3327"/>
      <c r="OST26" s="3327"/>
      <c r="OSU26" s="3327"/>
      <c r="OSV26" s="3327"/>
      <c r="OSW26" s="3327"/>
      <c r="OSX26" s="3327"/>
      <c r="OSY26" s="3327"/>
      <c r="OSZ26" s="3327"/>
      <c r="OTA26" s="3327"/>
      <c r="OTB26" s="3327"/>
      <c r="OTC26" s="3327"/>
      <c r="OTD26" s="3327"/>
      <c r="OTE26" s="3327"/>
      <c r="OTF26" s="3327"/>
      <c r="OTG26" s="3327"/>
      <c r="OTH26" s="3327"/>
      <c r="OTI26" s="3327"/>
      <c r="OTJ26" s="3327"/>
      <c r="OTK26" s="3327"/>
      <c r="OTL26" s="3327"/>
      <c r="OTM26" s="3327"/>
      <c r="OTN26" s="3327"/>
      <c r="OTO26" s="3327"/>
      <c r="OTP26" s="3327"/>
      <c r="OTQ26" s="3327"/>
      <c r="OTR26" s="3327"/>
      <c r="OTS26" s="3327"/>
      <c r="OTT26" s="3327"/>
      <c r="OTU26" s="3327"/>
      <c r="OTV26" s="3327"/>
      <c r="OTW26" s="3327"/>
      <c r="OTX26" s="3327"/>
      <c r="OTY26" s="3327"/>
      <c r="OTZ26" s="3327"/>
      <c r="OUA26" s="3327"/>
      <c r="OUB26" s="3327"/>
      <c r="OUC26" s="3327"/>
      <c r="OUD26" s="3327"/>
      <c r="OUE26" s="3327"/>
      <c r="OUF26" s="3327"/>
      <c r="OUG26" s="3327"/>
      <c r="OUH26" s="3327"/>
      <c r="OUI26" s="3327"/>
      <c r="OUJ26" s="3327"/>
      <c r="OUK26" s="3327"/>
      <c r="OUL26" s="3327"/>
      <c r="OUM26" s="3327"/>
      <c r="OUN26" s="3327"/>
      <c r="OUO26" s="3327"/>
      <c r="OUP26" s="3327"/>
      <c r="OUQ26" s="3327"/>
      <c r="OUR26" s="3327"/>
      <c r="OUS26" s="3327"/>
      <c r="OUT26" s="3327"/>
      <c r="OUU26" s="3327"/>
      <c r="OUV26" s="3327"/>
      <c r="OUW26" s="3327"/>
      <c r="OUX26" s="3327"/>
      <c r="OUY26" s="3327"/>
      <c r="OUZ26" s="3327"/>
      <c r="OVA26" s="3327"/>
      <c r="OVB26" s="3327"/>
      <c r="OVC26" s="3327"/>
      <c r="OVD26" s="3327"/>
      <c r="OVE26" s="3327"/>
      <c r="OVF26" s="3327"/>
      <c r="OVG26" s="3327"/>
      <c r="OVH26" s="3327"/>
      <c r="OVI26" s="3327"/>
      <c r="OVJ26" s="3327"/>
      <c r="OVK26" s="3327"/>
      <c r="OVL26" s="3327"/>
      <c r="OVM26" s="3327"/>
      <c r="OVN26" s="3327"/>
      <c r="OVO26" s="3327"/>
      <c r="OVP26" s="3327"/>
      <c r="OVQ26" s="3327"/>
      <c r="OVR26" s="3327"/>
      <c r="OVS26" s="3327"/>
      <c r="OVT26" s="3327"/>
      <c r="OVU26" s="3327"/>
      <c r="OVV26" s="3327"/>
      <c r="OVW26" s="3327"/>
      <c r="OVX26" s="3327"/>
      <c r="OVY26" s="3327"/>
      <c r="OVZ26" s="3327"/>
      <c r="OWA26" s="3327"/>
      <c r="OWB26" s="3327"/>
      <c r="OWC26" s="3327"/>
      <c r="OWD26" s="3327"/>
      <c r="OWE26" s="3327"/>
      <c r="OWF26" s="3327"/>
      <c r="OWG26" s="3327"/>
      <c r="OWH26" s="3327"/>
      <c r="OWI26" s="3327"/>
      <c r="OWJ26" s="3327"/>
      <c r="OWK26" s="3327"/>
      <c r="OWL26" s="3327"/>
      <c r="OWM26" s="3327"/>
      <c r="OWN26" s="3327"/>
      <c r="OWO26" s="3327"/>
      <c r="OWP26" s="3327"/>
      <c r="OWQ26" s="3327"/>
      <c r="OWR26" s="3327"/>
      <c r="OWS26" s="3327"/>
      <c r="OWT26" s="3327"/>
      <c r="OWU26" s="3327"/>
      <c r="OWV26" s="3327"/>
      <c r="OWW26" s="3327"/>
      <c r="OWX26" s="3327"/>
      <c r="OWY26" s="3327"/>
      <c r="OWZ26" s="3327"/>
      <c r="OXA26" s="3327"/>
      <c r="OXB26" s="3327"/>
      <c r="OXC26" s="3327"/>
      <c r="OXD26" s="3327"/>
      <c r="OXE26" s="3327"/>
      <c r="OXF26" s="3327"/>
      <c r="OXG26" s="3327"/>
      <c r="OXH26" s="3327"/>
      <c r="OXI26" s="3327"/>
      <c r="OXJ26" s="3327"/>
      <c r="OXK26" s="3327"/>
      <c r="OXL26" s="3327"/>
      <c r="OXM26" s="3327"/>
      <c r="OXN26" s="3327"/>
      <c r="OXO26" s="3327"/>
      <c r="OXP26" s="3327"/>
      <c r="OXQ26" s="3327"/>
      <c r="OXR26" s="3327"/>
      <c r="OXS26" s="3327"/>
      <c r="OXT26" s="3327"/>
      <c r="OXU26" s="3327"/>
      <c r="OXV26" s="3327"/>
      <c r="OXW26" s="3327"/>
      <c r="OXX26" s="3327"/>
      <c r="OXY26" s="3327"/>
      <c r="OXZ26" s="3327"/>
      <c r="OYA26" s="3327"/>
      <c r="OYB26" s="3327"/>
      <c r="OYC26" s="3327"/>
      <c r="OYD26" s="3327"/>
      <c r="OYE26" s="3327"/>
      <c r="OYF26" s="3327"/>
      <c r="OYG26" s="3327"/>
      <c r="OYH26" s="3327"/>
      <c r="OYI26" s="3327"/>
      <c r="OYJ26" s="3327"/>
      <c r="OYK26" s="3327"/>
      <c r="OYL26" s="3327"/>
      <c r="OYM26" s="3327"/>
      <c r="OYN26" s="3327"/>
      <c r="OYO26" s="3327"/>
      <c r="OYP26" s="3327"/>
      <c r="OYQ26" s="3327"/>
      <c r="OYR26" s="3327"/>
      <c r="OYS26" s="3327"/>
      <c r="OYT26" s="3327"/>
      <c r="OYU26" s="3327"/>
      <c r="OYV26" s="3327"/>
      <c r="OYW26" s="3327"/>
      <c r="OYX26" s="3327"/>
      <c r="OYY26" s="3327"/>
      <c r="OYZ26" s="3327"/>
      <c r="OZA26" s="3327"/>
      <c r="OZB26" s="3327"/>
      <c r="OZC26" s="3327"/>
      <c r="OZD26" s="3327"/>
      <c r="OZE26" s="3327"/>
      <c r="OZF26" s="3327"/>
      <c r="OZG26" s="3327"/>
      <c r="OZH26" s="3327"/>
      <c r="OZI26" s="3327"/>
      <c r="OZJ26" s="3327"/>
      <c r="OZK26" s="3327"/>
      <c r="OZL26" s="3327"/>
      <c r="OZM26" s="3327"/>
      <c r="OZN26" s="3327"/>
      <c r="OZO26" s="3327"/>
      <c r="OZP26" s="3327"/>
      <c r="OZQ26" s="3327"/>
      <c r="OZR26" s="3327"/>
      <c r="OZS26" s="3327"/>
      <c r="OZT26" s="3327"/>
      <c r="OZU26" s="3327"/>
      <c r="OZV26" s="3327"/>
      <c r="OZW26" s="3327"/>
      <c r="OZX26" s="3327"/>
      <c r="OZY26" s="3327"/>
      <c r="OZZ26" s="3327"/>
      <c r="PAA26" s="3327"/>
      <c r="PAB26" s="3327"/>
      <c r="PAC26" s="3327"/>
      <c r="PAD26" s="3327"/>
      <c r="PAE26" s="3327"/>
      <c r="PAF26" s="3327"/>
      <c r="PAG26" s="3327"/>
      <c r="PAH26" s="3327"/>
      <c r="PAI26" s="3327"/>
      <c r="PAJ26" s="3327"/>
      <c r="PAK26" s="3327"/>
      <c r="PAL26" s="3327"/>
      <c r="PAM26" s="3327"/>
      <c r="PAN26" s="3327"/>
      <c r="PAO26" s="3327"/>
      <c r="PAP26" s="3327"/>
      <c r="PAQ26" s="3327"/>
      <c r="PAR26" s="3327"/>
      <c r="PAS26" s="3327"/>
      <c r="PAT26" s="3327"/>
      <c r="PAU26" s="3327"/>
      <c r="PAV26" s="3327"/>
      <c r="PAW26" s="3327"/>
      <c r="PAX26" s="3327"/>
      <c r="PAY26" s="3327"/>
      <c r="PAZ26" s="3327"/>
      <c r="PBA26" s="3327"/>
      <c r="PBB26" s="3327"/>
      <c r="PBC26" s="3327"/>
      <c r="PBD26" s="3327"/>
      <c r="PBE26" s="3327"/>
      <c r="PBF26" s="3327"/>
      <c r="PBG26" s="3327"/>
      <c r="PBH26" s="3327"/>
      <c r="PBI26" s="3327"/>
      <c r="PBJ26" s="3327"/>
      <c r="PBK26" s="3327"/>
      <c r="PBL26" s="3327"/>
      <c r="PBM26" s="3327"/>
      <c r="PBN26" s="3327"/>
      <c r="PBO26" s="3327"/>
      <c r="PBP26" s="3327"/>
      <c r="PBQ26" s="3327"/>
      <c r="PBR26" s="3327"/>
      <c r="PBS26" s="3327"/>
      <c r="PBT26" s="3327"/>
      <c r="PBU26" s="3327"/>
      <c r="PBV26" s="3327"/>
      <c r="PBW26" s="3327"/>
      <c r="PBX26" s="3327"/>
      <c r="PBY26" s="3327"/>
      <c r="PBZ26" s="3327"/>
      <c r="PCA26" s="3327"/>
      <c r="PCB26" s="3327"/>
      <c r="PCC26" s="3327"/>
      <c r="PCD26" s="3327"/>
      <c r="PCE26" s="3327"/>
      <c r="PCF26" s="3327"/>
      <c r="PCG26" s="3327"/>
      <c r="PCH26" s="3327"/>
      <c r="PCI26" s="3327"/>
      <c r="PCJ26" s="3327"/>
      <c r="PCK26" s="3327"/>
      <c r="PCL26" s="3327"/>
      <c r="PCM26" s="3327"/>
      <c r="PCN26" s="3327"/>
      <c r="PCO26" s="3327"/>
      <c r="PCP26" s="3327"/>
      <c r="PCQ26" s="3327"/>
      <c r="PCR26" s="3327"/>
      <c r="PCS26" s="3327"/>
      <c r="PCT26" s="3327"/>
      <c r="PCU26" s="3327"/>
      <c r="PCV26" s="3327"/>
      <c r="PCW26" s="3327"/>
      <c r="PCX26" s="3327"/>
      <c r="PCY26" s="3327"/>
      <c r="PCZ26" s="3327"/>
      <c r="PDA26" s="3327"/>
      <c r="PDB26" s="3327"/>
      <c r="PDC26" s="3327"/>
      <c r="PDD26" s="3327"/>
      <c r="PDE26" s="3327"/>
      <c r="PDF26" s="3327"/>
      <c r="PDG26" s="3327"/>
      <c r="PDH26" s="3327"/>
      <c r="PDI26" s="3327"/>
      <c r="PDJ26" s="3327"/>
      <c r="PDK26" s="3327"/>
      <c r="PDL26" s="3327"/>
      <c r="PDM26" s="3327"/>
      <c r="PDN26" s="3327"/>
      <c r="PDO26" s="3327"/>
      <c r="PDP26" s="3327"/>
      <c r="PDQ26" s="3327"/>
      <c r="PDR26" s="3327"/>
      <c r="PDS26" s="3327"/>
      <c r="PDT26" s="3327"/>
      <c r="PDU26" s="3327"/>
      <c r="PDV26" s="3327"/>
      <c r="PDW26" s="3327"/>
      <c r="PDX26" s="3327"/>
      <c r="PDY26" s="3327"/>
      <c r="PDZ26" s="3327"/>
      <c r="PEA26" s="3327"/>
      <c r="PEB26" s="3327"/>
      <c r="PEC26" s="3327"/>
      <c r="PED26" s="3327"/>
      <c r="PEE26" s="3327"/>
      <c r="PEF26" s="3327"/>
      <c r="PEG26" s="3327"/>
      <c r="PEH26" s="3327"/>
      <c r="PEI26" s="3327"/>
      <c r="PEJ26" s="3327"/>
      <c r="PEK26" s="3327"/>
      <c r="PEL26" s="3327"/>
      <c r="PEM26" s="3327"/>
      <c r="PEN26" s="3327"/>
      <c r="PEO26" s="3327"/>
      <c r="PEP26" s="3327"/>
      <c r="PEQ26" s="3327"/>
      <c r="PER26" s="3327"/>
      <c r="PES26" s="3327"/>
      <c r="PET26" s="3327"/>
      <c r="PEU26" s="3327"/>
      <c r="PEV26" s="3327"/>
      <c r="PEW26" s="3327"/>
      <c r="PEX26" s="3327"/>
      <c r="PEY26" s="3327"/>
      <c r="PEZ26" s="3327"/>
      <c r="PFA26" s="3327"/>
      <c r="PFB26" s="3327"/>
      <c r="PFC26" s="3327"/>
      <c r="PFD26" s="3327"/>
      <c r="PFE26" s="3327"/>
      <c r="PFF26" s="3327"/>
      <c r="PFG26" s="3327"/>
      <c r="PFH26" s="3327"/>
      <c r="PFI26" s="3327"/>
      <c r="PFJ26" s="3327"/>
      <c r="PFK26" s="3327"/>
      <c r="PFL26" s="3327"/>
      <c r="PFM26" s="3327"/>
      <c r="PFN26" s="3327"/>
      <c r="PFO26" s="3327"/>
      <c r="PFP26" s="3327"/>
      <c r="PFQ26" s="3327"/>
      <c r="PFR26" s="3327"/>
      <c r="PFS26" s="3327"/>
      <c r="PFT26" s="3327"/>
      <c r="PFU26" s="3327"/>
      <c r="PFV26" s="3327"/>
      <c r="PFW26" s="3327"/>
      <c r="PFX26" s="3327"/>
      <c r="PFY26" s="3327"/>
      <c r="PFZ26" s="3327"/>
      <c r="PGA26" s="3327"/>
      <c r="PGB26" s="3327"/>
      <c r="PGC26" s="3327"/>
      <c r="PGD26" s="3327"/>
      <c r="PGE26" s="3327"/>
      <c r="PGF26" s="3327"/>
      <c r="PGG26" s="3327"/>
      <c r="PGH26" s="3327"/>
      <c r="PGI26" s="3327"/>
      <c r="PGJ26" s="3327"/>
      <c r="PGK26" s="3327"/>
      <c r="PGL26" s="3327"/>
      <c r="PGM26" s="3327"/>
      <c r="PGN26" s="3327"/>
      <c r="PGO26" s="3327"/>
      <c r="PGP26" s="3327"/>
      <c r="PGQ26" s="3327"/>
      <c r="PGR26" s="3327"/>
      <c r="PGS26" s="3327"/>
      <c r="PGT26" s="3327"/>
      <c r="PGU26" s="3327"/>
      <c r="PGV26" s="3327"/>
      <c r="PGW26" s="3327"/>
      <c r="PGX26" s="3327"/>
      <c r="PGY26" s="3327"/>
      <c r="PGZ26" s="3327"/>
      <c r="PHA26" s="3327"/>
      <c r="PHB26" s="3327"/>
      <c r="PHC26" s="3327"/>
      <c r="PHD26" s="3327"/>
      <c r="PHE26" s="3327"/>
      <c r="PHF26" s="3327"/>
      <c r="PHG26" s="3327"/>
      <c r="PHH26" s="3327"/>
      <c r="PHI26" s="3327"/>
      <c r="PHJ26" s="3327"/>
      <c r="PHK26" s="3327"/>
      <c r="PHL26" s="3327"/>
      <c r="PHM26" s="3327"/>
      <c r="PHN26" s="3327"/>
      <c r="PHO26" s="3327"/>
      <c r="PHP26" s="3327"/>
      <c r="PHQ26" s="3327"/>
      <c r="PHR26" s="3327"/>
      <c r="PHS26" s="3327"/>
      <c r="PHT26" s="3327"/>
      <c r="PHU26" s="3327"/>
      <c r="PHV26" s="3327"/>
      <c r="PHW26" s="3327"/>
      <c r="PHX26" s="3327"/>
      <c r="PHY26" s="3327"/>
      <c r="PHZ26" s="3327"/>
      <c r="PIA26" s="3327"/>
      <c r="PIB26" s="3327"/>
      <c r="PIC26" s="3327"/>
      <c r="PID26" s="3327"/>
      <c r="PIE26" s="3327"/>
      <c r="PIF26" s="3327"/>
      <c r="PIG26" s="3327"/>
      <c r="PIH26" s="3327"/>
      <c r="PII26" s="3327"/>
      <c r="PIJ26" s="3327"/>
      <c r="PIK26" s="3327"/>
      <c r="PIL26" s="3327"/>
      <c r="PIM26" s="3327"/>
      <c r="PIN26" s="3327"/>
      <c r="PIO26" s="3327"/>
      <c r="PIP26" s="3327"/>
      <c r="PIQ26" s="3327"/>
      <c r="PIR26" s="3327"/>
      <c r="PIS26" s="3327"/>
      <c r="PIT26" s="3327"/>
      <c r="PIU26" s="3327"/>
      <c r="PIV26" s="3327"/>
      <c r="PIW26" s="3327"/>
      <c r="PIX26" s="3327"/>
      <c r="PIY26" s="3327"/>
      <c r="PIZ26" s="3327"/>
      <c r="PJA26" s="3327"/>
      <c r="PJB26" s="3327"/>
      <c r="PJC26" s="3327"/>
      <c r="PJD26" s="3327"/>
      <c r="PJE26" s="3327"/>
      <c r="PJF26" s="3327"/>
      <c r="PJG26" s="3327"/>
      <c r="PJH26" s="3327"/>
      <c r="PJI26" s="3327"/>
      <c r="PJJ26" s="3327"/>
      <c r="PJK26" s="3327"/>
      <c r="PJL26" s="3327"/>
      <c r="PJM26" s="3327"/>
      <c r="PJN26" s="3327"/>
      <c r="PJO26" s="3327"/>
      <c r="PJP26" s="3327"/>
      <c r="PJQ26" s="3327"/>
      <c r="PJR26" s="3327"/>
      <c r="PJS26" s="3327"/>
      <c r="PJT26" s="3327"/>
      <c r="PJU26" s="3327"/>
      <c r="PJV26" s="3327"/>
      <c r="PJW26" s="3327"/>
      <c r="PJX26" s="3327"/>
      <c r="PJY26" s="3327"/>
      <c r="PJZ26" s="3327"/>
      <c r="PKA26" s="3327"/>
      <c r="PKB26" s="3327"/>
      <c r="PKC26" s="3327"/>
      <c r="PKD26" s="3327"/>
      <c r="PKE26" s="3327"/>
      <c r="PKF26" s="3327"/>
      <c r="PKG26" s="3327"/>
      <c r="PKH26" s="3327"/>
      <c r="PKI26" s="3327"/>
      <c r="PKJ26" s="3327"/>
      <c r="PKK26" s="3327"/>
      <c r="PKL26" s="3327"/>
      <c r="PKM26" s="3327"/>
      <c r="PKN26" s="3327"/>
      <c r="PKO26" s="3327"/>
      <c r="PKP26" s="3327"/>
      <c r="PKQ26" s="3327"/>
      <c r="PKR26" s="3327"/>
      <c r="PKS26" s="3327"/>
      <c r="PKT26" s="3327"/>
      <c r="PKU26" s="3327"/>
      <c r="PKV26" s="3327"/>
      <c r="PKW26" s="3327"/>
      <c r="PKX26" s="3327"/>
      <c r="PKY26" s="3327"/>
      <c r="PKZ26" s="3327"/>
      <c r="PLA26" s="3327"/>
      <c r="PLB26" s="3327"/>
      <c r="PLC26" s="3327"/>
      <c r="PLD26" s="3327"/>
      <c r="PLE26" s="3327"/>
      <c r="PLF26" s="3327"/>
      <c r="PLG26" s="3327"/>
      <c r="PLH26" s="3327"/>
      <c r="PLI26" s="3327"/>
      <c r="PLJ26" s="3327"/>
      <c r="PLK26" s="3327"/>
      <c r="PLL26" s="3327"/>
      <c r="PLM26" s="3327"/>
      <c r="PLN26" s="3327"/>
      <c r="PLO26" s="3327"/>
      <c r="PLP26" s="3327"/>
      <c r="PLQ26" s="3327"/>
      <c r="PLR26" s="3327"/>
      <c r="PLS26" s="3327"/>
      <c r="PLT26" s="3327"/>
      <c r="PLU26" s="3327"/>
      <c r="PLV26" s="3327"/>
      <c r="PLW26" s="3327"/>
      <c r="PLX26" s="3327"/>
      <c r="PLY26" s="3327"/>
      <c r="PLZ26" s="3327"/>
      <c r="PMA26" s="3327"/>
      <c r="PMB26" s="3327"/>
      <c r="PMC26" s="3327"/>
      <c r="PMD26" s="3327"/>
      <c r="PME26" s="3327"/>
      <c r="PMF26" s="3327"/>
      <c r="PMG26" s="3327"/>
      <c r="PMH26" s="3327"/>
      <c r="PMI26" s="3327"/>
      <c r="PMJ26" s="3327"/>
      <c r="PMK26" s="3327"/>
      <c r="PML26" s="3327"/>
      <c r="PMM26" s="3327"/>
      <c r="PMN26" s="3327"/>
      <c r="PMO26" s="3327"/>
      <c r="PMP26" s="3327"/>
      <c r="PMQ26" s="3327"/>
      <c r="PMR26" s="3327"/>
      <c r="PMS26" s="3327"/>
      <c r="PMT26" s="3327"/>
      <c r="PMU26" s="3327"/>
      <c r="PMV26" s="3327"/>
      <c r="PMW26" s="3327"/>
      <c r="PMX26" s="3327"/>
      <c r="PMY26" s="3327"/>
      <c r="PMZ26" s="3327"/>
      <c r="PNA26" s="3327"/>
      <c r="PNB26" s="3327"/>
      <c r="PNC26" s="3327"/>
      <c r="PND26" s="3327"/>
      <c r="PNE26" s="3327"/>
      <c r="PNF26" s="3327"/>
      <c r="PNG26" s="3327"/>
      <c r="PNH26" s="3327"/>
      <c r="PNI26" s="3327"/>
      <c r="PNJ26" s="3327"/>
      <c r="PNK26" s="3327"/>
      <c r="PNL26" s="3327"/>
      <c r="PNM26" s="3327"/>
      <c r="PNN26" s="3327"/>
      <c r="PNO26" s="3327"/>
      <c r="PNP26" s="3327"/>
      <c r="PNQ26" s="3327"/>
      <c r="PNR26" s="3327"/>
      <c r="PNS26" s="3327"/>
      <c r="PNT26" s="3327"/>
      <c r="PNU26" s="3327"/>
      <c r="PNV26" s="3327"/>
      <c r="PNW26" s="3327"/>
      <c r="PNX26" s="3327"/>
      <c r="PNY26" s="3327"/>
      <c r="PNZ26" s="3327"/>
      <c r="POA26" s="3327"/>
      <c r="POB26" s="3327"/>
      <c r="POC26" s="3327"/>
      <c r="POD26" s="3327"/>
      <c r="POE26" s="3327"/>
      <c r="POF26" s="3327"/>
      <c r="POG26" s="3327"/>
      <c r="POH26" s="3327"/>
      <c r="POI26" s="3327"/>
      <c r="POJ26" s="3327"/>
      <c r="POK26" s="3327"/>
      <c r="POL26" s="3327"/>
      <c r="POM26" s="3327"/>
      <c r="PON26" s="3327"/>
      <c r="POO26" s="3327"/>
      <c r="POP26" s="3327"/>
      <c r="POQ26" s="3327"/>
      <c r="POR26" s="3327"/>
      <c r="POS26" s="3327"/>
      <c r="POT26" s="3327"/>
      <c r="POU26" s="3327"/>
      <c r="POV26" s="3327"/>
      <c r="POW26" s="3327"/>
      <c r="POX26" s="3327"/>
      <c r="POY26" s="3327"/>
      <c r="POZ26" s="3327"/>
      <c r="PPA26" s="3327"/>
      <c r="PPB26" s="3327"/>
      <c r="PPC26" s="3327"/>
      <c r="PPD26" s="3327"/>
      <c r="PPE26" s="3327"/>
      <c r="PPF26" s="3327"/>
      <c r="PPG26" s="3327"/>
      <c r="PPH26" s="3327"/>
      <c r="PPI26" s="3327"/>
      <c r="PPJ26" s="3327"/>
      <c r="PPK26" s="3327"/>
      <c r="PPL26" s="3327"/>
      <c r="PPM26" s="3327"/>
      <c r="PPN26" s="3327"/>
      <c r="PPO26" s="3327"/>
      <c r="PPP26" s="3327"/>
      <c r="PPQ26" s="3327"/>
      <c r="PPR26" s="3327"/>
      <c r="PPS26" s="3327"/>
      <c r="PPT26" s="3327"/>
      <c r="PPU26" s="3327"/>
      <c r="PPV26" s="3327"/>
      <c r="PPW26" s="3327"/>
      <c r="PPX26" s="3327"/>
      <c r="PPY26" s="3327"/>
      <c r="PPZ26" s="3327"/>
      <c r="PQA26" s="3327"/>
      <c r="PQB26" s="3327"/>
      <c r="PQC26" s="3327"/>
      <c r="PQD26" s="3327"/>
      <c r="PQE26" s="3327"/>
      <c r="PQF26" s="3327"/>
      <c r="PQG26" s="3327"/>
      <c r="PQH26" s="3327"/>
      <c r="PQI26" s="3327"/>
      <c r="PQJ26" s="3327"/>
      <c r="PQK26" s="3327"/>
      <c r="PQL26" s="3327"/>
      <c r="PQM26" s="3327"/>
      <c r="PQN26" s="3327"/>
      <c r="PQO26" s="3327"/>
      <c r="PQP26" s="3327"/>
      <c r="PQQ26" s="3327"/>
      <c r="PQR26" s="3327"/>
      <c r="PQS26" s="3327"/>
      <c r="PQT26" s="3327"/>
      <c r="PQU26" s="3327"/>
      <c r="PQV26" s="3327"/>
      <c r="PQW26" s="3327"/>
      <c r="PQX26" s="3327"/>
      <c r="PQY26" s="3327"/>
      <c r="PQZ26" s="3327"/>
      <c r="PRA26" s="3327"/>
      <c r="PRB26" s="3327"/>
      <c r="PRC26" s="3327"/>
      <c r="PRD26" s="3327"/>
      <c r="PRE26" s="3327"/>
      <c r="PRF26" s="3327"/>
      <c r="PRG26" s="3327"/>
      <c r="PRH26" s="3327"/>
      <c r="PRI26" s="3327"/>
      <c r="PRJ26" s="3327"/>
      <c r="PRK26" s="3327"/>
      <c r="PRL26" s="3327"/>
      <c r="PRM26" s="3327"/>
      <c r="PRN26" s="3327"/>
      <c r="PRO26" s="3327"/>
      <c r="PRP26" s="3327"/>
      <c r="PRQ26" s="3327"/>
      <c r="PRR26" s="3327"/>
      <c r="PRS26" s="3327"/>
      <c r="PRT26" s="3327"/>
      <c r="PRU26" s="3327"/>
      <c r="PRV26" s="3327"/>
      <c r="PRW26" s="3327"/>
      <c r="PRX26" s="3327"/>
      <c r="PRY26" s="3327"/>
      <c r="PRZ26" s="3327"/>
      <c r="PSA26" s="3327"/>
      <c r="PSB26" s="3327"/>
      <c r="PSC26" s="3327"/>
      <c r="PSD26" s="3327"/>
      <c r="PSE26" s="3327"/>
      <c r="PSF26" s="3327"/>
      <c r="PSG26" s="3327"/>
      <c r="PSH26" s="3327"/>
      <c r="PSI26" s="3327"/>
      <c r="PSJ26" s="3327"/>
      <c r="PSK26" s="3327"/>
      <c r="PSL26" s="3327"/>
      <c r="PSM26" s="3327"/>
      <c r="PSN26" s="3327"/>
      <c r="PSO26" s="3327"/>
      <c r="PSP26" s="3327"/>
      <c r="PSQ26" s="3327"/>
      <c r="PSR26" s="3327"/>
      <c r="PSS26" s="3327"/>
      <c r="PST26" s="3327"/>
      <c r="PSU26" s="3327"/>
      <c r="PSV26" s="3327"/>
      <c r="PSW26" s="3327"/>
      <c r="PSX26" s="3327"/>
      <c r="PSY26" s="3327"/>
      <c r="PSZ26" s="3327"/>
      <c r="PTA26" s="3327"/>
      <c r="PTB26" s="3327"/>
      <c r="PTC26" s="3327"/>
      <c r="PTD26" s="3327"/>
      <c r="PTE26" s="3327"/>
      <c r="PTF26" s="3327"/>
      <c r="PTG26" s="3327"/>
      <c r="PTH26" s="3327"/>
      <c r="PTI26" s="3327"/>
      <c r="PTJ26" s="3327"/>
      <c r="PTK26" s="3327"/>
      <c r="PTL26" s="3327"/>
      <c r="PTM26" s="3327"/>
      <c r="PTN26" s="3327"/>
      <c r="PTO26" s="3327"/>
      <c r="PTP26" s="3327"/>
      <c r="PTQ26" s="3327"/>
      <c r="PTR26" s="3327"/>
      <c r="PTS26" s="3327"/>
      <c r="PTT26" s="3327"/>
      <c r="PTU26" s="3327"/>
      <c r="PTV26" s="3327"/>
      <c r="PTW26" s="3327"/>
      <c r="PTX26" s="3327"/>
      <c r="PTY26" s="3327"/>
      <c r="PTZ26" s="3327"/>
      <c r="PUA26" s="3327"/>
      <c r="PUB26" s="3327"/>
      <c r="PUC26" s="3327"/>
      <c r="PUD26" s="3327"/>
      <c r="PUE26" s="3327"/>
      <c r="PUF26" s="3327"/>
      <c r="PUG26" s="3327"/>
      <c r="PUH26" s="3327"/>
      <c r="PUI26" s="3327"/>
      <c r="PUJ26" s="3327"/>
      <c r="PUK26" s="3327"/>
      <c r="PUL26" s="3327"/>
      <c r="PUM26" s="3327"/>
      <c r="PUN26" s="3327"/>
      <c r="PUO26" s="3327"/>
      <c r="PUP26" s="3327"/>
      <c r="PUQ26" s="3327"/>
      <c r="PUR26" s="3327"/>
      <c r="PUS26" s="3327"/>
      <c r="PUT26" s="3327"/>
      <c r="PUU26" s="3327"/>
      <c r="PUV26" s="3327"/>
      <c r="PUW26" s="3327"/>
      <c r="PUX26" s="3327"/>
      <c r="PUY26" s="3327"/>
      <c r="PUZ26" s="3327"/>
      <c r="PVA26" s="3327"/>
      <c r="PVB26" s="3327"/>
      <c r="PVC26" s="3327"/>
      <c r="PVD26" s="3327"/>
      <c r="PVE26" s="3327"/>
      <c r="PVF26" s="3327"/>
      <c r="PVG26" s="3327"/>
      <c r="PVH26" s="3327"/>
      <c r="PVI26" s="3327"/>
      <c r="PVJ26" s="3327"/>
      <c r="PVK26" s="3327"/>
      <c r="PVL26" s="3327"/>
      <c r="PVM26" s="3327"/>
      <c r="PVN26" s="3327"/>
      <c r="PVO26" s="3327"/>
      <c r="PVP26" s="3327"/>
      <c r="PVQ26" s="3327"/>
      <c r="PVR26" s="3327"/>
      <c r="PVS26" s="3327"/>
      <c r="PVT26" s="3327"/>
      <c r="PVU26" s="3327"/>
      <c r="PVV26" s="3327"/>
      <c r="PVW26" s="3327"/>
      <c r="PVX26" s="3327"/>
      <c r="PVY26" s="3327"/>
      <c r="PVZ26" s="3327"/>
      <c r="PWA26" s="3327"/>
      <c r="PWB26" s="3327"/>
      <c r="PWC26" s="3327"/>
      <c r="PWD26" s="3327"/>
      <c r="PWE26" s="3327"/>
      <c r="PWF26" s="3327"/>
      <c r="PWG26" s="3327"/>
      <c r="PWH26" s="3327"/>
      <c r="PWI26" s="3327"/>
      <c r="PWJ26" s="3327"/>
      <c r="PWK26" s="3327"/>
      <c r="PWL26" s="3327"/>
      <c r="PWM26" s="3327"/>
      <c r="PWN26" s="3327"/>
      <c r="PWO26" s="3327"/>
      <c r="PWP26" s="3327"/>
      <c r="PWQ26" s="3327"/>
      <c r="PWR26" s="3327"/>
      <c r="PWS26" s="3327"/>
      <c r="PWT26" s="3327"/>
      <c r="PWU26" s="3327"/>
      <c r="PWV26" s="3327"/>
      <c r="PWW26" s="3327"/>
      <c r="PWX26" s="3327"/>
      <c r="PWY26" s="3327"/>
      <c r="PWZ26" s="3327"/>
      <c r="PXA26" s="3327"/>
      <c r="PXB26" s="3327"/>
      <c r="PXC26" s="3327"/>
      <c r="PXD26" s="3327"/>
      <c r="PXE26" s="3327"/>
      <c r="PXF26" s="3327"/>
      <c r="PXG26" s="3327"/>
      <c r="PXH26" s="3327"/>
      <c r="PXI26" s="3327"/>
      <c r="PXJ26" s="3327"/>
      <c r="PXK26" s="3327"/>
      <c r="PXL26" s="3327"/>
      <c r="PXM26" s="3327"/>
      <c r="PXN26" s="3327"/>
      <c r="PXO26" s="3327"/>
      <c r="PXP26" s="3327"/>
      <c r="PXQ26" s="3327"/>
      <c r="PXR26" s="3327"/>
      <c r="PXS26" s="3327"/>
      <c r="PXT26" s="3327"/>
      <c r="PXU26" s="3327"/>
      <c r="PXV26" s="3327"/>
      <c r="PXW26" s="3327"/>
      <c r="PXX26" s="3327"/>
      <c r="PXY26" s="3327"/>
      <c r="PXZ26" s="3327"/>
      <c r="PYA26" s="3327"/>
      <c r="PYB26" s="3327"/>
      <c r="PYC26" s="3327"/>
      <c r="PYD26" s="3327"/>
      <c r="PYE26" s="3327"/>
      <c r="PYF26" s="3327"/>
      <c r="PYG26" s="3327"/>
      <c r="PYH26" s="3327"/>
      <c r="PYI26" s="3327"/>
      <c r="PYJ26" s="3327"/>
      <c r="PYK26" s="3327"/>
      <c r="PYL26" s="3327"/>
      <c r="PYM26" s="3327"/>
      <c r="PYN26" s="3327"/>
      <c r="PYO26" s="3327"/>
      <c r="PYP26" s="3327"/>
      <c r="PYQ26" s="3327"/>
      <c r="PYR26" s="3327"/>
      <c r="PYS26" s="3327"/>
      <c r="PYT26" s="3327"/>
      <c r="PYU26" s="3327"/>
      <c r="PYV26" s="3327"/>
      <c r="PYW26" s="3327"/>
      <c r="PYX26" s="3327"/>
      <c r="PYY26" s="3327"/>
      <c r="PYZ26" s="3327"/>
      <c r="PZA26" s="3327"/>
      <c r="PZB26" s="3327"/>
      <c r="PZC26" s="3327"/>
      <c r="PZD26" s="3327"/>
      <c r="PZE26" s="3327"/>
      <c r="PZF26" s="3327"/>
      <c r="PZG26" s="3327"/>
      <c r="PZH26" s="3327"/>
      <c r="PZI26" s="3327"/>
      <c r="PZJ26" s="3327"/>
      <c r="PZK26" s="3327"/>
      <c r="PZL26" s="3327"/>
      <c r="PZM26" s="3327"/>
      <c r="PZN26" s="3327"/>
      <c r="PZO26" s="3327"/>
      <c r="PZP26" s="3327"/>
      <c r="PZQ26" s="3327"/>
      <c r="PZR26" s="3327"/>
      <c r="PZS26" s="3327"/>
      <c r="PZT26" s="3327"/>
      <c r="PZU26" s="3327"/>
      <c r="PZV26" s="3327"/>
      <c r="PZW26" s="3327"/>
      <c r="PZX26" s="3327"/>
      <c r="PZY26" s="3327"/>
      <c r="PZZ26" s="3327"/>
      <c r="QAA26" s="3327"/>
      <c r="QAB26" s="3327"/>
      <c r="QAC26" s="3327"/>
      <c r="QAD26" s="3327"/>
      <c r="QAE26" s="3327"/>
      <c r="QAF26" s="3327"/>
      <c r="QAG26" s="3327"/>
      <c r="QAH26" s="3327"/>
      <c r="QAI26" s="3327"/>
      <c r="QAJ26" s="3327"/>
      <c r="QAK26" s="3327"/>
      <c r="QAL26" s="3327"/>
      <c r="QAM26" s="3327"/>
      <c r="QAN26" s="3327"/>
      <c r="QAO26" s="3327"/>
      <c r="QAP26" s="3327"/>
      <c r="QAQ26" s="3327"/>
      <c r="QAR26" s="3327"/>
      <c r="QAS26" s="3327"/>
      <c r="QAT26" s="3327"/>
      <c r="QAU26" s="3327"/>
      <c r="QAV26" s="3327"/>
      <c r="QAW26" s="3327"/>
      <c r="QAX26" s="3327"/>
      <c r="QAY26" s="3327"/>
      <c r="QAZ26" s="3327"/>
      <c r="QBA26" s="3327"/>
      <c r="QBB26" s="3327"/>
      <c r="QBC26" s="3327"/>
      <c r="QBD26" s="3327"/>
      <c r="QBE26" s="3327"/>
      <c r="QBF26" s="3327"/>
      <c r="QBG26" s="3327"/>
      <c r="QBH26" s="3327"/>
      <c r="QBI26" s="3327"/>
      <c r="QBJ26" s="3327"/>
      <c r="QBK26" s="3327"/>
      <c r="QBL26" s="3327"/>
      <c r="QBM26" s="3327"/>
      <c r="QBN26" s="3327"/>
      <c r="QBO26" s="3327"/>
      <c r="QBP26" s="3327"/>
      <c r="QBQ26" s="3327"/>
      <c r="QBR26" s="3327"/>
      <c r="QBS26" s="3327"/>
      <c r="QBT26" s="3327"/>
      <c r="QBU26" s="3327"/>
      <c r="QBV26" s="3327"/>
      <c r="QBW26" s="3327"/>
      <c r="QBX26" s="3327"/>
      <c r="QBY26" s="3327"/>
      <c r="QBZ26" s="3327"/>
      <c r="QCA26" s="3327"/>
      <c r="QCB26" s="3327"/>
      <c r="QCC26" s="3327"/>
      <c r="QCD26" s="3327"/>
      <c r="QCE26" s="3327"/>
      <c r="QCF26" s="3327"/>
      <c r="QCG26" s="3327"/>
      <c r="QCH26" s="3327"/>
      <c r="QCI26" s="3327"/>
      <c r="QCJ26" s="3327"/>
      <c r="QCK26" s="3327"/>
      <c r="QCL26" s="3327"/>
      <c r="QCM26" s="3327"/>
      <c r="QCN26" s="3327"/>
      <c r="QCO26" s="3327"/>
      <c r="QCP26" s="3327"/>
      <c r="QCQ26" s="3327"/>
      <c r="QCR26" s="3327"/>
      <c r="QCS26" s="3327"/>
      <c r="QCT26" s="3327"/>
      <c r="QCU26" s="3327"/>
      <c r="QCV26" s="3327"/>
      <c r="QCW26" s="3327"/>
      <c r="QCX26" s="3327"/>
      <c r="QCY26" s="3327"/>
      <c r="QCZ26" s="3327"/>
      <c r="QDA26" s="3327"/>
      <c r="QDB26" s="3327"/>
      <c r="QDC26" s="3327"/>
      <c r="QDD26" s="3327"/>
      <c r="QDE26" s="3327"/>
      <c r="QDF26" s="3327"/>
      <c r="QDG26" s="3327"/>
      <c r="QDH26" s="3327"/>
      <c r="QDI26" s="3327"/>
      <c r="QDJ26" s="3327"/>
      <c r="QDK26" s="3327"/>
      <c r="QDL26" s="3327"/>
      <c r="QDM26" s="3327"/>
      <c r="QDN26" s="3327"/>
      <c r="QDO26" s="3327"/>
      <c r="QDP26" s="3327"/>
      <c r="QDQ26" s="3327"/>
      <c r="QDR26" s="3327"/>
      <c r="QDS26" s="3327"/>
      <c r="QDT26" s="3327"/>
      <c r="QDU26" s="3327"/>
      <c r="QDV26" s="3327"/>
      <c r="QDW26" s="3327"/>
      <c r="QDX26" s="3327"/>
      <c r="QDY26" s="3327"/>
      <c r="QDZ26" s="3327"/>
      <c r="QEA26" s="3327"/>
      <c r="QEB26" s="3327"/>
      <c r="QEC26" s="3327"/>
      <c r="QED26" s="3327"/>
      <c r="QEE26" s="3327"/>
      <c r="QEF26" s="3327"/>
      <c r="QEG26" s="3327"/>
      <c r="QEH26" s="3327"/>
      <c r="QEI26" s="3327"/>
      <c r="QEJ26" s="3327"/>
      <c r="QEK26" s="3327"/>
      <c r="QEL26" s="3327"/>
      <c r="QEM26" s="3327"/>
      <c r="QEN26" s="3327"/>
      <c r="QEO26" s="3327"/>
      <c r="QEP26" s="3327"/>
      <c r="QEQ26" s="3327"/>
      <c r="QER26" s="3327"/>
      <c r="QES26" s="3327"/>
      <c r="QET26" s="3327"/>
      <c r="QEU26" s="3327"/>
      <c r="QEV26" s="3327"/>
      <c r="QEW26" s="3327"/>
      <c r="QEX26" s="3327"/>
      <c r="QEY26" s="3327"/>
      <c r="QEZ26" s="3327"/>
      <c r="QFA26" s="3327"/>
      <c r="QFB26" s="3327"/>
      <c r="QFC26" s="3327"/>
      <c r="QFD26" s="3327"/>
      <c r="QFE26" s="3327"/>
      <c r="QFF26" s="3327"/>
      <c r="QFG26" s="3327"/>
      <c r="QFH26" s="3327"/>
      <c r="QFI26" s="3327"/>
      <c r="QFJ26" s="3327"/>
      <c r="QFK26" s="3327"/>
      <c r="QFL26" s="3327"/>
      <c r="QFM26" s="3327"/>
      <c r="QFN26" s="3327"/>
      <c r="QFO26" s="3327"/>
      <c r="QFP26" s="3327"/>
      <c r="QFQ26" s="3327"/>
      <c r="QFR26" s="3327"/>
      <c r="QFS26" s="3327"/>
      <c r="QFT26" s="3327"/>
      <c r="QFU26" s="3327"/>
      <c r="QFV26" s="3327"/>
      <c r="QFW26" s="3327"/>
      <c r="QFX26" s="3327"/>
      <c r="QFY26" s="3327"/>
      <c r="QFZ26" s="3327"/>
      <c r="QGA26" s="3327"/>
      <c r="QGB26" s="3327"/>
      <c r="QGC26" s="3327"/>
      <c r="QGD26" s="3327"/>
      <c r="QGE26" s="3327"/>
      <c r="QGF26" s="3327"/>
      <c r="QGG26" s="3327"/>
      <c r="QGH26" s="3327"/>
      <c r="QGI26" s="3327"/>
      <c r="QGJ26" s="3327"/>
      <c r="QGK26" s="3327"/>
      <c r="QGL26" s="3327"/>
      <c r="QGM26" s="3327"/>
      <c r="QGN26" s="3327"/>
      <c r="QGO26" s="3327"/>
      <c r="QGP26" s="3327"/>
      <c r="QGQ26" s="3327"/>
      <c r="QGR26" s="3327"/>
      <c r="QGS26" s="3327"/>
      <c r="QGT26" s="3327"/>
      <c r="QGU26" s="3327"/>
      <c r="QGV26" s="3327"/>
      <c r="QGW26" s="3327"/>
      <c r="QGX26" s="3327"/>
      <c r="QGY26" s="3327"/>
      <c r="QGZ26" s="3327"/>
      <c r="QHA26" s="3327"/>
      <c r="QHB26" s="3327"/>
      <c r="QHC26" s="3327"/>
      <c r="QHD26" s="3327"/>
      <c r="QHE26" s="3327"/>
      <c r="QHF26" s="3327"/>
      <c r="QHG26" s="3327"/>
      <c r="QHH26" s="3327"/>
      <c r="QHI26" s="3327"/>
      <c r="QHJ26" s="3327"/>
      <c r="QHK26" s="3327"/>
      <c r="QHL26" s="3327"/>
      <c r="QHM26" s="3327"/>
      <c r="QHN26" s="3327"/>
      <c r="QHO26" s="3327"/>
      <c r="QHP26" s="3327"/>
      <c r="QHQ26" s="3327"/>
      <c r="QHR26" s="3327"/>
      <c r="QHS26" s="3327"/>
      <c r="QHT26" s="3327"/>
      <c r="QHU26" s="3327"/>
      <c r="QHV26" s="3327"/>
      <c r="QHW26" s="3327"/>
      <c r="QHX26" s="3327"/>
      <c r="QHY26" s="3327"/>
      <c r="QHZ26" s="3327"/>
      <c r="QIA26" s="3327"/>
      <c r="QIB26" s="3327"/>
      <c r="QIC26" s="3327"/>
      <c r="QID26" s="3327"/>
      <c r="QIE26" s="3327"/>
      <c r="QIF26" s="3327"/>
      <c r="QIG26" s="3327"/>
      <c r="QIH26" s="3327"/>
      <c r="QII26" s="3327"/>
      <c r="QIJ26" s="3327"/>
      <c r="QIK26" s="3327"/>
      <c r="QIL26" s="3327"/>
      <c r="QIM26" s="3327"/>
      <c r="QIN26" s="3327"/>
      <c r="QIO26" s="3327"/>
      <c r="QIP26" s="3327"/>
      <c r="QIQ26" s="3327"/>
      <c r="QIR26" s="3327"/>
      <c r="QIS26" s="3327"/>
      <c r="QIT26" s="3327"/>
      <c r="QIU26" s="3327"/>
      <c r="QIV26" s="3327"/>
      <c r="QIW26" s="3327"/>
      <c r="QIX26" s="3327"/>
      <c r="QIY26" s="3327"/>
      <c r="QIZ26" s="3327"/>
      <c r="QJA26" s="3327"/>
      <c r="QJB26" s="3327"/>
      <c r="QJC26" s="3327"/>
      <c r="QJD26" s="3327"/>
      <c r="QJE26" s="3327"/>
      <c r="QJF26" s="3327"/>
      <c r="QJG26" s="3327"/>
      <c r="QJH26" s="3327"/>
      <c r="QJI26" s="3327"/>
      <c r="QJJ26" s="3327"/>
      <c r="QJK26" s="3327"/>
      <c r="QJL26" s="3327"/>
      <c r="QJM26" s="3327"/>
      <c r="QJN26" s="3327"/>
      <c r="QJO26" s="3327"/>
      <c r="QJP26" s="3327"/>
      <c r="QJQ26" s="3327"/>
      <c r="QJR26" s="3327"/>
      <c r="QJS26" s="3327"/>
      <c r="QJT26" s="3327"/>
      <c r="QJU26" s="3327"/>
      <c r="QJV26" s="3327"/>
      <c r="QJW26" s="3327"/>
      <c r="QJX26" s="3327"/>
      <c r="QJY26" s="3327"/>
      <c r="QJZ26" s="3327"/>
      <c r="QKA26" s="3327"/>
      <c r="QKB26" s="3327"/>
      <c r="QKC26" s="3327"/>
      <c r="QKD26" s="3327"/>
      <c r="QKE26" s="3327"/>
      <c r="QKF26" s="3327"/>
      <c r="QKG26" s="3327"/>
      <c r="QKH26" s="3327"/>
      <c r="QKI26" s="3327"/>
      <c r="QKJ26" s="3327"/>
      <c r="QKK26" s="3327"/>
      <c r="QKL26" s="3327"/>
      <c r="QKM26" s="3327"/>
      <c r="QKN26" s="3327"/>
      <c r="QKO26" s="3327"/>
      <c r="QKP26" s="3327"/>
      <c r="QKQ26" s="3327"/>
      <c r="QKR26" s="3327"/>
      <c r="QKS26" s="3327"/>
      <c r="QKT26" s="3327"/>
      <c r="QKU26" s="3327"/>
      <c r="QKV26" s="3327"/>
      <c r="QKW26" s="3327"/>
      <c r="QKX26" s="3327"/>
      <c r="QKY26" s="3327"/>
      <c r="QKZ26" s="3327"/>
      <c r="QLA26" s="3327"/>
      <c r="QLB26" s="3327"/>
      <c r="QLC26" s="3327"/>
      <c r="QLD26" s="3327"/>
      <c r="QLE26" s="3327"/>
      <c r="QLF26" s="3327"/>
      <c r="QLG26" s="3327"/>
      <c r="QLH26" s="3327"/>
      <c r="QLI26" s="3327"/>
      <c r="QLJ26" s="3327"/>
      <c r="QLK26" s="3327"/>
      <c r="QLL26" s="3327"/>
      <c r="QLM26" s="3327"/>
      <c r="QLN26" s="3327"/>
      <c r="QLO26" s="3327"/>
      <c r="QLP26" s="3327"/>
      <c r="QLQ26" s="3327"/>
      <c r="QLR26" s="3327"/>
      <c r="QLS26" s="3327"/>
      <c r="QLT26" s="3327"/>
      <c r="QLU26" s="3327"/>
      <c r="QLV26" s="3327"/>
      <c r="QLW26" s="3327"/>
      <c r="QLX26" s="3327"/>
      <c r="QLY26" s="3327"/>
      <c r="QLZ26" s="3327"/>
      <c r="QMA26" s="3327"/>
      <c r="QMB26" s="3327"/>
      <c r="QMC26" s="3327"/>
      <c r="QMD26" s="3327"/>
      <c r="QME26" s="3327"/>
      <c r="QMF26" s="3327"/>
      <c r="QMG26" s="3327"/>
      <c r="QMH26" s="3327"/>
      <c r="QMI26" s="3327"/>
      <c r="QMJ26" s="3327"/>
      <c r="QMK26" s="3327"/>
      <c r="QML26" s="3327"/>
      <c r="QMM26" s="3327"/>
      <c r="QMN26" s="3327"/>
      <c r="QMO26" s="3327"/>
      <c r="QMP26" s="3327"/>
      <c r="QMQ26" s="3327"/>
      <c r="QMR26" s="3327"/>
      <c r="QMS26" s="3327"/>
      <c r="QMT26" s="3327"/>
      <c r="QMU26" s="3327"/>
      <c r="QMV26" s="3327"/>
      <c r="QMW26" s="3327"/>
      <c r="QMX26" s="3327"/>
      <c r="QMY26" s="3327"/>
      <c r="QMZ26" s="3327"/>
      <c r="QNA26" s="3327"/>
      <c r="QNB26" s="3327"/>
      <c r="QNC26" s="3327"/>
      <c r="QND26" s="3327"/>
      <c r="QNE26" s="3327"/>
      <c r="QNF26" s="3327"/>
      <c r="QNG26" s="3327"/>
      <c r="QNH26" s="3327"/>
      <c r="QNI26" s="3327"/>
      <c r="QNJ26" s="3327"/>
      <c r="QNK26" s="3327"/>
      <c r="QNL26" s="3327"/>
      <c r="QNM26" s="3327"/>
      <c r="QNN26" s="3327"/>
      <c r="QNO26" s="3327"/>
      <c r="QNP26" s="3327"/>
      <c r="QNQ26" s="3327"/>
      <c r="QNR26" s="3327"/>
      <c r="QNS26" s="3327"/>
      <c r="QNT26" s="3327"/>
      <c r="QNU26" s="3327"/>
      <c r="QNV26" s="3327"/>
      <c r="QNW26" s="3327"/>
      <c r="QNX26" s="3327"/>
      <c r="QNY26" s="3327"/>
      <c r="QNZ26" s="3327"/>
      <c r="QOA26" s="3327"/>
      <c r="QOB26" s="3327"/>
      <c r="QOC26" s="3327"/>
      <c r="QOD26" s="3327"/>
      <c r="QOE26" s="3327"/>
      <c r="QOF26" s="3327"/>
      <c r="QOG26" s="3327"/>
      <c r="QOH26" s="3327"/>
      <c r="QOI26" s="3327"/>
      <c r="QOJ26" s="3327"/>
      <c r="QOK26" s="3327"/>
      <c r="QOL26" s="3327"/>
      <c r="QOM26" s="3327"/>
      <c r="QON26" s="3327"/>
      <c r="QOO26" s="3327"/>
      <c r="QOP26" s="3327"/>
      <c r="QOQ26" s="3327"/>
      <c r="QOR26" s="3327"/>
      <c r="QOS26" s="3327"/>
      <c r="QOT26" s="3327"/>
      <c r="QOU26" s="3327"/>
      <c r="QOV26" s="3327"/>
      <c r="QOW26" s="3327"/>
      <c r="QOX26" s="3327"/>
      <c r="QOY26" s="3327"/>
      <c r="QOZ26" s="3327"/>
      <c r="QPA26" s="3327"/>
      <c r="QPB26" s="3327"/>
      <c r="QPC26" s="3327"/>
      <c r="QPD26" s="3327"/>
      <c r="QPE26" s="3327"/>
      <c r="QPF26" s="3327"/>
      <c r="QPG26" s="3327"/>
      <c r="QPH26" s="3327"/>
      <c r="QPI26" s="3327"/>
      <c r="QPJ26" s="3327"/>
      <c r="QPK26" s="3327"/>
      <c r="QPL26" s="3327"/>
      <c r="QPM26" s="3327"/>
      <c r="QPN26" s="3327"/>
      <c r="QPO26" s="3327"/>
      <c r="QPP26" s="3327"/>
      <c r="QPQ26" s="3327"/>
      <c r="QPR26" s="3327"/>
      <c r="QPS26" s="3327"/>
      <c r="QPT26" s="3327"/>
      <c r="QPU26" s="3327"/>
      <c r="QPV26" s="3327"/>
      <c r="QPW26" s="3327"/>
      <c r="QPX26" s="3327"/>
      <c r="QPY26" s="3327"/>
      <c r="QPZ26" s="3327"/>
      <c r="QQA26" s="3327"/>
      <c r="QQB26" s="3327"/>
      <c r="QQC26" s="3327"/>
      <c r="QQD26" s="3327"/>
      <c r="QQE26" s="3327"/>
      <c r="QQF26" s="3327"/>
      <c r="QQG26" s="3327"/>
      <c r="QQH26" s="3327"/>
      <c r="QQI26" s="3327"/>
      <c r="QQJ26" s="3327"/>
      <c r="QQK26" s="3327"/>
      <c r="QQL26" s="3327"/>
      <c r="QQM26" s="3327"/>
      <c r="QQN26" s="3327"/>
      <c r="QQO26" s="3327"/>
      <c r="QQP26" s="3327"/>
      <c r="QQQ26" s="3327"/>
      <c r="QQR26" s="3327"/>
      <c r="QQS26" s="3327"/>
      <c r="QQT26" s="3327"/>
      <c r="QQU26" s="3327"/>
      <c r="QQV26" s="3327"/>
      <c r="QQW26" s="3327"/>
      <c r="QQX26" s="3327"/>
      <c r="QQY26" s="3327"/>
      <c r="QQZ26" s="3327"/>
      <c r="QRA26" s="3327"/>
      <c r="QRB26" s="3327"/>
      <c r="QRC26" s="3327"/>
      <c r="QRD26" s="3327"/>
      <c r="QRE26" s="3327"/>
      <c r="QRF26" s="3327"/>
      <c r="QRG26" s="3327"/>
      <c r="QRH26" s="3327"/>
      <c r="QRI26" s="3327"/>
      <c r="QRJ26" s="3327"/>
      <c r="QRK26" s="3327"/>
      <c r="QRL26" s="3327"/>
      <c r="QRM26" s="3327"/>
      <c r="QRN26" s="3327"/>
      <c r="QRO26" s="3327"/>
      <c r="QRP26" s="3327"/>
      <c r="QRQ26" s="3327"/>
      <c r="QRR26" s="3327"/>
      <c r="QRS26" s="3327"/>
      <c r="QRT26" s="3327"/>
      <c r="QRU26" s="3327"/>
      <c r="QRV26" s="3327"/>
      <c r="QRW26" s="3327"/>
      <c r="QRX26" s="3327"/>
      <c r="QRY26" s="3327"/>
      <c r="QRZ26" s="3327"/>
      <c r="QSA26" s="3327"/>
      <c r="QSB26" s="3327"/>
      <c r="QSC26" s="3327"/>
      <c r="QSD26" s="3327"/>
      <c r="QSE26" s="3327"/>
      <c r="QSF26" s="3327"/>
      <c r="QSG26" s="3327"/>
      <c r="QSH26" s="3327"/>
      <c r="QSI26" s="3327"/>
      <c r="QSJ26" s="3327"/>
      <c r="QSK26" s="3327"/>
      <c r="QSL26" s="3327"/>
      <c r="QSM26" s="3327"/>
      <c r="QSN26" s="3327"/>
      <c r="QSO26" s="3327"/>
      <c r="QSP26" s="3327"/>
      <c r="QSQ26" s="3327"/>
      <c r="QSR26" s="3327"/>
      <c r="QSS26" s="3327"/>
      <c r="QST26" s="3327"/>
      <c r="QSU26" s="3327"/>
      <c r="QSV26" s="3327"/>
      <c r="QSW26" s="3327"/>
      <c r="QSX26" s="3327"/>
      <c r="QSY26" s="3327"/>
      <c r="QSZ26" s="3327"/>
      <c r="QTA26" s="3327"/>
      <c r="QTB26" s="3327"/>
      <c r="QTC26" s="3327"/>
      <c r="QTD26" s="3327"/>
      <c r="QTE26" s="3327"/>
      <c r="QTF26" s="3327"/>
      <c r="QTG26" s="3327"/>
      <c r="QTH26" s="3327"/>
      <c r="QTI26" s="3327"/>
      <c r="QTJ26" s="3327"/>
      <c r="QTK26" s="3327"/>
      <c r="QTL26" s="3327"/>
      <c r="QTM26" s="3327"/>
      <c r="QTN26" s="3327"/>
      <c r="QTO26" s="3327"/>
      <c r="QTP26" s="3327"/>
      <c r="QTQ26" s="3327"/>
      <c r="QTR26" s="3327"/>
      <c r="QTS26" s="3327"/>
      <c r="QTT26" s="3327"/>
      <c r="QTU26" s="3327"/>
      <c r="QTV26" s="3327"/>
      <c r="QTW26" s="3327"/>
      <c r="QTX26" s="3327"/>
      <c r="QTY26" s="3327"/>
      <c r="QTZ26" s="3327"/>
      <c r="QUA26" s="3327"/>
      <c r="QUB26" s="3327"/>
      <c r="QUC26" s="3327"/>
      <c r="QUD26" s="3327"/>
      <c r="QUE26" s="3327"/>
      <c r="QUF26" s="3327"/>
      <c r="QUG26" s="3327"/>
      <c r="QUH26" s="3327"/>
      <c r="QUI26" s="3327"/>
      <c r="QUJ26" s="3327"/>
      <c r="QUK26" s="3327"/>
      <c r="QUL26" s="3327"/>
      <c r="QUM26" s="3327"/>
      <c r="QUN26" s="3327"/>
      <c r="QUO26" s="3327"/>
      <c r="QUP26" s="3327"/>
      <c r="QUQ26" s="3327"/>
      <c r="QUR26" s="3327"/>
      <c r="QUS26" s="3327"/>
      <c r="QUT26" s="3327"/>
      <c r="QUU26" s="3327"/>
      <c r="QUV26" s="3327"/>
      <c r="QUW26" s="3327"/>
      <c r="QUX26" s="3327"/>
      <c r="QUY26" s="3327"/>
      <c r="QUZ26" s="3327"/>
      <c r="QVA26" s="3327"/>
      <c r="QVB26" s="3327"/>
      <c r="QVC26" s="3327"/>
      <c r="QVD26" s="3327"/>
      <c r="QVE26" s="3327"/>
      <c r="QVF26" s="3327"/>
      <c r="QVG26" s="3327"/>
      <c r="QVH26" s="3327"/>
      <c r="QVI26" s="3327"/>
      <c r="QVJ26" s="3327"/>
      <c r="QVK26" s="3327"/>
      <c r="QVL26" s="3327"/>
      <c r="QVM26" s="3327"/>
      <c r="QVN26" s="3327"/>
      <c r="QVO26" s="3327"/>
      <c r="QVP26" s="3327"/>
      <c r="QVQ26" s="3327"/>
      <c r="QVR26" s="3327"/>
      <c r="QVS26" s="3327"/>
      <c r="QVT26" s="3327"/>
      <c r="QVU26" s="3327"/>
      <c r="QVV26" s="3327"/>
      <c r="QVW26" s="3327"/>
      <c r="QVX26" s="3327"/>
      <c r="QVY26" s="3327"/>
      <c r="QVZ26" s="3327"/>
      <c r="QWA26" s="3327"/>
      <c r="QWB26" s="3327"/>
      <c r="QWC26" s="3327"/>
      <c r="QWD26" s="3327"/>
      <c r="QWE26" s="3327"/>
      <c r="QWF26" s="3327"/>
      <c r="QWG26" s="3327"/>
      <c r="QWH26" s="3327"/>
      <c r="QWI26" s="3327"/>
      <c r="QWJ26" s="3327"/>
      <c r="QWK26" s="3327"/>
      <c r="QWL26" s="3327"/>
      <c r="QWM26" s="3327"/>
      <c r="QWN26" s="3327"/>
      <c r="QWO26" s="3327"/>
      <c r="QWP26" s="3327"/>
      <c r="QWQ26" s="3327"/>
      <c r="QWR26" s="3327"/>
      <c r="QWS26" s="3327"/>
      <c r="QWT26" s="3327"/>
      <c r="QWU26" s="3327"/>
      <c r="QWV26" s="3327"/>
      <c r="QWW26" s="3327"/>
      <c r="QWX26" s="3327"/>
      <c r="QWY26" s="3327"/>
      <c r="QWZ26" s="3327"/>
      <c r="QXA26" s="3327"/>
      <c r="QXB26" s="3327"/>
      <c r="QXC26" s="3327"/>
      <c r="QXD26" s="3327"/>
      <c r="QXE26" s="3327"/>
      <c r="QXF26" s="3327"/>
      <c r="QXG26" s="3327"/>
      <c r="QXH26" s="3327"/>
      <c r="QXI26" s="3327"/>
      <c r="QXJ26" s="3327"/>
      <c r="QXK26" s="3327"/>
      <c r="QXL26" s="3327"/>
      <c r="QXM26" s="3327"/>
      <c r="QXN26" s="3327"/>
      <c r="QXO26" s="3327"/>
      <c r="QXP26" s="3327"/>
      <c r="QXQ26" s="3327"/>
      <c r="QXR26" s="3327"/>
      <c r="QXS26" s="3327"/>
      <c r="QXT26" s="3327"/>
      <c r="QXU26" s="3327"/>
      <c r="QXV26" s="3327"/>
      <c r="QXW26" s="3327"/>
      <c r="QXX26" s="3327"/>
      <c r="QXY26" s="3327"/>
      <c r="QXZ26" s="3327"/>
      <c r="QYA26" s="3327"/>
      <c r="QYB26" s="3327"/>
      <c r="QYC26" s="3327"/>
      <c r="QYD26" s="3327"/>
      <c r="QYE26" s="3327"/>
      <c r="QYF26" s="3327"/>
      <c r="QYG26" s="3327"/>
      <c r="QYH26" s="3327"/>
      <c r="QYI26" s="3327"/>
      <c r="QYJ26" s="3327"/>
      <c r="QYK26" s="3327"/>
      <c r="QYL26" s="3327"/>
      <c r="QYM26" s="3327"/>
      <c r="QYN26" s="3327"/>
      <c r="QYO26" s="3327"/>
      <c r="QYP26" s="3327"/>
      <c r="QYQ26" s="3327"/>
      <c r="QYR26" s="3327"/>
      <c r="QYS26" s="3327"/>
      <c r="QYT26" s="3327"/>
      <c r="QYU26" s="3327"/>
      <c r="QYV26" s="3327"/>
      <c r="QYW26" s="3327"/>
      <c r="QYX26" s="3327"/>
      <c r="QYY26" s="3327"/>
      <c r="QYZ26" s="3327"/>
      <c r="QZA26" s="3327"/>
      <c r="QZB26" s="3327"/>
      <c r="QZC26" s="3327"/>
      <c r="QZD26" s="3327"/>
      <c r="QZE26" s="3327"/>
      <c r="QZF26" s="3327"/>
      <c r="QZG26" s="3327"/>
      <c r="QZH26" s="3327"/>
      <c r="QZI26" s="3327"/>
      <c r="QZJ26" s="3327"/>
      <c r="QZK26" s="3327"/>
      <c r="QZL26" s="3327"/>
      <c r="QZM26" s="3327"/>
      <c r="QZN26" s="3327"/>
      <c r="QZO26" s="3327"/>
      <c r="QZP26" s="3327"/>
      <c r="QZQ26" s="3327"/>
      <c r="QZR26" s="3327"/>
      <c r="QZS26" s="3327"/>
      <c r="QZT26" s="3327"/>
      <c r="QZU26" s="3327"/>
      <c r="QZV26" s="3327"/>
      <c r="QZW26" s="3327"/>
      <c r="QZX26" s="3327"/>
      <c r="QZY26" s="3327"/>
      <c r="QZZ26" s="3327"/>
      <c r="RAA26" s="3327"/>
      <c r="RAB26" s="3327"/>
      <c r="RAC26" s="3327"/>
      <c r="RAD26" s="3327"/>
      <c r="RAE26" s="3327"/>
      <c r="RAF26" s="3327"/>
      <c r="RAG26" s="3327"/>
      <c r="RAH26" s="3327"/>
      <c r="RAI26" s="3327"/>
      <c r="RAJ26" s="3327"/>
      <c r="RAK26" s="3327"/>
      <c r="RAL26" s="3327"/>
      <c r="RAM26" s="3327"/>
      <c r="RAN26" s="3327"/>
      <c r="RAO26" s="3327"/>
      <c r="RAP26" s="3327"/>
      <c r="RAQ26" s="3327"/>
      <c r="RAR26" s="3327"/>
      <c r="RAS26" s="3327"/>
      <c r="RAT26" s="3327"/>
      <c r="RAU26" s="3327"/>
      <c r="RAV26" s="3327"/>
      <c r="RAW26" s="3327"/>
      <c r="RAX26" s="3327"/>
      <c r="RAY26" s="3327"/>
      <c r="RAZ26" s="3327"/>
      <c r="RBA26" s="3327"/>
      <c r="RBB26" s="3327"/>
      <c r="RBC26" s="3327"/>
      <c r="RBD26" s="3327"/>
      <c r="RBE26" s="3327"/>
      <c r="RBF26" s="3327"/>
      <c r="RBG26" s="3327"/>
      <c r="RBH26" s="3327"/>
      <c r="RBI26" s="3327"/>
      <c r="RBJ26" s="3327"/>
      <c r="RBK26" s="3327"/>
      <c r="RBL26" s="3327"/>
      <c r="RBM26" s="3327"/>
      <c r="RBN26" s="3327"/>
      <c r="RBO26" s="3327"/>
      <c r="RBP26" s="3327"/>
      <c r="RBQ26" s="3327"/>
      <c r="RBR26" s="3327"/>
      <c r="RBS26" s="3327"/>
      <c r="RBT26" s="3327"/>
      <c r="RBU26" s="3327"/>
      <c r="RBV26" s="3327"/>
      <c r="RBW26" s="3327"/>
      <c r="RBX26" s="3327"/>
      <c r="RBY26" s="3327"/>
      <c r="RBZ26" s="3327"/>
      <c r="RCA26" s="3327"/>
      <c r="RCB26" s="3327"/>
      <c r="RCC26" s="3327"/>
      <c r="RCD26" s="3327"/>
      <c r="RCE26" s="3327"/>
      <c r="RCF26" s="3327"/>
      <c r="RCG26" s="3327"/>
      <c r="RCH26" s="3327"/>
      <c r="RCI26" s="3327"/>
      <c r="RCJ26" s="3327"/>
      <c r="RCK26" s="3327"/>
      <c r="RCL26" s="3327"/>
      <c r="RCM26" s="3327"/>
      <c r="RCN26" s="3327"/>
      <c r="RCO26" s="3327"/>
      <c r="RCP26" s="3327"/>
      <c r="RCQ26" s="3327"/>
      <c r="RCR26" s="3327"/>
      <c r="RCS26" s="3327"/>
      <c r="RCT26" s="3327"/>
      <c r="RCU26" s="3327"/>
      <c r="RCV26" s="3327"/>
      <c r="RCW26" s="3327"/>
      <c r="RCX26" s="3327"/>
      <c r="RCY26" s="3327"/>
      <c r="RCZ26" s="3327"/>
      <c r="RDA26" s="3327"/>
      <c r="RDB26" s="3327"/>
      <c r="RDC26" s="3327"/>
      <c r="RDD26" s="3327"/>
      <c r="RDE26" s="3327"/>
      <c r="RDF26" s="3327"/>
      <c r="RDG26" s="3327"/>
      <c r="RDH26" s="3327"/>
      <c r="RDI26" s="3327"/>
      <c r="RDJ26" s="3327"/>
      <c r="RDK26" s="3327"/>
      <c r="RDL26" s="3327"/>
      <c r="RDM26" s="3327"/>
      <c r="RDN26" s="3327"/>
      <c r="RDO26" s="3327"/>
      <c r="RDP26" s="3327"/>
      <c r="RDQ26" s="3327"/>
      <c r="RDR26" s="3327"/>
      <c r="RDS26" s="3327"/>
      <c r="RDT26" s="3327"/>
      <c r="RDU26" s="3327"/>
      <c r="RDV26" s="3327"/>
      <c r="RDW26" s="3327"/>
      <c r="RDX26" s="3327"/>
      <c r="RDY26" s="3327"/>
      <c r="RDZ26" s="3327"/>
      <c r="REA26" s="3327"/>
      <c r="REB26" s="3327"/>
      <c r="REC26" s="3327"/>
      <c r="RED26" s="3327"/>
      <c r="REE26" s="3327"/>
      <c r="REF26" s="3327"/>
      <c r="REG26" s="3327"/>
      <c r="REH26" s="3327"/>
      <c r="REI26" s="3327"/>
      <c r="REJ26" s="3327"/>
      <c r="REK26" s="3327"/>
      <c r="REL26" s="3327"/>
      <c r="REM26" s="3327"/>
      <c r="REN26" s="3327"/>
      <c r="REO26" s="3327"/>
      <c r="REP26" s="3327"/>
      <c r="REQ26" s="3327"/>
      <c r="RER26" s="3327"/>
      <c r="RES26" s="3327"/>
      <c r="RET26" s="3327"/>
      <c r="REU26" s="3327"/>
      <c r="REV26" s="3327"/>
      <c r="REW26" s="3327"/>
      <c r="REX26" s="3327"/>
      <c r="REY26" s="3327"/>
      <c r="REZ26" s="3327"/>
      <c r="RFA26" s="3327"/>
      <c r="RFB26" s="3327"/>
      <c r="RFC26" s="3327"/>
      <c r="RFD26" s="3327"/>
      <c r="RFE26" s="3327"/>
      <c r="RFF26" s="3327"/>
      <c r="RFG26" s="3327"/>
      <c r="RFH26" s="3327"/>
      <c r="RFI26" s="3327"/>
      <c r="RFJ26" s="3327"/>
      <c r="RFK26" s="3327"/>
      <c r="RFL26" s="3327"/>
      <c r="RFM26" s="3327"/>
      <c r="RFN26" s="3327"/>
      <c r="RFO26" s="3327"/>
      <c r="RFP26" s="3327"/>
      <c r="RFQ26" s="3327"/>
      <c r="RFR26" s="3327"/>
      <c r="RFS26" s="3327"/>
      <c r="RFT26" s="3327"/>
      <c r="RFU26" s="3327"/>
      <c r="RFV26" s="3327"/>
      <c r="RFW26" s="3327"/>
      <c r="RFX26" s="3327"/>
      <c r="RFY26" s="3327"/>
      <c r="RFZ26" s="3327"/>
      <c r="RGA26" s="3327"/>
      <c r="RGB26" s="3327"/>
      <c r="RGC26" s="3327"/>
      <c r="RGD26" s="3327"/>
      <c r="RGE26" s="3327"/>
      <c r="RGF26" s="3327"/>
      <c r="RGG26" s="3327"/>
      <c r="RGH26" s="3327"/>
      <c r="RGI26" s="3327"/>
      <c r="RGJ26" s="3327"/>
      <c r="RGK26" s="3327"/>
      <c r="RGL26" s="3327"/>
      <c r="RGM26" s="3327"/>
      <c r="RGN26" s="3327"/>
      <c r="RGO26" s="3327"/>
      <c r="RGP26" s="3327"/>
      <c r="RGQ26" s="3327"/>
      <c r="RGR26" s="3327"/>
      <c r="RGS26" s="3327"/>
      <c r="RGT26" s="3327"/>
      <c r="RGU26" s="3327"/>
      <c r="RGV26" s="3327"/>
      <c r="RGW26" s="3327"/>
      <c r="RGX26" s="3327"/>
      <c r="RGY26" s="3327"/>
      <c r="RGZ26" s="3327"/>
      <c r="RHA26" s="3327"/>
      <c r="RHB26" s="3327"/>
      <c r="RHC26" s="3327"/>
      <c r="RHD26" s="3327"/>
      <c r="RHE26" s="3327"/>
      <c r="RHF26" s="3327"/>
      <c r="RHG26" s="3327"/>
      <c r="RHH26" s="3327"/>
      <c r="RHI26" s="3327"/>
      <c r="RHJ26" s="3327"/>
      <c r="RHK26" s="3327"/>
      <c r="RHL26" s="3327"/>
      <c r="RHM26" s="3327"/>
      <c r="RHN26" s="3327"/>
      <c r="RHO26" s="3327"/>
      <c r="RHP26" s="3327"/>
      <c r="RHQ26" s="3327"/>
      <c r="RHR26" s="3327"/>
      <c r="RHS26" s="3327"/>
      <c r="RHT26" s="3327"/>
      <c r="RHU26" s="3327"/>
      <c r="RHV26" s="3327"/>
      <c r="RHW26" s="3327"/>
      <c r="RHX26" s="3327"/>
      <c r="RHY26" s="3327"/>
      <c r="RHZ26" s="3327"/>
      <c r="RIA26" s="3327"/>
      <c r="RIB26" s="3327"/>
      <c r="RIC26" s="3327"/>
      <c r="RID26" s="3327"/>
      <c r="RIE26" s="3327"/>
      <c r="RIF26" s="3327"/>
      <c r="RIG26" s="3327"/>
      <c r="RIH26" s="3327"/>
      <c r="RII26" s="3327"/>
      <c r="RIJ26" s="3327"/>
      <c r="RIK26" s="3327"/>
      <c r="RIL26" s="3327"/>
      <c r="RIM26" s="3327"/>
      <c r="RIN26" s="3327"/>
      <c r="RIO26" s="3327"/>
      <c r="RIP26" s="3327"/>
      <c r="RIQ26" s="3327"/>
      <c r="RIR26" s="3327"/>
      <c r="RIS26" s="3327"/>
      <c r="RIT26" s="3327"/>
      <c r="RIU26" s="3327"/>
      <c r="RIV26" s="3327"/>
      <c r="RIW26" s="3327"/>
      <c r="RIX26" s="3327"/>
      <c r="RIY26" s="3327"/>
      <c r="RIZ26" s="3327"/>
      <c r="RJA26" s="3327"/>
      <c r="RJB26" s="3327"/>
      <c r="RJC26" s="3327"/>
      <c r="RJD26" s="3327"/>
      <c r="RJE26" s="3327"/>
      <c r="RJF26" s="3327"/>
      <c r="RJG26" s="3327"/>
      <c r="RJH26" s="3327"/>
      <c r="RJI26" s="3327"/>
      <c r="RJJ26" s="3327"/>
      <c r="RJK26" s="3327"/>
      <c r="RJL26" s="3327"/>
      <c r="RJM26" s="3327"/>
      <c r="RJN26" s="3327"/>
      <c r="RJO26" s="3327"/>
      <c r="RJP26" s="3327"/>
      <c r="RJQ26" s="3327"/>
      <c r="RJR26" s="3327"/>
      <c r="RJS26" s="3327"/>
      <c r="RJT26" s="3327"/>
      <c r="RJU26" s="3327"/>
      <c r="RJV26" s="3327"/>
      <c r="RJW26" s="3327"/>
      <c r="RJX26" s="3327"/>
      <c r="RJY26" s="3327"/>
      <c r="RJZ26" s="3327"/>
      <c r="RKA26" s="3327"/>
      <c r="RKB26" s="3327"/>
      <c r="RKC26" s="3327"/>
      <c r="RKD26" s="3327"/>
      <c r="RKE26" s="3327"/>
      <c r="RKF26" s="3327"/>
      <c r="RKG26" s="3327"/>
      <c r="RKH26" s="3327"/>
      <c r="RKI26" s="3327"/>
      <c r="RKJ26" s="3327"/>
      <c r="RKK26" s="3327"/>
      <c r="RKL26" s="3327"/>
      <c r="RKM26" s="3327"/>
      <c r="RKN26" s="3327"/>
      <c r="RKO26" s="3327"/>
      <c r="RKP26" s="3327"/>
      <c r="RKQ26" s="3327"/>
      <c r="RKR26" s="3327"/>
      <c r="RKS26" s="3327"/>
      <c r="RKT26" s="3327"/>
      <c r="RKU26" s="3327"/>
      <c r="RKV26" s="3327"/>
      <c r="RKW26" s="3327"/>
      <c r="RKX26" s="3327"/>
      <c r="RKY26" s="3327"/>
      <c r="RKZ26" s="3327"/>
      <c r="RLA26" s="3327"/>
      <c r="RLB26" s="3327"/>
      <c r="RLC26" s="3327"/>
      <c r="RLD26" s="3327"/>
      <c r="RLE26" s="3327"/>
      <c r="RLF26" s="3327"/>
      <c r="RLG26" s="3327"/>
      <c r="RLH26" s="3327"/>
      <c r="RLI26" s="3327"/>
      <c r="RLJ26" s="3327"/>
      <c r="RLK26" s="3327"/>
      <c r="RLL26" s="3327"/>
      <c r="RLM26" s="3327"/>
      <c r="RLN26" s="3327"/>
      <c r="RLO26" s="3327"/>
      <c r="RLP26" s="3327"/>
      <c r="RLQ26" s="3327"/>
      <c r="RLR26" s="3327"/>
      <c r="RLS26" s="3327"/>
      <c r="RLT26" s="3327"/>
      <c r="RLU26" s="3327"/>
      <c r="RLV26" s="3327"/>
      <c r="RLW26" s="3327"/>
      <c r="RLX26" s="3327"/>
      <c r="RLY26" s="3327"/>
      <c r="RLZ26" s="3327"/>
      <c r="RMA26" s="3327"/>
      <c r="RMB26" s="3327"/>
      <c r="RMC26" s="3327"/>
      <c r="RMD26" s="3327"/>
      <c r="RME26" s="3327"/>
      <c r="RMF26" s="3327"/>
      <c r="RMG26" s="3327"/>
      <c r="RMH26" s="3327"/>
      <c r="RMI26" s="3327"/>
      <c r="RMJ26" s="3327"/>
      <c r="RMK26" s="3327"/>
      <c r="RML26" s="3327"/>
      <c r="RMM26" s="3327"/>
      <c r="RMN26" s="3327"/>
      <c r="RMO26" s="3327"/>
      <c r="RMP26" s="3327"/>
      <c r="RMQ26" s="3327"/>
      <c r="RMR26" s="3327"/>
      <c r="RMS26" s="3327"/>
      <c r="RMT26" s="3327"/>
      <c r="RMU26" s="3327"/>
      <c r="RMV26" s="3327"/>
      <c r="RMW26" s="3327"/>
      <c r="RMX26" s="3327"/>
      <c r="RMY26" s="3327"/>
      <c r="RMZ26" s="3327"/>
      <c r="RNA26" s="3327"/>
      <c r="RNB26" s="3327"/>
      <c r="RNC26" s="3327"/>
      <c r="RND26" s="3327"/>
      <c r="RNE26" s="3327"/>
      <c r="RNF26" s="3327"/>
      <c r="RNG26" s="3327"/>
      <c r="RNH26" s="3327"/>
      <c r="RNI26" s="3327"/>
      <c r="RNJ26" s="3327"/>
      <c r="RNK26" s="3327"/>
      <c r="RNL26" s="3327"/>
      <c r="RNM26" s="3327"/>
      <c r="RNN26" s="3327"/>
      <c r="RNO26" s="3327"/>
      <c r="RNP26" s="3327"/>
      <c r="RNQ26" s="3327"/>
      <c r="RNR26" s="3327"/>
      <c r="RNS26" s="3327"/>
      <c r="RNT26" s="3327"/>
      <c r="RNU26" s="3327"/>
      <c r="RNV26" s="3327"/>
      <c r="RNW26" s="3327"/>
      <c r="RNX26" s="3327"/>
      <c r="RNY26" s="3327"/>
      <c r="RNZ26" s="3327"/>
      <c r="ROA26" s="3327"/>
      <c r="ROB26" s="3327"/>
      <c r="ROC26" s="3327"/>
      <c r="ROD26" s="3327"/>
      <c r="ROE26" s="3327"/>
      <c r="ROF26" s="3327"/>
      <c r="ROG26" s="3327"/>
      <c r="ROH26" s="3327"/>
      <c r="ROI26" s="3327"/>
      <c r="ROJ26" s="3327"/>
      <c r="ROK26" s="3327"/>
      <c r="ROL26" s="3327"/>
      <c r="ROM26" s="3327"/>
      <c r="RON26" s="3327"/>
      <c r="ROO26" s="3327"/>
      <c r="ROP26" s="3327"/>
      <c r="ROQ26" s="3327"/>
      <c r="ROR26" s="3327"/>
      <c r="ROS26" s="3327"/>
      <c r="ROT26" s="3327"/>
      <c r="ROU26" s="3327"/>
      <c r="ROV26" s="3327"/>
      <c r="ROW26" s="3327"/>
      <c r="ROX26" s="3327"/>
      <c r="ROY26" s="3327"/>
      <c r="ROZ26" s="3327"/>
      <c r="RPA26" s="3327"/>
      <c r="RPB26" s="3327"/>
      <c r="RPC26" s="3327"/>
      <c r="RPD26" s="3327"/>
      <c r="RPE26" s="3327"/>
      <c r="RPF26" s="3327"/>
      <c r="RPG26" s="3327"/>
      <c r="RPH26" s="3327"/>
      <c r="RPI26" s="3327"/>
      <c r="RPJ26" s="3327"/>
      <c r="RPK26" s="3327"/>
      <c r="RPL26" s="3327"/>
      <c r="RPM26" s="3327"/>
      <c r="RPN26" s="3327"/>
      <c r="RPO26" s="3327"/>
      <c r="RPP26" s="3327"/>
      <c r="RPQ26" s="3327"/>
      <c r="RPR26" s="3327"/>
      <c r="RPS26" s="3327"/>
      <c r="RPT26" s="3327"/>
      <c r="RPU26" s="3327"/>
      <c r="RPV26" s="3327"/>
      <c r="RPW26" s="3327"/>
      <c r="RPX26" s="3327"/>
      <c r="RPY26" s="3327"/>
      <c r="RPZ26" s="3327"/>
      <c r="RQA26" s="3327"/>
      <c r="RQB26" s="3327"/>
      <c r="RQC26" s="3327"/>
      <c r="RQD26" s="3327"/>
      <c r="RQE26" s="3327"/>
      <c r="RQF26" s="3327"/>
      <c r="RQG26" s="3327"/>
      <c r="RQH26" s="3327"/>
      <c r="RQI26" s="3327"/>
      <c r="RQJ26" s="3327"/>
      <c r="RQK26" s="3327"/>
      <c r="RQL26" s="3327"/>
      <c r="RQM26" s="3327"/>
      <c r="RQN26" s="3327"/>
      <c r="RQO26" s="3327"/>
      <c r="RQP26" s="3327"/>
      <c r="RQQ26" s="3327"/>
      <c r="RQR26" s="3327"/>
      <c r="RQS26" s="3327"/>
      <c r="RQT26" s="3327"/>
      <c r="RQU26" s="3327"/>
      <c r="RQV26" s="3327"/>
      <c r="RQW26" s="3327"/>
      <c r="RQX26" s="3327"/>
      <c r="RQY26" s="3327"/>
      <c r="RQZ26" s="3327"/>
      <c r="RRA26" s="3327"/>
      <c r="RRB26" s="3327"/>
      <c r="RRC26" s="3327"/>
      <c r="RRD26" s="3327"/>
      <c r="RRE26" s="3327"/>
      <c r="RRF26" s="3327"/>
      <c r="RRG26" s="3327"/>
      <c r="RRH26" s="3327"/>
      <c r="RRI26" s="3327"/>
      <c r="RRJ26" s="3327"/>
      <c r="RRK26" s="3327"/>
      <c r="RRL26" s="3327"/>
      <c r="RRM26" s="3327"/>
      <c r="RRN26" s="3327"/>
      <c r="RRO26" s="3327"/>
      <c r="RRP26" s="3327"/>
      <c r="RRQ26" s="3327"/>
      <c r="RRR26" s="3327"/>
      <c r="RRS26" s="3327"/>
      <c r="RRT26" s="3327"/>
      <c r="RRU26" s="3327"/>
      <c r="RRV26" s="3327"/>
      <c r="RRW26" s="3327"/>
      <c r="RRX26" s="3327"/>
      <c r="RRY26" s="3327"/>
      <c r="RRZ26" s="3327"/>
      <c r="RSA26" s="3327"/>
      <c r="RSB26" s="3327"/>
      <c r="RSC26" s="3327"/>
      <c r="RSD26" s="3327"/>
      <c r="RSE26" s="3327"/>
      <c r="RSF26" s="3327"/>
      <c r="RSG26" s="3327"/>
      <c r="RSH26" s="3327"/>
      <c r="RSI26" s="3327"/>
      <c r="RSJ26" s="3327"/>
      <c r="RSK26" s="3327"/>
      <c r="RSL26" s="3327"/>
      <c r="RSM26" s="3327"/>
      <c r="RSN26" s="3327"/>
      <c r="RSO26" s="3327"/>
      <c r="RSP26" s="3327"/>
      <c r="RSQ26" s="3327"/>
      <c r="RSR26" s="3327"/>
      <c r="RSS26" s="3327"/>
      <c r="RST26" s="3327"/>
      <c r="RSU26" s="3327"/>
      <c r="RSV26" s="3327"/>
      <c r="RSW26" s="3327"/>
      <c r="RSX26" s="3327"/>
      <c r="RSY26" s="3327"/>
      <c r="RSZ26" s="3327"/>
      <c r="RTA26" s="3327"/>
      <c r="RTB26" s="3327"/>
      <c r="RTC26" s="3327"/>
      <c r="RTD26" s="3327"/>
      <c r="RTE26" s="3327"/>
      <c r="RTF26" s="3327"/>
      <c r="RTG26" s="3327"/>
      <c r="RTH26" s="3327"/>
      <c r="RTI26" s="3327"/>
      <c r="RTJ26" s="3327"/>
      <c r="RTK26" s="3327"/>
      <c r="RTL26" s="3327"/>
      <c r="RTM26" s="3327"/>
      <c r="RTN26" s="3327"/>
      <c r="RTO26" s="3327"/>
      <c r="RTP26" s="3327"/>
      <c r="RTQ26" s="3327"/>
      <c r="RTR26" s="3327"/>
      <c r="RTS26" s="3327"/>
      <c r="RTT26" s="3327"/>
      <c r="RTU26" s="3327"/>
      <c r="RTV26" s="3327"/>
      <c r="RTW26" s="3327"/>
      <c r="RTX26" s="3327"/>
      <c r="RTY26" s="3327"/>
      <c r="RTZ26" s="3327"/>
      <c r="RUA26" s="3327"/>
      <c r="RUB26" s="3327"/>
      <c r="RUC26" s="3327"/>
      <c r="RUD26" s="3327"/>
      <c r="RUE26" s="3327"/>
      <c r="RUF26" s="3327"/>
      <c r="RUG26" s="3327"/>
      <c r="RUH26" s="3327"/>
      <c r="RUI26" s="3327"/>
      <c r="RUJ26" s="3327"/>
      <c r="RUK26" s="3327"/>
      <c r="RUL26" s="3327"/>
      <c r="RUM26" s="3327"/>
      <c r="RUN26" s="3327"/>
      <c r="RUO26" s="3327"/>
      <c r="RUP26" s="3327"/>
      <c r="RUQ26" s="3327"/>
      <c r="RUR26" s="3327"/>
      <c r="RUS26" s="3327"/>
      <c r="RUT26" s="3327"/>
      <c r="RUU26" s="3327"/>
      <c r="RUV26" s="3327"/>
      <c r="RUW26" s="3327"/>
      <c r="RUX26" s="3327"/>
      <c r="RUY26" s="3327"/>
      <c r="RUZ26" s="3327"/>
      <c r="RVA26" s="3327"/>
      <c r="RVB26" s="3327"/>
      <c r="RVC26" s="3327"/>
      <c r="RVD26" s="3327"/>
      <c r="RVE26" s="3327"/>
      <c r="RVF26" s="3327"/>
      <c r="RVG26" s="3327"/>
      <c r="RVH26" s="3327"/>
      <c r="RVI26" s="3327"/>
      <c r="RVJ26" s="3327"/>
      <c r="RVK26" s="3327"/>
      <c r="RVL26" s="3327"/>
      <c r="RVM26" s="3327"/>
      <c r="RVN26" s="3327"/>
      <c r="RVO26" s="3327"/>
      <c r="RVP26" s="3327"/>
      <c r="RVQ26" s="3327"/>
      <c r="RVR26" s="3327"/>
      <c r="RVS26" s="3327"/>
      <c r="RVT26" s="3327"/>
      <c r="RVU26" s="3327"/>
      <c r="RVV26" s="3327"/>
      <c r="RVW26" s="3327"/>
      <c r="RVX26" s="3327"/>
      <c r="RVY26" s="3327"/>
      <c r="RVZ26" s="3327"/>
      <c r="RWA26" s="3327"/>
      <c r="RWB26" s="3327"/>
      <c r="RWC26" s="3327"/>
      <c r="RWD26" s="3327"/>
      <c r="RWE26" s="3327"/>
      <c r="RWF26" s="3327"/>
      <c r="RWG26" s="3327"/>
      <c r="RWH26" s="3327"/>
      <c r="RWI26" s="3327"/>
      <c r="RWJ26" s="3327"/>
      <c r="RWK26" s="3327"/>
      <c r="RWL26" s="3327"/>
      <c r="RWM26" s="3327"/>
      <c r="RWN26" s="3327"/>
      <c r="RWO26" s="3327"/>
      <c r="RWP26" s="3327"/>
      <c r="RWQ26" s="3327"/>
      <c r="RWR26" s="3327"/>
      <c r="RWS26" s="3327"/>
      <c r="RWT26" s="3327"/>
      <c r="RWU26" s="3327"/>
      <c r="RWV26" s="3327"/>
      <c r="RWW26" s="3327"/>
      <c r="RWX26" s="3327"/>
      <c r="RWY26" s="3327"/>
      <c r="RWZ26" s="3327"/>
      <c r="RXA26" s="3327"/>
      <c r="RXB26" s="3327"/>
      <c r="RXC26" s="3327"/>
      <c r="RXD26" s="3327"/>
      <c r="RXE26" s="3327"/>
      <c r="RXF26" s="3327"/>
      <c r="RXG26" s="3327"/>
      <c r="RXH26" s="3327"/>
      <c r="RXI26" s="3327"/>
      <c r="RXJ26" s="3327"/>
      <c r="RXK26" s="3327"/>
      <c r="RXL26" s="3327"/>
      <c r="RXM26" s="3327"/>
      <c r="RXN26" s="3327"/>
      <c r="RXO26" s="3327"/>
      <c r="RXP26" s="3327"/>
      <c r="RXQ26" s="3327"/>
      <c r="RXR26" s="3327"/>
      <c r="RXS26" s="3327"/>
      <c r="RXT26" s="3327"/>
      <c r="RXU26" s="3327"/>
      <c r="RXV26" s="3327"/>
      <c r="RXW26" s="3327"/>
      <c r="RXX26" s="3327"/>
      <c r="RXY26" s="3327"/>
      <c r="RXZ26" s="3327"/>
      <c r="RYA26" s="3327"/>
      <c r="RYB26" s="3327"/>
      <c r="RYC26" s="3327"/>
      <c r="RYD26" s="3327"/>
      <c r="RYE26" s="3327"/>
      <c r="RYF26" s="3327"/>
      <c r="RYG26" s="3327"/>
      <c r="RYH26" s="3327"/>
      <c r="RYI26" s="3327"/>
      <c r="RYJ26" s="3327"/>
      <c r="RYK26" s="3327"/>
      <c r="RYL26" s="3327"/>
      <c r="RYM26" s="3327"/>
      <c r="RYN26" s="3327"/>
      <c r="RYO26" s="3327"/>
      <c r="RYP26" s="3327"/>
      <c r="RYQ26" s="3327"/>
      <c r="RYR26" s="3327"/>
      <c r="RYS26" s="3327"/>
      <c r="RYT26" s="3327"/>
      <c r="RYU26" s="3327"/>
      <c r="RYV26" s="3327"/>
      <c r="RYW26" s="3327"/>
      <c r="RYX26" s="3327"/>
      <c r="RYY26" s="3327"/>
      <c r="RYZ26" s="3327"/>
      <c r="RZA26" s="3327"/>
      <c r="RZB26" s="3327"/>
      <c r="RZC26" s="3327"/>
      <c r="RZD26" s="3327"/>
      <c r="RZE26" s="3327"/>
      <c r="RZF26" s="3327"/>
      <c r="RZG26" s="3327"/>
      <c r="RZH26" s="3327"/>
      <c r="RZI26" s="3327"/>
      <c r="RZJ26" s="3327"/>
      <c r="RZK26" s="3327"/>
      <c r="RZL26" s="3327"/>
      <c r="RZM26" s="3327"/>
      <c r="RZN26" s="3327"/>
      <c r="RZO26" s="3327"/>
      <c r="RZP26" s="3327"/>
      <c r="RZQ26" s="3327"/>
      <c r="RZR26" s="3327"/>
      <c r="RZS26" s="3327"/>
      <c r="RZT26" s="3327"/>
      <c r="RZU26" s="3327"/>
      <c r="RZV26" s="3327"/>
      <c r="RZW26" s="3327"/>
      <c r="RZX26" s="3327"/>
      <c r="RZY26" s="3327"/>
      <c r="RZZ26" s="3327"/>
      <c r="SAA26" s="3327"/>
      <c r="SAB26" s="3327"/>
      <c r="SAC26" s="3327"/>
      <c r="SAD26" s="3327"/>
      <c r="SAE26" s="3327"/>
      <c r="SAF26" s="3327"/>
      <c r="SAG26" s="3327"/>
      <c r="SAH26" s="3327"/>
      <c r="SAI26" s="3327"/>
      <c r="SAJ26" s="3327"/>
      <c r="SAK26" s="3327"/>
      <c r="SAL26" s="3327"/>
      <c r="SAM26" s="3327"/>
      <c r="SAN26" s="3327"/>
      <c r="SAO26" s="3327"/>
      <c r="SAP26" s="3327"/>
      <c r="SAQ26" s="3327"/>
      <c r="SAR26" s="3327"/>
      <c r="SAS26" s="3327"/>
      <c r="SAT26" s="3327"/>
      <c r="SAU26" s="3327"/>
      <c r="SAV26" s="3327"/>
      <c r="SAW26" s="3327"/>
      <c r="SAX26" s="3327"/>
      <c r="SAY26" s="3327"/>
      <c r="SAZ26" s="3327"/>
      <c r="SBA26" s="3327"/>
      <c r="SBB26" s="3327"/>
      <c r="SBC26" s="3327"/>
      <c r="SBD26" s="3327"/>
      <c r="SBE26" s="3327"/>
      <c r="SBF26" s="3327"/>
      <c r="SBG26" s="3327"/>
      <c r="SBH26" s="3327"/>
      <c r="SBI26" s="3327"/>
      <c r="SBJ26" s="3327"/>
      <c r="SBK26" s="3327"/>
      <c r="SBL26" s="3327"/>
      <c r="SBM26" s="3327"/>
      <c r="SBN26" s="3327"/>
      <c r="SBO26" s="3327"/>
      <c r="SBP26" s="3327"/>
      <c r="SBQ26" s="3327"/>
      <c r="SBR26" s="3327"/>
      <c r="SBS26" s="3327"/>
      <c r="SBT26" s="3327"/>
      <c r="SBU26" s="3327"/>
      <c r="SBV26" s="3327"/>
      <c r="SBW26" s="3327"/>
      <c r="SBX26" s="3327"/>
      <c r="SBY26" s="3327"/>
      <c r="SBZ26" s="3327"/>
      <c r="SCA26" s="3327"/>
      <c r="SCB26" s="3327"/>
      <c r="SCC26" s="3327"/>
      <c r="SCD26" s="3327"/>
      <c r="SCE26" s="3327"/>
      <c r="SCF26" s="3327"/>
      <c r="SCG26" s="3327"/>
      <c r="SCH26" s="3327"/>
      <c r="SCI26" s="3327"/>
      <c r="SCJ26" s="3327"/>
      <c r="SCK26" s="3327"/>
      <c r="SCL26" s="3327"/>
      <c r="SCM26" s="3327"/>
      <c r="SCN26" s="3327"/>
      <c r="SCO26" s="3327"/>
      <c r="SCP26" s="3327"/>
      <c r="SCQ26" s="3327"/>
      <c r="SCR26" s="3327"/>
      <c r="SCS26" s="3327"/>
      <c r="SCT26" s="3327"/>
      <c r="SCU26" s="3327"/>
      <c r="SCV26" s="3327"/>
      <c r="SCW26" s="3327"/>
      <c r="SCX26" s="3327"/>
      <c r="SCY26" s="3327"/>
      <c r="SCZ26" s="3327"/>
      <c r="SDA26" s="3327"/>
      <c r="SDB26" s="3327"/>
      <c r="SDC26" s="3327"/>
      <c r="SDD26" s="3327"/>
      <c r="SDE26" s="3327"/>
      <c r="SDF26" s="3327"/>
      <c r="SDG26" s="3327"/>
      <c r="SDH26" s="3327"/>
      <c r="SDI26" s="3327"/>
      <c r="SDJ26" s="3327"/>
      <c r="SDK26" s="3327"/>
      <c r="SDL26" s="3327"/>
      <c r="SDM26" s="3327"/>
      <c r="SDN26" s="3327"/>
      <c r="SDO26" s="3327"/>
      <c r="SDP26" s="3327"/>
      <c r="SDQ26" s="3327"/>
      <c r="SDR26" s="3327"/>
      <c r="SDS26" s="3327"/>
      <c r="SDT26" s="3327"/>
      <c r="SDU26" s="3327"/>
      <c r="SDV26" s="3327"/>
      <c r="SDW26" s="3327"/>
      <c r="SDX26" s="3327"/>
      <c r="SDY26" s="3327"/>
      <c r="SDZ26" s="3327"/>
      <c r="SEA26" s="3327"/>
      <c r="SEB26" s="3327"/>
      <c r="SEC26" s="3327"/>
      <c r="SED26" s="3327"/>
      <c r="SEE26" s="3327"/>
      <c r="SEF26" s="3327"/>
      <c r="SEG26" s="3327"/>
      <c r="SEH26" s="3327"/>
      <c r="SEI26" s="3327"/>
      <c r="SEJ26" s="3327"/>
      <c r="SEK26" s="3327"/>
      <c r="SEL26" s="3327"/>
      <c r="SEM26" s="3327"/>
      <c r="SEN26" s="3327"/>
      <c r="SEO26" s="3327"/>
      <c r="SEP26" s="3327"/>
      <c r="SEQ26" s="3327"/>
      <c r="SER26" s="3327"/>
      <c r="SES26" s="3327"/>
      <c r="SET26" s="3327"/>
      <c r="SEU26" s="3327"/>
      <c r="SEV26" s="3327"/>
      <c r="SEW26" s="3327"/>
      <c r="SEX26" s="3327"/>
      <c r="SEY26" s="3327"/>
      <c r="SEZ26" s="3327"/>
      <c r="SFA26" s="3327"/>
      <c r="SFB26" s="3327"/>
      <c r="SFC26" s="3327"/>
      <c r="SFD26" s="3327"/>
      <c r="SFE26" s="3327"/>
      <c r="SFF26" s="3327"/>
      <c r="SFG26" s="3327"/>
      <c r="SFH26" s="3327"/>
      <c r="SFI26" s="3327"/>
      <c r="SFJ26" s="3327"/>
      <c r="SFK26" s="3327"/>
      <c r="SFL26" s="3327"/>
      <c r="SFM26" s="3327"/>
      <c r="SFN26" s="3327"/>
      <c r="SFO26" s="3327"/>
      <c r="SFP26" s="3327"/>
      <c r="SFQ26" s="3327"/>
      <c r="SFR26" s="3327"/>
      <c r="SFS26" s="3327"/>
      <c r="SFT26" s="3327"/>
      <c r="SFU26" s="3327"/>
      <c r="SFV26" s="3327"/>
      <c r="SFW26" s="3327"/>
      <c r="SFX26" s="3327"/>
      <c r="SFY26" s="3327"/>
      <c r="SFZ26" s="3327"/>
      <c r="SGA26" s="3327"/>
      <c r="SGB26" s="3327"/>
      <c r="SGC26" s="3327"/>
      <c r="SGD26" s="3327"/>
      <c r="SGE26" s="3327"/>
      <c r="SGF26" s="3327"/>
      <c r="SGG26" s="3327"/>
      <c r="SGH26" s="3327"/>
      <c r="SGI26" s="3327"/>
      <c r="SGJ26" s="3327"/>
      <c r="SGK26" s="3327"/>
      <c r="SGL26" s="3327"/>
      <c r="SGM26" s="3327"/>
      <c r="SGN26" s="3327"/>
      <c r="SGO26" s="3327"/>
      <c r="SGP26" s="3327"/>
      <c r="SGQ26" s="3327"/>
      <c r="SGR26" s="3327"/>
      <c r="SGS26" s="3327"/>
      <c r="SGT26" s="3327"/>
      <c r="SGU26" s="3327"/>
      <c r="SGV26" s="3327"/>
      <c r="SGW26" s="3327"/>
      <c r="SGX26" s="3327"/>
      <c r="SGY26" s="3327"/>
      <c r="SGZ26" s="3327"/>
      <c r="SHA26" s="3327"/>
      <c r="SHB26" s="3327"/>
      <c r="SHC26" s="3327"/>
      <c r="SHD26" s="3327"/>
      <c r="SHE26" s="3327"/>
      <c r="SHF26" s="3327"/>
      <c r="SHG26" s="3327"/>
      <c r="SHH26" s="3327"/>
      <c r="SHI26" s="3327"/>
      <c r="SHJ26" s="3327"/>
      <c r="SHK26" s="3327"/>
      <c r="SHL26" s="3327"/>
      <c r="SHM26" s="3327"/>
      <c r="SHN26" s="3327"/>
      <c r="SHO26" s="3327"/>
      <c r="SHP26" s="3327"/>
      <c r="SHQ26" s="3327"/>
      <c r="SHR26" s="3327"/>
      <c r="SHS26" s="3327"/>
      <c r="SHT26" s="3327"/>
      <c r="SHU26" s="3327"/>
      <c r="SHV26" s="3327"/>
      <c r="SHW26" s="3327"/>
      <c r="SHX26" s="3327"/>
      <c r="SHY26" s="3327"/>
      <c r="SHZ26" s="3327"/>
      <c r="SIA26" s="3327"/>
      <c r="SIB26" s="3327"/>
      <c r="SIC26" s="3327"/>
      <c r="SID26" s="3327"/>
      <c r="SIE26" s="3327"/>
      <c r="SIF26" s="3327"/>
      <c r="SIG26" s="3327"/>
      <c r="SIH26" s="3327"/>
      <c r="SII26" s="3327"/>
      <c r="SIJ26" s="3327"/>
      <c r="SIK26" s="3327"/>
      <c r="SIL26" s="3327"/>
      <c r="SIM26" s="3327"/>
      <c r="SIN26" s="3327"/>
      <c r="SIO26" s="3327"/>
      <c r="SIP26" s="3327"/>
      <c r="SIQ26" s="3327"/>
      <c r="SIR26" s="3327"/>
      <c r="SIS26" s="3327"/>
      <c r="SIT26" s="3327"/>
      <c r="SIU26" s="3327"/>
      <c r="SIV26" s="3327"/>
      <c r="SIW26" s="3327"/>
      <c r="SIX26" s="3327"/>
      <c r="SIY26" s="3327"/>
      <c r="SIZ26" s="3327"/>
      <c r="SJA26" s="3327"/>
      <c r="SJB26" s="3327"/>
      <c r="SJC26" s="3327"/>
      <c r="SJD26" s="3327"/>
      <c r="SJE26" s="3327"/>
      <c r="SJF26" s="3327"/>
      <c r="SJG26" s="3327"/>
      <c r="SJH26" s="3327"/>
      <c r="SJI26" s="3327"/>
      <c r="SJJ26" s="3327"/>
      <c r="SJK26" s="3327"/>
      <c r="SJL26" s="3327"/>
      <c r="SJM26" s="3327"/>
      <c r="SJN26" s="3327"/>
      <c r="SJO26" s="3327"/>
      <c r="SJP26" s="3327"/>
      <c r="SJQ26" s="3327"/>
      <c r="SJR26" s="3327"/>
      <c r="SJS26" s="3327"/>
      <c r="SJT26" s="3327"/>
      <c r="SJU26" s="3327"/>
      <c r="SJV26" s="3327"/>
      <c r="SJW26" s="3327"/>
      <c r="SJX26" s="3327"/>
      <c r="SJY26" s="3327"/>
      <c r="SJZ26" s="3327"/>
      <c r="SKA26" s="3327"/>
      <c r="SKB26" s="3327"/>
      <c r="SKC26" s="3327"/>
      <c r="SKD26" s="3327"/>
      <c r="SKE26" s="3327"/>
      <c r="SKF26" s="3327"/>
      <c r="SKG26" s="3327"/>
      <c r="SKH26" s="3327"/>
      <c r="SKI26" s="3327"/>
      <c r="SKJ26" s="3327"/>
      <c r="SKK26" s="3327"/>
      <c r="SKL26" s="3327"/>
      <c r="SKM26" s="3327"/>
      <c r="SKN26" s="3327"/>
      <c r="SKO26" s="3327"/>
      <c r="SKP26" s="3327"/>
      <c r="SKQ26" s="3327"/>
      <c r="SKR26" s="3327"/>
      <c r="SKS26" s="3327"/>
      <c r="SKT26" s="3327"/>
      <c r="SKU26" s="3327"/>
      <c r="SKV26" s="3327"/>
      <c r="SKW26" s="3327"/>
      <c r="SKX26" s="3327"/>
      <c r="SKY26" s="3327"/>
      <c r="SKZ26" s="3327"/>
      <c r="SLA26" s="3327"/>
      <c r="SLB26" s="3327"/>
      <c r="SLC26" s="3327"/>
      <c r="SLD26" s="3327"/>
      <c r="SLE26" s="3327"/>
      <c r="SLF26" s="3327"/>
      <c r="SLG26" s="3327"/>
      <c r="SLH26" s="3327"/>
      <c r="SLI26" s="3327"/>
      <c r="SLJ26" s="3327"/>
      <c r="SLK26" s="3327"/>
      <c r="SLL26" s="3327"/>
      <c r="SLM26" s="3327"/>
      <c r="SLN26" s="3327"/>
      <c r="SLO26" s="3327"/>
      <c r="SLP26" s="3327"/>
      <c r="SLQ26" s="3327"/>
      <c r="SLR26" s="3327"/>
      <c r="SLS26" s="3327"/>
      <c r="SLT26" s="3327"/>
      <c r="SLU26" s="3327"/>
      <c r="SLV26" s="3327"/>
      <c r="SLW26" s="3327"/>
      <c r="SLX26" s="3327"/>
      <c r="SLY26" s="3327"/>
      <c r="SLZ26" s="3327"/>
      <c r="SMA26" s="3327"/>
      <c r="SMB26" s="3327"/>
      <c r="SMC26" s="3327"/>
      <c r="SMD26" s="3327"/>
      <c r="SME26" s="3327"/>
      <c r="SMF26" s="3327"/>
      <c r="SMG26" s="3327"/>
      <c r="SMH26" s="3327"/>
      <c r="SMI26" s="3327"/>
      <c r="SMJ26" s="3327"/>
      <c r="SMK26" s="3327"/>
      <c r="SML26" s="3327"/>
      <c r="SMM26" s="3327"/>
      <c r="SMN26" s="3327"/>
      <c r="SMO26" s="3327"/>
      <c r="SMP26" s="3327"/>
      <c r="SMQ26" s="3327"/>
      <c r="SMR26" s="3327"/>
      <c r="SMS26" s="3327"/>
      <c r="SMT26" s="3327"/>
      <c r="SMU26" s="3327"/>
      <c r="SMV26" s="3327"/>
      <c r="SMW26" s="3327"/>
      <c r="SMX26" s="3327"/>
      <c r="SMY26" s="3327"/>
      <c r="SMZ26" s="3327"/>
      <c r="SNA26" s="3327"/>
      <c r="SNB26" s="3327"/>
      <c r="SNC26" s="3327"/>
      <c r="SND26" s="3327"/>
      <c r="SNE26" s="3327"/>
      <c r="SNF26" s="3327"/>
      <c r="SNG26" s="3327"/>
      <c r="SNH26" s="3327"/>
      <c r="SNI26" s="3327"/>
      <c r="SNJ26" s="3327"/>
      <c r="SNK26" s="3327"/>
      <c r="SNL26" s="3327"/>
      <c r="SNM26" s="3327"/>
      <c r="SNN26" s="3327"/>
      <c r="SNO26" s="3327"/>
      <c r="SNP26" s="3327"/>
      <c r="SNQ26" s="3327"/>
      <c r="SNR26" s="3327"/>
      <c r="SNS26" s="3327"/>
      <c r="SNT26" s="3327"/>
      <c r="SNU26" s="3327"/>
      <c r="SNV26" s="3327"/>
      <c r="SNW26" s="3327"/>
      <c r="SNX26" s="3327"/>
      <c r="SNY26" s="3327"/>
      <c r="SNZ26" s="3327"/>
      <c r="SOA26" s="3327"/>
      <c r="SOB26" s="3327"/>
      <c r="SOC26" s="3327"/>
      <c r="SOD26" s="3327"/>
      <c r="SOE26" s="3327"/>
      <c r="SOF26" s="3327"/>
      <c r="SOG26" s="3327"/>
      <c r="SOH26" s="3327"/>
      <c r="SOI26" s="3327"/>
      <c r="SOJ26" s="3327"/>
      <c r="SOK26" s="3327"/>
      <c r="SOL26" s="3327"/>
      <c r="SOM26" s="3327"/>
      <c r="SON26" s="3327"/>
      <c r="SOO26" s="3327"/>
      <c r="SOP26" s="3327"/>
      <c r="SOQ26" s="3327"/>
      <c r="SOR26" s="3327"/>
      <c r="SOS26" s="3327"/>
      <c r="SOT26" s="3327"/>
      <c r="SOU26" s="3327"/>
      <c r="SOV26" s="3327"/>
      <c r="SOW26" s="3327"/>
      <c r="SOX26" s="3327"/>
      <c r="SOY26" s="3327"/>
      <c r="SOZ26" s="3327"/>
      <c r="SPA26" s="3327"/>
      <c r="SPB26" s="3327"/>
      <c r="SPC26" s="3327"/>
      <c r="SPD26" s="3327"/>
      <c r="SPE26" s="3327"/>
      <c r="SPF26" s="3327"/>
      <c r="SPG26" s="3327"/>
      <c r="SPH26" s="3327"/>
      <c r="SPI26" s="3327"/>
      <c r="SPJ26" s="3327"/>
      <c r="SPK26" s="3327"/>
      <c r="SPL26" s="3327"/>
      <c r="SPM26" s="3327"/>
      <c r="SPN26" s="3327"/>
      <c r="SPO26" s="3327"/>
      <c r="SPP26" s="3327"/>
      <c r="SPQ26" s="3327"/>
      <c r="SPR26" s="3327"/>
      <c r="SPS26" s="3327"/>
      <c r="SPT26" s="3327"/>
      <c r="SPU26" s="3327"/>
      <c r="SPV26" s="3327"/>
      <c r="SPW26" s="3327"/>
      <c r="SPX26" s="3327"/>
      <c r="SPY26" s="3327"/>
      <c r="SPZ26" s="3327"/>
      <c r="SQA26" s="3327"/>
      <c r="SQB26" s="3327"/>
      <c r="SQC26" s="3327"/>
      <c r="SQD26" s="3327"/>
      <c r="SQE26" s="3327"/>
      <c r="SQF26" s="3327"/>
      <c r="SQG26" s="3327"/>
      <c r="SQH26" s="3327"/>
      <c r="SQI26" s="3327"/>
      <c r="SQJ26" s="3327"/>
      <c r="SQK26" s="3327"/>
      <c r="SQL26" s="3327"/>
      <c r="SQM26" s="3327"/>
      <c r="SQN26" s="3327"/>
      <c r="SQO26" s="3327"/>
      <c r="SQP26" s="3327"/>
      <c r="SQQ26" s="3327"/>
      <c r="SQR26" s="3327"/>
      <c r="SQS26" s="3327"/>
      <c r="SQT26" s="3327"/>
      <c r="SQU26" s="3327"/>
      <c r="SQV26" s="3327"/>
      <c r="SQW26" s="3327"/>
      <c r="SQX26" s="3327"/>
      <c r="SQY26" s="3327"/>
      <c r="SQZ26" s="3327"/>
      <c r="SRA26" s="3327"/>
      <c r="SRB26" s="3327"/>
      <c r="SRC26" s="3327"/>
      <c r="SRD26" s="3327"/>
      <c r="SRE26" s="3327"/>
      <c r="SRF26" s="3327"/>
      <c r="SRG26" s="3327"/>
      <c r="SRH26" s="3327"/>
      <c r="SRI26" s="3327"/>
      <c r="SRJ26" s="3327"/>
      <c r="SRK26" s="3327"/>
      <c r="SRL26" s="3327"/>
      <c r="SRM26" s="3327"/>
      <c r="SRN26" s="3327"/>
      <c r="SRO26" s="3327"/>
      <c r="SRP26" s="3327"/>
      <c r="SRQ26" s="3327"/>
      <c r="SRR26" s="3327"/>
      <c r="SRS26" s="3327"/>
      <c r="SRT26" s="3327"/>
      <c r="SRU26" s="3327"/>
      <c r="SRV26" s="3327"/>
      <c r="SRW26" s="3327"/>
      <c r="SRX26" s="3327"/>
      <c r="SRY26" s="3327"/>
      <c r="SRZ26" s="3327"/>
      <c r="SSA26" s="3327"/>
      <c r="SSB26" s="3327"/>
      <c r="SSC26" s="3327"/>
      <c r="SSD26" s="3327"/>
      <c r="SSE26" s="3327"/>
      <c r="SSF26" s="3327"/>
      <c r="SSG26" s="3327"/>
      <c r="SSH26" s="3327"/>
      <c r="SSI26" s="3327"/>
      <c r="SSJ26" s="3327"/>
      <c r="SSK26" s="3327"/>
      <c r="SSL26" s="3327"/>
      <c r="SSM26" s="3327"/>
      <c r="SSN26" s="3327"/>
      <c r="SSO26" s="3327"/>
      <c r="SSP26" s="3327"/>
      <c r="SSQ26" s="3327"/>
      <c r="SSR26" s="3327"/>
      <c r="SSS26" s="3327"/>
      <c r="SST26" s="3327"/>
      <c r="SSU26" s="3327"/>
      <c r="SSV26" s="3327"/>
      <c r="SSW26" s="3327"/>
      <c r="SSX26" s="3327"/>
      <c r="SSY26" s="3327"/>
      <c r="SSZ26" s="3327"/>
      <c r="STA26" s="3327"/>
      <c r="STB26" s="3327"/>
      <c r="STC26" s="3327"/>
      <c r="STD26" s="3327"/>
      <c r="STE26" s="3327"/>
      <c r="STF26" s="3327"/>
      <c r="STG26" s="3327"/>
      <c r="STH26" s="3327"/>
      <c r="STI26" s="3327"/>
      <c r="STJ26" s="3327"/>
      <c r="STK26" s="3327"/>
      <c r="STL26" s="3327"/>
      <c r="STM26" s="3327"/>
      <c r="STN26" s="3327"/>
      <c r="STO26" s="3327"/>
      <c r="STP26" s="3327"/>
      <c r="STQ26" s="3327"/>
      <c r="STR26" s="3327"/>
      <c r="STS26" s="3327"/>
      <c r="STT26" s="3327"/>
      <c r="STU26" s="3327"/>
      <c r="STV26" s="3327"/>
      <c r="STW26" s="3327"/>
      <c r="STX26" s="3327"/>
      <c r="STY26" s="3327"/>
      <c r="STZ26" s="3327"/>
      <c r="SUA26" s="3327"/>
      <c r="SUB26" s="3327"/>
      <c r="SUC26" s="3327"/>
      <c r="SUD26" s="3327"/>
      <c r="SUE26" s="3327"/>
      <c r="SUF26" s="3327"/>
      <c r="SUG26" s="3327"/>
      <c r="SUH26" s="3327"/>
      <c r="SUI26" s="3327"/>
      <c r="SUJ26" s="3327"/>
      <c r="SUK26" s="3327"/>
      <c r="SUL26" s="3327"/>
      <c r="SUM26" s="3327"/>
      <c r="SUN26" s="3327"/>
      <c r="SUO26" s="3327"/>
      <c r="SUP26" s="3327"/>
      <c r="SUQ26" s="3327"/>
      <c r="SUR26" s="3327"/>
      <c r="SUS26" s="3327"/>
      <c r="SUT26" s="3327"/>
      <c r="SUU26" s="3327"/>
      <c r="SUV26" s="3327"/>
      <c r="SUW26" s="3327"/>
      <c r="SUX26" s="3327"/>
      <c r="SUY26" s="3327"/>
      <c r="SUZ26" s="3327"/>
      <c r="SVA26" s="3327"/>
      <c r="SVB26" s="3327"/>
      <c r="SVC26" s="3327"/>
      <c r="SVD26" s="3327"/>
      <c r="SVE26" s="3327"/>
      <c r="SVF26" s="3327"/>
      <c r="SVG26" s="3327"/>
      <c r="SVH26" s="3327"/>
      <c r="SVI26" s="3327"/>
      <c r="SVJ26" s="3327"/>
      <c r="SVK26" s="3327"/>
      <c r="SVL26" s="3327"/>
      <c r="SVM26" s="3327"/>
      <c r="SVN26" s="3327"/>
      <c r="SVO26" s="3327"/>
      <c r="SVP26" s="3327"/>
      <c r="SVQ26" s="3327"/>
      <c r="SVR26" s="3327"/>
      <c r="SVS26" s="3327"/>
      <c r="SVT26" s="3327"/>
      <c r="SVU26" s="3327"/>
      <c r="SVV26" s="3327"/>
      <c r="SVW26" s="3327"/>
      <c r="SVX26" s="3327"/>
      <c r="SVY26" s="3327"/>
      <c r="SVZ26" s="3327"/>
      <c r="SWA26" s="3327"/>
      <c r="SWB26" s="3327"/>
      <c r="SWC26" s="3327"/>
      <c r="SWD26" s="3327"/>
      <c r="SWE26" s="3327"/>
      <c r="SWF26" s="3327"/>
      <c r="SWG26" s="3327"/>
      <c r="SWH26" s="3327"/>
      <c r="SWI26" s="3327"/>
      <c r="SWJ26" s="3327"/>
      <c r="SWK26" s="3327"/>
      <c r="SWL26" s="3327"/>
      <c r="SWM26" s="3327"/>
      <c r="SWN26" s="3327"/>
      <c r="SWO26" s="3327"/>
      <c r="SWP26" s="3327"/>
      <c r="SWQ26" s="3327"/>
      <c r="SWR26" s="3327"/>
      <c r="SWS26" s="3327"/>
      <c r="SWT26" s="3327"/>
      <c r="SWU26" s="3327"/>
      <c r="SWV26" s="3327"/>
      <c r="SWW26" s="3327"/>
      <c r="SWX26" s="3327"/>
      <c r="SWY26" s="3327"/>
      <c r="SWZ26" s="3327"/>
      <c r="SXA26" s="3327"/>
      <c r="SXB26" s="3327"/>
      <c r="SXC26" s="3327"/>
      <c r="SXD26" s="3327"/>
      <c r="SXE26" s="3327"/>
      <c r="SXF26" s="3327"/>
      <c r="SXG26" s="3327"/>
      <c r="SXH26" s="3327"/>
      <c r="SXI26" s="3327"/>
      <c r="SXJ26" s="3327"/>
      <c r="SXK26" s="3327"/>
      <c r="SXL26" s="3327"/>
      <c r="SXM26" s="3327"/>
      <c r="SXN26" s="3327"/>
      <c r="SXO26" s="3327"/>
      <c r="SXP26" s="3327"/>
      <c r="SXQ26" s="3327"/>
      <c r="SXR26" s="3327"/>
      <c r="SXS26" s="3327"/>
      <c r="SXT26" s="3327"/>
      <c r="SXU26" s="3327"/>
      <c r="SXV26" s="3327"/>
      <c r="SXW26" s="3327"/>
      <c r="SXX26" s="3327"/>
      <c r="SXY26" s="3327"/>
      <c r="SXZ26" s="3327"/>
      <c r="SYA26" s="3327"/>
      <c r="SYB26" s="3327"/>
      <c r="SYC26" s="3327"/>
      <c r="SYD26" s="3327"/>
      <c r="SYE26" s="3327"/>
      <c r="SYF26" s="3327"/>
      <c r="SYG26" s="3327"/>
      <c r="SYH26" s="3327"/>
      <c r="SYI26" s="3327"/>
      <c r="SYJ26" s="3327"/>
      <c r="SYK26" s="3327"/>
      <c r="SYL26" s="3327"/>
      <c r="SYM26" s="3327"/>
      <c r="SYN26" s="3327"/>
      <c r="SYO26" s="3327"/>
      <c r="SYP26" s="3327"/>
      <c r="SYQ26" s="3327"/>
      <c r="SYR26" s="3327"/>
      <c r="SYS26" s="3327"/>
      <c r="SYT26" s="3327"/>
      <c r="SYU26" s="3327"/>
      <c r="SYV26" s="3327"/>
      <c r="SYW26" s="3327"/>
      <c r="SYX26" s="3327"/>
      <c r="SYY26" s="3327"/>
      <c r="SYZ26" s="3327"/>
      <c r="SZA26" s="3327"/>
      <c r="SZB26" s="3327"/>
      <c r="SZC26" s="3327"/>
      <c r="SZD26" s="3327"/>
      <c r="SZE26" s="3327"/>
      <c r="SZF26" s="3327"/>
      <c r="SZG26" s="3327"/>
      <c r="SZH26" s="3327"/>
      <c r="SZI26" s="3327"/>
      <c r="SZJ26" s="3327"/>
      <c r="SZK26" s="3327"/>
      <c r="SZL26" s="3327"/>
      <c r="SZM26" s="3327"/>
      <c r="SZN26" s="3327"/>
      <c r="SZO26" s="3327"/>
      <c r="SZP26" s="3327"/>
      <c r="SZQ26" s="3327"/>
      <c r="SZR26" s="3327"/>
      <c r="SZS26" s="3327"/>
      <c r="SZT26" s="3327"/>
      <c r="SZU26" s="3327"/>
      <c r="SZV26" s="3327"/>
      <c r="SZW26" s="3327"/>
      <c r="SZX26" s="3327"/>
      <c r="SZY26" s="3327"/>
      <c r="SZZ26" s="3327"/>
      <c r="TAA26" s="3327"/>
      <c r="TAB26" s="3327"/>
      <c r="TAC26" s="3327"/>
      <c r="TAD26" s="3327"/>
      <c r="TAE26" s="3327"/>
      <c r="TAF26" s="3327"/>
      <c r="TAG26" s="3327"/>
      <c r="TAH26" s="3327"/>
      <c r="TAI26" s="3327"/>
      <c r="TAJ26" s="3327"/>
      <c r="TAK26" s="3327"/>
      <c r="TAL26" s="3327"/>
      <c r="TAM26" s="3327"/>
      <c r="TAN26" s="3327"/>
      <c r="TAO26" s="3327"/>
      <c r="TAP26" s="3327"/>
      <c r="TAQ26" s="3327"/>
      <c r="TAR26" s="3327"/>
      <c r="TAS26" s="3327"/>
      <c r="TAT26" s="3327"/>
      <c r="TAU26" s="3327"/>
      <c r="TAV26" s="3327"/>
      <c r="TAW26" s="3327"/>
      <c r="TAX26" s="3327"/>
      <c r="TAY26" s="3327"/>
      <c r="TAZ26" s="3327"/>
      <c r="TBA26" s="3327"/>
      <c r="TBB26" s="3327"/>
      <c r="TBC26" s="3327"/>
      <c r="TBD26" s="3327"/>
      <c r="TBE26" s="3327"/>
      <c r="TBF26" s="3327"/>
      <c r="TBG26" s="3327"/>
      <c r="TBH26" s="3327"/>
      <c r="TBI26" s="3327"/>
      <c r="TBJ26" s="3327"/>
      <c r="TBK26" s="3327"/>
      <c r="TBL26" s="3327"/>
      <c r="TBM26" s="3327"/>
      <c r="TBN26" s="3327"/>
      <c r="TBO26" s="3327"/>
      <c r="TBP26" s="3327"/>
      <c r="TBQ26" s="3327"/>
      <c r="TBR26" s="3327"/>
      <c r="TBS26" s="3327"/>
      <c r="TBT26" s="3327"/>
      <c r="TBU26" s="3327"/>
      <c r="TBV26" s="3327"/>
      <c r="TBW26" s="3327"/>
      <c r="TBX26" s="3327"/>
      <c r="TBY26" s="3327"/>
      <c r="TBZ26" s="3327"/>
      <c r="TCA26" s="3327"/>
      <c r="TCB26" s="3327"/>
      <c r="TCC26" s="3327"/>
      <c r="TCD26" s="3327"/>
      <c r="TCE26" s="3327"/>
      <c r="TCF26" s="3327"/>
      <c r="TCG26" s="3327"/>
      <c r="TCH26" s="3327"/>
      <c r="TCI26" s="3327"/>
      <c r="TCJ26" s="3327"/>
      <c r="TCK26" s="3327"/>
      <c r="TCL26" s="3327"/>
      <c r="TCM26" s="3327"/>
      <c r="TCN26" s="3327"/>
      <c r="TCO26" s="3327"/>
      <c r="TCP26" s="3327"/>
      <c r="TCQ26" s="3327"/>
      <c r="TCR26" s="3327"/>
      <c r="TCS26" s="3327"/>
      <c r="TCT26" s="3327"/>
      <c r="TCU26" s="3327"/>
      <c r="TCV26" s="3327"/>
      <c r="TCW26" s="3327"/>
      <c r="TCX26" s="3327"/>
      <c r="TCY26" s="3327"/>
      <c r="TCZ26" s="3327"/>
      <c r="TDA26" s="3327"/>
      <c r="TDB26" s="3327"/>
      <c r="TDC26" s="3327"/>
      <c r="TDD26" s="3327"/>
      <c r="TDE26" s="3327"/>
      <c r="TDF26" s="3327"/>
      <c r="TDG26" s="3327"/>
      <c r="TDH26" s="3327"/>
      <c r="TDI26" s="3327"/>
      <c r="TDJ26" s="3327"/>
      <c r="TDK26" s="3327"/>
      <c r="TDL26" s="3327"/>
      <c r="TDM26" s="3327"/>
      <c r="TDN26" s="3327"/>
      <c r="TDO26" s="3327"/>
      <c r="TDP26" s="3327"/>
      <c r="TDQ26" s="3327"/>
      <c r="TDR26" s="3327"/>
      <c r="TDS26" s="3327"/>
      <c r="TDT26" s="3327"/>
      <c r="TDU26" s="3327"/>
      <c r="TDV26" s="3327"/>
      <c r="TDW26" s="3327"/>
      <c r="TDX26" s="3327"/>
      <c r="TDY26" s="3327"/>
      <c r="TDZ26" s="3327"/>
      <c r="TEA26" s="3327"/>
      <c r="TEB26" s="3327"/>
      <c r="TEC26" s="3327"/>
      <c r="TED26" s="3327"/>
      <c r="TEE26" s="3327"/>
      <c r="TEF26" s="3327"/>
      <c r="TEG26" s="3327"/>
      <c r="TEH26" s="3327"/>
      <c r="TEI26" s="3327"/>
      <c r="TEJ26" s="3327"/>
      <c r="TEK26" s="3327"/>
      <c r="TEL26" s="3327"/>
      <c r="TEM26" s="3327"/>
      <c r="TEN26" s="3327"/>
      <c r="TEO26" s="3327"/>
      <c r="TEP26" s="3327"/>
      <c r="TEQ26" s="3327"/>
      <c r="TER26" s="3327"/>
      <c r="TES26" s="3327"/>
      <c r="TET26" s="3327"/>
      <c r="TEU26" s="3327"/>
      <c r="TEV26" s="3327"/>
      <c r="TEW26" s="3327"/>
      <c r="TEX26" s="3327"/>
      <c r="TEY26" s="3327"/>
      <c r="TEZ26" s="3327"/>
      <c r="TFA26" s="3327"/>
      <c r="TFB26" s="3327"/>
      <c r="TFC26" s="3327"/>
      <c r="TFD26" s="3327"/>
      <c r="TFE26" s="3327"/>
      <c r="TFF26" s="3327"/>
      <c r="TFG26" s="3327"/>
      <c r="TFH26" s="3327"/>
      <c r="TFI26" s="3327"/>
      <c r="TFJ26" s="3327"/>
      <c r="TFK26" s="3327"/>
      <c r="TFL26" s="3327"/>
      <c r="TFM26" s="3327"/>
      <c r="TFN26" s="3327"/>
      <c r="TFO26" s="3327"/>
      <c r="TFP26" s="3327"/>
      <c r="TFQ26" s="3327"/>
      <c r="TFR26" s="3327"/>
      <c r="TFS26" s="3327"/>
      <c r="TFT26" s="3327"/>
      <c r="TFU26" s="3327"/>
      <c r="TFV26" s="3327"/>
      <c r="TFW26" s="3327"/>
      <c r="TFX26" s="3327"/>
      <c r="TFY26" s="3327"/>
      <c r="TFZ26" s="3327"/>
      <c r="TGA26" s="3327"/>
      <c r="TGB26" s="3327"/>
      <c r="TGC26" s="3327"/>
      <c r="TGD26" s="3327"/>
      <c r="TGE26" s="3327"/>
      <c r="TGF26" s="3327"/>
      <c r="TGG26" s="3327"/>
      <c r="TGH26" s="3327"/>
      <c r="TGI26" s="3327"/>
      <c r="TGJ26" s="3327"/>
      <c r="TGK26" s="3327"/>
      <c r="TGL26" s="3327"/>
      <c r="TGM26" s="3327"/>
      <c r="TGN26" s="3327"/>
      <c r="TGO26" s="3327"/>
      <c r="TGP26" s="3327"/>
      <c r="TGQ26" s="3327"/>
      <c r="TGR26" s="3327"/>
      <c r="TGS26" s="3327"/>
      <c r="TGT26" s="3327"/>
      <c r="TGU26" s="3327"/>
      <c r="TGV26" s="3327"/>
      <c r="TGW26" s="3327"/>
      <c r="TGX26" s="3327"/>
      <c r="TGY26" s="3327"/>
      <c r="TGZ26" s="3327"/>
      <c r="THA26" s="3327"/>
      <c r="THB26" s="3327"/>
      <c r="THC26" s="3327"/>
      <c r="THD26" s="3327"/>
      <c r="THE26" s="3327"/>
      <c r="THF26" s="3327"/>
      <c r="THG26" s="3327"/>
      <c r="THH26" s="3327"/>
      <c r="THI26" s="3327"/>
      <c r="THJ26" s="3327"/>
      <c r="THK26" s="3327"/>
      <c r="THL26" s="3327"/>
      <c r="THM26" s="3327"/>
      <c r="THN26" s="3327"/>
      <c r="THO26" s="3327"/>
      <c r="THP26" s="3327"/>
      <c r="THQ26" s="3327"/>
      <c r="THR26" s="3327"/>
      <c r="THS26" s="3327"/>
      <c r="THT26" s="3327"/>
      <c r="THU26" s="3327"/>
      <c r="THV26" s="3327"/>
      <c r="THW26" s="3327"/>
      <c r="THX26" s="3327"/>
      <c r="THY26" s="3327"/>
      <c r="THZ26" s="3327"/>
      <c r="TIA26" s="3327"/>
      <c r="TIB26" s="3327"/>
      <c r="TIC26" s="3327"/>
      <c r="TID26" s="3327"/>
      <c r="TIE26" s="3327"/>
      <c r="TIF26" s="3327"/>
      <c r="TIG26" s="3327"/>
      <c r="TIH26" s="3327"/>
      <c r="TII26" s="3327"/>
      <c r="TIJ26" s="3327"/>
      <c r="TIK26" s="3327"/>
      <c r="TIL26" s="3327"/>
      <c r="TIM26" s="3327"/>
      <c r="TIN26" s="3327"/>
      <c r="TIO26" s="3327"/>
      <c r="TIP26" s="3327"/>
      <c r="TIQ26" s="3327"/>
      <c r="TIR26" s="3327"/>
      <c r="TIS26" s="3327"/>
      <c r="TIT26" s="3327"/>
      <c r="TIU26" s="3327"/>
      <c r="TIV26" s="3327"/>
      <c r="TIW26" s="3327"/>
      <c r="TIX26" s="3327"/>
      <c r="TIY26" s="3327"/>
      <c r="TIZ26" s="3327"/>
      <c r="TJA26" s="3327"/>
      <c r="TJB26" s="3327"/>
      <c r="TJC26" s="3327"/>
      <c r="TJD26" s="3327"/>
      <c r="TJE26" s="3327"/>
      <c r="TJF26" s="3327"/>
      <c r="TJG26" s="3327"/>
      <c r="TJH26" s="3327"/>
      <c r="TJI26" s="3327"/>
      <c r="TJJ26" s="3327"/>
      <c r="TJK26" s="3327"/>
      <c r="TJL26" s="3327"/>
      <c r="TJM26" s="3327"/>
      <c r="TJN26" s="3327"/>
      <c r="TJO26" s="3327"/>
      <c r="TJP26" s="3327"/>
      <c r="TJQ26" s="3327"/>
      <c r="TJR26" s="3327"/>
      <c r="TJS26" s="3327"/>
      <c r="TJT26" s="3327"/>
      <c r="TJU26" s="3327"/>
      <c r="TJV26" s="3327"/>
      <c r="TJW26" s="3327"/>
      <c r="TJX26" s="3327"/>
      <c r="TJY26" s="3327"/>
      <c r="TJZ26" s="3327"/>
      <c r="TKA26" s="3327"/>
      <c r="TKB26" s="3327"/>
      <c r="TKC26" s="3327"/>
      <c r="TKD26" s="3327"/>
      <c r="TKE26" s="3327"/>
      <c r="TKF26" s="3327"/>
      <c r="TKG26" s="3327"/>
      <c r="TKH26" s="3327"/>
      <c r="TKI26" s="3327"/>
      <c r="TKJ26" s="3327"/>
      <c r="TKK26" s="3327"/>
      <c r="TKL26" s="3327"/>
      <c r="TKM26" s="3327"/>
      <c r="TKN26" s="3327"/>
      <c r="TKO26" s="3327"/>
      <c r="TKP26" s="3327"/>
      <c r="TKQ26" s="3327"/>
      <c r="TKR26" s="3327"/>
      <c r="TKS26" s="3327"/>
      <c r="TKT26" s="3327"/>
      <c r="TKU26" s="3327"/>
      <c r="TKV26" s="3327"/>
      <c r="TKW26" s="3327"/>
      <c r="TKX26" s="3327"/>
      <c r="TKY26" s="3327"/>
      <c r="TKZ26" s="3327"/>
      <c r="TLA26" s="3327"/>
      <c r="TLB26" s="3327"/>
      <c r="TLC26" s="3327"/>
      <c r="TLD26" s="3327"/>
      <c r="TLE26" s="3327"/>
      <c r="TLF26" s="3327"/>
      <c r="TLG26" s="3327"/>
      <c r="TLH26" s="3327"/>
      <c r="TLI26" s="3327"/>
      <c r="TLJ26" s="3327"/>
      <c r="TLK26" s="3327"/>
      <c r="TLL26" s="3327"/>
      <c r="TLM26" s="3327"/>
      <c r="TLN26" s="3327"/>
      <c r="TLO26" s="3327"/>
      <c r="TLP26" s="3327"/>
      <c r="TLQ26" s="3327"/>
      <c r="TLR26" s="3327"/>
      <c r="TLS26" s="3327"/>
      <c r="TLT26" s="3327"/>
      <c r="TLU26" s="3327"/>
      <c r="TLV26" s="3327"/>
      <c r="TLW26" s="3327"/>
      <c r="TLX26" s="3327"/>
      <c r="TLY26" s="3327"/>
      <c r="TLZ26" s="3327"/>
      <c r="TMA26" s="3327"/>
      <c r="TMB26" s="3327"/>
      <c r="TMC26" s="3327"/>
      <c r="TMD26" s="3327"/>
      <c r="TME26" s="3327"/>
      <c r="TMF26" s="3327"/>
      <c r="TMG26" s="3327"/>
      <c r="TMH26" s="3327"/>
      <c r="TMI26" s="3327"/>
      <c r="TMJ26" s="3327"/>
      <c r="TMK26" s="3327"/>
      <c r="TML26" s="3327"/>
      <c r="TMM26" s="3327"/>
      <c r="TMN26" s="3327"/>
      <c r="TMO26" s="3327"/>
      <c r="TMP26" s="3327"/>
      <c r="TMQ26" s="3327"/>
      <c r="TMR26" s="3327"/>
      <c r="TMS26" s="3327"/>
      <c r="TMT26" s="3327"/>
      <c r="TMU26" s="3327"/>
      <c r="TMV26" s="3327"/>
      <c r="TMW26" s="3327"/>
      <c r="TMX26" s="3327"/>
      <c r="TMY26" s="3327"/>
      <c r="TMZ26" s="3327"/>
      <c r="TNA26" s="3327"/>
      <c r="TNB26" s="3327"/>
      <c r="TNC26" s="3327"/>
      <c r="TND26" s="3327"/>
      <c r="TNE26" s="3327"/>
      <c r="TNF26" s="3327"/>
      <c r="TNG26" s="3327"/>
      <c r="TNH26" s="3327"/>
      <c r="TNI26" s="3327"/>
      <c r="TNJ26" s="3327"/>
      <c r="TNK26" s="3327"/>
      <c r="TNL26" s="3327"/>
      <c r="TNM26" s="3327"/>
      <c r="TNN26" s="3327"/>
      <c r="TNO26" s="3327"/>
      <c r="TNP26" s="3327"/>
      <c r="TNQ26" s="3327"/>
      <c r="TNR26" s="3327"/>
      <c r="TNS26" s="3327"/>
      <c r="TNT26" s="3327"/>
      <c r="TNU26" s="3327"/>
      <c r="TNV26" s="3327"/>
      <c r="TNW26" s="3327"/>
      <c r="TNX26" s="3327"/>
      <c r="TNY26" s="3327"/>
      <c r="TNZ26" s="3327"/>
      <c r="TOA26" s="3327"/>
      <c r="TOB26" s="3327"/>
      <c r="TOC26" s="3327"/>
      <c r="TOD26" s="3327"/>
      <c r="TOE26" s="3327"/>
      <c r="TOF26" s="3327"/>
      <c r="TOG26" s="3327"/>
      <c r="TOH26" s="3327"/>
      <c r="TOI26" s="3327"/>
      <c r="TOJ26" s="3327"/>
      <c r="TOK26" s="3327"/>
      <c r="TOL26" s="3327"/>
      <c r="TOM26" s="3327"/>
      <c r="TON26" s="3327"/>
      <c r="TOO26" s="3327"/>
      <c r="TOP26" s="3327"/>
      <c r="TOQ26" s="3327"/>
      <c r="TOR26" s="3327"/>
      <c r="TOS26" s="3327"/>
      <c r="TOT26" s="3327"/>
      <c r="TOU26" s="3327"/>
      <c r="TOV26" s="3327"/>
      <c r="TOW26" s="3327"/>
      <c r="TOX26" s="3327"/>
      <c r="TOY26" s="3327"/>
      <c r="TOZ26" s="3327"/>
      <c r="TPA26" s="3327"/>
      <c r="TPB26" s="3327"/>
      <c r="TPC26" s="3327"/>
      <c r="TPD26" s="3327"/>
      <c r="TPE26" s="3327"/>
      <c r="TPF26" s="3327"/>
      <c r="TPG26" s="3327"/>
      <c r="TPH26" s="3327"/>
      <c r="TPI26" s="3327"/>
      <c r="TPJ26" s="3327"/>
      <c r="TPK26" s="3327"/>
      <c r="TPL26" s="3327"/>
      <c r="TPM26" s="3327"/>
      <c r="TPN26" s="3327"/>
      <c r="TPO26" s="3327"/>
      <c r="TPP26" s="3327"/>
      <c r="TPQ26" s="3327"/>
      <c r="TPR26" s="3327"/>
      <c r="TPS26" s="3327"/>
      <c r="TPT26" s="3327"/>
      <c r="TPU26" s="3327"/>
      <c r="TPV26" s="3327"/>
      <c r="TPW26" s="3327"/>
      <c r="TPX26" s="3327"/>
      <c r="TPY26" s="3327"/>
      <c r="TPZ26" s="3327"/>
      <c r="TQA26" s="3327"/>
      <c r="TQB26" s="3327"/>
      <c r="TQC26" s="3327"/>
      <c r="TQD26" s="3327"/>
      <c r="TQE26" s="3327"/>
      <c r="TQF26" s="3327"/>
      <c r="TQG26" s="3327"/>
      <c r="TQH26" s="3327"/>
      <c r="TQI26" s="3327"/>
      <c r="TQJ26" s="3327"/>
      <c r="TQK26" s="3327"/>
      <c r="TQL26" s="3327"/>
      <c r="TQM26" s="3327"/>
      <c r="TQN26" s="3327"/>
      <c r="TQO26" s="3327"/>
      <c r="TQP26" s="3327"/>
      <c r="TQQ26" s="3327"/>
      <c r="TQR26" s="3327"/>
      <c r="TQS26" s="3327"/>
      <c r="TQT26" s="3327"/>
      <c r="TQU26" s="3327"/>
      <c r="TQV26" s="3327"/>
      <c r="TQW26" s="3327"/>
      <c r="TQX26" s="3327"/>
      <c r="TQY26" s="3327"/>
      <c r="TQZ26" s="3327"/>
      <c r="TRA26" s="3327"/>
      <c r="TRB26" s="3327"/>
      <c r="TRC26" s="3327"/>
      <c r="TRD26" s="3327"/>
      <c r="TRE26" s="3327"/>
      <c r="TRF26" s="3327"/>
      <c r="TRG26" s="3327"/>
      <c r="TRH26" s="3327"/>
      <c r="TRI26" s="3327"/>
      <c r="TRJ26" s="3327"/>
      <c r="TRK26" s="3327"/>
      <c r="TRL26" s="3327"/>
      <c r="TRM26" s="3327"/>
      <c r="TRN26" s="3327"/>
      <c r="TRO26" s="3327"/>
      <c r="TRP26" s="3327"/>
      <c r="TRQ26" s="3327"/>
      <c r="TRR26" s="3327"/>
      <c r="TRS26" s="3327"/>
      <c r="TRT26" s="3327"/>
      <c r="TRU26" s="3327"/>
      <c r="TRV26" s="3327"/>
      <c r="TRW26" s="3327"/>
      <c r="TRX26" s="3327"/>
      <c r="TRY26" s="3327"/>
      <c r="TRZ26" s="3327"/>
      <c r="TSA26" s="3327"/>
      <c r="TSB26" s="3327"/>
      <c r="TSC26" s="3327"/>
      <c r="TSD26" s="3327"/>
      <c r="TSE26" s="3327"/>
      <c r="TSF26" s="3327"/>
      <c r="TSG26" s="3327"/>
      <c r="TSH26" s="3327"/>
      <c r="TSI26" s="3327"/>
      <c r="TSJ26" s="3327"/>
      <c r="TSK26" s="3327"/>
      <c r="TSL26" s="3327"/>
      <c r="TSM26" s="3327"/>
      <c r="TSN26" s="3327"/>
      <c r="TSO26" s="3327"/>
      <c r="TSP26" s="3327"/>
      <c r="TSQ26" s="3327"/>
      <c r="TSR26" s="3327"/>
      <c r="TSS26" s="3327"/>
      <c r="TST26" s="3327"/>
      <c r="TSU26" s="3327"/>
      <c r="TSV26" s="3327"/>
      <c r="TSW26" s="3327"/>
      <c r="TSX26" s="3327"/>
      <c r="TSY26" s="3327"/>
      <c r="TSZ26" s="3327"/>
      <c r="TTA26" s="3327"/>
      <c r="TTB26" s="3327"/>
      <c r="TTC26" s="3327"/>
      <c r="TTD26" s="3327"/>
      <c r="TTE26" s="3327"/>
      <c r="TTF26" s="3327"/>
      <c r="TTG26" s="3327"/>
      <c r="TTH26" s="3327"/>
      <c r="TTI26" s="3327"/>
      <c r="TTJ26" s="3327"/>
      <c r="TTK26" s="3327"/>
      <c r="TTL26" s="3327"/>
      <c r="TTM26" s="3327"/>
      <c r="TTN26" s="3327"/>
      <c r="TTO26" s="3327"/>
      <c r="TTP26" s="3327"/>
      <c r="TTQ26" s="3327"/>
      <c r="TTR26" s="3327"/>
      <c r="TTS26" s="3327"/>
      <c r="TTT26" s="3327"/>
      <c r="TTU26" s="3327"/>
      <c r="TTV26" s="3327"/>
      <c r="TTW26" s="3327"/>
      <c r="TTX26" s="3327"/>
      <c r="TTY26" s="3327"/>
      <c r="TTZ26" s="3327"/>
      <c r="TUA26" s="3327"/>
      <c r="TUB26" s="3327"/>
      <c r="TUC26" s="3327"/>
      <c r="TUD26" s="3327"/>
      <c r="TUE26" s="3327"/>
      <c r="TUF26" s="3327"/>
      <c r="TUG26" s="3327"/>
      <c r="TUH26" s="3327"/>
      <c r="TUI26" s="3327"/>
      <c r="TUJ26" s="3327"/>
      <c r="TUK26" s="3327"/>
      <c r="TUL26" s="3327"/>
      <c r="TUM26" s="3327"/>
      <c r="TUN26" s="3327"/>
      <c r="TUO26" s="3327"/>
      <c r="TUP26" s="3327"/>
      <c r="TUQ26" s="3327"/>
      <c r="TUR26" s="3327"/>
      <c r="TUS26" s="3327"/>
      <c r="TUT26" s="3327"/>
      <c r="TUU26" s="3327"/>
      <c r="TUV26" s="3327"/>
      <c r="TUW26" s="3327"/>
      <c r="TUX26" s="3327"/>
      <c r="TUY26" s="3327"/>
      <c r="TUZ26" s="3327"/>
      <c r="TVA26" s="3327"/>
      <c r="TVB26" s="3327"/>
      <c r="TVC26" s="3327"/>
      <c r="TVD26" s="3327"/>
      <c r="TVE26" s="3327"/>
      <c r="TVF26" s="3327"/>
      <c r="TVG26" s="3327"/>
      <c r="TVH26" s="3327"/>
      <c r="TVI26" s="3327"/>
      <c r="TVJ26" s="3327"/>
      <c r="TVK26" s="3327"/>
      <c r="TVL26" s="3327"/>
      <c r="TVM26" s="3327"/>
      <c r="TVN26" s="3327"/>
      <c r="TVO26" s="3327"/>
      <c r="TVP26" s="3327"/>
      <c r="TVQ26" s="3327"/>
      <c r="TVR26" s="3327"/>
      <c r="TVS26" s="3327"/>
      <c r="TVT26" s="3327"/>
      <c r="TVU26" s="3327"/>
      <c r="TVV26" s="3327"/>
      <c r="TVW26" s="3327"/>
      <c r="TVX26" s="3327"/>
      <c r="TVY26" s="3327"/>
      <c r="TVZ26" s="3327"/>
      <c r="TWA26" s="3327"/>
      <c r="TWB26" s="3327"/>
      <c r="TWC26" s="3327"/>
      <c r="TWD26" s="3327"/>
      <c r="TWE26" s="3327"/>
      <c r="TWF26" s="3327"/>
      <c r="TWG26" s="3327"/>
      <c r="TWH26" s="3327"/>
      <c r="TWI26" s="3327"/>
      <c r="TWJ26" s="3327"/>
      <c r="TWK26" s="3327"/>
      <c r="TWL26" s="3327"/>
      <c r="TWM26" s="3327"/>
      <c r="TWN26" s="3327"/>
      <c r="TWO26" s="3327"/>
      <c r="TWP26" s="3327"/>
      <c r="TWQ26" s="3327"/>
      <c r="TWR26" s="3327"/>
      <c r="TWS26" s="3327"/>
      <c r="TWT26" s="3327"/>
      <c r="TWU26" s="3327"/>
      <c r="TWV26" s="3327"/>
      <c r="TWW26" s="3327"/>
      <c r="TWX26" s="3327"/>
      <c r="TWY26" s="3327"/>
      <c r="TWZ26" s="3327"/>
      <c r="TXA26" s="3327"/>
      <c r="TXB26" s="3327"/>
      <c r="TXC26" s="3327"/>
      <c r="TXD26" s="3327"/>
      <c r="TXE26" s="3327"/>
      <c r="TXF26" s="3327"/>
      <c r="TXG26" s="3327"/>
      <c r="TXH26" s="3327"/>
      <c r="TXI26" s="3327"/>
      <c r="TXJ26" s="3327"/>
      <c r="TXK26" s="3327"/>
      <c r="TXL26" s="3327"/>
      <c r="TXM26" s="3327"/>
      <c r="TXN26" s="3327"/>
      <c r="TXO26" s="3327"/>
      <c r="TXP26" s="3327"/>
      <c r="TXQ26" s="3327"/>
      <c r="TXR26" s="3327"/>
      <c r="TXS26" s="3327"/>
      <c r="TXT26" s="3327"/>
      <c r="TXU26" s="3327"/>
      <c r="TXV26" s="3327"/>
      <c r="TXW26" s="3327"/>
      <c r="TXX26" s="3327"/>
      <c r="TXY26" s="3327"/>
      <c r="TXZ26" s="3327"/>
      <c r="TYA26" s="3327"/>
      <c r="TYB26" s="3327"/>
      <c r="TYC26" s="3327"/>
      <c r="TYD26" s="3327"/>
      <c r="TYE26" s="3327"/>
      <c r="TYF26" s="3327"/>
      <c r="TYG26" s="3327"/>
      <c r="TYH26" s="3327"/>
      <c r="TYI26" s="3327"/>
      <c r="TYJ26" s="3327"/>
      <c r="TYK26" s="3327"/>
      <c r="TYL26" s="3327"/>
      <c r="TYM26" s="3327"/>
      <c r="TYN26" s="3327"/>
      <c r="TYO26" s="3327"/>
      <c r="TYP26" s="3327"/>
      <c r="TYQ26" s="3327"/>
      <c r="TYR26" s="3327"/>
      <c r="TYS26" s="3327"/>
      <c r="TYT26" s="3327"/>
      <c r="TYU26" s="3327"/>
      <c r="TYV26" s="3327"/>
      <c r="TYW26" s="3327"/>
      <c r="TYX26" s="3327"/>
      <c r="TYY26" s="3327"/>
      <c r="TYZ26" s="3327"/>
      <c r="TZA26" s="3327"/>
      <c r="TZB26" s="3327"/>
      <c r="TZC26" s="3327"/>
      <c r="TZD26" s="3327"/>
      <c r="TZE26" s="3327"/>
      <c r="TZF26" s="3327"/>
      <c r="TZG26" s="3327"/>
      <c r="TZH26" s="3327"/>
      <c r="TZI26" s="3327"/>
      <c r="TZJ26" s="3327"/>
      <c r="TZK26" s="3327"/>
      <c r="TZL26" s="3327"/>
      <c r="TZM26" s="3327"/>
      <c r="TZN26" s="3327"/>
      <c r="TZO26" s="3327"/>
      <c r="TZP26" s="3327"/>
      <c r="TZQ26" s="3327"/>
      <c r="TZR26" s="3327"/>
      <c r="TZS26" s="3327"/>
      <c r="TZT26" s="3327"/>
      <c r="TZU26" s="3327"/>
      <c r="TZV26" s="3327"/>
      <c r="TZW26" s="3327"/>
      <c r="TZX26" s="3327"/>
      <c r="TZY26" s="3327"/>
      <c r="TZZ26" s="3327"/>
      <c r="UAA26" s="3327"/>
      <c r="UAB26" s="3327"/>
      <c r="UAC26" s="3327"/>
      <c r="UAD26" s="3327"/>
      <c r="UAE26" s="3327"/>
      <c r="UAF26" s="3327"/>
      <c r="UAG26" s="3327"/>
      <c r="UAH26" s="3327"/>
      <c r="UAI26" s="3327"/>
      <c r="UAJ26" s="3327"/>
      <c r="UAK26" s="3327"/>
      <c r="UAL26" s="3327"/>
      <c r="UAM26" s="3327"/>
      <c r="UAN26" s="3327"/>
      <c r="UAO26" s="3327"/>
      <c r="UAP26" s="3327"/>
      <c r="UAQ26" s="3327"/>
      <c r="UAR26" s="3327"/>
      <c r="UAS26" s="3327"/>
      <c r="UAT26" s="3327"/>
      <c r="UAU26" s="3327"/>
      <c r="UAV26" s="3327"/>
      <c r="UAW26" s="3327"/>
      <c r="UAX26" s="3327"/>
      <c r="UAY26" s="3327"/>
      <c r="UAZ26" s="3327"/>
      <c r="UBA26" s="3327"/>
      <c r="UBB26" s="3327"/>
      <c r="UBC26" s="3327"/>
      <c r="UBD26" s="3327"/>
      <c r="UBE26" s="3327"/>
      <c r="UBF26" s="3327"/>
      <c r="UBG26" s="3327"/>
      <c r="UBH26" s="3327"/>
      <c r="UBI26" s="3327"/>
      <c r="UBJ26" s="3327"/>
      <c r="UBK26" s="3327"/>
      <c r="UBL26" s="3327"/>
      <c r="UBM26" s="3327"/>
      <c r="UBN26" s="3327"/>
      <c r="UBO26" s="3327"/>
      <c r="UBP26" s="3327"/>
      <c r="UBQ26" s="3327"/>
      <c r="UBR26" s="3327"/>
      <c r="UBS26" s="3327"/>
      <c r="UBT26" s="3327"/>
      <c r="UBU26" s="3327"/>
      <c r="UBV26" s="3327"/>
      <c r="UBW26" s="3327"/>
      <c r="UBX26" s="3327"/>
      <c r="UBY26" s="3327"/>
      <c r="UBZ26" s="3327"/>
      <c r="UCA26" s="3327"/>
      <c r="UCB26" s="3327"/>
      <c r="UCC26" s="3327"/>
      <c r="UCD26" s="3327"/>
      <c r="UCE26" s="3327"/>
      <c r="UCF26" s="3327"/>
      <c r="UCG26" s="3327"/>
      <c r="UCH26" s="3327"/>
      <c r="UCI26" s="3327"/>
      <c r="UCJ26" s="3327"/>
      <c r="UCK26" s="3327"/>
      <c r="UCL26" s="3327"/>
      <c r="UCM26" s="3327"/>
      <c r="UCN26" s="3327"/>
      <c r="UCO26" s="3327"/>
      <c r="UCP26" s="3327"/>
      <c r="UCQ26" s="3327"/>
      <c r="UCR26" s="3327"/>
      <c r="UCS26" s="3327"/>
      <c r="UCT26" s="3327"/>
      <c r="UCU26" s="3327"/>
      <c r="UCV26" s="3327"/>
      <c r="UCW26" s="3327"/>
      <c r="UCX26" s="3327"/>
      <c r="UCY26" s="3327"/>
      <c r="UCZ26" s="3327"/>
      <c r="UDA26" s="3327"/>
      <c r="UDB26" s="3327"/>
      <c r="UDC26" s="3327"/>
      <c r="UDD26" s="3327"/>
      <c r="UDE26" s="3327"/>
      <c r="UDF26" s="3327"/>
      <c r="UDG26" s="3327"/>
      <c r="UDH26" s="3327"/>
      <c r="UDI26" s="3327"/>
      <c r="UDJ26" s="3327"/>
      <c r="UDK26" s="3327"/>
      <c r="UDL26" s="3327"/>
      <c r="UDM26" s="3327"/>
      <c r="UDN26" s="3327"/>
      <c r="UDO26" s="3327"/>
      <c r="UDP26" s="3327"/>
      <c r="UDQ26" s="3327"/>
      <c r="UDR26" s="3327"/>
      <c r="UDS26" s="3327"/>
      <c r="UDT26" s="3327"/>
      <c r="UDU26" s="3327"/>
      <c r="UDV26" s="3327"/>
      <c r="UDW26" s="3327"/>
      <c r="UDX26" s="3327"/>
      <c r="UDY26" s="3327"/>
      <c r="UDZ26" s="3327"/>
      <c r="UEA26" s="3327"/>
      <c r="UEB26" s="3327"/>
      <c r="UEC26" s="3327"/>
      <c r="UED26" s="3327"/>
      <c r="UEE26" s="3327"/>
      <c r="UEF26" s="3327"/>
      <c r="UEG26" s="3327"/>
      <c r="UEH26" s="3327"/>
      <c r="UEI26" s="3327"/>
      <c r="UEJ26" s="3327"/>
      <c r="UEK26" s="3327"/>
      <c r="UEL26" s="3327"/>
      <c r="UEM26" s="3327"/>
      <c r="UEN26" s="3327"/>
      <c r="UEO26" s="3327"/>
      <c r="UEP26" s="3327"/>
      <c r="UEQ26" s="3327"/>
      <c r="UER26" s="3327"/>
      <c r="UES26" s="3327"/>
      <c r="UET26" s="3327"/>
      <c r="UEU26" s="3327"/>
      <c r="UEV26" s="3327"/>
      <c r="UEW26" s="3327"/>
      <c r="UEX26" s="3327"/>
      <c r="UEY26" s="3327"/>
      <c r="UEZ26" s="3327"/>
      <c r="UFA26" s="3327"/>
      <c r="UFB26" s="3327"/>
      <c r="UFC26" s="3327"/>
      <c r="UFD26" s="3327"/>
      <c r="UFE26" s="3327"/>
      <c r="UFF26" s="3327"/>
      <c r="UFG26" s="3327"/>
      <c r="UFH26" s="3327"/>
      <c r="UFI26" s="3327"/>
      <c r="UFJ26" s="3327"/>
      <c r="UFK26" s="3327"/>
      <c r="UFL26" s="3327"/>
      <c r="UFM26" s="3327"/>
      <c r="UFN26" s="3327"/>
      <c r="UFO26" s="3327"/>
      <c r="UFP26" s="3327"/>
      <c r="UFQ26" s="3327"/>
      <c r="UFR26" s="3327"/>
      <c r="UFS26" s="3327"/>
      <c r="UFT26" s="3327"/>
      <c r="UFU26" s="3327"/>
      <c r="UFV26" s="3327"/>
      <c r="UFW26" s="3327"/>
      <c r="UFX26" s="3327"/>
      <c r="UFY26" s="3327"/>
      <c r="UFZ26" s="3327"/>
      <c r="UGA26" s="3327"/>
      <c r="UGB26" s="3327"/>
      <c r="UGC26" s="3327"/>
      <c r="UGD26" s="3327"/>
      <c r="UGE26" s="3327"/>
      <c r="UGF26" s="3327"/>
      <c r="UGG26" s="3327"/>
      <c r="UGH26" s="3327"/>
      <c r="UGI26" s="3327"/>
      <c r="UGJ26" s="3327"/>
      <c r="UGK26" s="3327"/>
      <c r="UGL26" s="3327"/>
      <c r="UGM26" s="3327"/>
      <c r="UGN26" s="3327"/>
      <c r="UGO26" s="3327"/>
      <c r="UGP26" s="3327"/>
      <c r="UGQ26" s="3327"/>
      <c r="UGR26" s="3327"/>
      <c r="UGS26" s="3327"/>
      <c r="UGT26" s="3327"/>
      <c r="UGU26" s="3327"/>
      <c r="UGV26" s="3327"/>
      <c r="UGW26" s="3327"/>
      <c r="UGX26" s="3327"/>
      <c r="UGY26" s="3327"/>
      <c r="UGZ26" s="3327"/>
      <c r="UHA26" s="3327"/>
      <c r="UHB26" s="3327"/>
      <c r="UHC26" s="3327"/>
      <c r="UHD26" s="3327"/>
      <c r="UHE26" s="3327"/>
      <c r="UHF26" s="3327"/>
      <c r="UHG26" s="3327"/>
      <c r="UHH26" s="3327"/>
      <c r="UHI26" s="3327"/>
      <c r="UHJ26" s="3327"/>
      <c r="UHK26" s="3327"/>
      <c r="UHL26" s="3327"/>
      <c r="UHM26" s="3327"/>
      <c r="UHN26" s="3327"/>
      <c r="UHO26" s="3327"/>
      <c r="UHP26" s="3327"/>
      <c r="UHQ26" s="3327"/>
      <c r="UHR26" s="3327"/>
      <c r="UHS26" s="3327"/>
      <c r="UHT26" s="3327"/>
      <c r="UHU26" s="3327"/>
      <c r="UHV26" s="3327"/>
      <c r="UHW26" s="3327"/>
      <c r="UHX26" s="3327"/>
      <c r="UHY26" s="3327"/>
      <c r="UHZ26" s="3327"/>
      <c r="UIA26" s="3327"/>
      <c r="UIB26" s="3327"/>
      <c r="UIC26" s="3327"/>
      <c r="UID26" s="3327"/>
      <c r="UIE26" s="3327"/>
      <c r="UIF26" s="3327"/>
      <c r="UIG26" s="3327"/>
      <c r="UIH26" s="3327"/>
      <c r="UII26" s="3327"/>
      <c r="UIJ26" s="3327"/>
      <c r="UIK26" s="3327"/>
      <c r="UIL26" s="3327"/>
      <c r="UIM26" s="3327"/>
      <c r="UIN26" s="3327"/>
      <c r="UIO26" s="3327"/>
      <c r="UIP26" s="3327"/>
      <c r="UIQ26" s="3327"/>
      <c r="UIR26" s="3327"/>
      <c r="UIS26" s="3327"/>
      <c r="UIT26" s="3327"/>
      <c r="UIU26" s="3327"/>
      <c r="UIV26" s="3327"/>
      <c r="UIW26" s="3327"/>
      <c r="UIX26" s="3327"/>
      <c r="UIY26" s="3327"/>
      <c r="UIZ26" s="3327"/>
      <c r="UJA26" s="3327"/>
      <c r="UJB26" s="3327"/>
      <c r="UJC26" s="3327"/>
      <c r="UJD26" s="3327"/>
      <c r="UJE26" s="3327"/>
      <c r="UJF26" s="3327"/>
      <c r="UJG26" s="3327"/>
      <c r="UJH26" s="3327"/>
      <c r="UJI26" s="3327"/>
      <c r="UJJ26" s="3327"/>
      <c r="UJK26" s="3327"/>
      <c r="UJL26" s="3327"/>
      <c r="UJM26" s="3327"/>
      <c r="UJN26" s="3327"/>
      <c r="UJO26" s="3327"/>
      <c r="UJP26" s="3327"/>
      <c r="UJQ26" s="3327"/>
      <c r="UJR26" s="3327"/>
      <c r="UJS26" s="3327"/>
      <c r="UJT26" s="3327"/>
      <c r="UJU26" s="3327"/>
      <c r="UJV26" s="3327"/>
      <c r="UJW26" s="3327"/>
      <c r="UJX26" s="3327"/>
      <c r="UJY26" s="3327"/>
      <c r="UJZ26" s="3327"/>
      <c r="UKA26" s="3327"/>
      <c r="UKB26" s="3327"/>
      <c r="UKC26" s="3327"/>
      <c r="UKD26" s="3327"/>
      <c r="UKE26" s="3327"/>
      <c r="UKF26" s="3327"/>
      <c r="UKG26" s="3327"/>
      <c r="UKH26" s="3327"/>
      <c r="UKI26" s="3327"/>
      <c r="UKJ26" s="3327"/>
      <c r="UKK26" s="3327"/>
      <c r="UKL26" s="3327"/>
      <c r="UKM26" s="3327"/>
      <c r="UKN26" s="3327"/>
      <c r="UKO26" s="3327"/>
      <c r="UKP26" s="3327"/>
      <c r="UKQ26" s="3327"/>
      <c r="UKR26" s="3327"/>
      <c r="UKS26" s="3327"/>
      <c r="UKT26" s="3327"/>
      <c r="UKU26" s="3327"/>
      <c r="UKV26" s="3327"/>
      <c r="UKW26" s="3327"/>
      <c r="UKX26" s="3327"/>
      <c r="UKY26" s="3327"/>
      <c r="UKZ26" s="3327"/>
      <c r="ULA26" s="3327"/>
      <c r="ULB26" s="3327"/>
      <c r="ULC26" s="3327"/>
      <c r="ULD26" s="3327"/>
      <c r="ULE26" s="3327"/>
      <c r="ULF26" s="3327"/>
      <c r="ULG26" s="3327"/>
      <c r="ULH26" s="3327"/>
      <c r="ULI26" s="3327"/>
      <c r="ULJ26" s="3327"/>
      <c r="ULK26" s="3327"/>
      <c r="ULL26" s="3327"/>
      <c r="ULM26" s="3327"/>
      <c r="ULN26" s="3327"/>
      <c r="ULO26" s="3327"/>
      <c r="ULP26" s="3327"/>
      <c r="ULQ26" s="3327"/>
      <c r="ULR26" s="3327"/>
      <c r="ULS26" s="3327"/>
      <c r="ULT26" s="3327"/>
      <c r="ULU26" s="3327"/>
      <c r="ULV26" s="3327"/>
      <c r="ULW26" s="3327"/>
      <c r="ULX26" s="3327"/>
      <c r="ULY26" s="3327"/>
      <c r="ULZ26" s="3327"/>
      <c r="UMA26" s="3327"/>
      <c r="UMB26" s="3327"/>
      <c r="UMC26" s="3327"/>
      <c r="UMD26" s="3327"/>
      <c r="UME26" s="3327"/>
      <c r="UMF26" s="3327"/>
      <c r="UMG26" s="3327"/>
      <c r="UMH26" s="3327"/>
      <c r="UMI26" s="3327"/>
      <c r="UMJ26" s="3327"/>
      <c r="UMK26" s="3327"/>
      <c r="UML26" s="3327"/>
      <c r="UMM26" s="3327"/>
      <c r="UMN26" s="3327"/>
      <c r="UMO26" s="3327"/>
      <c r="UMP26" s="3327"/>
      <c r="UMQ26" s="3327"/>
      <c r="UMR26" s="3327"/>
      <c r="UMS26" s="3327"/>
      <c r="UMT26" s="3327"/>
      <c r="UMU26" s="3327"/>
      <c r="UMV26" s="3327"/>
      <c r="UMW26" s="3327"/>
      <c r="UMX26" s="3327"/>
      <c r="UMY26" s="3327"/>
      <c r="UMZ26" s="3327"/>
      <c r="UNA26" s="3327"/>
      <c r="UNB26" s="3327"/>
      <c r="UNC26" s="3327"/>
      <c r="UND26" s="3327"/>
      <c r="UNE26" s="3327"/>
      <c r="UNF26" s="3327"/>
      <c r="UNG26" s="3327"/>
      <c r="UNH26" s="3327"/>
      <c r="UNI26" s="3327"/>
      <c r="UNJ26" s="3327"/>
      <c r="UNK26" s="3327"/>
      <c r="UNL26" s="3327"/>
      <c r="UNM26" s="3327"/>
      <c r="UNN26" s="3327"/>
      <c r="UNO26" s="3327"/>
      <c r="UNP26" s="3327"/>
      <c r="UNQ26" s="3327"/>
      <c r="UNR26" s="3327"/>
      <c r="UNS26" s="3327"/>
      <c r="UNT26" s="3327"/>
      <c r="UNU26" s="3327"/>
      <c r="UNV26" s="3327"/>
      <c r="UNW26" s="3327"/>
      <c r="UNX26" s="3327"/>
      <c r="UNY26" s="3327"/>
      <c r="UNZ26" s="3327"/>
      <c r="UOA26" s="3327"/>
      <c r="UOB26" s="3327"/>
      <c r="UOC26" s="3327"/>
      <c r="UOD26" s="3327"/>
      <c r="UOE26" s="3327"/>
      <c r="UOF26" s="3327"/>
      <c r="UOG26" s="3327"/>
      <c r="UOH26" s="3327"/>
      <c r="UOI26" s="3327"/>
      <c r="UOJ26" s="3327"/>
      <c r="UOK26" s="3327"/>
      <c r="UOL26" s="3327"/>
      <c r="UOM26" s="3327"/>
      <c r="UON26" s="3327"/>
      <c r="UOO26" s="3327"/>
      <c r="UOP26" s="3327"/>
      <c r="UOQ26" s="3327"/>
      <c r="UOR26" s="3327"/>
      <c r="UOS26" s="3327"/>
      <c r="UOT26" s="3327"/>
      <c r="UOU26" s="3327"/>
      <c r="UOV26" s="3327"/>
      <c r="UOW26" s="3327"/>
      <c r="UOX26" s="3327"/>
      <c r="UOY26" s="3327"/>
      <c r="UOZ26" s="3327"/>
      <c r="UPA26" s="3327"/>
      <c r="UPB26" s="3327"/>
      <c r="UPC26" s="3327"/>
      <c r="UPD26" s="3327"/>
      <c r="UPE26" s="3327"/>
      <c r="UPF26" s="3327"/>
      <c r="UPG26" s="3327"/>
      <c r="UPH26" s="3327"/>
      <c r="UPI26" s="3327"/>
      <c r="UPJ26" s="3327"/>
      <c r="UPK26" s="3327"/>
      <c r="UPL26" s="3327"/>
      <c r="UPM26" s="3327"/>
      <c r="UPN26" s="3327"/>
      <c r="UPO26" s="3327"/>
      <c r="UPP26" s="3327"/>
      <c r="UPQ26" s="3327"/>
      <c r="UPR26" s="3327"/>
      <c r="UPS26" s="3327"/>
      <c r="UPT26" s="3327"/>
      <c r="UPU26" s="3327"/>
      <c r="UPV26" s="3327"/>
      <c r="UPW26" s="3327"/>
      <c r="UPX26" s="3327"/>
      <c r="UPY26" s="3327"/>
      <c r="UPZ26" s="3327"/>
      <c r="UQA26" s="3327"/>
      <c r="UQB26" s="3327"/>
      <c r="UQC26" s="3327"/>
      <c r="UQD26" s="3327"/>
      <c r="UQE26" s="3327"/>
      <c r="UQF26" s="3327"/>
      <c r="UQG26" s="3327"/>
      <c r="UQH26" s="3327"/>
      <c r="UQI26" s="3327"/>
      <c r="UQJ26" s="3327"/>
      <c r="UQK26" s="3327"/>
      <c r="UQL26" s="3327"/>
      <c r="UQM26" s="3327"/>
      <c r="UQN26" s="3327"/>
      <c r="UQO26" s="3327"/>
      <c r="UQP26" s="3327"/>
      <c r="UQQ26" s="3327"/>
      <c r="UQR26" s="3327"/>
      <c r="UQS26" s="3327"/>
      <c r="UQT26" s="3327"/>
      <c r="UQU26" s="3327"/>
      <c r="UQV26" s="3327"/>
      <c r="UQW26" s="3327"/>
      <c r="UQX26" s="3327"/>
      <c r="UQY26" s="3327"/>
      <c r="UQZ26" s="3327"/>
      <c r="URA26" s="3327"/>
      <c r="URB26" s="3327"/>
      <c r="URC26" s="3327"/>
      <c r="URD26" s="3327"/>
      <c r="URE26" s="3327"/>
      <c r="URF26" s="3327"/>
      <c r="URG26" s="3327"/>
      <c r="URH26" s="3327"/>
      <c r="URI26" s="3327"/>
      <c r="URJ26" s="3327"/>
      <c r="URK26" s="3327"/>
      <c r="URL26" s="3327"/>
      <c r="URM26" s="3327"/>
      <c r="URN26" s="3327"/>
      <c r="URO26" s="3327"/>
      <c r="URP26" s="3327"/>
      <c r="URQ26" s="3327"/>
      <c r="URR26" s="3327"/>
      <c r="URS26" s="3327"/>
      <c r="URT26" s="3327"/>
      <c r="URU26" s="3327"/>
      <c r="URV26" s="3327"/>
      <c r="URW26" s="3327"/>
      <c r="URX26" s="3327"/>
      <c r="URY26" s="3327"/>
      <c r="URZ26" s="3327"/>
      <c r="USA26" s="3327"/>
      <c r="USB26" s="3327"/>
      <c r="USC26" s="3327"/>
      <c r="USD26" s="3327"/>
      <c r="USE26" s="3327"/>
      <c r="USF26" s="3327"/>
      <c r="USG26" s="3327"/>
      <c r="USH26" s="3327"/>
      <c r="USI26" s="3327"/>
      <c r="USJ26" s="3327"/>
      <c r="USK26" s="3327"/>
      <c r="USL26" s="3327"/>
      <c r="USM26" s="3327"/>
      <c r="USN26" s="3327"/>
      <c r="USO26" s="3327"/>
      <c r="USP26" s="3327"/>
      <c r="USQ26" s="3327"/>
      <c r="USR26" s="3327"/>
      <c r="USS26" s="3327"/>
      <c r="UST26" s="3327"/>
      <c r="USU26" s="3327"/>
      <c r="USV26" s="3327"/>
      <c r="USW26" s="3327"/>
      <c r="USX26" s="3327"/>
      <c r="USY26" s="3327"/>
      <c r="USZ26" s="3327"/>
      <c r="UTA26" s="3327"/>
      <c r="UTB26" s="3327"/>
      <c r="UTC26" s="3327"/>
      <c r="UTD26" s="3327"/>
      <c r="UTE26" s="3327"/>
      <c r="UTF26" s="3327"/>
      <c r="UTG26" s="3327"/>
      <c r="UTH26" s="3327"/>
      <c r="UTI26" s="3327"/>
      <c r="UTJ26" s="3327"/>
      <c r="UTK26" s="3327"/>
      <c r="UTL26" s="3327"/>
      <c r="UTM26" s="3327"/>
      <c r="UTN26" s="3327"/>
      <c r="UTO26" s="3327"/>
      <c r="UTP26" s="3327"/>
      <c r="UTQ26" s="3327"/>
      <c r="UTR26" s="3327"/>
      <c r="UTS26" s="3327"/>
      <c r="UTT26" s="3327"/>
      <c r="UTU26" s="3327"/>
      <c r="UTV26" s="3327"/>
      <c r="UTW26" s="3327"/>
      <c r="UTX26" s="3327"/>
      <c r="UTY26" s="3327"/>
      <c r="UTZ26" s="3327"/>
      <c r="UUA26" s="3327"/>
      <c r="UUB26" s="3327"/>
      <c r="UUC26" s="3327"/>
      <c r="UUD26" s="3327"/>
      <c r="UUE26" s="3327"/>
      <c r="UUF26" s="3327"/>
      <c r="UUG26" s="3327"/>
      <c r="UUH26" s="3327"/>
      <c r="UUI26" s="3327"/>
      <c r="UUJ26" s="3327"/>
      <c r="UUK26" s="3327"/>
      <c r="UUL26" s="3327"/>
      <c r="UUM26" s="3327"/>
      <c r="UUN26" s="3327"/>
      <c r="UUO26" s="3327"/>
      <c r="UUP26" s="3327"/>
      <c r="UUQ26" s="3327"/>
      <c r="UUR26" s="3327"/>
      <c r="UUS26" s="3327"/>
      <c r="UUT26" s="3327"/>
      <c r="UUU26" s="3327"/>
      <c r="UUV26" s="3327"/>
      <c r="UUW26" s="3327"/>
      <c r="UUX26" s="3327"/>
      <c r="UUY26" s="3327"/>
      <c r="UUZ26" s="3327"/>
      <c r="UVA26" s="3327"/>
      <c r="UVB26" s="3327"/>
      <c r="UVC26" s="3327"/>
      <c r="UVD26" s="3327"/>
      <c r="UVE26" s="3327"/>
      <c r="UVF26" s="3327"/>
      <c r="UVG26" s="3327"/>
      <c r="UVH26" s="3327"/>
      <c r="UVI26" s="3327"/>
      <c r="UVJ26" s="3327"/>
      <c r="UVK26" s="3327"/>
      <c r="UVL26" s="3327"/>
      <c r="UVM26" s="3327"/>
      <c r="UVN26" s="3327"/>
      <c r="UVO26" s="3327"/>
      <c r="UVP26" s="3327"/>
      <c r="UVQ26" s="3327"/>
      <c r="UVR26" s="3327"/>
      <c r="UVS26" s="3327"/>
      <c r="UVT26" s="3327"/>
      <c r="UVU26" s="3327"/>
      <c r="UVV26" s="3327"/>
      <c r="UVW26" s="3327"/>
      <c r="UVX26" s="3327"/>
      <c r="UVY26" s="3327"/>
      <c r="UVZ26" s="3327"/>
      <c r="UWA26" s="3327"/>
      <c r="UWB26" s="3327"/>
      <c r="UWC26" s="3327"/>
      <c r="UWD26" s="3327"/>
      <c r="UWE26" s="3327"/>
      <c r="UWF26" s="3327"/>
      <c r="UWG26" s="3327"/>
      <c r="UWH26" s="3327"/>
      <c r="UWI26" s="3327"/>
      <c r="UWJ26" s="3327"/>
      <c r="UWK26" s="3327"/>
      <c r="UWL26" s="3327"/>
      <c r="UWM26" s="3327"/>
      <c r="UWN26" s="3327"/>
      <c r="UWO26" s="3327"/>
      <c r="UWP26" s="3327"/>
      <c r="UWQ26" s="3327"/>
      <c r="UWR26" s="3327"/>
      <c r="UWS26" s="3327"/>
      <c r="UWT26" s="3327"/>
      <c r="UWU26" s="3327"/>
      <c r="UWV26" s="3327"/>
      <c r="UWW26" s="3327"/>
      <c r="UWX26" s="3327"/>
      <c r="UWY26" s="3327"/>
      <c r="UWZ26" s="3327"/>
      <c r="UXA26" s="3327"/>
      <c r="UXB26" s="3327"/>
      <c r="UXC26" s="3327"/>
      <c r="UXD26" s="3327"/>
      <c r="UXE26" s="3327"/>
      <c r="UXF26" s="3327"/>
      <c r="UXG26" s="3327"/>
      <c r="UXH26" s="3327"/>
      <c r="UXI26" s="3327"/>
      <c r="UXJ26" s="3327"/>
      <c r="UXK26" s="3327"/>
      <c r="UXL26" s="3327"/>
      <c r="UXM26" s="3327"/>
      <c r="UXN26" s="3327"/>
      <c r="UXO26" s="3327"/>
      <c r="UXP26" s="3327"/>
      <c r="UXQ26" s="3327"/>
      <c r="UXR26" s="3327"/>
      <c r="UXS26" s="3327"/>
      <c r="UXT26" s="3327"/>
      <c r="UXU26" s="3327"/>
      <c r="UXV26" s="3327"/>
      <c r="UXW26" s="3327"/>
      <c r="UXX26" s="3327"/>
      <c r="UXY26" s="3327"/>
      <c r="UXZ26" s="3327"/>
      <c r="UYA26" s="3327"/>
      <c r="UYB26" s="3327"/>
      <c r="UYC26" s="3327"/>
      <c r="UYD26" s="3327"/>
      <c r="UYE26" s="3327"/>
      <c r="UYF26" s="3327"/>
      <c r="UYG26" s="3327"/>
      <c r="UYH26" s="3327"/>
      <c r="UYI26" s="3327"/>
      <c r="UYJ26" s="3327"/>
      <c r="UYK26" s="3327"/>
      <c r="UYL26" s="3327"/>
      <c r="UYM26" s="3327"/>
      <c r="UYN26" s="3327"/>
      <c r="UYO26" s="3327"/>
      <c r="UYP26" s="3327"/>
      <c r="UYQ26" s="3327"/>
      <c r="UYR26" s="3327"/>
      <c r="UYS26" s="3327"/>
      <c r="UYT26" s="3327"/>
      <c r="UYU26" s="3327"/>
      <c r="UYV26" s="3327"/>
      <c r="UYW26" s="3327"/>
      <c r="UYX26" s="3327"/>
      <c r="UYY26" s="3327"/>
      <c r="UYZ26" s="3327"/>
      <c r="UZA26" s="3327"/>
      <c r="UZB26" s="3327"/>
      <c r="UZC26" s="3327"/>
      <c r="UZD26" s="3327"/>
      <c r="UZE26" s="3327"/>
      <c r="UZF26" s="3327"/>
      <c r="UZG26" s="3327"/>
      <c r="UZH26" s="3327"/>
      <c r="UZI26" s="3327"/>
      <c r="UZJ26" s="3327"/>
      <c r="UZK26" s="3327"/>
      <c r="UZL26" s="3327"/>
      <c r="UZM26" s="3327"/>
      <c r="UZN26" s="3327"/>
      <c r="UZO26" s="3327"/>
      <c r="UZP26" s="3327"/>
      <c r="UZQ26" s="3327"/>
      <c r="UZR26" s="3327"/>
      <c r="UZS26" s="3327"/>
      <c r="UZT26" s="3327"/>
      <c r="UZU26" s="3327"/>
      <c r="UZV26" s="3327"/>
      <c r="UZW26" s="3327"/>
      <c r="UZX26" s="3327"/>
      <c r="UZY26" s="3327"/>
      <c r="UZZ26" s="3327"/>
      <c r="VAA26" s="3327"/>
      <c r="VAB26" s="3327"/>
      <c r="VAC26" s="3327"/>
      <c r="VAD26" s="3327"/>
      <c r="VAE26" s="3327"/>
      <c r="VAF26" s="3327"/>
      <c r="VAG26" s="3327"/>
      <c r="VAH26" s="3327"/>
      <c r="VAI26" s="3327"/>
      <c r="VAJ26" s="3327"/>
      <c r="VAK26" s="3327"/>
      <c r="VAL26" s="3327"/>
      <c r="VAM26" s="3327"/>
      <c r="VAN26" s="3327"/>
      <c r="VAO26" s="3327"/>
      <c r="VAP26" s="3327"/>
      <c r="VAQ26" s="3327"/>
      <c r="VAR26" s="3327"/>
      <c r="VAS26" s="3327"/>
      <c r="VAT26" s="3327"/>
      <c r="VAU26" s="3327"/>
      <c r="VAV26" s="3327"/>
      <c r="VAW26" s="3327"/>
      <c r="VAX26" s="3327"/>
      <c r="VAY26" s="3327"/>
      <c r="VAZ26" s="3327"/>
      <c r="VBA26" s="3327"/>
      <c r="VBB26" s="3327"/>
      <c r="VBC26" s="3327"/>
      <c r="VBD26" s="3327"/>
      <c r="VBE26" s="3327"/>
      <c r="VBF26" s="3327"/>
      <c r="VBG26" s="3327"/>
      <c r="VBH26" s="3327"/>
      <c r="VBI26" s="3327"/>
      <c r="VBJ26" s="3327"/>
      <c r="VBK26" s="3327"/>
      <c r="VBL26" s="3327"/>
      <c r="VBM26" s="3327"/>
      <c r="VBN26" s="3327"/>
      <c r="VBO26" s="3327"/>
      <c r="VBP26" s="3327"/>
      <c r="VBQ26" s="3327"/>
      <c r="VBR26" s="3327"/>
      <c r="VBS26" s="3327"/>
      <c r="VBT26" s="3327"/>
      <c r="VBU26" s="3327"/>
      <c r="VBV26" s="3327"/>
      <c r="VBW26" s="3327"/>
      <c r="VBX26" s="3327"/>
      <c r="VBY26" s="3327"/>
      <c r="VBZ26" s="3327"/>
      <c r="VCA26" s="3327"/>
      <c r="VCB26" s="3327"/>
      <c r="VCC26" s="3327"/>
      <c r="VCD26" s="3327"/>
      <c r="VCE26" s="3327"/>
      <c r="VCF26" s="3327"/>
      <c r="VCG26" s="3327"/>
      <c r="VCH26" s="3327"/>
      <c r="VCI26" s="3327"/>
      <c r="VCJ26" s="3327"/>
      <c r="VCK26" s="3327"/>
      <c r="VCL26" s="3327"/>
      <c r="VCM26" s="3327"/>
      <c r="VCN26" s="3327"/>
      <c r="VCO26" s="3327"/>
      <c r="VCP26" s="3327"/>
      <c r="VCQ26" s="3327"/>
      <c r="VCR26" s="3327"/>
      <c r="VCS26" s="3327"/>
      <c r="VCT26" s="3327"/>
      <c r="VCU26" s="3327"/>
      <c r="VCV26" s="3327"/>
      <c r="VCW26" s="3327"/>
      <c r="VCX26" s="3327"/>
      <c r="VCY26" s="3327"/>
      <c r="VCZ26" s="3327"/>
      <c r="VDA26" s="3327"/>
      <c r="VDB26" s="3327"/>
      <c r="VDC26" s="3327"/>
      <c r="VDD26" s="3327"/>
      <c r="VDE26" s="3327"/>
      <c r="VDF26" s="3327"/>
      <c r="VDG26" s="3327"/>
      <c r="VDH26" s="3327"/>
      <c r="VDI26" s="3327"/>
      <c r="VDJ26" s="3327"/>
      <c r="VDK26" s="3327"/>
      <c r="VDL26" s="3327"/>
      <c r="VDM26" s="3327"/>
      <c r="VDN26" s="3327"/>
      <c r="VDO26" s="3327"/>
      <c r="VDP26" s="3327"/>
      <c r="VDQ26" s="3327"/>
      <c r="VDR26" s="3327"/>
      <c r="VDS26" s="3327"/>
      <c r="VDT26" s="3327"/>
      <c r="VDU26" s="3327"/>
      <c r="VDV26" s="3327"/>
      <c r="VDW26" s="3327"/>
      <c r="VDX26" s="3327"/>
      <c r="VDY26" s="3327"/>
      <c r="VDZ26" s="3327"/>
      <c r="VEA26" s="3327"/>
      <c r="VEB26" s="3327"/>
      <c r="VEC26" s="3327"/>
      <c r="VED26" s="3327"/>
      <c r="VEE26" s="3327"/>
      <c r="VEF26" s="3327"/>
      <c r="VEG26" s="3327"/>
      <c r="VEH26" s="3327"/>
      <c r="VEI26" s="3327"/>
      <c r="VEJ26" s="3327"/>
      <c r="VEK26" s="3327"/>
      <c r="VEL26" s="3327"/>
      <c r="VEM26" s="3327"/>
      <c r="VEN26" s="3327"/>
      <c r="VEO26" s="3327"/>
      <c r="VEP26" s="3327"/>
      <c r="VEQ26" s="3327"/>
      <c r="VER26" s="3327"/>
      <c r="VES26" s="3327"/>
      <c r="VET26" s="3327"/>
      <c r="VEU26" s="3327"/>
      <c r="VEV26" s="3327"/>
      <c r="VEW26" s="3327"/>
      <c r="VEX26" s="3327"/>
      <c r="VEY26" s="3327"/>
      <c r="VEZ26" s="3327"/>
      <c r="VFA26" s="3327"/>
      <c r="VFB26" s="3327"/>
      <c r="VFC26" s="3327"/>
      <c r="VFD26" s="3327"/>
      <c r="VFE26" s="3327"/>
      <c r="VFF26" s="3327"/>
      <c r="VFG26" s="3327"/>
      <c r="VFH26" s="3327"/>
      <c r="VFI26" s="3327"/>
      <c r="VFJ26" s="3327"/>
      <c r="VFK26" s="3327"/>
      <c r="VFL26" s="3327"/>
      <c r="VFM26" s="3327"/>
      <c r="VFN26" s="3327"/>
      <c r="VFO26" s="3327"/>
      <c r="VFP26" s="3327"/>
      <c r="VFQ26" s="3327"/>
      <c r="VFR26" s="3327"/>
      <c r="VFS26" s="3327"/>
      <c r="VFT26" s="3327"/>
      <c r="VFU26" s="3327"/>
      <c r="VFV26" s="3327"/>
      <c r="VFW26" s="3327"/>
      <c r="VFX26" s="3327"/>
      <c r="VFY26" s="3327"/>
      <c r="VFZ26" s="3327"/>
      <c r="VGA26" s="3327"/>
      <c r="VGB26" s="3327"/>
      <c r="VGC26" s="3327"/>
      <c r="VGD26" s="3327"/>
      <c r="VGE26" s="3327"/>
      <c r="VGF26" s="3327"/>
      <c r="VGG26" s="3327"/>
      <c r="VGH26" s="3327"/>
      <c r="VGI26" s="3327"/>
      <c r="VGJ26" s="3327"/>
      <c r="VGK26" s="3327"/>
      <c r="VGL26" s="3327"/>
      <c r="VGM26" s="3327"/>
      <c r="VGN26" s="3327"/>
      <c r="VGO26" s="3327"/>
      <c r="VGP26" s="3327"/>
      <c r="VGQ26" s="3327"/>
      <c r="VGR26" s="3327"/>
      <c r="VGS26" s="3327"/>
      <c r="VGT26" s="3327"/>
      <c r="VGU26" s="3327"/>
      <c r="VGV26" s="3327"/>
      <c r="VGW26" s="3327"/>
      <c r="VGX26" s="3327"/>
      <c r="VGY26" s="3327"/>
      <c r="VGZ26" s="3327"/>
      <c r="VHA26" s="3327"/>
      <c r="VHB26" s="3327"/>
      <c r="VHC26" s="3327"/>
      <c r="VHD26" s="3327"/>
      <c r="VHE26" s="3327"/>
      <c r="VHF26" s="3327"/>
      <c r="VHG26" s="3327"/>
      <c r="VHH26" s="3327"/>
      <c r="VHI26" s="3327"/>
      <c r="VHJ26" s="3327"/>
      <c r="VHK26" s="3327"/>
      <c r="VHL26" s="3327"/>
      <c r="VHM26" s="3327"/>
      <c r="VHN26" s="3327"/>
      <c r="VHO26" s="3327"/>
      <c r="VHP26" s="3327"/>
      <c r="VHQ26" s="3327"/>
      <c r="VHR26" s="3327"/>
      <c r="VHS26" s="3327"/>
      <c r="VHT26" s="3327"/>
      <c r="VHU26" s="3327"/>
      <c r="VHV26" s="3327"/>
      <c r="VHW26" s="3327"/>
      <c r="VHX26" s="3327"/>
      <c r="VHY26" s="3327"/>
      <c r="VHZ26" s="3327"/>
      <c r="VIA26" s="3327"/>
      <c r="VIB26" s="3327"/>
      <c r="VIC26" s="3327"/>
      <c r="VID26" s="3327"/>
      <c r="VIE26" s="3327"/>
      <c r="VIF26" s="3327"/>
      <c r="VIG26" s="3327"/>
      <c r="VIH26" s="3327"/>
      <c r="VII26" s="3327"/>
      <c r="VIJ26" s="3327"/>
      <c r="VIK26" s="3327"/>
      <c r="VIL26" s="3327"/>
      <c r="VIM26" s="3327"/>
      <c r="VIN26" s="3327"/>
      <c r="VIO26" s="3327"/>
      <c r="VIP26" s="3327"/>
      <c r="VIQ26" s="3327"/>
      <c r="VIR26" s="3327"/>
      <c r="VIS26" s="3327"/>
      <c r="VIT26" s="3327"/>
      <c r="VIU26" s="3327"/>
      <c r="VIV26" s="3327"/>
      <c r="VIW26" s="3327"/>
      <c r="VIX26" s="3327"/>
      <c r="VIY26" s="3327"/>
      <c r="VIZ26" s="3327"/>
      <c r="VJA26" s="3327"/>
      <c r="VJB26" s="3327"/>
      <c r="VJC26" s="3327"/>
      <c r="VJD26" s="3327"/>
      <c r="VJE26" s="3327"/>
      <c r="VJF26" s="3327"/>
      <c r="VJG26" s="3327"/>
      <c r="VJH26" s="3327"/>
      <c r="VJI26" s="3327"/>
      <c r="VJJ26" s="3327"/>
      <c r="VJK26" s="3327"/>
      <c r="VJL26" s="3327"/>
      <c r="VJM26" s="3327"/>
      <c r="VJN26" s="3327"/>
      <c r="VJO26" s="3327"/>
      <c r="VJP26" s="3327"/>
      <c r="VJQ26" s="3327"/>
      <c r="VJR26" s="3327"/>
      <c r="VJS26" s="3327"/>
      <c r="VJT26" s="3327"/>
      <c r="VJU26" s="3327"/>
      <c r="VJV26" s="3327"/>
      <c r="VJW26" s="3327"/>
      <c r="VJX26" s="3327"/>
      <c r="VJY26" s="3327"/>
      <c r="VJZ26" s="3327"/>
      <c r="VKA26" s="3327"/>
      <c r="VKB26" s="3327"/>
      <c r="VKC26" s="3327"/>
      <c r="VKD26" s="3327"/>
      <c r="VKE26" s="3327"/>
      <c r="VKF26" s="3327"/>
      <c r="VKG26" s="3327"/>
      <c r="VKH26" s="3327"/>
      <c r="VKI26" s="3327"/>
      <c r="VKJ26" s="3327"/>
      <c r="VKK26" s="3327"/>
      <c r="VKL26" s="3327"/>
      <c r="VKM26" s="3327"/>
      <c r="VKN26" s="3327"/>
      <c r="VKO26" s="3327"/>
      <c r="VKP26" s="3327"/>
      <c r="VKQ26" s="3327"/>
      <c r="VKR26" s="3327"/>
      <c r="VKS26" s="3327"/>
      <c r="VKT26" s="3327"/>
      <c r="VKU26" s="3327"/>
      <c r="VKV26" s="3327"/>
      <c r="VKW26" s="3327"/>
      <c r="VKX26" s="3327"/>
      <c r="VKY26" s="3327"/>
      <c r="VKZ26" s="3327"/>
      <c r="VLA26" s="3327"/>
      <c r="VLB26" s="3327"/>
      <c r="VLC26" s="3327"/>
      <c r="VLD26" s="3327"/>
      <c r="VLE26" s="3327"/>
      <c r="VLF26" s="3327"/>
      <c r="VLG26" s="3327"/>
      <c r="VLH26" s="3327"/>
      <c r="VLI26" s="3327"/>
      <c r="VLJ26" s="3327"/>
      <c r="VLK26" s="3327"/>
      <c r="VLL26" s="3327"/>
      <c r="VLM26" s="3327"/>
      <c r="VLN26" s="3327"/>
      <c r="VLO26" s="3327"/>
      <c r="VLP26" s="3327"/>
      <c r="VLQ26" s="3327"/>
      <c r="VLR26" s="3327"/>
      <c r="VLS26" s="3327"/>
      <c r="VLT26" s="3327"/>
      <c r="VLU26" s="3327"/>
      <c r="VLV26" s="3327"/>
      <c r="VLW26" s="3327"/>
      <c r="VLX26" s="3327"/>
      <c r="VLY26" s="3327"/>
      <c r="VLZ26" s="3327"/>
      <c r="VMA26" s="3327"/>
      <c r="VMB26" s="3327"/>
      <c r="VMC26" s="3327"/>
      <c r="VMD26" s="3327"/>
      <c r="VME26" s="3327"/>
      <c r="VMF26" s="3327"/>
      <c r="VMG26" s="3327"/>
      <c r="VMH26" s="3327"/>
      <c r="VMI26" s="3327"/>
      <c r="VMJ26" s="3327"/>
      <c r="VMK26" s="3327"/>
      <c r="VML26" s="3327"/>
      <c r="VMM26" s="3327"/>
      <c r="VMN26" s="3327"/>
      <c r="VMO26" s="3327"/>
      <c r="VMP26" s="3327"/>
      <c r="VMQ26" s="3327"/>
      <c r="VMR26" s="3327"/>
      <c r="VMS26" s="3327"/>
      <c r="VMT26" s="3327"/>
      <c r="VMU26" s="3327"/>
      <c r="VMV26" s="3327"/>
      <c r="VMW26" s="3327"/>
      <c r="VMX26" s="3327"/>
      <c r="VMY26" s="3327"/>
      <c r="VMZ26" s="3327"/>
      <c r="VNA26" s="3327"/>
      <c r="VNB26" s="3327"/>
      <c r="VNC26" s="3327"/>
      <c r="VND26" s="3327"/>
      <c r="VNE26" s="3327"/>
      <c r="VNF26" s="3327"/>
      <c r="VNG26" s="3327"/>
      <c r="VNH26" s="3327"/>
      <c r="VNI26" s="3327"/>
      <c r="VNJ26" s="3327"/>
      <c r="VNK26" s="3327"/>
      <c r="VNL26" s="3327"/>
      <c r="VNM26" s="3327"/>
      <c r="VNN26" s="3327"/>
      <c r="VNO26" s="3327"/>
      <c r="VNP26" s="3327"/>
      <c r="VNQ26" s="3327"/>
      <c r="VNR26" s="3327"/>
      <c r="VNS26" s="3327"/>
      <c r="VNT26" s="3327"/>
      <c r="VNU26" s="3327"/>
      <c r="VNV26" s="3327"/>
      <c r="VNW26" s="3327"/>
      <c r="VNX26" s="3327"/>
      <c r="VNY26" s="3327"/>
      <c r="VNZ26" s="3327"/>
      <c r="VOA26" s="3327"/>
      <c r="VOB26" s="3327"/>
      <c r="VOC26" s="3327"/>
      <c r="VOD26" s="3327"/>
      <c r="VOE26" s="3327"/>
      <c r="VOF26" s="3327"/>
      <c r="VOG26" s="3327"/>
      <c r="VOH26" s="3327"/>
      <c r="VOI26" s="3327"/>
      <c r="VOJ26" s="3327"/>
      <c r="VOK26" s="3327"/>
      <c r="VOL26" s="3327"/>
      <c r="VOM26" s="3327"/>
      <c r="VON26" s="3327"/>
      <c r="VOO26" s="3327"/>
      <c r="VOP26" s="3327"/>
      <c r="VOQ26" s="3327"/>
      <c r="VOR26" s="3327"/>
      <c r="VOS26" s="3327"/>
      <c r="VOT26" s="3327"/>
      <c r="VOU26" s="3327"/>
      <c r="VOV26" s="3327"/>
      <c r="VOW26" s="3327"/>
      <c r="VOX26" s="3327"/>
      <c r="VOY26" s="3327"/>
      <c r="VOZ26" s="3327"/>
      <c r="VPA26" s="3327"/>
      <c r="VPB26" s="3327"/>
      <c r="VPC26" s="3327"/>
      <c r="VPD26" s="3327"/>
      <c r="VPE26" s="3327"/>
      <c r="VPF26" s="3327"/>
      <c r="VPG26" s="3327"/>
      <c r="VPH26" s="3327"/>
      <c r="VPI26" s="3327"/>
      <c r="VPJ26" s="3327"/>
      <c r="VPK26" s="3327"/>
      <c r="VPL26" s="3327"/>
      <c r="VPM26" s="3327"/>
      <c r="VPN26" s="3327"/>
      <c r="VPO26" s="3327"/>
      <c r="VPP26" s="3327"/>
      <c r="VPQ26" s="3327"/>
      <c r="VPR26" s="3327"/>
      <c r="VPS26" s="3327"/>
      <c r="VPT26" s="3327"/>
      <c r="VPU26" s="3327"/>
      <c r="VPV26" s="3327"/>
      <c r="VPW26" s="3327"/>
      <c r="VPX26" s="3327"/>
      <c r="VPY26" s="3327"/>
      <c r="VPZ26" s="3327"/>
      <c r="VQA26" s="3327"/>
      <c r="VQB26" s="3327"/>
      <c r="VQC26" s="3327"/>
      <c r="VQD26" s="3327"/>
      <c r="VQE26" s="3327"/>
      <c r="VQF26" s="3327"/>
      <c r="VQG26" s="3327"/>
      <c r="VQH26" s="3327"/>
      <c r="VQI26" s="3327"/>
      <c r="VQJ26" s="3327"/>
      <c r="VQK26" s="3327"/>
      <c r="VQL26" s="3327"/>
      <c r="VQM26" s="3327"/>
      <c r="VQN26" s="3327"/>
      <c r="VQO26" s="3327"/>
      <c r="VQP26" s="3327"/>
      <c r="VQQ26" s="3327"/>
      <c r="VQR26" s="3327"/>
      <c r="VQS26" s="3327"/>
      <c r="VQT26" s="3327"/>
      <c r="VQU26" s="3327"/>
      <c r="VQV26" s="3327"/>
      <c r="VQW26" s="3327"/>
      <c r="VQX26" s="3327"/>
      <c r="VQY26" s="3327"/>
      <c r="VQZ26" s="3327"/>
      <c r="VRA26" s="3327"/>
      <c r="VRB26" s="3327"/>
      <c r="VRC26" s="3327"/>
      <c r="VRD26" s="3327"/>
      <c r="VRE26" s="3327"/>
      <c r="VRF26" s="3327"/>
      <c r="VRG26" s="3327"/>
      <c r="VRH26" s="3327"/>
      <c r="VRI26" s="3327"/>
      <c r="VRJ26" s="3327"/>
      <c r="VRK26" s="3327"/>
      <c r="VRL26" s="3327"/>
      <c r="VRM26" s="3327"/>
      <c r="VRN26" s="3327"/>
      <c r="VRO26" s="3327"/>
      <c r="VRP26" s="3327"/>
      <c r="VRQ26" s="3327"/>
      <c r="VRR26" s="3327"/>
      <c r="VRS26" s="3327"/>
      <c r="VRT26" s="3327"/>
      <c r="VRU26" s="3327"/>
      <c r="VRV26" s="3327"/>
      <c r="VRW26" s="3327"/>
      <c r="VRX26" s="3327"/>
      <c r="VRY26" s="3327"/>
      <c r="VRZ26" s="3327"/>
      <c r="VSA26" s="3327"/>
      <c r="VSB26" s="3327"/>
      <c r="VSC26" s="3327"/>
      <c r="VSD26" s="3327"/>
      <c r="VSE26" s="3327"/>
      <c r="VSF26" s="3327"/>
      <c r="VSG26" s="3327"/>
      <c r="VSH26" s="3327"/>
      <c r="VSI26" s="3327"/>
      <c r="VSJ26" s="3327"/>
      <c r="VSK26" s="3327"/>
      <c r="VSL26" s="3327"/>
      <c r="VSM26" s="3327"/>
      <c r="VSN26" s="3327"/>
      <c r="VSO26" s="3327"/>
      <c r="VSP26" s="3327"/>
      <c r="VSQ26" s="3327"/>
      <c r="VSR26" s="3327"/>
      <c r="VSS26" s="3327"/>
      <c r="VST26" s="3327"/>
      <c r="VSU26" s="3327"/>
      <c r="VSV26" s="3327"/>
      <c r="VSW26" s="3327"/>
      <c r="VSX26" s="3327"/>
      <c r="VSY26" s="3327"/>
      <c r="VSZ26" s="3327"/>
      <c r="VTA26" s="3327"/>
      <c r="VTB26" s="3327"/>
      <c r="VTC26" s="3327"/>
      <c r="VTD26" s="3327"/>
      <c r="VTE26" s="3327"/>
      <c r="VTF26" s="3327"/>
      <c r="VTG26" s="3327"/>
      <c r="VTH26" s="3327"/>
      <c r="VTI26" s="3327"/>
      <c r="VTJ26" s="3327"/>
      <c r="VTK26" s="3327"/>
      <c r="VTL26" s="3327"/>
      <c r="VTM26" s="3327"/>
      <c r="VTN26" s="3327"/>
      <c r="VTO26" s="3327"/>
      <c r="VTP26" s="3327"/>
      <c r="VTQ26" s="3327"/>
      <c r="VTR26" s="3327"/>
      <c r="VTS26" s="3327"/>
      <c r="VTT26" s="3327"/>
      <c r="VTU26" s="3327"/>
      <c r="VTV26" s="3327"/>
      <c r="VTW26" s="3327"/>
      <c r="VTX26" s="3327"/>
      <c r="VTY26" s="3327"/>
      <c r="VTZ26" s="3327"/>
      <c r="VUA26" s="3327"/>
      <c r="VUB26" s="3327"/>
      <c r="VUC26" s="3327"/>
      <c r="VUD26" s="3327"/>
      <c r="VUE26" s="3327"/>
      <c r="VUF26" s="3327"/>
      <c r="VUG26" s="3327"/>
      <c r="VUH26" s="3327"/>
      <c r="VUI26" s="3327"/>
      <c r="VUJ26" s="3327"/>
      <c r="VUK26" s="3327"/>
      <c r="VUL26" s="3327"/>
      <c r="VUM26" s="3327"/>
      <c r="VUN26" s="3327"/>
      <c r="VUO26" s="3327"/>
      <c r="VUP26" s="3327"/>
      <c r="VUQ26" s="3327"/>
      <c r="VUR26" s="3327"/>
      <c r="VUS26" s="3327"/>
      <c r="VUT26" s="3327"/>
      <c r="VUU26" s="3327"/>
      <c r="VUV26" s="3327"/>
      <c r="VUW26" s="3327"/>
      <c r="VUX26" s="3327"/>
      <c r="VUY26" s="3327"/>
      <c r="VUZ26" s="3327"/>
      <c r="VVA26" s="3327"/>
      <c r="VVB26" s="3327"/>
      <c r="VVC26" s="3327"/>
      <c r="VVD26" s="3327"/>
      <c r="VVE26" s="3327"/>
      <c r="VVF26" s="3327"/>
      <c r="VVG26" s="3327"/>
      <c r="VVH26" s="3327"/>
      <c r="VVI26" s="3327"/>
      <c r="VVJ26" s="3327"/>
      <c r="VVK26" s="3327"/>
      <c r="VVL26" s="3327"/>
      <c r="VVM26" s="3327"/>
      <c r="VVN26" s="3327"/>
      <c r="VVO26" s="3327"/>
      <c r="VVP26" s="3327"/>
      <c r="VVQ26" s="3327"/>
      <c r="VVR26" s="3327"/>
      <c r="VVS26" s="3327"/>
      <c r="VVT26" s="3327"/>
      <c r="VVU26" s="3327"/>
      <c r="VVV26" s="3327"/>
      <c r="VVW26" s="3327"/>
      <c r="VVX26" s="3327"/>
      <c r="VVY26" s="3327"/>
      <c r="VVZ26" s="3327"/>
      <c r="VWA26" s="3327"/>
      <c r="VWB26" s="3327"/>
      <c r="VWC26" s="3327"/>
      <c r="VWD26" s="3327"/>
      <c r="VWE26" s="3327"/>
      <c r="VWF26" s="3327"/>
      <c r="VWG26" s="3327"/>
      <c r="VWH26" s="3327"/>
      <c r="VWI26" s="3327"/>
      <c r="VWJ26" s="3327"/>
      <c r="VWK26" s="3327"/>
      <c r="VWL26" s="3327"/>
      <c r="VWM26" s="3327"/>
      <c r="VWN26" s="3327"/>
      <c r="VWO26" s="3327"/>
      <c r="VWP26" s="3327"/>
      <c r="VWQ26" s="3327"/>
      <c r="VWR26" s="3327"/>
      <c r="VWS26" s="3327"/>
      <c r="VWT26" s="3327"/>
      <c r="VWU26" s="3327"/>
      <c r="VWV26" s="3327"/>
      <c r="VWW26" s="3327"/>
      <c r="VWX26" s="3327"/>
      <c r="VWY26" s="3327"/>
      <c r="VWZ26" s="3327"/>
      <c r="VXA26" s="3327"/>
      <c r="VXB26" s="3327"/>
      <c r="VXC26" s="3327"/>
      <c r="VXD26" s="3327"/>
      <c r="VXE26" s="3327"/>
      <c r="VXF26" s="3327"/>
      <c r="VXG26" s="3327"/>
      <c r="VXH26" s="3327"/>
      <c r="VXI26" s="3327"/>
      <c r="VXJ26" s="3327"/>
      <c r="VXK26" s="3327"/>
      <c r="VXL26" s="3327"/>
      <c r="VXM26" s="3327"/>
      <c r="VXN26" s="3327"/>
      <c r="VXO26" s="3327"/>
      <c r="VXP26" s="3327"/>
      <c r="VXQ26" s="3327"/>
      <c r="VXR26" s="3327"/>
      <c r="VXS26" s="3327"/>
      <c r="VXT26" s="3327"/>
      <c r="VXU26" s="3327"/>
      <c r="VXV26" s="3327"/>
      <c r="VXW26" s="3327"/>
      <c r="VXX26" s="3327"/>
      <c r="VXY26" s="3327"/>
      <c r="VXZ26" s="3327"/>
      <c r="VYA26" s="3327"/>
      <c r="VYB26" s="3327"/>
      <c r="VYC26" s="3327"/>
      <c r="VYD26" s="3327"/>
      <c r="VYE26" s="3327"/>
      <c r="VYF26" s="3327"/>
      <c r="VYG26" s="3327"/>
      <c r="VYH26" s="3327"/>
      <c r="VYI26" s="3327"/>
      <c r="VYJ26" s="3327"/>
      <c r="VYK26" s="3327"/>
      <c r="VYL26" s="3327"/>
      <c r="VYM26" s="3327"/>
      <c r="VYN26" s="3327"/>
      <c r="VYO26" s="3327"/>
      <c r="VYP26" s="3327"/>
      <c r="VYQ26" s="3327"/>
      <c r="VYR26" s="3327"/>
      <c r="VYS26" s="3327"/>
      <c r="VYT26" s="3327"/>
      <c r="VYU26" s="3327"/>
      <c r="VYV26" s="3327"/>
      <c r="VYW26" s="3327"/>
      <c r="VYX26" s="3327"/>
      <c r="VYY26" s="3327"/>
      <c r="VYZ26" s="3327"/>
      <c r="VZA26" s="3327"/>
      <c r="VZB26" s="3327"/>
      <c r="VZC26" s="3327"/>
      <c r="VZD26" s="3327"/>
      <c r="VZE26" s="3327"/>
      <c r="VZF26" s="3327"/>
      <c r="VZG26" s="3327"/>
      <c r="VZH26" s="3327"/>
      <c r="VZI26" s="3327"/>
      <c r="VZJ26" s="3327"/>
      <c r="VZK26" s="3327"/>
      <c r="VZL26" s="3327"/>
      <c r="VZM26" s="3327"/>
      <c r="VZN26" s="3327"/>
      <c r="VZO26" s="3327"/>
      <c r="VZP26" s="3327"/>
      <c r="VZQ26" s="3327"/>
      <c r="VZR26" s="3327"/>
      <c r="VZS26" s="3327"/>
      <c r="VZT26" s="3327"/>
      <c r="VZU26" s="3327"/>
      <c r="VZV26" s="3327"/>
      <c r="VZW26" s="3327"/>
      <c r="VZX26" s="3327"/>
      <c r="VZY26" s="3327"/>
      <c r="VZZ26" s="3327"/>
      <c r="WAA26" s="3327"/>
      <c r="WAB26" s="3327"/>
      <c r="WAC26" s="3327"/>
      <c r="WAD26" s="3327"/>
      <c r="WAE26" s="3327"/>
      <c r="WAF26" s="3327"/>
      <c r="WAG26" s="3327"/>
      <c r="WAH26" s="3327"/>
      <c r="WAI26" s="3327"/>
      <c r="WAJ26" s="3327"/>
      <c r="WAK26" s="3327"/>
      <c r="WAL26" s="3327"/>
      <c r="WAM26" s="3327"/>
      <c r="WAN26" s="3327"/>
      <c r="WAO26" s="3327"/>
      <c r="WAP26" s="3327"/>
      <c r="WAQ26" s="3327"/>
      <c r="WAR26" s="3327"/>
      <c r="WAS26" s="3327"/>
      <c r="WAT26" s="3327"/>
      <c r="WAU26" s="3327"/>
      <c r="WAV26" s="3327"/>
      <c r="WAW26" s="3327"/>
      <c r="WAX26" s="3327"/>
      <c r="WAY26" s="3327"/>
      <c r="WAZ26" s="3327"/>
      <c r="WBA26" s="3327"/>
      <c r="WBB26" s="3327"/>
      <c r="WBC26" s="3327"/>
      <c r="WBD26" s="3327"/>
      <c r="WBE26" s="3327"/>
      <c r="WBF26" s="3327"/>
      <c r="WBG26" s="3327"/>
      <c r="WBH26" s="3327"/>
      <c r="WBI26" s="3327"/>
      <c r="WBJ26" s="3327"/>
      <c r="WBK26" s="3327"/>
      <c r="WBL26" s="3327"/>
      <c r="WBM26" s="3327"/>
      <c r="WBN26" s="3327"/>
      <c r="WBO26" s="3327"/>
      <c r="WBP26" s="3327"/>
      <c r="WBQ26" s="3327"/>
      <c r="WBR26" s="3327"/>
      <c r="WBS26" s="3327"/>
      <c r="WBT26" s="3327"/>
      <c r="WBU26" s="3327"/>
      <c r="WBV26" s="3327"/>
      <c r="WBW26" s="3327"/>
      <c r="WBX26" s="3327"/>
      <c r="WBY26" s="3327"/>
      <c r="WBZ26" s="3327"/>
      <c r="WCA26" s="3327"/>
      <c r="WCB26" s="3327"/>
      <c r="WCC26" s="3327"/>
      <c r="WCD26" s="3327"/>
      <c r="WCE26" s="3327"/>
      <c r="WCF26" s="3327"/>
      <c r="WCG26" s="3327"/>
      <c r="WCH26" s="3327"/>
      <c r="WCI26" s="3327"/>
      <c r="WCJ26" s="3327"/>
      <c r="WCK26" s="3327"/>
      <c r="WCL26" s="3327"/>
      <c r="WCM26" s="3327"/>
      <c r="WCN26" s="3327"/>
      <c r="WCO26" s="3327"/>
      <c r="WCP26" s="3327"/>
      <c r="WCQ26" s="3327"/>
      <c r="WCR26" s="3327"/>
      <c r="WCS26" s="3327"/>
      <c r="WCT26" s="3327"/>
      <c r="WCU26" s="3327"/>
      <c r="WCV26" s="3327"/>
      <c r="WCW26" s="3327"/>
      <c r="WCX26" s="3327"/>
      <c r="WCY26" s="3327"/>
      <c r="WCZ26" s="3327"/>
      <c r="WDA26" s="3327"/>
      <c r="WDB26" s="3327"/>
      <c r="WDC26" s="3327"/>
      <c r="WDD26" s="3327"/>
      <c r="WDE26" s="3327"/>
      <c r="WDF26" s="3327"/>
      <c r="WDG26" s="3327"/>
      <c r="WDH26" s="3327"/>
      <c r="WDI26" s="3327"/>
      <c r="WDJ26" s="3327"/>
      <c r="WDK26" s="3327"/>
      <c r="WDL26" s="3327"/>
      <c r="WDM26" s="3327"/>
      <c r="WDN26" s="3327"/>
      <c r="WDO26" s="3327"/>
      <c r="WDP26" s="3327"/>
      <c r="WDQ26" s="3327"/>
      <c r="WDR26" s="3327"/>
      <c r="WDS26" s="3327"/>
      <c r="WDT26" s="3327"/>
      <c r="WDU26" s="3327"/>
      <c r="WDV26" s="3327"/>
      <c r="WDW26" s="3327"/>
      <c r="WDX26" s="3327"/>
      <c r="WDY26" s="3327"/>
      <c r="WDZ26" s="3327"/>
      <c r="WEA26" s="3327"/>
      <c r="WEB26" s="3327"/>
      <c r="WEC26" s="3327"/>
      <c r="WED26" s="3327"/>
      <c r="WEE26" s="3327"/>
      <c r="WEF26" s="3327"/>
      <c r="WEG26" s="3327"/>
      <c r="WEH26" s="3327"/>
      <c r="WEI26" s="3327"/>
      <c r="WEJ26" s="3327"/>
      <c r="WEK26" s="3327"/>
      <c r="WEL26" s="3327"/>
      <c r="WEM26" s="3327"/>
      <c r="WEN26" s="3327"/>
      <c r="WEO26" s="3327"/>
      <c r="WEP26" s="3327"/>
      <c r="WEQ26" s="3327"/>
      <c r="WER26" s="3327"/>
      <c r="WES26" s="3327"/>
      <c r="WET26" s="3327"/>
      <c r="WEU26" s="3327"/>
      <c r="WEV26" s="3327"/>
      <c r="WEW26" s="3327"/>
      <c r="WEX26" s="3327"/>
      <c r="WEY26" s="3327"/>
      <c r="WEZ26" s="3327"/>
      <c r="WFA26" s="3327"/>
      <c r="WFB26" s="3327"/>
      <c r="WFC26" s="3327"/>
      <c r="WFD26" s="3327"/>
      <c r="WFE26" s="3327"/>
      <c r="WFF26" s="3327"/>
      <c r="WFG26" s="3327"/>
      <c r="WFH26" s="3327"/>
      <c r="WFI26" s="3327"/>
      <c r="WFJ26" s="3327"/>
      <c r="WFK26" s="3327"/>
      <c r="WFL26" s="3327"/>
      <c r="WFM26" s="3327"/>
      <c r="WFN26" s="3327"/>
      <c r="WFO26" s="3327"/>
      <c r="WFP26" s="3327"/>
      <c r="WFQ26" s="3327"/>
      <c r="WFR26" s="3327"/>
      <c r="WFS26" s="3327"/>
      <c r="WFT26" s="3327"/>
      <c r="WFU26" s="3327"/>
      <c r="WFV26" s="3327"/>
      <c r="WFW26" s="3327"/>
      <c r="WFX26" s="3327"/>
      <c r="WFY26" s="3327"/>
      <c r="WFZ26" s="3327"/>
      <c r="WGA26" s="3327"/>
      <c r="WGB26" s="3327"/>
      <c r="WGC26" s="3327"/>
      <c r="WGD26" s="3327"/>
      <c r="WGE26" s="3327"/>
      <c r="WGF26" s="3327"/>
      <c r="WGG26" s="3327"/>
      <c r="WGH26" s="3327"/>
      <c r="WGI26" s="3327"/>
      <c r="WGJ26" s="3327"/>
      <c r="WGK26" s="3327"/>
      <c r="WGL26" s="3327"/>
      <c r="WGM26" s="3327"/>
      <c r="WGN26" s="3327"/>
      <c r="WGO26" s="3327"/>
      <c r="WGP26" s="3327"/>
      <c r="WGQ26" s="3327"/>
      <c r="WGR26" s="3327"/>
      <c r="WGS26" s="3327"/>
      <c r="WGT26" s="3327"/>
      <c r="WGU26" s="3327"/>
      <c r="WGV26" s="3327"/>
      <c r="WGW26" s="3327"/>
      <c r="WGX26" s="3327"/>
      <c r="WGY26" s="3327"/>
      <c r="WGZ26" s="3327"/>
      <c r="WHA26" s="3327"/>
      <c r="WHB26" s="3327"/>
      <c r="WHC26" s="3327"/>
      <c r="WHD26" s="3327"/>
      <c r="WHE26" s="3327"/>
      <c r="WHF26" s="3327"/>
      <c r="WHG26" s="3327"/>
      <c r="WHH26" s="3327"/>
      <c r="WHI26" s="3327"/>
      <c r="WHJ26" s="3327"/>
      <c r="WHK26" s="3327"/>
      <c r="WHL26" s="3327"/>
      <c r="WHM26" s="3327"/>
      <c r="WHN26" s="3327"/>
      <c r="WHO26" s="3327"/>
      <c r="WHP26" s="3327"/>
      <c r="WHQ26" s="3327"/>
      <c r="WHR26" s="3327"/>
      <c r="WHS26" s="3327"/>
      <c r="WHT26" s="3327"/>
      <c r="WHU26" s="3327"/>
      <c r="WHV26" s="3327"/>
      <c r="WHW26" s="3327"/>
      <c r="WHX26" s="3327"/>
      <c r="WHY26" s="3327"/>
      <c r="WHZ26" s="3327"/>
      <c r="WIA26" s="3327"/>
      <c r="WIB26" s="3327"/>
      <c r="WIC26" s="3327"/>
      <c r="WID26" s="3327"/>
      <c r="WIE26" s="3327"/>
      <c r="WIF26" s="3327"/>
      <c r="WIG26" s="3327"/>
      <c r="WIH26" s="3327"/>
      <c r="WII26" s="3327"/>
      <c r="WIJ26" s="3327"/>
      <c r="WIK26" s="3327"/>
      <c r="WIL26" s="3327"/>
      <c r="WIM26" s="3327"/>
      <c r="WIN26" s="3327"/>
      <c r="WIO26" s="3327"/>
      <c r="WIP26" s="3327"/>
      <c r="WIQ26" s="3327"/>
      <c r="WIR26" s="3327"/>
      <c r="WIS26" s="3327"/>
      <c r="WIT26" s="3327"/>
      <c r="WIU26" s="3327"/>
      <c r="WIV26" s="3327"/>
      <c r="WIW26" s="3327"/>
      <c r="WIX26" s="3327"/>
      <c r="WIY26" s="3327"/>
      <c r="WIZ26" s="3327"/>
      <c r="WJA26" s="3327"/>
      <c r="WJB26" s="3327"/>
      <c r="WJC26" s="3327"/>
      <c r="WJD26" s="3327"/>
      <c r="WJE26" s="3327"/>
      <c r="WJF26" s="3327"/>
      <c r="WJG26" s="3327"/>
      <c r="WJH26" s="3327"/>
      <c r="WJI26" s="3327"/>
      <c r="WJJ26" s="3327"/>
      <c r="WJK26" s="3327"/>
      <c r="WJL26" s="3327"/>
      <c r="WJM26" s="3327"/>
      <c r="WJN26" s="3327"/>
      <c r="WJO26" s="3327"/>
      <c r="WJP26" s="3327"/>
      <c r="WJQ26" s="3327"/>
      <c r="WJR26" s="3327"/>
      <c r="WJS26" s="3327"/>
      <c r="WJT26" s="3327"/>
      <c r="WJU26" s="3327"/>
      <c r="WJV26" s="3327"/>
      <c r="WJW26" s="3327"/>
      <c r="WJX26" s="3327"/>
      <c r="WJY26" s="3327"/>
      <c r="WJZ26" s="3327"/>
      <c r="WKA26" s="3327"/>
      <c r="WKB26" s="3327"/>
      <c r="WKC26" s="3327"/>
      <c r="WKD26" s="3327"/>
      <c r="WKE26" s="3327"/>
      <c r="WKF26" s="3327"/>
      <c r="WKG26" s="3327"/>
      <c r="WKH26" s="3327"/>
      <c r="WKI26" s="3327"/>
      <c r="WKJ26" s="3327"/>
      <c r="WKK26" s="3327"/>
      <c r="WKL26" s="3327"/>
      <c r="WKM26" s="3327"/>
      <c r="WKN26" s="3327"/>
      <c r="WKO26" s="3327"/>
      <c r="WKP26" s="3327"/>
      <c r="WKQ26" s="3327"/>
      <c r="WKR26" s="3327"/>
      <c r="WKS26" s="3327"/>
      <c r="WKT26" s="3327"/>
      <c r="WKU26" s="3327"/>
      <c r="WKV26" s="3327"/>
      <c r="WKW26" s="3327"/>
      <c r="WKX26" s="3327"/>
      <c r="WKY26" s="3327"/>
      <c r="WKZ26" s="3327"/>
      <c r="WLA26" s="3327"/>
      <c r="WLB26" s="3327"/>
      <c r="WLC26" s="3327"/>
      <c r="WLD26" s="3327"/>
      <c r="WLE26" s="3327"/>
      <c r="WLF26" s="3327"/>
      <c r="WLG26" s="3327"/>
      <c r="WLH26" s="3327"/>
      <c r="WLI26" s="3327"/>
      <c r="WLJ26" s="3327"/>
      <c r="WLK26" s="3327"/>
      <c r="WLL26" s="3327"/>
      <c r="WLM26" s="3327"/>
      <c r="WLN26" s="3327"/>
      <c r="WLO26" s="3327"/>
      <c r="WLP26" s="3327"/>
      <c r="WLQ26" s="3327"/>
      <c r="WLR26" s="3327"/>
      <c r="WLS26" s="3327"/>
      <c r="WLT26" s="3327"/>
      <c r="WLU26" s="3327"/>
      <c r="WLV26" s="3327"/>
      <c r="WLW26" s="3327"/>
      <c r="WLX26" s="3327"/>
      <c r="WLY26" s="3327"/>
      <c r="WLZ26" s="3327"/>
      <c r="WMA26" s="3327"/>
      <c r="WMB26" s="3327"/>
      <c r="WMC26" s="3327"/>
      <c r="WMD26" s="3327"/>
      <c r="WME26" s="3327"/>
      <c r="WMF26" s="3327"/>
      <c r="WMG26" s="3327"/>
      <c r="WMH26" s="3327"/>
      <c r="WMI26" s="3327"/>
      <c r="WMJ26" s="3327"/>
      <c r="WMK26" s="3327"/>
      <c r="WML26" s="3327"/>
      <c r="WMM26" s="3327"/>
      <c r="WMN26" s="3327"/>
      <c r="WMO26" s="3327"/>
      <c r="WMP26" s="3327"/>
      <c r="WMQ26" s="3327"/>
      <c r="WMR26" s="3327"/>
      <c r="WMS26" s="3327"/>
      <c r="WMT26" s="3327"/>
      <c r="WMU26" s="3327"/>
      <c r="WMV26" s="3327"/>
      <c r="WMW26" s="3327"/>
      <c r="WMX26" s="3327"/>
      <c r="WMY26" s="3327"/>
      <c r="WMZ26" s="3327"/>
      <c r="WNA26" s="3327"/>
      <c r="WNB26" s="3327"/>
      <c r="WNC26" s="3327"/>
      <c r="WND26" s="3327"/>
      <c r="WNE26" s="3327"/>
      <c r="WNF26" s="3327"/>
      <c r="WNG26" s="3327"/>
      <c r="WNH26" s="3327"/>
      <c r="WNI26" s="3327"/>
      <c r="WNJ26" s="3327"/>
      <c r="WNK26" s="3327"/>
      <c r="WNL26" s="3327"/>
      <c r="WNM26" s="3327"/>
      <c r="WNN26" s="3327"/>
      <c r="WNO26" s="3327"/>
      <c r="WNP26" s="3327"/>
      <c r="WNQ26" s="3327"/>
      <c r="WNR26" s="3327"/>
      <c r="WNS26" s="3327"/>
      <c r="WNT26" s="3327"/>
      <c r="WNU26" s="3327"/>
      <c r="WNV26" s="3327"/>
      <c r="WNW26" s="3327"/>
      <c r="WNX26" s="3327"/>
      <c r="WNY26" s="3327"/>
      <c r="WNZ26" s="3327"/>
      <c r="WOA26" s="3327"/>
      <c r="WOB26" s="3327"/>
      <c r="WOC26" s="3327"/>
      <c r="WOD26" s="3327"/>
      <c r="WOE26" s="3327"/>
      <c r="WOF26" s="3327"/>
      <c r="WOG26" s="3327"/>
      <c r="WOH26" s="3327"/>
      <c r="WOI26" s="3327"/>
      <c r="WOJ26" s="3327"/>
      <c r="WOK26" s="3327"/>
      <c r="WOL26" s="3327"/>
      <c r="WOM26" s="3327"/>
      <c r="WON26" s="3327"/>
      <c r="WOO26" s="3327"/>
      <c r="WOP26" s="3327"/>
      <c r="WOQ26" s="3327"/>
      <c r="WOR26" s="3327"/>
      <c r="WOS26" s="3327"/>
      <c r="WOT26" s="3327"/>
      <c r="WOU26" s="3327"/>
      <c r="WOV26" s="3327"/>
      <c r="WOW26" s="3327"/>
      <c r="WOX26" s="3327"/>
      <c r="WOY26" s="3327"/>
      <c r="WOZ26" s="3327"/>
      <c r="WPA26" s="3327"/>
      <c r="WPB26" s="3327"/>
      <c r="WPC26" s="3327"/>
      <c r="WPD26" s="3327"/>
      <c r="WPE26" s="3327"/>
      <c r="WPF26" s="3327"/>
      <c r="WPG26" s="3327"/>
      <c r="WPH26" s="3327"/>
      <c r="WPI26" s="3327"/>
      <c r="WPJ26" s="3327"/>
      <c r="WPK26" s="3327"/>
      <c r="WPL26" s="3327"/>
      <c r="WPM26" s="3327"/>
      <c r="WPN26" s="3327"/>
      <c r="WPO26" s="3327"/>
      <c r="WPP26" s="3327"/>
      <c r="WPQ26" s="3327"/>
      <c r="WPR26" s="3327"/>
      <c r="WPS26" s="3327"/>
      <c r="WPT26" s="3327"/>
      <c r="WPU26" s="3327"/>
      <c r="WPV26" s="3327"/>
      <c r="WPW26" s="3327"/>
      <c r="WPX26" s="3327"/>
      <c r="WPY26" s="3327"/>
      <c r="WPZ26" s="3327"/>
      <c r="WQA26" s="3327"/>
      <c r="WQB26" s="3327"/>
      <c r="WQC26" s="3327"/>
      <c r="WQD26" s="3327"/>
      <c r="WQE26" s="3327"/>
      <c r="WQF26" s="3327"/>
      <c r="WQG26" s="3327"/>
      <c r="WQH26" s="3327"/>
      <c r="WQI26" s="3327"/>
      <c r="WQJ26" s="3327"/>
      <c r="WQK26" s="3327"/>
      <c r="WQL26" s="3327"/>
      <c r="WQM26" s="3327"/>
      <c r="WQN26" s="3327"/>
      <c r="WQO26" s="3327"/>
      <c r="WQP26" s="3327"/>
      <c r="WQQ26" s="3327"/>
      <c r="WQR26" s="3327"/>
      <c r="WQS26" s="3327"/>
      <c r="WQT26" s="3327"/>
      <c r="WQU26" s="3327"/>
      <c r="WQV26" s="3327"/>
      <c r="WQW26" s="3327"/>
      <c r="WQX26" s="3327"/>
      <c r="WQY26" s="3327"/>
      <c r="WQZ26" s="3327"/>
      <c r="WRA26" s="3327"/>
      <c r="WRB26" s="3327"/>
      <c r="WRC26" s="3327"/>
      <c r="WRD26" s="3327"/>
      <c r="WRE26" s="3327"/>
      <c r="WRF26" s="3327"/>
      <c r="WRG26" s="3327"/>
      <c r="WRH26" s="3327"/>
      <c r="WRI26" s="3327"/>
      <c r="WRJ26" s="3327"/>
      <c r="WRK26" s="3327"/>
      <c r="WRL26" s="3327"/>
      <c r="WRM26" s="3327"/>
      <c r="WRN26" s="3327"/>
      <c r="WRO26" s="3327"/>
      <c r="WRP26" s="3327"/>
      <c r="WRQ26" s="3327"/>
      <c r="WRR26" s="3327"/>
      <c r="WRS26" s="3327"/>
      <c r="WRT26" s="3327"/>
      <c r="WRU26" s="3327"/>
      <c r="WRV26" s="3327"/>
      <c r="WRW26" s="3327"/>
      <c r="WRX26" s="3327"/>
      <c r="WRY26" s="3327"/>
      <c r="WRZ26" s="3327"/>
      <c r="WSA26" s="3327"/>
      <c r="WSB26" s="3327"/>
      <c r="WSC26" s="3327"/>
      <c r="WSD26" s="3327"/>
      <c r="WSE26" s="3327"/>
      <c r="WSF26" s="3327"/>
      <c r="WSG26" s="3327"/>
      <c r="WSH26" s="3327"/>
      <c r="WSI26" s="3327"/>
      <c r="WSJ26" s="3327"/>
      <c r="WSK26" s="3327"/>
      <c r="WSL26" s="3327"/>
      <c r="WSM26" s="3327"/>
      <c r="WSN26" s="3327"/>
      <c r="WSO26" s="3327"/>
      <c r="WSP26" s="3327"/>
      <c r="WSQ26" s="3327"/>
      <c r="WSR26" s="3327"/>
      <c r="WSS26" s="3327"/>
      <c r="WST26" s="3327"/>
      <c r="WSU26" s="3327"/>
      <c r="WSV26" s="3327"/>
      <c r="WSW26" s="3327"/>
      <c r="WSX26" s="3327"/>
      <c r="WSY26" s="3327"/>
      <c r="WSZ26" s="3327"/>
      <c r="WTA26" s="3327"/>
      <c r="WTB26" s="3327"/>
      <c r="WTC26" s="3327"/>
      <c r="WTD26" s="3327"/>
      <c r="WTE26" s="3327"/>
      <c r="WTF26" s="3327"/>
      <c r="WTG26" s="3327"/>
      <c r="WTH26" s="3327"/>
      <c r="WTI26" s="3327"/>
      <c r="WTJ26" s="3327"/>
      <c r="WTK26" s="3327"/>
      <c r="WTL26" s="3327"/>
      <c r="WTM26" s="3327"/>
      <c r="WTN26" s="3327"/>
      <c r="WTO26" s="3327"/>
      <c r="WTP26" s="3327"/>
      <c r="WTQ26" s="3327"/>
      <c r="WTR26" s="3327"/>
      <c r="WTS26" s="3327"/>
      <c r="WTT26" s="3327"/>
      <c r="WTU26" s="3327"/>
      <c r="WTV26" s="3327"/>
      <c r="WTW26" s="3327"/>
      <c r="WTX26" s="3327"/>
      <c r="WTY26" s="3327"/>
      <c r="WTZ26" s="3327"/>
      <c r="WUA26" s="3327"/>
      <c r="WUB26" s="3327"/>
      <c r="WUC26" s="3327"/>
      <c r="WUD26" s="3327"/>
      <c r="WUE26" s="3327"/>
      <c r="WUF26" s="3327"/>
      <c r="WUG26" s="3327"/>
      <c r="WUH26" s="3327"/>
      <c r="WUI26" s="3327"/>
      <c r="WUJ26" s="3327"/>
      <c r="WUK26" s="3327"/>
      <c r="WUL26" s="3327"/>
      <c r="WUM26" s="3327"/>
      <c r="WUN26" s="3327"/>
      <c r="WUO26" s="3327"/>
      <c r="WUP26" s="3327"/>
      <c r="WUQ26" s="3327"/>
      <c r="WUR26" s="3327"/>
      <c r="WUS26" s="3327"/>
      <c r="WUT26" s="3327"/>
      <c r="WUU26" s="3327"/>
      <c r="WUV26" s="3327"/>
      <c r="WUW26" s="3327"/>
      <c r="WUX26" s="3327"/>
      <c r="WUY26" s="3327"/>
      <c r="WUZ26" s="3327"/>
      <c r="WVA26" s="3327"/>
      <c r="WVB26" s="3327"/>
      <c r="WVC26" s="3327"/>
      <c r="WVD26" s="3327"/>
      <c r="WVE26" s="3327"/>
      <c r="WVF26" s="3327"/>
      <c r="WVG26" s="3327"/>
      <c r="WVH26" s="3327"/>
      <c r="WVI26" s="3327"/>
      <c r="WVJ26" s="3327"/>
      <c r="WVK26" s="3327"/>
      <c r="WVL26" s="3327"/>
      <c r="WVM26" s="3327"/>
      <c r="WVN26" s="3327"/>
      <c r="WVO26" s="3327"/>
      <c r="WVP26" s="3327"/>
      <c r="WVQ26" s="3327"/>
      <c r="WVR26" s="3327"/>
      <c r="WVS26" s="3327"/>
      <c r="WVT26" s="3327"/>
      <c r="WVU26" s="3327"/>
      <c r="WVV26" s="3327"/>
      <c r="WVW26" s="3327"/>
      <c r="WVX26" s="3327"/>
      <c r="WVY26" s="3327"/>
      <c r="WVZ26" s="3327"/>
      <c r="WWA26" s="3327"/>
      <c r="WWB26" s="3327"/>
      <c r="WWC26" s="3327"/>
      <c r="WWD26" s="3327"/>
      <c r="WWE26" s="3327"/>
      <c r="WWF26" s="3327"/>
      <c r="WWG26" s="3327"/>
      <c r="WWH26" s="3327"/>
      <c r="WWI26" s="3327"/>
      <c r="WWJ26" s="3327"/>
      <c r="WWK26" s="3327"/>
      <c r="WWL26" s="3327"/>
      <c r="WWM26" s="3327"/>
      <c r="WWN26" s="3327"/>
      <c r="WWO26" s="3327"/>
      <c r="WWP26" s="3327"/>
      <c r="WWQ26" s="3327"/>
      <c r="WWR26" s="3327"/>
      <c r="WWS26" s="3327"/>
      <c r="WWT26" s="3327"/>
      <c r="WWU26" s="3327"/>
      <c r="WWV26" s="3327"/>
      <c r="WWW26" s="3327"/>
      <c r="WWX26" s="3327"/>
      <c r="WWY26" s="3327"/>
      <c r="WWZ26" s="3327"/>
      <c r="WXA26" s="3327"/>
      <c r="WXB26" s="3327"/>
      <c r="WXC26" s="3327"/>
      <c r="WXD26" s="3327"/>
      <c r="WXE26" s="3327"/>
      <c r="WXF26" s="3327"/>
      <c r="WXG26" s="3327"/>
      <c r="WXH26" s="3327"/>
      <c r="WXI26" s="3327"/>
      <c r="WXJ26" s="3327"/>
      <c r="WXK26" s="3327"/>
      <c r="WXL26" s="3327"/>
      <c r="WXM26" s="3327"/>
      <c r="WXN26" s="3327"/>
      <c r="WXO26" s="3327"/>
      <c r="WXP26" s="3327"/>
      <c r="WXQ26" s="3327"/>
      <c r="WXR26" s="3327"/>
      <c r="WXS26" s="3327"/>
      <c r="WXT26" s="3327"/>
      <c r="WXU26" s="3327"/>
      <c r="WXV26" s="3327"/>
      <c r="WXW26" s="3327"/>
      <c r="WXX26" s="3327"/>
      <c r="WXY26" s="3327"/>
      <c r="WXZ26" s="3327"/>
      <c r="WYA26" s="3327"/>
      <c r="WYB26" s="3327"/>
      <c r="WYC26" s="3327"/>
      <c r="WYD26" s="3327"/>
      <c r="WYE26" s="3327"/>
      <c r="WYF26" s="3327"/>
      <c r="WYG26" s="3327"/>
      <c r="WYH26" s="3327"/>
      <c r="WYI26" s="3327"/>
      <c r="WYJ26" s="3327"/>
      <c r="WYK26" s="3327"/>
      <c r="WYL26" s="3327"/>
      <c r="WYM26" s="3327"/>
      <c r="WYN26" s="3327"/>
      <c r="WYO26" s="3327"/>
      <c r="WYP26" s="3327"/>
      <c r="WYQ26" s="3327"/>
      <c r="WYR26" s="3327"/>
      <c r="WYS26" s="3327"/>
      <c r="WYT26" s="3327"/>
      <c r="WYU26" s="3327"/>
      <c r="WYV26" s="3327"/>
      <c r="WYW26" s="3327"/>
      <c r="WYX26" s="3327"/>
      <c r="WYY26" s="3327"/>
      <c r="WYZ26" s="3327"/>
      <c r="WZA26" s="3327"/>
      <c r="WZB26" s="3327"/>
      <c r="WZC26" s="3327"/>
      <c r="WZD26" s="3327"/>
      <c r="WZE26" s="3327"/>
      <c r="WZF26" s="3327"/>
      <c r="WZG26" s="3327"/>
      <c r="WZH26" s="3327"/>
      <c r="WZI26" s="3327"/>
      <c r="WZJ26" s="3327"/>
      <c r="WZK26" s="3327"/>
      <c r="WZL26" s="3327"/>
      <c r="WZM26" s="3327"/>
      <c r="WZN26" s="3327"/>
      <c r="WZO26" s="3327"/>
      <c r="WZP26" s="3327"/>
      <c r="WZQ26" s="3327"/>
      <c r="WZR26" s="3327"/>
      <c r="WZS26" s="3327"/>
      <c r="WZT26" s="3327"/>
      <c r="WZU26" s="3327"/>
      <c r="WZV26" s="3327"/>
      <c r="WZW26" s="3327"/>
      <c r="WZX26" s="3327"/>
      <c r="WZY26" s="3327"/>
      <c r="WZZ26" s="3327"/>
      <c r="XAA26" s="3327"/>
      <c r="XAB26" s="3327"/>
      <c r="XAC26" s="3327"/>
      <c r="XAD26" s="3327"/>
      <c r="XAE26" s="3327"/>
      <c r="XAF26" s="3327"/>
      <c r="XAG26" s="3327"/>
      <c r="XAH26" s="3327"/>
      <c r="XAI26" s="3327"/>
      <c r="XAJ26" s="3327"/>
      <c r="XAK26" s="3327"/>
      <c r="XAL26" s="3327"/>
      <c r="XAM26" s="3327"/>
      <c r="XAN26" s="3327"/>
      <c r="XAO26" s="3327"/>
      <c r="XAP26" s="3327"/>
      <c r="XAQ26" s="3327"/>
      <c r="XAR26" s="3327"/>
      <c r="XAS26" s="3327"/>
      <c r="XAT26" s="3327"/>
      <c r="XAU26" s="3327"/>
      <c r="XAV26" s="3327"/>
      <c r="XAW26" s="3327"/>
      <c r="XAX26" s="3327"/>
      <c r="XAY26" s="3327"/>
      <c r="XAZ26" s="3327"/>
      <c r="XBA26" s="3327"/>
      <c r="XBB26" s="3327"/>
      <c r="XBC26" s="3327"/>
      <c r="XBD26" s="3327"/>
      <c r="XBE26" s="3327"/>
      <c r="XBF26" s="3327"/>
      <c r="XBG26" s="3327"/>
      <c r="XBH26" s="3327"/>
      <c r="XBI26" s="3327"/>
      <c r="XBJ26" s="3327"/>
      <c r="XBK26" s="3327"/>
      <c r="XBL26" s="3327"/>
      <c r="XBM26" s="3327"/>
      <c r="XBN26" s="3327"/>
      <c r="XBO26" s="3327"/>
      <c r="XBP26" s="3327"/>
      <c r="XBQ26" s="3327"/>
      <c r="XBR26" s="3327"/>
      <c r="XBS26" s="3327"/>
      <c r="XBT26" s="3327"/>
      <c r="XBU26" s="3327"/>
      <c r="XBV26" s="3327"/>
      <c r="XBW26" s="3327"/>
      <c r="XBX26" s="3327"/>
      <c r="XBY26" s="3327"/>
      <c r="XBZ26" s="3327"/>
      <c r="XCA26" s="3327"/>
      <c r="XCB26" s="3327"/>
      <c r="XCC26" s="3327"/>
      <c r="XCD26" s="3327"/>
      <c r="XCE26" s="3327"/>
      <c r="XCF26" s="3327"/>
      <c r="XCG26" s="3327"/>
      <c r="XCH26" s="3327"/>
      <c r="XCI26" s="3327"/>
      <c r="XCJ26" s="3327"/>
      <c r="XCK26" s="3327"/>
      <c r="XCL26" s="3327"/>
      <c r="XCM26" s="3327"/>
      <c r="XCN26" s="3327"/>
      <c r="XCO26" s="3327"/>
      <c r="XCP26" s="3327"/>
      <c r="XCQ26" s="3327"/>
      <c r="XCR26" s="3327"/>
      <c r="XCS26" s="3327"/>
      <c r="XCT26" s="3327"/>
      <c r="XCU26" s="3327"/>
      <c r="XCV26" s="3327"/>
      <c r="XCW26" s="3327"/>
      <c r="XCX26" s="3327"/>
      <c r="XCY26" s="3327"/>
      <c r="XCZ26" s="3327"/>
      <c r="XDA26" s="3327"/>
      <c r="XDB26" s="3327"/>
      <c r="XDC26" s="3327"/>
      <c r="XDD26" s="3327"/>
      <c r="XDE26" s="3327"/>
      <c r="XDF26" s="3327"/>
      <c r="XDG26" s="3327"/>
      <c r="XDH26" s="3327"/>
      <c r="XDI26" s="3327"/>
      <c r="XDJ26" s="3327"/>
      <c r="XDK26" s="3327"/>
      <c r="XDL26" s="3327"/>
      <c r="XDM26" s="3327"/>
      <c r="XDN26" s="3327"/>
      <c r="XDO26" s="3327"/>
      <c r="XDP26" s="3327"/>
      <c r="XDQ26" s="3327"/>
      <c r="XDR26" s="3327"/>
      <c r="XDS26" s="3327"/>
      <c r="XDT26" s="3327"/>
      <c r="XDU26" s="3327"/>
      <c r="XDV26" s="3327"/>
      <c r="XDW26" s="3327"/>
      <c r="XDX26" s="3327"/>
      <c r="XDY26" s="3327"/>
      <c r="XDZ26" s="3327"/>
      <c r="XEA26" s="3327"/>
      <c r="XEB26" s="3327"/>
      <c r="XEC26" s="3327"/>
      <c r="XED26" s="3327"/>
      <c r="XEE26" s="3327"/>
      <c r="XEF26" s="3327"/>
      <c r="XEG26" s="3327"/>
      <c r="XEH26" s="3327"/>
      <c r="XEI26" s="3327"/>
      <c r="XEJ26" s="3327"/>
      <c r="XEK26" s="3327"/>
      <c r="XEL26" s="3327"/>
      <c r="XEM26" s="3327"/>
      <c r="XEN26" s="3327"/>
      <c r="XEO26" s="3327"/>
      <c r="XEP26" s="3327"/>
      <c r="XEQ26" s="3327"/>
      <c r="XER26" s="3327"/>
      <c r="XES26" s="3327"/>
      <c r="XET26" s="3327"/>
      <c r="XEU26" s="3327"/>
      <c r="XEV26" s="3327"/>
      <c r="XEW26" s="3327"/>
      <c r="XEX26" s="3327"/>
      <c r="XEY26" s="3327"/>
      <c r="XEZ26" s="3327"/>
      <c r="XFA26" s="3327"/>
      <c r="XFB26" s="3327"/>
      <c r="XFC26" s="3327"/>
      <c r="XFD26" s="1222"/>
    </row>
    <row r="27" spans="1:16384" ht="20.25" customHeight="1" x14ac:dyDescent="0.3">
      <c r="A27" s="3352" t="s">
        <v>813</v>
      </c>
      <c r="B27" s="3352"/>
      <c r="C27" s="1223"/>
      <c r="E27" s="1224"/>
    </row>
    <row r="28" spans="1:16384" ht="20.25" customHeight="1" x14ac:dyDescent="0.3">
      <c r="A28" s="3352" t="s">
        <v>814</v>
      </c>
      <c r="B28" s="3352"/>
      <c r="C28" s="3352"/>
      <c r="D28" s="1225"/>
      <c r="E28" s="1224"/>
    </row>
    <row r="29" spans="1:16384" ht="21" customHeight="1" x14ac:dyDescent="0.3">
      <c r="A29" s="1202" t="s">
        <v>680</v>
      </c>
      <c r="B29" s="1225"/>
      <c r="C29" s="1225"/>
    </row>
    <row r="30" spans="1:16384" ht="21" customHeight="1" x14ac:dyDescent="0.3"/>
    <row r="31" spans="1:16384" ht="21" customHeight="1" x14ac:dyDescent="0.25">
      <c r="A31" s="1191" t="s">
        <v>815</v>
      </c>
      <c r="B31" s="1191"/>
      <c r="C31" s="1191"/>
      <c r="D31" s="1191"/>
      <c r="E31" s="1192"/>
      <c r="F31" s="1193"/>
    </row>
    <row r="32" spans="1:16384" ht="9" customHeight="1" thickBot="1" x14ac:dyDescent="0.3">
      <c r="A32" s="1191"/>
      <c r="B32" s="1191"/>
      <c r="C32" s="1191"/>
      <c r="D32" s="1191"/>
      <c r="E32" s="1192"/>
      <c r="F32" s="1193"/>
    </row>
    <row r="33" spans="1:16384" ht="21" customHeight="1" thickBot="1" x14ac:dyDescent="0.3">
      <c r="A33" s="1213"/>
      <c r="B33" s="1214"/>
      <c r="C33" s="3337" t="s">
        <v>816</v>
      </c>
      <c r="D33" s="3338"/>
      <c r="E33" s="3353"/>
      <c r="F33" s="3353"/>
    </row>
    <row r="34" spans="1:16384" ht="21" customHeight="1" thickBot="1" x14ac:dyDescent="0.3">
      <c r="A34" s="1215"/>
      <c r="B34" s="1216"/>
      <c r="C34" s="3339" t="s">
        <v>817</v>
      </c>
      <c r="D34" s="3340"/>
      <c r="E34" s="3349"/>
      <c r="F34" s="3349"/>
    </row>
    <row r="35" spans="1:16384" ht="21" customHeight="1" x14ac:dyDescent="0.25">
      <c r="A35" s="1217">
        <v>1</v>
      </c>
      <c r="B35" s="1218" t="s">
        <v>808</v>
      </c>
      <c r="C35" s="3341">
        <v>500</v>
      </c>
      <c r="D35" s="3342"/>
      <c r="E35" s="3350"/>
      <c r="F35" s="3350"/>
    </row>
    <row r="36" spans="1:16384" ht="21" customHeight="1" x14ac:dyDescent="0.25">
      <c r="A36" s="1217">
        <v>2</v>
      </c>
      <c r="B36" s="1219" t="s">
        <v>809</v>
      </c>
      <c r="C36" s="3331">
        <v>6.95</v>
      </c>
      <c r="D36" s="3332"/>
      <c r="E36" s="3351"/>
      <c r="F36" s="3351"/>
    </row>
    <row r="37" spans="1:16384" ht="21" customHeight="1" x14ac:dyDescent="0.25">
      <c r="A37" s="1217">
        <v>3</v>
      </c>
      <c r="B37" s="1218" t="s">
        <v>810</v>
      </c>
      <c r="C37" s="3333">
        <v>7.6</v>
      </c>
      <c r="D37" s="3334"/>
      <c r="E37" s="3346"/>
      <c r="F37" s="3346"/>
    </row>
    <row r="38" spans="1:16384" ht="21" customHeight="1" x14ac:dyDescent="0.25">
      <c r="A38" s="1217">
        <v>4</v>
      </c>
      <c r="B38" s="1218" t="s">
        <v>811</v>
      </c>
      <c r="C38" s="3335">
        <v>94.241</v>
      </c>
      <c r="D38" s="3336"/>
      <c r="E38" s="3347"/>
      <c r="F38" s="3347"/>
    </row>
    <row r="39" spans="1:16384" s="1208" customFormat="1" ht="15" customHeight="1" thickBot="1" x14ac:dyDescent="0.3">
      <c r="A39" s="1220"/>
      <c r="B39" s="1221"/>
      <c r="C39" s="3328"/>
      <c r="D39" s="3329"/>
      <c r="E39" s="3348"/>
      <c r="F39" s="3348"/>
    </row>
    <row r="40" spans="1:16384" ht="18.75" customHeight="1" x14ac:dyDescent="0.25">
      <c r="A40" s="3327" t="s">
        <v>818</v>
      </c>
      <c r="B40" s="3327"/>
      <c r="C40" s="3327"/>
      <c r="D40" s="3327"/>
      <c r="E40" s="3327"/>
      <c r="F40" s="3327"/>
      <c r="G40" s="3327"/>
      <c r="H40" s="3327"/>
      <c r="I40" s="3327"/>
      <c r="J40" s="3327"/>
      <c r="K40" s="3327"/>
      <c r="L40" s="3327"/>
      <c r="M40" s="3327"/>
      <c r="N40" s="3327"/>
      <c r="O40" s="3327"/>
      <c r="P40" s="3327"/>
      <c r="Q40" s="3327"/>
      <c r="R40" s="3327"/>
      <c r="S40" s="3327"/>
      <c r="T40" s="3327"/>
      <c r="U40" s="3327"/>
      <c r="V40" s="3327"/>
      <c r="W40" s="3327"/>
      <c r="X40" s="3327"/>
      <c r="Y40" s="3327"/>
      <c r="Z40" s="3327"/>
      <c r="AA40" s="3327"/>
      <c r="AB40" s="3327"/>
      <c r="AC40" s="3327"/>
      <c r="AD40" s="3327"/>
      <c r="AE40" s="3327"/>
      <c r="AF40" s="3327"/>
      <c r="AG40" s="3327"/>
      <c r="AH40" s="3327"/>
      <c r="AI40" s="3327"/>
      <c r="AJ40" s="3327"/>
      <c r="AK40" s="3327"/>
      <c r="AL40" s="3327"/>
      <c r="AM40" s="3327"/>
      <c r="AN40" s="3327"/>
      <c r="AO40" s="3327"/>
      <c r="AP40" s="3327"/>
      <c r="AQ40" s="3327"/>
      <c r="AR40" s="3327"/>
      <c r="AS40" s="3327"/>
      <c r="AT40" s="3327"/>
      <c r="AU40" s="3327"/>
      <c r="AV40" s="3327"/>
      <c r="AW40" s="3327"/>
      <c r="AX40" s="3327"/>
      <c r="AY40" s="3327"/>
      <c r="AZ40" s="3327"/>
      <c r="BA40" s="3327"/>
      <c r="BB40" s="3327"/>
      <c r="BC40" s="3327"/>
      <c r="BD40" s="3327"/>
      <c r="BE40" s="3327"/>
      <c r="BF40" s="3327"/>
      <c r="BG40" s="3327"/>
      <c r="BH40" s="3327"/>
      <c r="BI40" s="3327"/>
      <c r="BJ40" s="3327"/>
      <c r="BK40" s="3327"/>
      <c r="BL40" s="3327"/>
      <c r="BM40" s="3327"/>
      <c r="BN40" s="3327"/>
      <c r="BO40" s="3327"/>
      <c r="BP40" s="3327"/>
      <c r="BQ40" s="3327"/>
      <c r="BR40" s="3327"/>
      <c r="BS40" s="3327"/>
      <c r="BT40" s="3327"/>
      <c r="BU40" s="3327"/>
      <c r="BV40" s="3327"/>
      <c r="BW40" s="3327"/>
      <c r="BX40" s="3327"/>
      <c r="BY40" s="3327"/>
      <c r="BZ40" s="3327"/>
      <c r="CA40" s="3327"/>
      <c r="CB40" s="3327"/>
      <c r="CC40" s="3327"/>
      <c r="CD40" s="3327"/>
      <c r="CE40" s="3327"/>
      <c r="CF40" s="3327"/>
      <c r="CG40" s="3327"/>
      <c r="CH40" s="3327"/>
      <c r="CI40" s="3327"/>
      <c r="CJ40" s="3327"/>
      <c r="CK40" s="3327"/>
      <c r="CL40" s="3327"/>
      <c r="CM40" s="3327"/>
      <c r="CN40" s="3327"/>
      <c r="CO40" s="3327"/>
      <c r="CP40" s="3327"/>
      <c r="CQ40" s="3327"/>
      <c r="CR40" s="3327"/>
      <c r="CS40" s="3327"/>
      <c r="CT40" s="3327"/>
      <c r="CU40" s="3327"/>
      <c r="CV40" s="3327"/>
      <c r="CW40" s="3327"/>
      <c r="CX40" s="3327"/>
      <c r="CY40" s="3327"/>
      <c r="CZ40" s="3327"/>
      <c r="DA40" s="3327"/>
      <c r="DB40" s="3327"/>
      <c r="DC40" s="3327"/>
      <c r="DD40" s="3327"/>
      <c r="DE40" s="3327"/>
      <c r="DF40" s="3327"/>
      <c r="DG40" s="3327"/>
      <c r="DH40" s="3327"/>
      <c r="DI40" s="3327"/>
      <c r="DJ40" s="3327"/>
      <c r="DK40" s="3327"/>
      <c r="DL40" s="3327"/>
      <c r="DM40" s="3327"/>
      <c r="DN40" s="3327"/>
      <c r="DO40" s="3327"/>
      <c r="DP40" s="3327"/>
      <c r="DQ40" s="3327"/>
      <c r="DR40" s="3327"/>
      <c r="DS40" s="3327"/>
      <c r="DT40" s="3327"/>
      <c r="DU40" s="3327"/>
      <c r="DV40" s="3327"/>
      <c r="DW40" s="3327"/>
      <c r="DX40" s="3327"/>
      <c r="DY40" s="3327"/>
      <c r="DZ40" s="3327"/>
      <c r="EA40" s="3327"/>
      <c r="EB40" s="3327"/>
      <c r="EC40" s="3327"/>
      <c r="ED40" s="3327"/>
      <c r="EE40" s="3327"/>
      <c r="EF40" s="3327"/>
      <c r="EG40" s="3327"/>
      <c r="EH40" s="3327"/>
      <c r="EI40" s="3327"/>
      <c r="EJ40" s="3327"/>
      <c r="EK40" s="3327"/>
      <c r="EL40" s="3327"/>
      <c r="EM40" s="3327"/>
      <c r="EN40" s="3327"/>
      <c r="EO40" s="3327"/>
      <c r="EP40" s="3327"/>
      <c r="EQ40" s="3327"/>
      <c r="ER40" s="3327"/>
      <c r="ES40" s="3327"/>
      <c r="ET40" s="3327"/>
      <c r="EU40" s="3327"/>
      <c r="EV40" s="3327"/>
      <c r="EW40" s="3327"/>
      <c r="EX40" s="3327"/>
      <c r="EY40" s="3327"/>
      <c r="EZ40" s="3327"/>
      <c r="FA40" s="3327"/>
      <c r="FB40" s="3327"/>
      <c r="FC40" s="3327"/>
      <c r="FD40" s="3327"/>
      <c r="FE40" s="3327"/>
      <c r="FF40" s="3327"/>
      <c r="FG40" s="3327"/>
      <c r="FH40" s="3327"/>
      <c r="FI40" s="3327"/>
      <c r="FJ40" s="3327"/>
      <c r="FK40" s="3327"/>
      <c r="FL40" s="3327"/>
      <c r="FM40" s="3327"/>
      <c r="FN40" s="3327"/>
      <c r="FO40" s="3327"/>
      <c r="FP40" s="3327"/>
      <c r="FQ40" s="3327"/>
      <c r="FR40" s="3327"/>
      <c r="FS40" s="3327"/>
      <c r="FT40" s="3327"/>
      <c r="FU40" s="3327"/>
      <c r="FV40" s="3327"/>
      <c r="FW40" s="3327"/>
      <c r="FX40" s="3327"/>
      <c r="FY40" s="3327"/>
      <c r="FZ40" s="3327"/>
      <c r="GA40" s="3327"/>
      <c r="GB40" s="3327"/>
      <c r="GC40" s="3327"/>
      <c r="GD40" s="3327"/>
      <c r="GE40" s="3327"/>
      <c r="GF40" s="3327"/>
      <c r="GG40" s="3327"/>
      <c r="GH40" s="3327"/>
      <c r="GI40" s="3327"/>
      <c r="GJ40" s="3327"/>
      <c r="GK40" s="3327"/>
      <c r="GL40" s="3327"/>
      <c r="GM40" s="3327"/>
      <c r="GN40" s="3327"/>
      <c r="GO40" s="3327"/>
      <c r="GP40" s="3327"/>
      <c r="GQ40" s="3327"/>
      <c r="GR40" s="3327"/>
      <c r="GS40" s="3327"/>
      <c r="GT40" s="3327"/>
      <c r="GU40" s="3327"/>
      <c r="GV40" s="3327"/>
      <c r="GW40" s="3327"/>
      <c r="GX40" s="3327"/>
      <c r="GY40" s="3327"/>
      <c r="GZ40" s="3327"/>
      <c r="HA40" s="3327"/>
      <c r="HB40" s="3327"/>
      <c r="HC40" s="3327"/>
      <c r="HD40" s="3327"/>
      <c r="HE40" s="3327"/>
      <c r="HF40" s="3327"/>
      <c r="HG40" s="3327"/>
      <c r="HH40" s="3327"/>
      <c r="HI40" s="3327"/>
      <c r="HJ40" s="3327"/>
      <c r="HK40" s="3327"/>
      <c r="HL40" s="3327"/>
      <c r="HM40" s="3327"/>
      <c r="HN40" s="3327"/>
      <c r="HO40" s="3327"/>
      <c r="HP40" s="3327"/>
      <c r="HQ40" s="3327"/>
      <c r="HR40" s="3327"/>
      <c r="HS40" s="3327"/>
      <c r="HT40" s="3327"/>
      <c r="HU40" s="3327"/>
      <c r="HV40" s="3327"/>
      <c r="HW40" s="3327"/>
      <c r="HX40" s="3327"/>
      <c r="HY40" s="3327"/>
      <c r="HZ40" s="3327"/>
      <c r="IA40" s="3327"/>
      <c r="IB40" s="3327"/>
      <c r="IC40" s="3327"/>
      <c r="ID40" s="3327"/>
      <c r="IE40" s="3327"/>
      <c r="IF40" s="3327"/>
      <c r="IG40" s="3327"/>
      <c r="IH40" s="3327"/>
      <c r="II40" s="3327"/>
      <c r="IJ40" s="3327"/>
      <c r="IK40" s="3327"/>
      <c r="IL40" s="3327"/>
      <c r="IM40" s="3327"/>
      <c r="IN40" s="3327"/>
      <c r="IO40" s="3327"/>
      <c r="IP40" s="3327"/>
      <c r="IQ40" s="3327"/>
      <c r="IR40" s="3327"/>
      <c r="IS40" s="3327"/>
      <c r="IT40" s="3327"/>
      <c r="IU40" s="3327"/>
      <c r="IV40" s="3327"/>
      <c r="IW40" s="3327"/>
      <c r="IX40" s="3327"/>
      <c r="IY40" s="3327"/>
      <c r="IZ40" s="3327"/>
      <c r="JA40" s="3327"/>
      <c r="JB40" s="3327"/>
      <c r="JC40" s="3327"/>
      <c r="JD40" s="3327"/>
      <c r="JE40" s="3327"/>
      <c r="JF40" s="3327"/>
      <c r="JG40" s="3327"/>
      <c r="JH40" s="3327"/>
      <c r="JI40" s="3327"/>
      <c r="JJ40" s="3327"/>
      <c r="JK40" s="3327"/>
      <c r="JL40" s="3327"/>
      <c r="JM40" s="3327"/>
      <c r="JN40" s="3327"/>
      <c r="JO40" s="3327"/>
      <c r="JP40" s="3327"/>
      <c r="JQ40" s="3327"/>
      <c r="JR40" s="3327"/>
      <c r="JS40" s="3327"/>
      <c r="JT40" s="3327"/>
      <c r="JU40" s="3327"/>
      <c r="JV40" s="3327"/>
      <c r="JW40" s="3327"/>
      <c r="JX40" s="3327"/>
      <c r="JY40" s="3327"/>
      <c r="JZ40" s="3327"/>
      <c r="KA40" s="3327"/>
      <c r="KB40" s="3327"/>
      <c r="KC40" s="3327"/>
      <c r="KD40" s="3327"/>
      <c r="KE40" s="3327"/>
      <c r="KF40" s="3327"/>
      <c r="KG40" s="3327"/>
      <c r="KH40" s="3327"/>
      <c r="KI40" s="3327"/>
      <c r="KJ40" s="3327"/>
      <c r="KK40" s="3327"/>
      <c r="KL40" s="3327"/>
      <c r="KM40" s="3327"/>
      <c r="KN40" s="3327"/>
      <c r="KO40" s="3327"/>
      <c r="KP40" s="3327"/>
      <c r="KQ40" s="3327"/>
      <c r="KR40" s="3327"/>
      <c r="KS40" s="3327"/>
      <c r="KT40" s="3327"/>
      <c r="KU40" s="3327"/>
      <c r="KV40" s="3327"/>
      <c r="KW40" s="3327"/>
      <c r="KX40" s="3327"/>
      <c r="KY40" s="3327"/>
      <c r="KZ40" s="3327"/>
      <c r="LA40" s="3327"/>
      <c r="LB40" s="3327"/>
      <c r="LC40" s="3327"/>
      <c r="LD40" s="3327"/>
      <c r="LE40" s="3327"/>
      <c r="LF40" s="3327"/>
      <c r="LG40" s="3327"/>
      <c r="LH40" s="3327"/>
      <c r="LI40" s="3327"/>
      <c r="LJ40" s="3327"/>
      <c r="LK40" s="3327"/>
      <c r="LL40" s="3327"/>
      <c r="LM40" s="3327"/>
      <c r="LN40" s="3327"/>
      <c r="LO40" s="3327"/>
      <c r="LP40" s="3327"/>
      <c r="LQ40" s="3327"/>
      <c r="LR40" s="3327"/>
      <c r="LS40" s="3327"/>
      <c r="LT40" s="3327"/>
      <c r="LU40" s="3327"/>
      <c r="LV40" s="3327"/>
      <c r="LW40" s="3327"/>
      <c r="LX40" s="3327"/>
      <c r="LY40" s="3327"/>
      <c r="LZ40" s="3327"/>
      <c r="MA40" s="3327"/>
      <c r="MB40" s="3327"/>
      <c r="MC40" s="3327"/>
      <c r="MD40" s="3327"/>
      <c r="ME40" s="3327"/>
      <c r="MF40" s="3327"/>
      <c r="MG40" s="3327"/>
      <c r="MH40" s="3327"/>
      <c r="MI40" s="3327"/>
      <c r="MJ40" s="3327"/>
      <c r="MK40" s="3327"/>
      <c r="ML40" s="3327"/>
      <c r="MM40" s="3327"/>
      <c r="MN40" s="3327"/>
      <c r="MO40" s="3327"/>
      <c r="MP40" s="3327"/>
      <c r="MQ40" s="3327"/>
      <c r="MR40" s="3327"/>
      <c r="MS40" s="3327"/>
      <c r="MT40" s="3327"/>
      <c r="MU40" s="3327"/>
      <c r="MV40" s="3327"/>
      <c r="MW40" s="3327"/>
      <c r="MX40" s="3327"/>
      <c r="MY40" s="3327"/>
      <c r="MZ40" s="3327"/>
      <c r="NA40" s="3327"/>
      <c r="NB40" s="3327"/>
      <c r="NC40" s="3327"/>
      <c r="ND40" s="3327"/>
      <c r="NE40" s="3327"/>
      <c r="NF40" s="3327"/>
      <c r="NG40" s="3327"/>
      <c r="NH40" s="3327"/>
      <c r="NI40" s="3327"/>
      <c r="NJ40" s="3327"/>
      <c r="NK40" s="3327"/>
      <c r="NL40" s="3327"/>
      <c r="NM40" s="3327"/>
      <c r="NN40" s="3327"/>
      <c r="NO40" s="3327"/>
      <c r="NP40" s="3327"/>
      <c r="NQ40" s="3327"/>
      <c r="NR40" s="3327"/>
      <c r="NS40" s="3327"/>
      <c r="NT40" s="3327"/>
      <c r="NU40" s="3327"/>
      <c r="NV40" s="3327"/>
      <c r="NW40" s="3327"/>
      <c r="NX40" s="3327"/>
      <c r="NY40" s="3327"/>
      <c r="NZ40" s="3327"/>
      <c r="OA40" s="3327"/>
      <c r="OB40" s="3327"/>
      <c r="OC40" s="3327"/>
      <c r="OD40" s="3327"/>
      <c r="OE40" s="3327"/>
      <c r="OF40" s="3327"/>
      <c r="OG40" s="3327"/>
      <c r="OH40" s="3327"/>
      <c r="OI40" s="3327"/>
      <c r="OJ40" s="3327"/>
      <c r="OK40" s="3327"/>
      <c r="OL40" s="3327"/>
      <c r="OM40" s="3327"/>
      <c r="ON40" s="3327"/>
      <c r="OO40" s="3327"/>
      <c r="OP40" s="3327"/>
      <c r="OQ40" s="3327"/>
      <c r="OR40" s="3327"/>
      <c r="OS40" s="3327"/>
      <c r="OT40" s="3327"/>
      <c r="OU40" s="3327"/>
      <c r="OV40" s="3327"/>
      <c r="OW40" s="3327"/>
      <c r="OX40" s="3327"/>
      <c r="OY40" s="3327"/>
      <c r="OZ40" s="3327"/>
      <c r="PA40" s="3327"/>
      <c r="PB40" s="3327"/>
      <c r="PC40" s="3327"/>
      <c r="PD40" s="3327"/>
      <c r="PE40" s="3327"/>
      <c r="PF40" s="3327"/>
      <c r="PG40" s="3327"/>
      <c r="PH40" s="3327"/>
      <c r="PI40" s="3327"/>
      <c r="PJ40" s="3327"/>
      <c r="PK40" s="3327"/>
      <c r="PL40" s="3327"/>
      <c r="PM40" s="3327"/>
      <c r="PN40" s="3327"/>
      <c r="PO40" s="3327"/>
      <c r="PP40" s="3327"/>
      <c r="PQ40" s="3327"/>
      <c r="PR40" s="3327"/>
      <c r="PS40" s="3327"/>
      <c r="PT40" s="3327"/>
      <c r="PU40" s="3327"/>
      <c r="PV40" s="3327"/>
      <c r="PW40" s="3327"/>
      <c r="PX40" s="3327"/>
      <c r="PY40" s="3327"/>
      <c r="PZ40" s="3327"/>
      <c r="QA40" s="3327"/>
      <c r="QB40" s="3327"/>
      <c r="QC40" s="3327"/>
      <c r="QD40" s="3327"/>
      <c r="QE40" s="3327"/>
      <c r="QF40" s="3327"/>
      <c r="QG40" s="3327"/>
      <c r="QH40" s="3327"/>
      <c r="QI40" s="3327"/>
      <c r="QJ40" s="3327"/>
      <c r="QK40" s="3327"/>
      <c r="QL40" s="3327"/>
      <c r="QM40" s="3327"/>
      <c r="QN40" s="3327"/>
      <c r="QO40" s="3327"/>
      <c r="QP40" s="3327"/>
      <c r="QQ40" s="3327"/>
      <c r="QR40" s="3327"/>
      <c r="QS40" s="3327"/>
      <c r="QT40" s="3327"/>
      <c r="QU40" s="3327"/>
      <c r="QV40" s="3327"/>
      <c r="QW40" s="3327"/>
      <c r="QX40" s="3327"/>
      <c r="QY40" s="3327"/>
      <c r="QZ40" s="3327"/>
      <c r="RA40" s="3327"/>
      <c r="RB40" s="3327"/>
      <c r="RC40" s="3327"/>
      <c r="RD40" s="3327"/>
      <c r="RE40" s="3327"/>
      <c r="RF40" s="3327"/>
      <c r="RG40" s="3327"/>
      <c r="RH40" s="3327"/>
      <c r="RI40" s="3327"/>
      <c r="RJ40" s="3327"/>
      <c r="RK40" s="3327"/>
      <c r="RL40" s="3327"/>
      <c r="RM40" s="3327"/>
      <c r="RN40" s="3327"/>
      <c r="RO40" s="3327"/>
      <c r="RP40" s="3327"/>
      <c r="RQ40" s="3327"/>
      <c r="RR40" s="3327"/>
      <c r="RS40" s="3327"/>
      <c r="RT40" s="3327"/>
      <c r="RU40" s="3327"/>
      <c r="RV40" s="3327"/>
      <c r="RW40" s="3327"/>
      <c r="RX40" s="3327"/>
      <c r="RY40" s="3327"/>
      <c r="RZ40" s="3327"/>
      <c r="SA40" s="3327"/>
      <c r="SB40" s="3327"/>
      <c r="SC40" s="3327"/>
      <c r="SD40" s="3327"/>
      <c r="SE40" s="3327"/>
      <c r="SF40" s="3327"/>
      <c r="SG40" s="3327"/>
      <c r="SH40" s="3327"/>
      <c r="SI40" s="3327"/>
      <c r="SJ40" s="3327"/>
      <c r="SK40" s="3327"/>
      <c r="SL40" s="3327"/>
      <c r="SM40" s="3327"/>
      <c r="SN40" s="3327"/>
      <c r="SO40" s="3327"/>
      <c r="SP40" s="3327"/>
      <c r="SQ40" s="3327"/>
      <c r="SR40" s="3327"/>
      <c r="SS40" s="3327"/>
      <c r="ST40" s="3327"/>
      <c r="SU40" s="3327"/>
      <c r="SV40" s="3327"/>
      <c r="SW40" s="3327"/>
      <c r="SX40" s="3327"/>
      <c r="SY40" s="3327"/>
      <c r="SZ40" s="3327"/>
      <c r="TA40" s="3327"/>
      <c r="TB40" s="3327"/>
      <c r="TC40" s="3327"/>
      <c r="TD40" s="3327"/>
      <c r="TE40" s="3327"/>
      <c r="TF40" s="3327"/>
      <c r="TG40" s="3327"/>
      <c r="TH40" s="3327"/>
      <c r="TI40" s="3327"/>
      <c r="TJ40" s="3327"/>
      <c r="TK40" s="3327"/>
      <c r="TL40" s="3327"/>
      <c r="TM40" s="3327"/>
      <c r="TN40" s="3327"/>
      <c r="TO40" s="3327"/>
      <c r="TP40" s="3327"/>
      <c r="TQ40" s="3327"/>
      <c r="TR40" s="3327"/>
      <c r="TS40" s="3327"/>
      <c r="TT40" s="3327"/>
      <c r="TU40" s="3327"/>
      <c r="TV40" s="3327"/>
      <c r="TW40" s="3327"/>
      <c r="TX40" s="3327"/>
      <c r="TY40" s="3327"/>
      <c r="TZ40" s="3327"/>
      <c r="UA40" s="3327"/>
      <c r="UB40" s="3327"/>
      <c r="UC40" s="3327"/>
      <c r="UD40" s="3327"/>
      <c r="UE40" s="3327"/>
      <c r="UF40" s="3327"/>
      <c r="UG40" s="3327"/>
      <c r="UH40" s="3327"/>
      <c r="UI40" s="3327"/>
      <c r="UJ40" s="3327"/>
      <c r="UK40" s="3327"/>
      <c r="UL40" s="3327"/>
      <c r="UM40" s="3327"/>
      <c r="UN40" s="3327"/>
      <c r="UO40" s="3327"/>
      <c r="UP40" s="3327"/>
      <c r="UQ40" s="3327"/>
      <c r="UR40" s="3327"/>
      <c r="US40" s="3327"/>
      <c r="UT40" s="3327"/>
      <c r="UU40" s="3327"/>
      <c r="UV40" s="3327"/>
      <c r="UW40" s="3327"/>
      <c r="UX40" s="3327"/>
      <c r="UY40" s="3327"/>
      <c r="UZ40" s="3327"/>
      <c r="VA40" s="3327"/>
      <c r="VB40" s="3327"/>
      <c r="VC40" s="3327"/>
      <c r="VD40" s="3327"/>
      <c r="VE40" s="3327"/>
      <c r="VF40" s="3327"/>
      <c r="VG40" s="3327"/>
      <c r="VH40" s="3327"/>
      <c r="VI40" s="3327"/>
      <c r="VJ40" s="3327"/>
      <c r="VK40" s="3327"/>
      <c r="VL40" s="3327"/>
      <c r="VM40" s="3327"/>
      <c r="VN40" s="3327"/>
      <c r="VO40" s="3327"/>
      <c r="VP40" s="3327"/>
      <c r="VQ40" s="3327"/>
      <c r="VR40" s="3327"/>
      <c r="VS40" s="3327"/>
      <c r="VT40" s="3327"/>
      <c r="VU40" s="3327"/>
      <c r="VV40" s="3327"/>
      <c r="VW40" s="3327"/>
      <c r="VX40" s="3327"/>
      <c r="VY40" s="3327"/>
      <c r="VZ40" s="3327"/>
      <c r="WA40" s="3327"/>
      <c r="WB40" s="3327"/>
      <c r="WC40" s="3327"/>
      <c r="WD40" s="3327"/>
      <c r="WE40" s="3327"/>
      <c r="WF40" s="3327"/>
      <c r="WG40" s="3327"/>
      <c r="WH40" s="3327"/>
      <c r="WI40" s="3327"/>
      <c r="WJ40" s="3327"/>
      <c r="WK40" s="3327"/>
      <c r="WL40" s="3327"/>
      <c r="WM40" s="3327"/>
      <c r="WN40" s="3327"/>
      <c r="WO40" s="3327"/>
      <c r="WP40" s="3327"/>
      <c r="WQ40" s="3327"/>
      <c r="WR40" s="3327"/>
      <c r="WS40" s="3327"/>
      <c r="WT40" s="3327"/>
      <c r="WU40" s="3327"/>
      <c r="WV40" s="3327"/>
      <c r="WW40" s="3327"/>
      <c r="WX40" s="3327"/>
      <c r="WY40" s="3327"/>
      <c r="WZ40" s="3327"/>
      <c r="XA40" s="3327"/>
      <c r="XB40" s="3327"/>
      <c r="XC40" s="3327"/>
      <c r="XD40" s="3327"/>
      <c r="XE40" s="3327"/>
      <c r="XF40" s="3327"/>
      <c r="XG40" s="3327"/>
      <c r="XH40" s="3327"/>
      <c r="XI40" s="3327"/>
      <c r="XJ40" s="3327"/>
      <c r="XK40" s="3327"/>
      <c r="XL40" s="3327"/>
      <c r="XM40" s="3327"/>
      <c r="XN40" s="3327"/>
      <c r="XO40" s="3327"/>
      <c r="XP40" s="3327"/>
      <c r="XQ40" s="3327"/>
      <c r="XR40" s="3327"/>
      <c r="XS40" s="3327"/>
      <c r="XT40" s="3327"/>
      <c r="XU40" s="3327"/>
      <c r="XV40" s="3327"/>
      <c r="XW40" s="3327"/>
      <c r="XX40" s="3327"/>
      <c r="XY40" s="3327"/>
      <c r="XZ40" s="3327"/>
      <c r="YA40" s="3327"/>
      <c r="YB40" s="3327"/>
      <c r="YC40" s="3327"/>
      <c r="YD40" s="3327"/>
      <c r="YE40" s="3327"/>
      <c r="YF40" s="3327"/>
      <c r="YG40" s="3327"/>
      <c r="YH40" s="3327"/>
      <c r="YI40" s="3327"/>
      <c r="YJ40" s="3327"/>
      <c r="YK40" s="3327"/>
      <c r="YL40" s="3327"/>
      <c r="YM40" s="3327"/>
      <c r="YN40" s="3327"/>
      <c r="YO40" s="3327"/>
      <c r="YP40" s="3327"/>
      <c r="YQ40" s="3327"/>
      <c r="YR40" s="3327"/>
      <c r="YS40" s="3327"/>
      <c r="YT40" s="3327"/>
      <c r="YU40" s="3327"/>
      <c r="YV40" s="3327"/>
      <c r="YW40" s="3327"/>
      <c r="YX40" s="3327"/>
      <c r="YY40" s="3327"/>
      <c r="YZ40" s="3327"/>
      <c r="ZA40" s="3327"/>
      <c r="ZB40" s="3327"/>
      <c r="ZC40" s="3327"/>
      <c r="ZD40" s="3327"/>
      <c r="ZE40" s="3327"/>
      <c r="ZF40" s="3327"/>
      <c r="ZG40" s="3327"/>
      <c r="ZH40" s="3327"/>
      <c r="ZI40" s="3327"/>
      <c r="ZJ40" s="3327"/>
      <c r="ZK40" s="3327"/>
      <c r="ZL40" s="3327"/>
      <c r="ZM40" s="3327"/>
      <c r="ZN40" s="3327"/>
      <c r="ZO40" s="3327"/>
      <c r="ZP40" s="3327"/>
      <c r="ZQ40" s="3327"/>
      <c r="ZR40" s="3327"/>
      <c r="ZS40" s="3327"/>
      <c r="ZT40" s="3327"/>
      <c r="ZU40" s="3327"/>
      <c r="ZV40" s="3327"/>
      <c r="ZW40" s="3327"/>
      <c r="ZX40" s="3327"/>
      <c r="ZY40" s="3327"/>
      <c r="ZZ40" s="3327"/>
      <c r="AAA40" s="3327"/>
      <c r="AAB40" s="3327"/>
      <c r="AAC40" s="3327"/>
      <c r="AAD40" s="3327"/>
      <c r="AAE40" s="3327"/>
      <c r="AAF40" s="3327"/>
      <c r="AAG40" s="3327"/>
      <c r="AAH40" s="3327"/>
      <c r="AAI40" s="3327"/>
      <c r="AAJ40" s="3327"/>
      <c r="AAK40" s="3327"/>
      <c r="AAL40" s="3327"/>
      <c r="AAM40" s="3327"/>
      <c r="AAN40" s="3327"/>
      <c r="AAO40" s="3327"/>
      <c r="AAP40" s="3327"/>
      <c r="AAQ40" s="3327"/>
      <c r="AAR40" s="3327"/>
      <c r="AAS40" s="3327"/>
      <c r="AAT40" s="3327"/>
      <c r="AAU40" s="3327"/>
      <c r="AAV40" s="3327"/>
      <c r="AAW40" s="3327"/>
      <c r="AAX40" s="3327"/>
      <c r="AAY40" s="3327"/>
      <c r="AAZ40" s="3327"/>
      <c r="ABA40" s="3327"/>
      <c r="ABB40" s="3327"/>
      <c r="ABC40" s="3327"/>
      <c r="ABD40" s="3327"/>
      <c r="ABE40" s="3327"/>
      <c r="ABF40" s="3327"/>
      <c r="ABG40" s="3327"/>
      <c r="ABH40" s="3327"/>
      <c r="ABI40" s="3327"/>
      <c r="ABJ40" s="3327"/>
      <c r="ABK40" s="3327"/>
      <c r="ABL40" s="3327"/>
      <c r="ABM40" s="3327"/>
      <c r="ABN40" s="3327"/>
      <c r="ABO40" s="3327"/>
      <c r="ABP40" s="3327"/>
      <c r="ABQ40" s="3327"/>
      <c r="ABR40" s="3327"/>
      <c r="ABS40" s="3327"/>
      <c r="ABT40" s="3327"/>
      <c r="ABU40" s="3327"/>
      <c r="ABV40" s="3327"/>
      <c r="ABW40" s="3327"/>
      <c r="ABX40" s="3327"/>
      <c r="ABY40" s="3327"/>
      <c r="ABZ40" s="3327"/>
      <c r="ACA40" s="3327"/>
      <c r="ACB40" s="3327"/>
      <c r="ACC40" s="3327"/>
      <c r="ACD40" s="3327"/>
      <c r="ACE40" s="3327"/>
      <c r="ACF40" s="3327"/>
      <c r="ACG40" s="3327"/>
      <c r="ACH40" s="3327"/>
      <c r="ACI40" s="3327"/>
      <c r="ACJ40" s="3327"/>
      <c r="ACK40" s="3327"/>
      <c r="ACL40" s="3327"/>
      <c r="ACM40" s="3327"/>
      <c r="ACN40" s="3327"/>
      <c r="ACO40" s="3327"/>
      <c r="ACP40" s="3327"/>
      <c r="ACQ40" s="3327"/>
      <c r="ACR40" s="3327"/>
      <c r="ACS40" s="3327"/>
      <c r="ACT40" s="3327"/>
      <c r="ACU40" s="3327"/>
      <c r="ACV40" s="3327"/>
      <c r="ACW40" s="3327"/>
      <c r="ACX40" s="3327"/>
      <c r="ACY40" s="3327"/>
      <c r="ACZ40" s="3327"/>
      <c r="ADA40" s="3327"/>
      <c r="ADB40" s="3327"/>
      <c r="ADC40" s="3327"/>
      <c r="ADD40" s="3327"/>
      <c r="ADE40" s="3327"/>
      <c r="ADF40" s="3327"/>
      <c r="ADG40" s="3327"/>
      <c r="ADH40" s="3327"/>
      <c r="ADI40" s="3327"/>
      <c r="ADJ40" s="3327"/>
      <c r="ADK40" s="3327"/>
      <c r="ADL40" s="3327"/>
      <c r="ADM40" s="3327"/>
      <c r="ADN40" s="3327"/>
      <c r="ADO40" s="3327"/>
      <c r="ADP40" s="3327"/>
      <c r="ADQ40" s="3327"/>
      <c r="ADR40" s="3327"/>
      <c r="ADS40" s="3327"/>
      <c r="ADT40" s="3327"/>
      <c r="ADU40" s="3327"/>
      <c r="ADV40" s="3327"/>
      <c r="ADW40" s="3327"/>
      <c r="ADX40" s="3327"/>
      <c r="ADY40" s="3327"/>
      <c r="ADZ40" s="3327"/>
      <c r="AEA40" s="3327"/>
      <c r="AEB40" s="3327"/>
      <c r="AEC40" s="3327"/>
      <c r="AED40" s="3327"/>
      <c r="AEE40" s="3327"/>
      <c r="AEF40" s="3327"/>
      <c r="AEG40" s="3327"/>
      <c r="AEH40" s="3327"/>
      <c r="AEI40" s="3327"/>
      <c r="AEJ40" s="3327"/>
      <c r="AEK40" s="3327"/>
      <c r="AEL40" s="3327"/>
      <c r="AEM40" s="3327"/>
      <c r="AEN40" s="3327"/>
      <c r="AEO40" s="3327"/>
      <c r="AEP40" s="3327"/>
      <c r="AEQ40" s="3327"/>
      <c r="AER40" s="3327"/>
      <c r="AES40" s="3327"/>
      <c r="AET40" s="3327"/>
      <c r="AEU40" s="3327"/>
      <c r="AEV40" s="3327"/>
      <c r="AEW40" s="3327"/>
      <c r="AEX40" s="3327"/>
      <c r="AEY40" s="3327"/>
      <c r="AEZ40" s="3327"/>
      <c r="AFA40" s="3327"/>
      <c r="AFB40" s="3327"/>
      <c r="AFC40" s="3327"/>
      <c r="AFD40" s="3327"/>
      <c r="AFE40" s="3327"/>
      <c r="AFF40" s="3327"/>
      <c r="AFG40" s="3327"/>
      <c r="AFH40" s="3327"/>
      <c r="AFI40" s="3327"/>
      <c r="AFJ40" s="3327"/>
      <c r="AFK40" s="3327"/>
      <c r="AFL40" s="3327"/>
      <c r="AFM40" s="3327"/>
      <c r="AFN40" s="3327"/>
      <c r="AFO40" s="3327"/>
      <c r="AFP40" s="3327"/>
      <c r="AFQ40" s="3327"/>
      <c r="AFR40" s="3327"/>
      <c r="AFS40" s="3327"/>
      <c r="AFT40" s="3327"/>
      <c r="AFU40" s="3327"/>
      <c r="AFV40" s="3327"/>
      <c r="AFW40" s="3327"/>
      <c r="AFX40" s="3327"/>
      <c r="AFY40" s="3327"/>
      <c r="AFZ40" s="3327"/>
      <c r="AGA40" s="3327"/>
      <c r="AGB40" s="3327"/>
      <c r="AGC40" s="3327"/>
      <c r="AGD40" s="3327"/>
      <c r="AGE40" s="3327"/>
      <c r="AGF40" s="3327"/>
      <c r="AGG40" s="3327"/>
      <c r="AGH40" s="3327"/>
      <c r="AGI40" s="3327"/>
      <c r="AGJ40" s="3327"/>
      <c r="AGK40" s="3327"/>
      <c r="AGL40" s="3327"/>
      <c r="AGM40" s="3327"/>
      <c r="AGN40" s="3327"/>
      <c r="AGO40" s="3327"/>
      <c r="AGP40" s="3327"/>
      <c r="AGQ40" s="3327"/>
      <c r="AGR40" s="3327"/>
      <c r="AGS40" s="3327"/>
      <c r="AGT40" s="3327"/>
      <c r="AGU40" s="3327"/>
      <c r="AGV40" s="3327"/>
      <c r="AGW40" s="3327"/>
      <c r="AGX40" s="3327"/>
      <c r="AGY40" s="3327"/>
      <c r="AGZ40" s="3327"/>
      <c r="AHA40" s="3327"/>
      <c r="AHB40" s="3327"/>
      <c r="AHC40" s="3327"/>
      <c r="AHD40" s="3327"/>
      <c r="AHE40" s="3327"/>
      <c r="AHF40" s="3327"/>
      <c r="AHG40" s="3327"/>
      <c r="AHH40" s="3327"/>
      <c r="AHI40" s="3327"/>
      <c r="AHJ40" s="3327"/>
      <c r="AHK40" s="3327"/>
      <c r="AHL40" s="3327"/>
      <c r="AHM40" s="3327"/>
      <c r="AHN40" s="3327"/>
      <c r="AHO40" s="3327"/>
      <c r="AHP40" s="3327"/>
      <c r="AHQ40" s="3327"/>
      <c r="AHR40" s="3327"/>
      <c r="AHS40" s="3327"/>
      <c r="AHT40" s="3327"/>
      <c r="AHU40" s="3327"/>
      <c r="AHV40" s="3327"/>
      <c r="AHW40" s="3327"/>
      <c r="AHX40" s="3327"/>
      <c r="AHY40" s="3327"/>
      <c r="AHZ40" s="3327"/>
      <c r="AIA40" s="3327"/>
      <c r="AIB40" s="3327"/>
      <c r="AIC40" s="3327"/>
      <c r="AID40" s="3327"/>
      <c r="AIE40" s="3327"/>
      <c r="AIF40" s="3327"/>
      <c r="AIG40" s="3327"/>
      <c r="AIH40" s="3327"/>
      <c r="AII40" s="3327"/>
      <c r="AIJ40" s="3327"/>
      <c r="AIK40" s="3327"/>
      <c r="AIL40" s="3327"/>
      <c r="AIM40" s="3327"/>
      <c r="AIN40" s="3327"/>
      <c r="AIO40" s="3327"/>
      <c r="AIP40" s="3327"/>
      <c r="AIQ40" s="3327"/>
      <c r="AIR40" s="3327"/>
      <c r="AIS40" s="3327"/>
      <c r="AIT40" s="3327"/>
      <c r="AIU40" s="3327"/>
      <c r="AIV40" s="3327"/>
      <c r="AIW40" s="3327"/>
      <c r="AIX40" s="3327"/>
      <c r="AIY40" s="3327"/>
      <c r="AIZ40" s="3327"/>
      <c r="AJA40" s="3327"/>
      <c r="AJB40" s="3327"/>
      <c r="AJC40" s="3327"/>
      <c r="AJD40" s="3327"/>
      <c r="AJE40" s="3327"/>
      <c r="AJF40" s="3327"/>
      <c r="AJG40" s="3327"/>
      <c r="AJH40" s="3327"/>
      <c r="AJI40" s="3327"/>
      <c r="AJJ40" s="3327"/>
      <c r="AJK40" s="3327"/>
      <c r="AJL40" s="3327"/>
      <c r="AJM40" s="3327"/>
      <c r="AJN40" s="3327"/>
      <c r="AJO40" s="3327"/>
      <c r="AJP40" s="3327"/>
      <c r="AJQ40" s="3327"/>
      <c r="AJR40" s="3327"/>
      <c r="AJS40" s="3327"/>
      <c r="AJT40" s="3327"/>
      <c r="AJU40" s="3327"/>
      <c r="AJV40" s="3327"/>
      <c r="AJW40" s="3327"/>
      <c r="AJX40" s="3327"/>
      <c r="AJY40" s="3327"/>
      <c r="AJZ40" s="3327"/>
      <c r="AKA40" s="3327"/>
      <c r="AKB40" s="3327"/>
      <c r="AKC40" s="3327"/>
      <c r="AKD40" s="3327"/>
      <c r="AKE40" s="3327"/>
      <c r="AKF40" s="3327"/>
      <c r="AKG40" s="3327"/>
      <c r="AKH40" s="3327"/>
      <c r="AKI40" s="3327"/>
      <c r="AKJ40" s="3327"/>
      <c r="AKK40" s="3327"/>
      <c r="AKL40" s="3327"/>
      <c r="AKM40" s="3327"/>
      <c r="AKN40" s="3327"/>
      <c r="AKO40" s="3327"/>
      <c r="AKP40" s="3327"/>
      <c r="AKQ40" s="3327"/>
      <c r="AKR40" s="3327"/>
      <c r="AKS40" s="3327"/>
      <c r="AKT40" s="3327"/>
      <c r="AKU40" s="3327"/>
      <c r="AKV40" s="3327"/>
      <c r="AKW40" s="3327"/>
      <c r="AKX40" s="3327"/>
      <c r="AKY40" s="3327"/>
      <c r="AKZ40" s="3327"/>
      <c r="ALA40" s="3327"/>
      <c r="ALB40" s="3327"/>
      <c r="ALC40" s="3327"/>
      <c r="ALD40" s="3327"/>
      <c r="ALE40" s="3327"/>
      <c r="ALF40" s="3327"/>
      <c r="ALG40" s="3327"/>
      <c r="ALH40" s="3327"/>
      <c r="ALI40" s="3327"/>
      <c r="ALJ40" s="3327"/>
      <c r="ALK40" s="3327"/>
      <c r="ALL40" s="3327"/>
      <c r="ALM40" s="3327"/>
      <c r="ALN40" s="3327"/>
      <c r="ALO40" s="3327"/>
      <c r="ALP40" s="3327"/>
      <c r="ALQ40" s="3327"/>
      <c r="ALR40" s="3327"/>
      <c r="ALS40" s="3327"/>
      <c r="ALT40" s="3327"/>
      <c r="ALU40" s="3327"/>
      <c r="ALV40" s="3327"/>
      <c r="ALW40" s="3327"/>
      <c r="ALX40" s="3327"/>
      <c r="ALY40" s="3327"/>
      <c r="ALZ40" s="3327"/>
      <c r="AMA40" s="3327"/>
      <c r="AMB40" s="3327"/>
      <c r="AMC40" s="3327"/>
      <c r="AMD40" s="3327"/>
      <c r="AME40" s="3327"/>
      <c r="AMF40" s="3327"/>
      <c r="AMG40" s="3327"/>
      <c r="AMH40" s="3327"/>
      <c r="AMI40" s="3327"/>
      <c r="AMJ40" s="3327"/>
      <c r="AMK40" s="3327"/>
      <c r="AML40" s="3327"/>
      <c r="AMM40" s="3327"/>
      <c r="AMN40" s="3327"/>
      <c r="AMO40" s="3327"/>
      <c r="AMP40" s="3327"/>
      <c r="AMQ40" s="3327"/>
      <c r="AMR40" s="3327"/>
      <c r="AMS40" s="3327"/>
      <c r="AMT40" s="3327"/>
      <c r="AMU40" s="3327"/>
      <c r="AMV40" s="3327"/>
      <c r="AMW40" s="3327"/>
      <c r="AMX40" s="3327"/>
      <c r="AMY40" s="3327"/>
      <c r="AMZ40" s="3327"/>
      <c r="ANA40" s="3327"/>
      <c r="ANB40" s="3327"/>
      <c r="ANC40" s="3327"/>
      <c r="AND40" s="3327"/>
      <c r="ANE40" s="3327"/>
      <c r="ANF40" s="3327"/>
      <c r="ANG40" s="3327"/>
      <c r="ANH40" s="3327"/>
      <c r="ANI40" s="3327"/>
      <c r="ANJ40" s="3327"/>
      <c r="ANK40" s="3327"/>
      <c r="ANL40" s="3327"/>
      <c r="ANM40" s="3327"/>
      <c r="ANN40" s="3327"/>
      <c r="ANO40" s="3327"/>
      <c r="ANP40" s="3327"/>
      <c r="ANQ40" s="3327"/>
      <c r="ANR40" s="3327"/>
      <c r="ANS40" s="3327"/>
      <c r="ANT40" s="3327"/>
      <c r="ANU40" s="3327"/>
      <c r="ANV40" s="3327"/>
      <c r="ANW40" s="3327"/>
      <c r="ANX40" s="3327"/>
      <c r="ANY40" s="3327"/>
      <c r="ANZ40" s="3327"/>
      <c r="AOA40" s="3327"/>
      <c r="AOB40" s="3327"/>
      <c r="AOC40" s="3327"/>
      <c r="AOD40" s="3327"/>
      <c r="AOE40" s="3327"/>
      <c r="AOF40" s="3327"/>
      <c r="AOG40" s="3327"/>
      <c r="AOH40" s="3327"/>
      <c r="AOI40" s="3327"/>
      <c r="AOJ40" s="3327"/>
      <c r="AOK40" s="3327"/>
      <c r="AOL40" s="3327"/>
      <c r="AOM40" s="3327"/>
      <c r="AON40" s="3327"/>
      <c r="AOO40" s="3327"/>
      <c r="AOP40" s="3327"/>
      <c r="AOQ40" s="3327"/>
      <c r="AOR40" s="3327"/>
      <c r="AOS40" s="3327"/>
      <c r="AOT40" s="3327"/>
      <c r="AOU40" s="3327"/>
      <c r="AOV40" s="3327"/>
      <c r="AOW40" s="3327"/>
      <c r="AOX40" s="3327"/>
      <c r="AOY40" s="3327"/>
      <c r="AOZ40" s="3327"/>
      <c r="APA40" s="3327"/>
      <c r="APB40" s="3327"/>
      <c r="APC40" s="3327"/>
      <c r="APD40" s="3327"/>
      <c r="APE40" s="3327"/>
      <c r="APF40" s="3327"/>
      <c r="APG40" s="3327"/>
      <c r="APH40" s="3327"/>
      <c r="API40" s="3327"/>
      <c r="APJ40" s="3327"/>
      <c r="APK40" s="3327"/>
      <c r="APL40" s="3327"/>
      <c r="APM40" s="3327"/>
      <c r="APN40" s="3327"/>
      <c r="APO40" s="3327"/>
      <c r="APP40" s="3327"/>
      <c r="APQ40" s="3327"/>
      <c r="APR40" s="3327"/>
      <c r="APS40" s="3327"/>
      <c r="APT40" s="3327"/>
      <c r="APU40" s="3327"/>
      <c r="APV40" s="3327"/>
      <c r="APW40" s="3327"/>
      <c r="APX40" s="3327"/>
      <c r="APY40" s="3327"/>
      <c r="APZ40" s="3327"/>
      <c r="AQA40" s="3327"/>
      <c r="AQB40" s="3327"/>
      <c r="AQC40" s="3327"/>
      <c r="AQD40" s="3327"/>
      <c r="AQE40" s="3327"/>
      <c r="AQF40" s="3327"/>
      <c r="AQG40" s="3327"/>
      <c r="AQH40" s="3327"/>
      <c r="AQI40" s="3327"/>
      <c r="AQJ40" s="3327"/>
      <c r="AQK40" s="3327"/>
      <c r="AQL40" s="3327"/>
      <c r="AQM40" s="3327"/>
      <c r="AQN40" s="3327"/>
      <c r="AQO40" s="3327"/>
      <c r="AQP40" s="3327"/>
      <c r="AQQ40" s="3327"/>
      <c r="AQR40" s="3327"/>
      <c r="AQS40" s="3327"/>
      <c r="AQT40" s="3327"/>
      <c r="AQU40" s="3327"/>
      <c r="AQV40" s="3327"/>
      <c r="AQW40" s="3327"/>
      <c r="AQX40" s="3327"/>
      <c r="AQY40" s="3327"/>
      <c r="AQZ40" s="3327"/>
      <c r="ARA40" s="3327"/>
      <c r="ARB40" s="3327"/>
      <c r="ARC40" s="3327"/>
      <c r="ARD40" s="3327"/>
      <c r="ARE40" s="3327"/>
      <c r="ARF40" s="3327"/>
      <c r="ARG40" s="3327"/>
      <c r="ARH40" s="3327"/>
      <c r="ARI40" s="3327"/>
      <c r="ARJ40" s="3327"/>
      <c r="ARK40" s="3327"/>
      <c r="ARL40" s="3327"/>
      <c r="ARM40" s="3327"/>
      <c r="ARN40" s="3327"/>
      <c r="ARO40" s="3327"/>
      <c r="ARP40" s="3327"/>
      <c r="ARQ40" s="3327"/>
      <c r="ARR40" s="3327"/>
      <c r="ARS40" s="3327"/>
      <c r="ART40" s="3327"/>
      <c r="ARU40" s="3327"/>
      <c r="ARV40" s="3327"/>
      <c r="ARW40" s="3327"/>
      <c r="ARX40" s="3327"/>
      <c r="ARY40" s="3327"/>
      <c r="ARZ40" s="3327"/>
      <c r="ASA40" s="3327"/>
      <c r="ASB40" s="3327"/>
      <c r="ASC40" s="3327"/>
      <c r="ASD40" s="3327"/>
      <c r="ASE40" s="3327"/>
      <c r="ASF40" s="3327"/>
      <c r="ASG40" s="3327"/>
      <c r="ASH40" s="3327"/>
      <c r="ASI40" s="3327"/>
      <c r="ASJ40" s="3327"/>
      <c r="ASK40" s="3327"/>
      <c r="ASL40" s="3327"/>
      <c r="ASM40" s="3327"/>
      <c r="ASN40" s="3327"/>
      <c r="ASO40" s="3327"/>
      <c r="ASP40" s="3327"/>
      <c r="ASQ40" s="3327"/>
      <c r="ASR40" s="3327"/>
      <c r="ASS40" s="3327"/>
      <c r="AST40" s="3327"/>
      <c r="ASU40" s="3327"/>
      <c r="ASV40" s="3327"/>
      <c r="ASW40" s="3327"/>
      <c r="ASX40" s="3327"/>
      <c r="ASY40" s="3327"/>
      <c r="ASZ40" s="3327"/>
      <c r="ATA40" s="3327"/>
      <c r="ATB40" s="3327"/>
      <c r="ATC40" s="3327"/>
      <c r="ATD40" s="3327"/>
      <c r="ATE40" s="3327"/>
      <c r="ATF40" s="3327"/>
      <c r="ATG40" s="3327"/>
      <c r="ATH40" s="3327"/>
      <c r="ATI40" s="3327"/>
      <c r="ATJ40" s="3327"/>
      <c r="ATK40" s="3327"/>
      <c r="ATL40" s="3327"/>
      <c r="ATM40" s="3327"/>
      <c r="ATN40" s="3327"/>
      <c r="ATO40" s="3327"/>
      <c r="ATP40" s="3327"/>
      <c r="ATQ40" s="3327"/>
      <c r="ATR40" s="3327"/>
      <c r="ATS40" s="3327"/>
      <c r="ATT40" s="3327"/>
      <c r="ATU40" s="3327"/>
      <c r="ATV40" s="3327"/>
      <c r="ATW40" s="3327"/>
      <c r="ATX40" s="3327"/>
      <c r="ATY40" s="3327"/>
      <c r="ATZ40" s="3327"/>
      <c r="AUA40" s="3327"/>
      <c r="AUB40" s="3327"/>
      <c r="AUC40" s="3327"/>
      <c r="AUD40" s="3327"/>
      <c r="AUE40" s="3327"/>
      <c r="AUF40" s="3327"/>
      <c r="AUG40" s="3327"/>
      <c r="AUH40" s="3327"/>
      <c r="AUI40" s="3327"/>
      <c r="AUJ40" s="3327"/>
      <c r="AUK40" s="3327"/>
      <c r="AUL40" s="3327"/>
      <c r="AUM40" s="3327"/>
      <c r="AUN40" s="3327"/>
      <c r="AUO40" s="3327"/>
      <c r="AUP40" s="3327"/>
      <c r="AUQ40" s="3327"/>
      <c r="AUR40" s="3327"/>
      <c r="AUS40" s="3327"/>
      <c r="AUT40" s="3327"/>
      <c r="AUU40" s="3327"/>
      <c r="AUV40" s="3327"/>
      <c r="AUW40" s="3327"/>
      <c r="AUX40" s="3327"/>
      <c r="AUY40" s="3327"/>
      <c r="AUZ40" s="3327"/>
      <c r="AVA40" s="3327"/>
      <c r="AVB40" s="3327"/>
      <c r="AVC40" s="3327"/>
      <c r="AVD40" s="3327"/>
      <c r="AVE40" s="3327"/>
      <c r="AVF40" s="3327"/>
      <c r="AVG40" s="3327"/>
      <c r="AVH40" s="3327"/>
      <c r="AVI40" s="3327"/>
      <c r="AVJ40" s="3327"/>
      <c r="AVK40" s="3327"/>
      <c r="AVL40" s="3327"/>
      <c r="AVM40" s="3327"/>
      <c r="AVN40" s="3327"/>
      <c r="AVO40" s="3327"/>
      <c r="AVP40" s="3327"/>
      <c r="AVQ40" s="3327"/>
      <c r="AVR40" s="3327"/>
      <c r="AVS40" s="3327"/>
      <c r="AVT40" s="3327"/>
      <c r="AVU40" s="3327"/>
      <c r="AVV40" s="3327"/>
      <c r="AVW40" s="3327"/>
      <c r="AVX40" s="3327"/>
      <c r="AVY40" s="3327"/>
      <c r="AVZ40" s="3327"/>
      <c r="AWA40" s="3327"/>
      <c r="AWB40" s="3327"/>
      <c r="AWC40" s="3327"/>
      <c r="AWD40" s="3327"/>
      <c r="AWE40" s="3327"/>
      <c r="AWF40" s="3327"/>
      <c r="AWG40" s="3327"/>
      <c r="AWH40" s="3327"/>
      <c r="AWI40" s="3327"/>
      <c r="AWJ40" s="3327"/>
      <c r="AWK40" s="3327"/>
      <c r="AWL40" s="3327"/>
      <c r="AWM40" s="3327"/>
      <c r="AWN40" s="3327"/>
      <c r="AWO40" s="3327"/>
      <c r="AWP40" s="3327"/>
      <c r="AWQ40" s="3327"/>
      <c r="AWR40" s="3327"/>
      <c r="AWS40" s="3327"/>
      <c r="AWT40" s="3327"/>
      <c r="AWU40" s="3327"/>
      <c r="AWV40" s="3327"/>
      <c r="AWW40" s="3327"/>
      <c r="AWX40" s="3327"/>
      <c r="AWY40" s="3327"/>
      <c r="AWZ40" s="3327"/>
      <c r="AXA40" s="3327"/>
      <c r="AXB40" s="3327"/>
      <c r="AXC40" s="3327"/>
      <c r="AXD40" s="3327"/>
      <c r="AXE40" s="3327"/>
      <c r="AXF40" s="3327"/>
      <c r="AXG40" s="3327"/>
      <c r="AXH40" s="3327"/>
      <c r="AXI40" s="3327"/>
      <c r="AXJ40" s="3327"/>
      <c r="AXK40" s="3327"/>
      <c r="AXL40" s="3327"/>
      <c r="AXM40" s="3327"/>
      <c r="AXN40" s="3327"/>
      <c r="AXO40" s="3327"/>
      <c r="AXP40" s="3327"/>
      <c r="AXQ40" s="3327"/>
      <c r="AXR40" s="3327"/>
      <c r="AXS40" s="3327"/>
      <c r="AXT40" s="3327"/>
      <c r="AXU40" s="3327"/>
      <c r="AXV40" s="3327"/>
      <c r="AXW40" s="3327"/>
      <c r="AXX40" s="3327"/>
      <c r="AXY40" s="3327"/>
      <c r="AXZ40" s="3327"/>
      <c r="AYA40" s="3327"/>
      <c r="AYB40" s="3327"/>
      <c r="AYC40" s="3327"/>
      <c r="AYD40" s="3327"/>
      <c r="AYE40" s="3327"/>
      <c r="AYF40" s="3327"/>
      <c r="AYG40" s="3327"/>
      <c r="AYH40" s="3327"/>
      <c r="AYI40" s="3327"/>
      <c r="AYJ40" s="3327"/>
      <c r="AYK40" s="3327"/>
      <c r="AYL40" s="3327"/>
      <c r="AYM40" s="3327"/>
      <c r="AYN40" s="3327"/>
      <c r="AYO40" s="3327"/>
      <c r="AYP40" s="3327"/>
      <c r="AYQ40" s="3327"/>
      <c r="AYR40" s="3327"/>
      <c r="AYS40" s="3327"/>
      <c r="AYT40" s="3327"/>
      <c r="AYU40" s="3327"/>
      <c r="AYV40" s="3327"/>
      <c r="AYW40" s="3327"/>
      <c r="AYX40" s="3327"/>
      <c r="AYY40" s="3327"/>
      <c r="AYZ40" s="3327"/>
      <c r="AZA40" s="3327"/>
      <c r="AZB40" s="3327"/>
      <c r="AZC40" s="3327"/>
      <c r="AZD40" s="3327"/>
      <c r="AZE40" s="3327"/>
      <c r="AZF40" s="3327"/>
      <c r="AZG40" s="3327"/>
      <c r="AZH40" s="3327"/>
      <c r="AZI40" s="3327"/>
      <c r="AZJ40" s="3327"/>
      <c r="AZK40" s="3327"/>
      <c r="AZL40" s="3327"/>
      <c r="AZM40" s="3327"/>
      <c r="AZN40" s="3327"/>
      <c r="AZO40" s="3327"/>
      <c r="AZP40" s="3327"/>
      <c r="AZQ40" s="3327"/>
      <c r="AZR40" s="3327"/>
      <c r="AZS40" s="3327"/>
      <c r="AZT40" s="3327"/>
      <c r="AZU40" s="3327"/>
      <c r="AZV40" s="3327"/>
      <c r="AZW40" s="3327"/>
      <c r="AZX40" s="3327"/>
      <c r="AZY40" s="3327"/>
      <c r="AZZ40" s="3327"/>
      <c r="BAA40" s="3327"/>
      <c r="BAB40" s="3327"/>
      <c r="BAC40" s="3327"/>
      <c r="BAD40" s="3327"/>
      <c r="BAE40" s="3327"/>
      <c r="BAF40" s="3327"/>
      <c r="BAG40" s="3327"/>
      <c r="BAH40" s="3327"/>
      <c r="BAI40" s="3327"/>
      <c r="BAJ40" s="3327"/>
      <c r="BAK40" s="3327"/>
      <c r="BAL40" s="3327"/>
      <c r="BAM40" s="3327"/>
      <c r="BAN40" s="3327"/>
      <c r="BAO40" s="3327"/>
      <c r="BAP40" s="3327"/>
      <c r="BAQ40" s="3327"/>
      <c r="BAR40" s="3327"/>
      <c r="BAS40" s="3327"/>
      <c r="BAT40" s="3327"/>
      <c r="BAU40" s="3327"/>
      <c r="BAV40" s="3327"/>
      <c r="BAW40" s="3327"/>
      <c r="BAX40" s="3327"/>
      <c r="BAY40" s="3327"/>
      <c r="BAZ40" s="3327"/>
      <c r="BBA40" s="3327"/>
      <c r="BBB40" s="3327"/>
      <c r="BBC40" s="3327"/>
      <c r="BBD40" s="3327"/>
      <c r="BBE40" s="3327"/>
      <c r="BBF40" s="3327"/>
      <c r="BBG40" s="3327"/>
      <c r="BBH40" s="3327"/>
      <c r="BBI40" s="3327"/>
      <c r="BBJ40" s="3327"/>
      <c r="BBK40" s="3327"/>
      <c r="BBL40" s="3327"/>
      <c r="BBM40" s="3327"/>
      <c r="BBN40" s="3327"/>
      <c r="BBO40" s="3327"/>
      <c r="BBP40" s="3327"/>
      <c r="BBQ40" s="3327"/>
      <c r="BBR40" s="3327"/>
      <c r="BBS40" s="3327"/>
      <c r="BBT40" s="3327"/>
      <c r="BBU40" s="3327"/>
      <c r="BBV40" s="3327"/>
      <c r="BBW40" s="3327"/>
      <c r="BBX40" s="3327"/>
      <c r="BBY40" s="3327"/>
      <c r="BBZ40" s="3327"/>
      <c r="BCA40" s="3327"/>
      <c r="BCB40" s="3327"/>
      <c r="BCC40" s="3327"/>
      <c r="BCD40" s="3327"/>
      <c r="BCE40" s="3327"/>
      <c r="BCF40" s="3327"/>
      <c r="BCG40" s="3327"/>
      <c r="BCH40" s="3327"/>
      <c r="BCI40" s="3327"/>
      <c r="BCJ40" s="3327"/>
      <c r="BCK40" s="3327"/>
      <c r="BCL40" s="3327"/>
      <c r="BCM40" s="3327"/>
      <c r="BCN40" s="3327"/>
      <c r="BCO40" s="3327"/>
      <c r="BCP40" s="3327"/>
      <c r="BCQ40" s="3327"/>
      <c r="BCR40" s="3327"/>
      <c r="BCS40" s="3327"/>
      <c r="BCT40" s="3327"/>
      <c r="BCU40" s="3327"/>
      <c r="BCV40" s="3327"/>
      <c r="BCW40" s="3327"/>
      <c r="BCX40" s="3327"/>
      <c r="BCY40" s="3327"/>
      <c r="BCZ40" s="3327"/>
      <c r="BDA40" s="3327"/>
      <c r="BDB40" s="3327"/>
      <c r="BDC40" s="3327"/>
      <c r="BDD40" s="3327"/>
      <c r="BDE40" s="3327"/>
      <c r="BDF40" s="3327"/>
      <c r="BDG40" s="3327"/>
      <c r="BDH40" s="3327"/>
      <c r="BDI40" s="3327"/>
      <c r="BDJ40" s="3327"/>
      <c r="BDK40" s="3327"/>
      <c r="BDL40" s="3327"/>
      <c r="BDM40" s="3327"/>
      <c r="BDN40" s="3327"/>
      <c r="BDO40" s="3327"/>
      <c r="BDP40" s="3327"/>
      <c r="BDQ40" s="3327"/>
      <c r="BDR40" s="3327"/>
      <c r="BDS40" s="3327"/>
      <c r="BDT40" s="3327"/>
      <c r="BDU40" s="3327"/>
      <c r="BDV40" s="3327"/>
      <c r="BDW40" s="3327"/>
      <c r="BDX40" s="3327"/>
      <c r="BDY40" s="3327"/>
      <c r="BDZ40" s="3327"/>
      <c r="BEA40" s="3327"/>
      <c r="BEB40" s="3327"/>
      <c r="BEC40" s="3327"/>
      <c r="BED40" s="3327"/>
      <c r="BEE40" s="3327"/>
      <c r="BEF40" s="3327"/>
      <c r="BEG40" s="3327"/>
      <c r="BEH40" s="3327"/>
      <c r="BEI40" s="3327"/>
      <c r="BEJ40" s="3327"/>
      <c r="BEK40" s="3327"/>
      <c r="BEL40" s="3327"/>
      <c r="BEM40" s="3327"/>
      <c r="BEN40" s="3327"/>
      <c r="BEO40" s="3327"/>
      <c r="BEP40" s="3327"/>
      <c r="BEQ40" s="3327"/>
      <c r="BER40" s="3327"/>
      <c r="BES40" s="3327"/>
      <c r="BET40" s="3327"/>
      <c r="BEU40" s="3327"/>
      <c r="BEV40" s="3327"/>
      <c r="BEW40" s="3327"/>
      <c r="BEX40" s="3327"/>
      <c r="BEY40" s="3327"/>
      <c r="BEZ40" s="3327"/>
      <c r="BFA40" s="3327"/>
      <c r="BFB40" s="3327"/>
      <c r="BFC40" s="3327"/>
      <c r="BFD40" s="3327"/>
      <c r="BFE40" s="3327"/>
      <c r="BFF40" s="3327"/>
      <c r="BFG40" s="3327"/>
      <c r="BFH40" s="3327"/>
      <c r="BFI40" s="3327"/>
      <c r="BFJ40" s="3327"/>
      <c r="BFK40" s="3327"/>
      <c r="BFL40" s="3327"/>
      <c r="BFM40" s="3327"/>
      <c r="BFN40" s="3327"/>
      <c r="BFO40" s="3327"/>
      <c r="BFP40" s="3327"/>
      <c r="BFQ40" s="3327"/>
      <c r="BFR40" s="3327"/>
      <c r="BFS40" s="3327"/>
      <c r="BFT40" s="3327"/>
      <c r="BFU40" s="3327"/>
      <c r="BFV40" s="3327"/>
      <c r="BFW40" s="3327"/>
      <c r="BFX40" s="3327"/>
      <c r="BFY40" s="3327"/>
      <c r="BFZ40" s="3327"/>
      <c r="BGA40" s="3327"/>
      <c r="BGB40" s="3327"/>
      <c r="BGC40" s="3327"/>
      <c r="BGD40" s="3327"/>
      <c r="BGE40" s="3327"/>
      <c r="BGF40" s="3327"/>
      <c r="BGG40" s="3327"/>
      <c r="BGH40" s="3327"/>
      <c r="BGI40" s="3327"/>
      <c r="BGJ40" s="3327"/>
      <c r="BGK40" s="3327"/>
      <c r="BGL40" s="3327"/>
      <c r="BGM40" s="3327"/>
      <c r="BGN40" s="3327"/>
      <c r="BGO40" s="3327"/>
      <c r="BGP40" s="3327"/>
      <c r="BGQ40" s="3327"/>
      <c r="BGR40" s="3327"/>
      <c r="BGS40" s="3327"/>
      <c r="BGT40" s="3327"/>
      <c r="BGU40" s="3327"/>
      <c r="BGV40" s="3327"/>
      <c r="BGW40" s="3327"/>
      <c r="BGX40" s="3327"/>
      <c r="BGY40" s="3327"/>
      <c r="BGZ40" s="3327"/>
      <c r="BHA40" s="3327"/>
      <c r="BHB40" s="3327"/>
      <c r="BHC40" s="3327"/>
      <c r="BHD40" s="3327"/>
      <c r="BHE40" s="3327"/>
      <c r="BHF40" s="3327"/>
      <c r="BHG40" s="3327"/>
      <c r="BHH40" s="3327"/>
      <c r="BHI40" s="3327"/>
      <c r="BHJ40" s="3327"/>
      <c r="BHK40" s="3327"/>
      <c r="BHL40" s="3327"/>
      <c r="BHM40" s="3327"/>
      <c r="BHN40" s="3327"/>
      <c r="BHO40" s="3327"/>
      <c r="BHP40" s="3327"/>
      <c r="BHQ40" s="3327"/>
      <c r="BHR40" s="3327"/>
      <c r="BHS40" s="3327"/>
      <c r="BHT40" s="3327"/>
      <c r="BHU40" s="3327"/>
      <c r="BHV40" s="3327"/>
      <c r="BHW40" s="3327"/>
      <c r="BHX40" s="3327"/>
      <c r="BHY40" s="3327"/>
      <c r="BHZ40" s="3327"/>
      <c r="BIA40" s="3327"/>
      <c r="BIB40" s="3327"/>
      <c r="BIC40" s="3327"/>
      <c r="BID40" s="3327"/>
      <c r="BIE40" s="3327"/>
      <c r="BIF40" s="3327"/>
      <c r="BIG40" s="3327"/>
      <c r="BIH40" s="3327"/>
      <c r="BII40" s="3327"/>
      <c r="BIJ40" s="3327"/>
      <c r="BIK40" s="3327"/>
      <c r="BIL40" s="3327"/>
      <c r="BIM40" s="3327"/>
      <c r="BIN40" s="3327"/>
      <c r="BIO40" s="3327"/>
      <c r="BIP40" s="3327"/>
      <c r="BIQ40" s="3327"/>
      <c r="BIR40" s="3327"/>
      <c r="BIS40" s="3327"/>
      <c r="BIT40" s="3327"/>
      <c r="BIU40" s="3327"/>
      <c r="BIV40" s="3327"/>
      <c r="BIW40" s="3327"/>
      <c r="BIX40" s="3327"/>
      <c r="BIY40" s="3327"/>
      <c r="BIZ40" s="3327"/>
      <c r="BJA40" s="3327"/>
      <c r="BJB40" s="3327"/>
      <c r="BJC40" s="3327"/>
      <c r="BJD40" s="3327"/>
      <c r="BJE40" s="3327"/>
      <c r="BJF40" s="3327"/>
      <c r="BJG40" s="3327"/>
      <c r="BJH40" s="3327"/>
      <c r="BJI40" s="3327"/>
      <c r="BJJ40" s="3327"/>
      <c r="BJK40" s="3327"/>
      <c r="BJL40" s="3327"/>
      <c r="BJM40" s="3327"/>
      <c r="BJN40" s="3327"/>
      <c r="BJO40" s="3327"/>
      <c r="BJP40" s="3327"/>
      <c r="BJQ40" s="3327"/>
      <c r="BJR40" s="3327"/>
      <c r="BJS40" s="3327"/>
      <c r="BJT40" s="3327"/>
      <c r="BJU40" s="3327"/>
      <c r="BJV40" s="3327"/>
      <c r="BJW40" s="3327"/>
      <c r="BJX40" s="3327"/>
      <c r="BJY40" s="3327"/>
      <c r="BJZ40" s="3327"/>
      <c r="BKA40" s="3327"/>
      <c r="BKB40" s="3327"/>
      <c r="BKC40" s="3327"/>
      <c r="BKD40" s="3327"/>
      <c r="BKE40" s="3327"/>
      <c r="BKF40" s="3327"/>
      <c r="BKG40" s="3327"/>
      <c r="BKH40" s="3327"/>
      <c r="BKI40" s="3327"/>
      <c r="BKJ40" s="3327"/>
      <c r="BKK40" s="3327"/>
      <c r="BKL40" s="3327"/>
      <c r="BKM40" s="3327"/>
      <c r="BKN40" s="3327"/>
      <c r="BKO40" s="3327"/>
      <c r="BKP40" s="3327"/>
      <c r="BKQ40" s="3327"/>
      <c r="BKR40" s="3327"/>
      <c r="BKS40" s="3327"/>
      <c r="BKT40" s="3327"/>
      <c r="BKU40" s="3327"/>
      <c r="BKV40" s="3327"/>
      <c r="BKW40" s="3327"/>
      <c r="BKX40" s="3327"/>
      <c r="BKY40" s="3327"/>
      <c r="BKZ40" s="3327"/>
      <c r="BLA40" s="3327"/>
      <c r="BLB40" s="3327"/>
      <c r="BLC40" s="3327"/>
      <c r="BLD40" s="3327"/>
      <c r="BLE40" s="3327"/>
      <c r="BLF40" s="3327"/>
      <c r="BLG40" s="3327"/>
      <c r="BLH40" s="3327"/>
      <c r="BLI40" s="3327"/>
      <c r="BLJ40" s="3327"/>
      <c r="BLK40" s="3327"/>
      <c r="BLL40" s="3327"/>
      <c r="BLM40" s="3327"/>
      <c r="BLN40" s="3327"/>
      <c r="BLO40" s="3327"/>
      <c r="BLP40" s="3327"/>
      <c r="BLQ40" s="3327"/>
      <c r="BLR40" s="3327"/>
      <c r="BLS40" s="3327"/>
      <c r="BLT40" s="3327"/>
      <c r="BLU40" s="3327"/>
      <c r="BLV40" s="3327"/>
      <c r="BLW40" s="3327"/>
      <c r="BLX40" s="3327"/>
      <c r="BLY40" s="3327"/>
      <c r="BLZ40" s="3327"/>
      <c r="BMA40" s="3327"/>
      <c r="BMB40" s="3327"/>
      <c r="BMC40" s="3327"/>
      <c r="BMD40" s="3327"/>
      <c r="BME40" s="3327"/>
      <c r="BMF40" s="3327"/>
      <c r="BMG40" s="3327"/>
      <c r="BMH40" s="3327"/>
      <c r="BMI40" s="3327"/>
      <c r="BMJ40" s="3327"/>
      <c r="BMK40" s="3327"/>
      <c r="BML40" s="3327"/>
      <c r="BMM40" s="3327"/>
      <c r="BMN40" s="3327"/>
      <c r="BMO40" s="3327"/>
      <c r="BMP40" s="3327"/>
      <c r="BMQ40" s="3327"/>
      <c r="BMR40" s="3327"/>
      <c r="BMS40" s="3327"/>
      <c r="BMT40" s="3327"/>
      <c r="BMU40" s="3327"/>
      <c r="BMV40" s="3327"/>
      <c r="BMW40" s="3327"/>
      <c r="BMX40" s="3327"/>
      <c r="BMY40" s="3327"/>
      <c r="BMZ40" s="3327"/>
      <c r="BNA40" s="3327"/>
      <c r="BNB40" s="3327"/>
      <c r="BNC40" s="3327"/>
      <c r="BND40" s="3327"/>
      <c r="BNE40" s="3327"/>
      <c r="BNF40" s="3327"/>
      <c r="BNG40" s="3327"/>
      <c r="BNH40" s="3327"/>
      <c r="BNI40" s="3327"/>
      <c r="BNJ40" s="3327"/>
      <c r="BNK40" s="3327"/>
      <c r="BNL40" s="3327"/>
      <c r="BNM40" s="3327"/>
      <c r="BNN40" s="3327"/>
      <c r="BNO40" s="3327"/>
      <c r="BNP40" s="3327"/>
      <c r="BNQ40" s="3327"/>
      <c r="BNR40" s="3327"/>
      <c r="BNS40" s="3327"/>
      <c r="BNT40" s="3327"/>
      <c r="BNU40" s="3327"/>
      <c r="BNV40" s="3327"/>
      <c r="BNW40" s="3327"/>
      <c r="BNX40" s="3327"/>
      <c r="BNY40" s="3327"/>
      <c r="BNZ40" s="3327"/>
      <c r="BOA40" s="3327"/>
      <c r="BOB40" s="3327"/>
      <c r="BOC40" s="3327"/>
      <c r="BOD40" s="3327"/>
      <c r="BOE40" s="3327"/>
      <c r="BOF40" s="3327"/>
      <c r="BOG40" s="3327"/>
      <c r="BOH40" s="3327"/>
      <c r="BOI40" s="3327"/>
      <c r="BOJ40" s="3327"/>
      <c r="BOK40" s="3327"/>
      <c r="BOL40" s="3327"/>
      <c r="BOM40" s="3327"/>
      <c r="BON40" s="3327"/>
      <c r="BOO40" s="3327"/>
      <c r="BOP40" s="3327"/>
      <c r="BOQ40" s="3327"/>
      <c r="BOR40" s="3327"/>
      <c r="BOS40" s="3327"/>
      <c r="BOT40" s="3327"/>
      <c r="BOU40" s="3327"/>
      <c r="BOV40" s="3327"/>
      <c r="BOW40" s="3327"/>
      <c r="BOX40" s="3327"/>
      <c r="BOY40" s="3327"/>
      <c r="BOZ40" s="3327"/>
      <c r="BPA40" s="3327"/>
      <c r="BPB40" s="3327"/>
      <c r="BPC40" s="3327"/>
      <c r="BPD40" s="3327"/>
      <c r="BPE40" s="3327"/>
      <c r="BPF40" s="3327"/>
      <c r="BPG40" s="3327"/>
      <c r="BPH40" s="3327"/>
      <c r="BPI40" s="3327"/>
      <c r="BPJ40" s="3327"/>
      <c r="BPK40" s="3327"/>
      <c r="BPL40" s="3327"/>
      <c r="BPM40" s="3327"/>
      <c r="BPN40" s="3327"/>
      <c r="BPO40" s="3327"/>
      <c r="BPP40" s="3327"/>
      <c r="BPQ40" s="3327"/>
      <c r="BPR40" s="3327"/>
      <c r="BPS40" s="3327"/>
      <c r="BPT40" s="3327"/>
      <c r="BPU40" s="3327"/>
      <c r="BPV40" s="3327"/>
      <c r="BPW40" s="3327"/>
      <c r="BPX40" s="3327"/>
      <c r="BPY40" s="3327"/>
      <c r="BPZ40" s="3327"/>
      <c r="BQA40" s="3327"/>
      <c r="BQB40" s="3327"/>
      <c r="BQC40" s="3327"/>
      <c r="BQD40" s="3327"/>
      <c r="BQE40" s="3327"/>
      <c r="BQF40" s="3327"/>
      <c r="BQG40" s="3327"/>
      <c r="BQH40" s="3327"/>
      <c r="BQI40" s="3327"/>
      <c r="BQJ40" s="3327"/>
      <c r="BQK40" s="3327"/>
      <c r="BQL40" s="3327"/>
      <c r="BQM40" s="3327"/>
      <c r="BQN40" s="3327"/>
      <c r="BQO40" s="3327"/>
      <c r="BQP40" s="3327"/>
      <c r="BQQ40" s="3327"/>
      <c r="BQR40" s="3327"/>
      <c r="BQS40" s="3327"/>
      <c r="BQT40" s="3327"/>
      <c r="BQU40" s="3327"/>
      <c r="BQV40" s="3327"/>
      <c r="BQW40" s="3327"/>
      <c r="BQX40" s="3327"/>
      <c r="BQY40" s="3327"/>
      <c r="BQZ40" s="3327"/>
      <c r="BRA40" s="3327"/>
      <c r="BRB40" s="3327"/>
      <c r="BRC40" s="3327"/>
      <c r="BRD40" s="3327"/>
      <c r="BRE40" s="3327"/>
      <c r="BRF40" s="3327"/>
      <c r="BRG40" s="3327"/>
      <c r="BRH40" s="3327"/>
      <c r="BRI40" s="3327"/>
      <c r="BRJ40" s="3327"/>
      <c r="BRK40" s="3327"/>
      <c r="BRL40" s="3327"/>
      <c r="BRM40" s="3327"/>
      <c r="BRN40" s="3327"/>
      <c r="BRO40" s="3327"/>
      <c r="BRP40" s="3327"/>
      <c r="BRQ40" s="3327"/>
      <c r="BRR40" s="3327"/>
      <c r="BRS40" s="3327"/>
      <c r="BRT40" s="3327"/>
      <c r="BRU40" s="3327"/>
      <c r="BRV40" s="3327"/>
      <c r="BRW40" s="3327"/>
      <c r="BRX40" s="3327"/>
      <c r="BRY40" s="3327"/>
      <c r="BRZ40" s="3327"/>
      <c r="BSA40" s="3327"/>
      <c r="BSB40" s="3327"/>
      <c r="BSC40" s="3327"/>
      <c r="BSD40" s="3327"/>
      <c r="BSE40" s="3327"/>
      <c r="BSF40" s="3327"/>
      <c r="BSG40" s="3327"/>
      <c r="BSH40" s="3327"/>
      <c r="BSI40" s="3327"/>
      <c r="BSJ40" s="3327"/>
      <c r="BSK40" s="3327"/>
      <c r="BSL40" s="3327"/>
      <c r="BSM40" s="3327"/>
      <c r="BSN40" s="3327"/>
      <c r="BSO40" s="3327"/>
      <c r="BSP40" s="3327"/>
      <c r="BSQ40" s="3327"/>
      <c r="BSR40" s="3327"/>
      <c r="BSS40" s="3327"/>
      <c r="BST40" s="3327"/>
      <c r="BSU40" s="3327"/>
      <c r="BSV40" s="3327"/>
      <c r="BSW40" s="3327"/>
      <c r="BSX40" s="3327"/>
      <c r="BSY40" s="3327"/>
      <c r="BSZ40" s="3327"/>
      <c r="BTA40" s="3327"/>
      <c r="BTB40" s="3327"/>
      <c r="BTC40" s="3327"/>
      <c r="BTD40" s="3327"/>
      <c r="BTE40" s="3327"/>
      <c r="BTF40" s="3327"/>
      <c r="BTG40" s="3327"/>
      <c r="BTH40" s="3327"/>
      <c r="BTI40" s="3327"/>
      <c r="BTJ40" s="3327"/>
      <c r="BTK40" s="3327"/>
      <c r="BTL40" s="3327"/>
      <c r="BTM40" s="3327"/>
      <c r="BTN40" s="3327"/>
      <c r="BTO40" s="3327"/>
      <c r="BTP40" s="3327"/>
      <c r="BTQ40" s="3327"/>
      <c r="BTR40" s="3327"/>
      <c r="BTS40" s="3327"/>
      <c r="BTT40" s="3327"/>
      <c r="BTU40" s="3327"/>
      <c r="BTV40" s="3327"/>
      <c r="BTW40" s="3327"/>
      <c r="BTX40" s="3327"/>
      <c r="BTY40" s="3327"/>
      <c r="BTZ40" s="3327"/>
      <c r="BUA40" s="3327"/>
      <c r="BUB40" s="3327"/>
      <c r="BUC40" s="3327"/>
      <c r="BUD40" s="3327"/>
      <c r="BUE40" s="3327"/>
      <c r="BUF40" s="3327"/>
      <c r="BUG40" s="3327"/>
      <c r="BUH40" s="3327"/>
      <c r="BUI40" s="3327"/>
      <c r="BUJ40" s="3327"/>
      <c r="BUK40" s="3327"/>
      <c r="BUL40" s="3327"/>
      <c r="BUM40" s="3327"/>
      <c r="BUN40" s="3327"/>
      <c r="BUO40" s="3327"/>
      <c r="BUP40" s="3327"/>
      <c r="BUQ40" s="3327"/>
      <c r="BUR40" s="3327"/>
      <c r="BUS40" s="3327"/>
      <c r="BUT40" s="3327"/>
      <c r="BUU40" s="3327"/>
      <c r="BUV40" s="3327"/>
      <c r="BUW40" s="3327"/>
      <c r="BUX40" s="3327"/>
      <c r="BUY40" s="3327"/>
      <c r="BUZ40" s="3327"/>
      <c r="BVA40" s="3327"/>
      <c r="BVB40" s="3327"/>
      <c r="BVC40" s="3327"/>
      <c r="BVD40" s="3327"/>
      <c r="BVE40" s="3327"/>
      <c r="BVF40" s="3327"/>
      <c r="BVG40" s="3327"/>
      <c r="BVH40" s="3327"/>
      <c r="BVI40" s="3327"/>
      <c r="BVJ40" s="3327"/>
      <c r="BVK40" s="3327"/>
      <c r="BVL40" s="3327"/>
      <c r="BVM40" s="3327"/>
      <c r="BVN40" s="3327"/>
      <c r="BVO40" s="3327"/>
      <c r="BVP40" s="3327"/>
      <c r="BVQ40" s="3327"/>
      <c r="BVR40" s="3327"/>
      <c r="BVS40" s="3327"/>
      <c r="BVT40" s="3327"/>
      <c r="BVU40" s="3327"/>
      <c r="BVV40" s="3327"/>
      <c r="BVW40" s="3327"/>
      <c r="BVX40" s="3327"/>
      <c r="BVY40" s="3327"/>
      <c r="BVZ40" s="3327"/>
      <c r="BWA40" s="3327"/>
      <c r="BWB40" s="3327"/>
      <c r="BWC40" s="3327"/>
      <c r="BWD40" s="3327"/>
      <c r="BWE40" s="3327"/>
      <c r="BWF40" s="3327"/>
      <c r="BWG40" s="3327"/>
      <c r="BWH40" s="3327"/>
      <c r="BWI40" s="3327"/>
      <c r="BWJ40" s="3327"/>
      <c r="BWK40" s="3327"/>
      <c r="BWL40" s="3327"/>
      <c r="BWM40" s="3327"/>
      <c r="BWN40" s="3327"/>
      <c r="BWO40" s="3327"/>
      <c r="BWP40" s="3327"/>
      <c r="BWQ40" s="3327"/>
      <c r="BWR40" s="3327"/>
      <c r="BWS40" s="3327"/>
      <c r="BWT40" s="3327"/>
      <c r="BWU40" s="3327"/>
      <c r="BWV40" s="3327"/>
      <c r="BWW40" s="3327"/>
      <c r="BWX40" s="3327"/>
      <c r="BWY40" s="3327"/>
      <c r="BWZ40" s="3327"/>
      <c r="BXA40" s="3327"/>
      <c r="BXB40" s="3327"/>
      <c r="BXC40" s="3327"/>
      <c r="BXD40" s="3327"/>
      <c r="BXE40" s="3327"/>
      <c r="BXF40" s="3327"/>
      <c r="BXG40" s="3327"/>
      <c r="BXH40" s="3327"/>
      <c r="BXI40" s="3327"/>
      <c r="BXJ40" s="3327"/>
      <c r="BXK40" s="3327"/>
      <c r="BXL40" s="3327"/>
      <c r="BXM40" s="3327"/>
      <c r="BXN40" s="3327"/>
      <c r="BXO40" s="3327"/>
      <c r="BXP40" s="3327"/>
      <c r="BXQ40" s="3327"/>
      <c r="BXR40" s="3327"/>
      <c r="BXS40" s="3327"/>
      <c r="BXT40" s="3327"/>
      <c r="BXU40" s="3327"/>
      <c r="BXV40" s="3327"/>
      <c r="BXW40" s="3327"/>
      <c r="BXX40" s="3327"/>
      <c r="BXY40" s="3327"/>
      <c r="BXZ40" s="3327"/>
      <c r="BYA40" s="3327"/>
      <c r="BYB40" s="3327"/>
      <c r="BYC40" s="3327"/>
      <c r="BYD40" s="3327"/>
      <c r="BYE40" s="3327"/>
      <c r="BYF40" s="3327"/>
      <c r="BYG40" s="3327"/>
      <c r="BYH40" s="3327"/>
      <c r="BYI40" s="3327"/>
      <c r="BYJ40" s="3327"/>
      <c r="BYK40" s="3327"/>
      <c r="BYL40" s="3327"/>
      <c r="BYM40" s="3327"/>
      <c r="BYN40" s="3327"/>
      <c r="BYO40" s="3327"/>
      <c r="BYP40" s="3327"/>
      <c r="BYQ40" s="3327"/>
      <c r="BYR40" s="3327"/>
      <c r="BYS40" s="3327"/>
      <c r="BYT40" s="3327"/>
      <c r="BYU40" s="3327"/>
      <c r="BYV40" s="3327"/>
      <c r="BYW40" s="3327"/>
      <c r="BYX40" s="3327"/>
      <c r="BYY40" s="3327"/>
      <c r="BYZ40" s="3327"/>
      <c r="BZA40" s="3327"/>
      <c r="BZB40" s="3327"/>
      <c r="BZC40" s="3327"/>
      <c r="BZD40" s="3327"/>
      <c r="BZE40" s="3327"/>
      <c r="BZF40" s="3327"/>
      <c r="BZG40" s="3327"/>
      <c r="BZH40" s="3327"/>
      <c r="BZI40" s="3327"/>
      <c r="BZJ40" s="3327"/>
      <c r="BZK40" s="3327"/>
      <c r="BZL40" s="3327"/>
      <c r="BZM40" s="3327"/>
      <c r="BZN40" s="3327"/>
      <c r="BZO40" s="3327"/>
      <c r="BZP40" s="3327"/>
      <c r="BZQ40" s="3327"/>
      <c r="BZR40" s="3327"/>
      <c r="BZS40" s="3327"/>
      <c r="BZT40" s="3327"/>
      <c r="BZU40" s="3327"/>
      <c r="BZV40" s="3327"/>
      <c r="BZW40" s="3327"/>
      <c r="BZX40" s="3327"/>
      <c r="BZY40" s="3327"/>
      <c r="BZZ40" s="3327"/>
      <c r="CAA40" s="3327"/>
      <c r="CAB40" s="3327"/>
      <c r="CAC40" s="3327"/>
      <c r="CAD40" s="3327"/>
      <c r="CAE40" s="3327"/>
      <c r="CAF40" s="3327"/>
      <c r="CAG40" s="3327"/>
      <c r="CAH40" s="3327"/>
      <c r="CAI40" s="3327"/>
      <c r="CAJ40" s="3327"/>
      <c r="CAK40" s="3327"/>
      <c r="CAL40" s="3327"/>
      <c r="CAM40" s="3327"/>
      <c r="CAN40" s="3327"/>
      <c r="CAO40" s="3327"/>
      <c r="CAP40" s="3327"/>
      <c r="CAQ40" s="3327"/>
      <c r="CAR40" s="3327"/>
      <c r="CAS40" s="3327"/>
      <c r="CAT40" s="3327"/>
      <c r="CAU40" s="3327"/>
      <c r="CAV40" s="3327"/>
      <c r="CAW40" s="3327"/>
      <c r="CAX40" s="3327"/>
      <c r="CAY40" s="3327"/>
      <c r="CAZ40" s="3327"/>
      <c r="CBA40" s="3327"/>
      <c r="CBB40" s="3327"/>
      <c r="CBC40" s="3327"/>
      <c r="CBD40" s="3327"/>
      <c r="CBE40" s="3327"/>
      <c r="CBF40" s="3327"/>
      <c r="CBG40" s="3327"/>
      <c r="CBH40" s="3327"/>
      <c r="CBI40" s="3327"/>
      <c r="CBJ40" s="3327"/>
      <c r="CBK40" s="3327"/>
      <c r="CBL40" s="3327"/>
      <c r="CBM40" s="3327"/>
      <c r="CBN40" s="3327"/>
      <c r="CBO40" s="3327"/>
      <c r="CBP40" s="3327"/>
      <c r="CBQ40" s="3327"/>
      <c r="CBR40" s="3327"/>
      <c r="CBS40" s="3327"/>
      <c r="CBT40" s="3327"/>
      <c r="CBU40" s="3327"/>
      <c r="CBV40" s="3327"/>
      <c r="CBW40" s="3327"/>
      <c r="CBX40" s="3327"/>
      <c r="CBY40" s="3327"/>
      <c r="CBZ40" s="3327"/>
      <c r="CCA40" s="3327"/>
      <c r="CCB40" s="3327"/>
      <c r="CCC40" s="3327"/>
      <c r="CCD40" s="3327"/>
      <c r="CCE40" s="3327"/>
      <c r="CCF40" s="3327"/>
      <c r="CCG40" s="3327"/>
      <c r="CCH40" s="3327"/>
      <c r="CCI40" s="3327"/>
      <c r="CCJ40" s="3327"/>
      <c r="CCK40" s="3327"/>
      <c r="CCL40" s="3327"/>
      <c r="CCM40" s="3327"/>
      <c r="CCN40" s="3327"/>
      <c r="CCO40" s="3327"/>
      <c r="CCP40" s="3327"/>
      <c r="CCQ40" s="3327"/>
      <c r="CCR40" s="3327"/>
      <c r="CCS40" s="3327"/>
      <c r="CCT40" s="3327"/>
      <c r="CCU40" s="3327"/>
      <c r="CCV40" s="3327"/>
      <c r="CCW40" s="3327"/>
      <c r="CCX40" s="3327"/>
      <c r="CCY40" s="3327"/>
      <c r="CCZ40" s="3327"/>
      <c r="CDA40" s="3327"/>
      <c r="CDB40" s="3327"/>
      <c r="CDC40" s="3327"/>
      <c r="CDD40" s="3327"/>
      <c r="CDE40" s="3327"/>
      <c r="CDF40" s="3327"/>
      <c r="CDG40" s="3327"/>
      <c r="CDH40" s="3327"/>
      <c r="CDI40" s="3327"/>
      <c r="CDJ40" s="3327"/>
      <c r="CDK40" s="3327"/>
      <c r="CDL40" s="3327"/>
      <c r="CDM40" s="3327"/>
      <c r="CDN40" s="3327"/>
      <c r="CDO40" s="3327"/>
      <c r="CDP40" s="3327"/>
      <c r="CDQ40" s="3327"/>
      <c r="CDR40" s="3327"/>
      <c r="CDS40" s="3327"/>
      <c r="CDT40" s="3327"/>
      <c r="CDU40" s="3327"/>
      <c r="CDV40" s="3327"/>
      <c r="CDW40" s="3327"/>
      <c r="CDX40" s="3327"/>
      <c r="CDY40" s="3327"/>
      <c r="CDZ40" s="3327"/>
      <c r="CEA40" s="3327"/>
      <c r="CEB40" s="3327"/>
      <c r="CEC40" s="3327"/>
      <c r="CED40" s="3327"/>
      <c r="CEE40" s="3327"/>
      <c r="CEF40" s="3327"/>
      <c r="CEG40" s="3327"/>
      <c r="CEH40" s="3327"/>
      <c r="CEI40" s="3327"/>
      <c r="CEJ40" s="3327"/>
      <c r="CEK40" s="3327"/>
      <c r="CEL40" s="3327"/>
      <c r="CEM40" s="3327"/>
      <c r="CEN40" s="3327"/>
      <c r="CEO40" s="3327"/>
      <c r="CEP40" s="3327"/>
      <c r="CEQ40" s="3327"/>
      <c r="CER40" s="3327"/>
      <c r="CES40" s="3327"/>
      <c r="CET40" s="3327"/>
      <c r="CEU40" s="3327"/>
      <c r="CEV40" s="3327"/>
      <c r="CEW40" s="3327"/>
      <c r="CEX40" s="3327"/>
      <c r="CEY40" s="3327"/>
      <c r="CEZ40" s="3327"/>
      <c r="CFA40" s="3327"/>
      <c r="CFB40" s="3327"/>
      <c r="CFC40" s="3327"/>
      <c r="CFD40" s="3327"/>
      <c r="CFE40" s="3327"/>
      <c r="CFF40" s="3327"/>
      <c r="CFG40" s="3327"/>
      <c r="CFH40" s="3327"/>
      <c r="CFI40" s="3327"/>
      <c r="CFJ40" s="3327"/>
      <c r="CFK40" s="3327"/>
      <c r="CFL40" s="3327"/>
      <c r="CFM40" s="3327"/>
      <c r="CFN40" s="3327"/>
      <c r="CFO40" s="3327"/>
      <c r="CFP40" s="3327"/>
      <c r="CFQ40" s="3327"/>
      <c r="CFR40" s="3327"/>
      <c r="CFS40" s="3327"/>
      <c r="CFT40" s="3327"/>
      <c r="CFU40" s="3327"/>
      <c r="CFV40" s="3327"/>
      <c r="CFW40" s="3327"/>
      <c r="CFX40" s="3327"/>
      <c r="CFY40" s="3327"/>
      <c r="CFZ40" s="3327"/>
      <c r="CGA40" s="3327"/>
      <c r="CGB40" s="3327"/>
      <c r="CGC40" s="3327"/>
      <c r="CGD40" s="3327"/>
      <c r="CGE40" s="3327"/>
      <c r="CGF40" s="3327"/>
      <c r="CGG40" s="3327"/>
      <c r="CGH40" s="3327"/>
      <c r="CGI40" s="3327"/>
      <c r="CGJ40" s="3327"/>
      <c r="CGK40" s="3327"/>
      <c r="CGL40" s="3327"/>
      <c r="CGM40" s="3327"/>
      <c r="CGN40" s="3327"/>
      <c r="CGO40" s="3327"/>
      <c r="CGP40" s="3327"/>
      <c r="CGQ40" s="3327"/>
      <c r="CGR40" s="3327"/>
      <c r="CGS40" s="3327"/>
      <c r="CGT40" s="3327"/>
      <c r="CGU40" s="3327"/>
      <c r="CGV40" s="3327"/>
      <c r="CGW40" s="3327"/>
      <c r="CGX40" s="3327"/>
      <c r="CGY40" s="3327"/>
      <c r="CGZ40" s="3327"/>
      <c r="CHA40" s="3327"/>
      <c r="CHB40" s="3327"/>
      <c r="CHC40" s="3327"/>
      <c r="CHD40" s="3327"/>
      <c r="CHE40" s="3327"/>
      <c r="CHF40" s="3327"/>
      <c r="CHG40" s="3327"/>
      <c r="CHH40" s="3327"/>
      <c r="CHI40" s="3327"/>
      <c r="CHJ40" s="3327"/>
      <c r="CHK40" s="3327"/>
      <c r="CHL40" s="3327"/>
      <c r="CHM40" s="3327"/>
      <c r="CHN40" s="3327"/>
      <c r="CHO40" s="3327"/>
      <c r="CHP40" s="3327"/>
      <c r="CHQ40" s="3327"/>
      <c r="CHR40" s="3327"/>
      <c r="CHS40" s="3327"/>
      <c r="CHT40" s="3327"/>
      <c r="CHU40" s="3327"/>
      <c r="CHV40" s="3327"/>
      <c r="CHW40" s="3327"/>
      <c r="CHX40" s="3327"/>
      <c r="CHY40" s="3327"/>
      <c r="CHZ40" s="3327"/>
      <c r="CIA40" s="3327"/>
      <c r="CIB40" s="3327"/>
      <c r="CIC40" s="3327"/>
      <c r="CID40" s="3327"/>
      <c r="CIE40" s="3327"/>
      <c r="CIF40" s="3327"/>
      <c r="CIG40" s="3327"/>
      <c r="CIH40" s="3327"/>
      <c r="CII40" s="3327"/>
      <c r="CIJ40" s="3327"/>
      <c r="CIK40" s="3327"/>
      <c r="CIL40" s="3327"/>
      <c r="CIM40" s="3327"/>
      <c r="CIN40" s="3327"/>
      <c r="CIO40" s="3327"/>
      <c r="CIP40" s="3327"/>
      <c r="CIQ40" s="3327"/>
      <c r="CIR40" s="3327"/>
      <c r="CIS40" s="3327"/>
      <c r="CIT40" s="3327"/>
      <c r="CIU40" s="3327"/>
      <c r="CIV40" s="3327"/>
      <c r="CIW40" s="3327"/>
      <c r="CIX40" s="3327"/>
      <c r="CIY40" s="3327"/>
      <c r="CIZ40" s="3327"/>
      <c r="CJA40" s="3327"/>
      <c r="CJB40" s="3327"/>
      <c r="CJC40" s="3327"/>
      <c r="CJD40" s="3327"/>
      <c r="CJE40" s="3327"/>
      <c r="CJF40" s="3327"/>
      <c r="CJG40" s="3327"/>
      <c r="CJH40" s="3327"/>
      <c r="CJI40" s="3327"/>
      <c r="CJJ40" s="3327"/>
      <c r="CJK40" s="3327"/>
      <c r="CJL40" s="3327"/>
      <c r="CJM40" s="3327"/>
      <c r="CJN40" s="3327"/>
      <c r="CJO40" s="3327"/>
      <c r="CJP40" s="3327"/>
      <c r="CJQ40" s="3327"/>
      <c r="CJR40" s="3327"/>
      <c r="CJS40" s="3327"/>
      <c r="CJT40" s="3327"/>
      <c r="CJU40" s="3327"/>
      <c r="CJV40" s="3327"/>
      <c r="CJW40" s="3327"/>
      <c r="CJX40" s="3327"/>
      <c r="CJY40" s="3327"/>
      <c r="CJZ40" s="3327"/>
      <c r="CKA40" s="3327"/>
      <c r="CKB40" s="3327"/>
      <c r="CKC40" s="3327"/>
      <c r="CKD40" s="3327"/>
      <c r="CKE40" s="3327"/>
      <c r="CKF40" s="3327"/>
      <c r="CKG40" s="3327"/>
      <c r="CKH40" s="3327"/>
      <c r="CKI40" s="3327"/>
      <c r="CKJ40" s="3327"/>
      <c r="CKK40" s="3327"/>
      <c r="CKL40" s="3327"/>
      <c r="CKM40" s="3327"/>
      <c r="CKN40" s="3327"/>
      <c r="CKO40" s="3327"/>
      <c r="CKP40" s="3327"/>
      <c r="CKQ40" s="3327"/>
      <c r="CKR40" s="3327"/>
      <c r="CKS40" s="3327"/>
      <c r="CKT40" s="3327"/>
      <c r="CKU40" s="3327"/>
      <c r="CKV40" s="3327"/>
      <c r="CKW40" s="3327"/>
      <c r="CKX40" s="3327"/>
      <c r="CKY40" s="3327"/>
      <c r="CKZ40" s="3327"/>
      <c r="CLA40" s="3327"/>
      <c r="CLB40" s="3327"/>
      <c r="CLC40" s="3327"/>
      <c r="CLD40" s="3327"/>
      <c r="CLE40" s="3327"/>
      <c r="CLF40" s="3327"/>
      <c r="CLG40" s="3327"/>
      <c r="CLH40" s="3327"/>
      <c r="CLI40" s="3327"/>
      <c r="CLJ40" s="3327"/>
      <c r="CLK40" s="3327"/>
      <c r="CLL40" s="3327"/>
      <c r="CLM40" s="3327"/>
      <c r="CLN40" s="3327"/>
      <c r="CLO40" s="3327"/>
      <c r="CLP40" s="3327"/>
      <c r="CLQ40" s="3327"/>
      <c r="CLR40" s="3327"/>
      <c r="CLS40" s="3327"/>
      <c r="CLT40" s="3327"/>
      <c r="CLU40" s="3327"/>
      <c r="CLV40" s="3327"/>
      <c r="CLW40" s="3327"/>
      <c r="CLX40" s="3327"/>
      <c r="CLY40" s="3327"/>
      <c r="CLZ40" s="3327"/>
      <c r="CMA40" s="3327"/>
      <c r="CMB40" s="3327"/>
      <c r="CMC40" s="3327"/>
      <c r="CMD40" s="3327"/>
      <c r="CME40" s="3327"/>
      <c r="CMF40" s="3327"/>
      <c r="CMG40" s="3327"/>
      <c r="CMH40" s="3327"/>
      <c r="CMI40" s="3327"/>
      <c r="CMJ40" s="3327"/>
      <c r="CMK40" s="3327"/>
      <c r="CML40" s="3327"/>
      <c r="CMM40" s="3327"/>
      <c r="CMN40" s="3327"/>
      <c r="CMO40" s="3327"/>
      <c r="CMP40" s="3327"/>
      <c r="CMQ40" s="3327"/>
      <c r="CMR40" s="3327"/>
      <c r="CMS40" s="3327"/>
      <c r="CMT40" s="3327"/>
      <c r="CMU40" s="3327"/>
      <c r="CMV40" s="3327"/>
      <c r="CMW40" s="3327"/>
      <c r="CMX40" s="3327"/>
      <c r="CMY40" s="3327"/>
      <c r="CMZ40" s="3327"/>
      <c r="CNA40" s="3327"/>
      <c r="CNB40" s="3327"/>
      <c r="CNC40" s="3327"/>
      <c r="CND40" s="3327"/>
      <c r="CNE40" s="3327"/>
      <c r="CNF40" s="3327"/>
      <c r="CNG40" s="3327"/>
      <c r="CNH40" s="3327"/>
      <c r="CNI40" s="3327"/>
      <c r="CNJ40" s="3327"/>
      <c r="CNK40" s="3327"/>
      <c r="CNL40" s="3327"/>
      <c r="CNM40" s="3327"/>
      <c r="CNN40" s="3327"/>
      <c r="CNO40" s="3327"/>
      <c r="CNP40" s="3327"/>
      <c r="CNQ40" s="3327"/>
      <c r="CNR40" s="3327"/>
      <c r="CNS40" s="3327"/>
      <c r="CNT40" s="3327"/>
      <c r="CNU40" s="3327"/>
      <c r="CNV40" s="3327"/>
      <c r="CNW40" s="3327"/>
      <c r="CNX40" s="3327"/>
      <c r="CNY40" s="3327"/>
      <c r="CNZ40" s="3327"/>
      <c r="COA40" s="3327"/>
      <c r="COB40" s="3327"/>
      <c r="COC40" s="3327"/>
      <c r="COD40" s="3327"/>
      <c r="COE40" s="3327"/>
      <c r="COF40" s="3327"/>
      <c r="COG40" s="3327"/>
      <c r="COH40" s="3327"/>
      <c r="COI40" s="3327"/>
      <c r="COJ40" s="3327"/>
      <c r="COK40" s="3327"/>
      <c r="COL40" s="3327"/>
      <c r="COM40" s="3327"/>
      <c r="CON40" s="3327"/>
      <c r="COO40" s="3327"/>
      <c r="COP40" s="3327"/>
      <c r="COQ40" s="3327"/>
      <c r="COR40" s="3327"/>
      <c r="COS40" s="3327"/>
      <c r="COT40" s="3327"/>
      <c r="COU40" s="3327"/>
      <c r="COV40" s="3327"/>
      <c r="COW40" s="3327"/>
      <c r="COX40" s="3327"/>
      <c r="COY40" s="3327"/>
      <c r="COZ40" s="3327"/>
      <c r="CPA40" s="3327"/>
      <c r="CPB40" s="3327"/>
      <c r="CPC40" s="3327"/>
      <c r="CPD40" s="3327"/>
      <c r="CPE40" s="3327"/>
      <c r="CPF40" s="3327"/>
      <c r="CPG40" s="3327"/>
      <c r="CPH40" s="3327"/>
      <c r="CPI40" s="3327"/>
      <c r="CPJ40" s="3327"/>
      <c r="CPK40" s="3327"/>
      <c r="CPL40" s="3327"/>
      <c r="CPM40" s="3327"/>
      <c r="CPN40" s="3327"/>
      <c r="CPO40" s="3327"/>
      <c r="CPP40" s="3327"/>
      <c r="CPQ40" s="3327"/>
      <c r="CPR40" s="3327"/>
      <c r="CPS40" s="3327"/>
      <c r="CPT40" s="3327"/>
      <c r="CPU40" s="3327"/>
      <c r="CPV40" s="3327"/>
      <c r="CPW40" s="3327"/>
      <c r="CPX40" s="3327"/>
      <c r="CPY40" s="3327"/>
      <c r="CPZ40" s="3327"/>
      <c r="CQA40" s="3327"/>
      <c r="CQB40" s="3327"/>
      <c r="CQC40" s="3327"/>
      <c r="CQD40" s="3327"/>
      <c r="CQE40" s="3327"/>
      <c r="CQF40" s="3327"/>
      <c r="CQG40" s="3327"/>
      <c r="CQH40" s="3327"/>
      <c r="CQI40" s="3327"/>
      <c r="CQJ40" s="3327"/>
      <c r="CQK40" s="3327"/>
      <c r="CQL40" s="3327"/>
      <c r="CQM40" s="3327"/>
      <c r="CQN40" s="3327"/>
      <c r="CQO40" s="3327"/>
      <c r="CQP40" s="3327"/>
      <c r="CQQ40" s="3327"/>
      <c r="CQR40" s="3327"/>
      <c r="CQS40" s="3327"/>
      <c r="CQT40" s="3327"/>
      <c r="CQU40" s="3327"/>
      <c r="CQV40" s="3327"/>
      <c r="CQW40" s="3327"/>
      <c r="CQX40" s="3327"/>
      <c r="CQY40" s="3327"/>
      <c r="CQZ40" s="3327"/>
      <c r="CRA40" s="3327"/>
      <c r="CRB40" s="3327"/>
      <c r="CRC40" s="3327"/>
      <c r="CRD40" s="3327"/>
      <c r="CRE40" s="3327"/>
      <c r="CRF40" s="3327"/>
      <c r="CRG40" s="3327"/>
      <c r="CRH40" s="3327"/>
      <c r="CRI40" s="3327"/>
      <c r="CRJ40" s="3327"/>
      <c r="CRK40" s="3327"/>
      <c r="CRL40" s="3327"/>
      <c r="CRM40" s="3327"/>
      <c r="CRN40" s="3327"/>
      <c r="CRO40" s="3327"/>
      <c r="CRP40" s="3327"/>
      <c r="CRQ40" s="3327"/>
      <c r="CRR40" s="3327"/>
      <c r="CRS40" s="3327"/>
      <c r="CRT40" s="3327"/>
      <c r="CRU40" s="3327"/>
      <c r="CRV40" s="3327"/>
      <c r="CRW40" s="3327"/>
      <c r="CRX40" s="3327"/>
      <c r="CRY40" s="3327"/>
      <c r="CRZ40" s="3327"/>
      <c r="CSA40" s="3327"/>
      <c r="CSB40" s="3327"/>
      <c r="CSC40" s="3327"/>
      <c r="CSD40" s="3327"/>
      <c r="CSE40" s="3327"/>
      <c r="CSF40" s="3327"/>
      <c r="CSG40" s="3327"/>
      <c r="CSH40" s="3327"/>
      <c r="CSI40" s="3327"/>
      <c r="CSJ40" s="3327"/>
      <c r="CSK40" s="3327"/>
      <c r="CSL40" s="3327"/>
      <c r="CSM40" s="3327"/>
      <c r="CSN40" s="3327"/>
      <c r="CSO40" s="3327"/>
      <c r="CSP40" s="3327"/>
      <c r="CSQ40" s="3327"/>
      <c r="CSR40" s="3327"/>
      <c r="CSS40" s="3327"/>
      <c r="CST40" s="3327"/>
      <c r="CSU40" s="3327"/>
      <c r="CSV40" s="3327"/>
      <c r="CSW40" s="3327"/>
      <c r="CSX40" s="3327"/>
      <c r="CSY40" s="3327"/>
      <c r="CSZ40" s="3327"/>
      <c r="CTA40" s="3327"/>
      <c r="CTB40" s="3327"/>
      <c r="CTC40" s="3327"/>
      <c r="CTD40" s="3327"/>
      <c r="CTE40" s="3327"/>
      <c r="CTF40" s="3327"/>
      <c r="CTG40" s="3327"/>
      <c r="CTH40" s="3327"/>
      <c r="CTI40" s="3327"/>
      <c r="CTJ40" s="3327"/>
      <c r="CTK40" s="3327"/>
      <c r="CTL40" s="3327"/>
      <c r="CTM40" s="3327"/>
      <c r="CTN40" s="3327"/>
      <c r="CTO40" s="3327"/>
      <c r="CTP40" s="3327"/>
      <c r="CTQ40" s="3327"/>
      <c r="CTR40" s="3327"/>
      <c r="CTS40" s="3327"/>
      <c r="CTT40" s="3327"/>
      <c r="CTU40" s="3327"/>
      <c r="CTV40" s="3327"/>
      <c r="CTW40" s="3327"/>
      <c r="CTX40" s="3327"/>
      <c r="CTY40" s="3327"/>
      <c r="CTZ40" s="3327"/>
      <c r="CUA40" s="3327"/>
      <c r="CUB40" s="3327"/>
      <c r="CUC40" s="3327"/>
      <c r="CUD40" s="3327"/>
      <c r="CUE40" s="3327"/>
      <c r="CUF40" s="3327"/>
      <c r="CUG40" s="3327"/>
      <c r="CUH40" s="3327"/>
      <c r="CUI40" s="3327"/>
      <c r="CUJ40" s="3327"/>
      <c r="CUK40" s="3327"/>
      <c r="CUL40" s="3327"/>
      <c r="CUM40" s="3327"/>
      <c r="CUN40" s="3327"/>
      <c r="CUO40" s="3327"/>
      <c r="CUP40" s="3327"/>
      <c r="CUQ40" s="3327"/>
      <c r="CUR40" s="3327"/>
      <c r="CUS40" s="3327"/>
      <c r="CUT40" s="3327"/>
      <c r="CUU40" s="3327"/>
      <c r="CUV40" s="3327"/>
      <c r="CUW40" s="3327"/>
      <c r="CUX40" s="3327"/>
      <c r="CUY40" s="3327"/>
      <c r="CUZ40" s="3327"/>
      <c r="CVA40" s="3327"/>
      <c r="CVB40" s="3327"/>
      <c r="CVC40" s="3327"/>
      <c r="CVD40" s="3327"/>
      <c r="CVE40" s="3327"/>
      <c r="CVF40" s="3327"/>
      <c r="CVG40" s="3327"/>
      <c r="CVH40" s="3327"/>
      <c r="CVI40" s="3327"/>
      <c r="CVJ40" s="3327"/>
      <c r="CVK40" s="3327"/>
      <c r="CVL40" s="3327"/>
      <c r="CVM40" s="3327"/>
      <c r="CVN40" s="3327"/>
      <c r="CVO40" s="3327"/>
      <c r="CVP40" s="3327"/>
      <c r="CVQ40" s="3327"/>
      <c r="CVR40" s="3327"/>
      <c r="CVS40" s="3327"/>
      <c r="CVT40" s="3327"/>
      <c r="CVU40" s="3327"/>
      <c r="CVV40" s="3327"/>
      <c r="CVW40" s="3327"/>
      <c r="CVX40" s="3327"/>
      <c r="CVY40" s="3327"/>
      <c r="CVZ40" s="3327"/>
      <c r="CWA40" s="3327"/>
      <c r="CWB40" s="3327"/>
      <c r="CWC40" s="3327"/>
      <c r="CWD40" s="3327"/>
      <c r="CWE40" s="3327"/>
      <c r="CWF40" s="3327"/>
      <c r="CWG40" s="3327"/>
      <c r="CWH40" s="3327"/>
      <c r="CWI40" s="3327"/>
      <c r="CWJ40" s="3327"/>
      <c r="CWK40" s="3327"/>
      <c r="CWL40" s="3327"/>
      <c r="CWM40" s="3327"/>
      <c r="CWN40" s="3327"/>
      <c r="CWO40" s="3327"/>
      <c r="CWP40" s="3327"/>
      <c r="CWQ40" s="3327"/>
      <c r="CWR40" s="3327"/>
      <c r="CWS40" s="3327"/>
      <c r="CWT40" s="3327"/>
      <c r="CWU40" s="3327"/>
      <c r="CWV40" s="3327"/>
      <c r="CWW40" s="3327"/>
      <c r="CWX40" s="3327"/>
      <c r="CWY40" s="3327"/>
      <c r="CWZ40" s="3327"/>
      <c r="CXA40" s="3327"/>
      <c r="CXB40" s="3327"/>
      <c r="CXC40" s="3327"/>
      <c r="CXD40" s="3327"/>
      <c r="CXE40" s="3327"/>
      <c r="CXF40" s="3327"/>
      <c r="CXG40" s="3327"/>
      <c r="CXH40" s="3327"/>
      <c r="CXI40" s="3327"/>
      <c r="CXJ40" s="3327"/>
      <c r="CXK40" s="3327"/>
      <c r="CXL40" s="3327"/>
      <c r="CXM40" s="3327"/>
      <c r="CXN40" s="3327"/>
      <c r="CXO40" s="3327"/>
      <c r="CXP40" s="3327"/>
      <c r="CXQ40" s="3327"/>
      <c r="CXR40" s="3327"/>
      <c r="CXS40" s="3327"/>
      <c r="CXT40" s="3327"/>
      <c r="CXU40" s="3327"/>
      <c r="CXV40" s="3327"/>
      <c r="CXW40" s="3327"/>
      <c r="CXX40" s="3327"/>
      <c r="CXY40" s="3327"/>
      <c r="CXZ40" s="3327"/>
      <c r="CYA40" s="3327"/>
      <c r="CYB40" s="3327"/>
      <c r="CYC40" s="3327"/>
      <c r="CYD40" s="3327"/>
      <c r="CYE40" s="3327"/>
      <c r="CYF40" s="3327"/>
      <c r="CYG40" s="3327"/>
      <c r="CYH40" s="3327"/>
      <c r="CYI40" s="3327"/>
      <c r="CYJ40" s="3327"/>
      <c r="CYK40" s="3327"/>
      <c r="CYL40" s="3327"/>
      <c r="CYM40" s="3327"/>
      <c r="CYN40" s="3327"/>
      <c r="CYO40" s="3327"/>
      <c r="CYP40" s="3327"/>
      <c r="CYQ40" s="3327"/>
      <c r="CYR40" s="3327"/>
      <c r="CYS40" s="3327"/>
      <c r="CYT40" s="3327"/>
      <c r="CYU40" s="3327"/>
      <c r="CYV40" s="3327"/>
      <c r="CYW40" s="3327"/>
      <c r="CYX40" s="3327"/>
      <c r="CYY40" s="3327"/>
      <c r="CYZ40" s="3327"/>
      <c r="CZA40" s="3327"/>
      <c r="CZB40" s="3327"/>
      <c r="CZC40" s="3327"/>
      <c r="CZD40" s="3327"/>
      <c r="CZE40" s="3327"/>
      <c r="CZF40" s="3327"/>
      <c r="CZG40" s="3327"/>
      <c r="CZH40" s="3327"/>
      <c r="CZI40" s="3327"/>
      <c r="CZJ40" s="3327"/>
      <c r="CZK40" s="3327"/>
      <c r="CZL40" s="3327"/>
      <c r="CZM40" s="3327"/>
      <c r="CZN40" s="3327"/>
      <c r="CZO40" s="3327"/>
      <c r="CZP40" s="3327"/>
      <c r="CZQ40" s="3327"/>
      <c r="CZR40" s="3327"/>
      <c r="CZS40" s="3327"/>
      <c r="CZT40" s="3327"/>
      <c r="CZU40" s="3327"/>
      <c r="CZV40" s="3327"/>
      <c r="CZW40" s="3327"/>
      <c r="CZX40" s="3327"/>
      <c r="CZY40" s="3327"/>
      <c r="CZZ40" s="3327"/>
      <c r="DAA40" s="3327"/>
      <c r="DAB40" s="3327"/>
      <c r="DAC40" s="3327"/>
      <c r="DAD40" s="3327"/>
      <c r="DAE40" s="3327"/>
      <c r="DAF40" s="3327"/>
      <c r="DAG40" s="3327"/>
      <c r="DAH40" s="3327"/>
      <c r="DAI40" s="3327"/>
      <c r="DAJ40" s="3327"/>
      <c r="DAK40" s="3327"/>
      <c r="DAL40" s="3327"/>
      <c r="DAM40" s="3327"/>
      <c r="DAN40" s="3327"/>
      <c r="DAO40" s="3327"/>
      <c r="DAP40" s="3327"/>
      <c r="DAQ40" s="3327"/>
      <c r="DAR40" s="3327"/>
      <c r="DAS40" s="3327"/>
      <c r="DAT40" s="3327"/>
      <c r="DAU40" s="3327"/>
      <c r="DAV40" s="3327"/>
      <c r="DAW40" s="3327"/>
      <c r="DAX40" s="3327"/>
      <c r="DAY40" s="3327"/>
      <c r="DAZ40" s="3327"/>
      <c r="DBA40" s="3327"/>
      <c r="DBB40" s="3327"/>
      <c r="DBC40" s="3327"/>
      <c r="DBD40" s="3327"/>
      <c r="DBE40" s="3327"/>
      <c r="DBF40" s="3327"/>
      <c r="DBG40" s="3327"/>
      <c r="DBH40" s="3327"/>
      <c r="DBI40" s="3327"/>
      <c r="DBJ40" s="3327"/>
      <c r="DBK40" s="3327"/>
      <c r="DBL40" s="3327"/>
      <c r="DBM40" s="3327"/>
      <c r="DBN40" s="3327"/>
      <c r="DBO40" s="3327"/>
      <c r="DBP40" s="3327"/>
      <c r="DBQ40" s="3327"/>
      <c r="DBR40" s="3327"/>
      <c r="DBS40" s="3327"/>
      <c r="DBT40" s="3327"/>
      <c r="DBU40" s="3327"/>
      <c r="DBV40" s="3327"/>
      <c r="DBW40" s="3327"/>
      <c r="DBX40" s="3327"/>
      <c r="DBY40" s="3327"/>
      <c r="DBZ40" s="3327"/>
      <c r="DCA40" s="3327"/>
      <c r="DCB40" s="3327"/>
      <c r="DCC40" s="3327"/>
      <c r="DCD40" s="3327"/>
      <c r="DCE40" s="3327"/>
      <c r="DCF40" s="3327"/>
      <c r="DCG40" s="3327"/>
      <c r="DCH40" s="3327"/>
      <c r="DCI40" s="3327"/>
      <c r="DCJ40" s="3327"/>
      <c r="DCK40" s="3327"/>
      <c r="DCL40" s="3327"/>
      <c r="DCM40" s="3327"/>
      <c r="DCN40" s="3327"/>
      <c r="DCO40" s="3327"/>
      <c r="DCP40" s="3327"/>
      <c r="DCQ40" s="3327"/>
      <c r="DCR40" s="3327"/>
      <c r="DCS40" s="3327"/>
      <c r="DCT40" s="3327"/>
      <c r="DCU40" s="3327"/>
      <c r="DCV40" s="3327"/>
      <c r="DCW40" s="3327"/>
      <c r="DCX40" s="3327"/>
      <c r="DCY40" s="3327"/>
      <c r="DCZ40" s="3327"/>
      <c r="DDA40" s="3327"/>
      <c r="DDB40" s="3327"/>
      <c r="DDC40" s="3327"/>
      <c r="DDD40" s="3327"/>
      <c r="DDE40" s="3327"/>
      <c r="DDF40" s="3327"/>
      <c r="DDG40" s="3327"/>
      <c r="DDH40" s="3327"/>
      <c r="DDI40" s="3327"/>
      <c r="DDJ40" s="3327"/>
      <c r="DDK40" s="3327"/>
      <c r="DDL40" s="3327"/>
      <c r="DDM40" s="3327"/>
      <c r="DDN40" s="3327"/>
      <c r="DDO40" s="3327"/>
      <c r="DDP40" s="3327"/>
      <c r="DDQ40" s="3327"/>
      <c r="DDR40" s="3327"/>
      <c r="DDS40" s="3327"/>
      <c r="DDT40" s="3327"/>
      <c r="DDU40" s="3327"/>
      <c r="DDV40" s="3327"/>
      <c r="DDW40" s="3327"/>
      <c r="DDX40" s="3327"/>
      <c r="DDY40" s="3327"/>
      <c r="DDZ40" s="3327"/>
      <c r="DEA40" s="3327"/>
      <c r="DEB40" s="3327"/>
      <c r="DEC40" s="3327"/>
      <c r="DED40" s="3327"/>
      <c r="DEE40" s="3327"/>
      <c r="DEF40" s="3327"/>
      <c r="DEG40" s="3327"/>
      <c r="DEH40" s="3327"/>
      <c r="DEI40" s="3327"/>
      <c r="DEJ40" s="3327"/>
      <c r="DEK40" s="3327"/>
      <c r="DEL40" s="3327"/>
      <c r="DEM40" s="3327"/>
      <c r="DEN40" s="3327"/>
      <c r="DEO40" s="3327"/>
      <c r="DEP40" s="3327"/>
      <c r="DEQ40" s="3327"/>
      <c r="DER40" s="3327"/>
      <c r="DES40" s="3327"/>
      <c r="DET40" s="3327"/>
      <c r="DEU40" s="3327"/>
      <c r="DEV40" s="3327"/>
      <c r="DEW40" s="3327"/>
      <c r="DEX40" s="3327"/>
      <c r="DEY40" s="3327"/>
      <c r="DEZ40" s="3327"/>
      <c r="DFA40" s="3327"/>
      <c r="DFB40" s="3327"/>
      <c r="DFC40" s="3327"/>
      <c r="DFD40" s="3327"/>
      <c r="DFE40" s="3327"/>
      <c r="DFF40" s="3327"/>
      <c r="DFG40" s="3327"/>
      <c r="DFH40" s="3327"/>
      <c r="DFI40" s="3327"/>
      <c r="DFJ40" s="3327"/>
      <c r="DFK40" s="3327"/>
      <c r="DFL40" s="3327"/>
      <c r="DFM40" s="3327"/>
      <c r="DFN40" s="3327"/>
      <c r="DFO40" s="3327"/>
      <c r="DFP40" s="3327"/>
      <c r="DFQ40" s="3327"/>
      <c r="DFR40" s="3327"/>
      <c r="DFS40" s="3327"/>
      <c r="DFT40" s="3327"/>
      <c r="DFU40" s="3327"/>
      <c r="DFV40" s="3327"/>
      <c r="DFW40" s="3327"/>
      <c r="DFX40" s="3327"/>
      <c r="DFY40" s="3327"/>
      <c r="DFZ40" s="3327"/>
      <c r="DGA40" s="3327"/>
      <c r="DGB40" s="3327"/>
      <c r="DGC40" s="3327"/>
      <c r="DGD40" s="3327"/>
      <c r="DGE40" s="3327"/>
      <c r="DGF40" s="3327"/>
      <c r="DGG40" s="3327"/>
      <c r="DGH40" s="3327"/>
      <c r="DGI40" s="3327"/>
      <c r="DGJ40" s="3327"/>
      <c r="DGK40" s="3327"/>
      <c r="DGL40" s="3327"/>
      <c r="DGM40" s="3327"/>
      <c r="DGN40" s="3327"/>
      <c r="DGO40" s="3327"/>
      <c r="DGP40" s="3327"/>
      <c r="DGQ40" s="3327"/>
      <c r="DGR40" s="3327"/>
      <c r="DGS40" s="3327"/>
      <c r="DGT40" s="3327"/>
      <c r="DGU40" s="3327"/>
      <c r="DGV40" s="3327"/>
      <c r="DGW40" s="3327"/>
      <c r="DGX40" s="3327"/>
      <c r="DGY40" s="3327"/>
      <c r="DGZ40" s="3327"/>
      <c r="DHA40" s="3327"/>
      <c r="DHB40" s="3327"/>
      <c r="DHC40" s="3327"/>
      <c r="DHD40" s="3327"/>
      <c r="DHE40" s="3327"/>
      <c r="DHF40" s="3327"/>
      <c r="DHG40" s="3327"/>
      <c r="DHH40" s="3327"/>
      <c r="DHI40" s="3327"/>
      <c r="DHJ40" s="3327"/>
      <c r="DHK40" s="3327"/>
      <c r="DHL40" s="3327"/>
      <c r="DHM40" s="3327"/>
      <c r="DHN40" s="3327"/>
      <c r="DHO40" s="3327"/>
      <c r="DHP40" s="3327"/>
      <c r="DHQ40" s="3327"/>
      <c r="DHR40" s="3327"/>
      <c r="DHS40" s="3327"/>
      <c r="DHT40" s="3327"/>
      <c r="DHU40" s="3327"/>
      <c r="DHV40" s="3327"/>
      <c r="DHW40" s="3327"/>
      <c r="DHX40" s="3327"/>
      <c r="DHY40" s="3327"/>
      <c r="DHZ40" s="3327"/>
      <c r="DIA40" s="3327"/>
      <c r="DIB40" s="3327"/>
      <c r="DIC40" s="3327"/>
      <c r="DID40" s="3327"/>
      <c r="DIE40" s="3327"/>
      <c r="DIF40" s="3327"/>
      <c r="DIG40" s="3327"/>
      <c r="DIH40" s="3327"/>
      <c r="DII40" s="3327"/>
      <c r="DIJ40" s="3327"/>
      <c r="DIK40" s="3327"/>
      <c r="DIL40" s="3327"/>
      <c r="DIM40" s="3327"/>
      <c r="DIN40" s="3327"/>
      <c r="DIO40" s="3327"/>
      <c r="DIP40" s="3327"/>
      <c r="DIQ40" s="3327"/>
      <c r="DIR40" s="3327"/>
      <c r="DIS40" s="3327"/>
      <c r="DIT40" s="3327"/>
      <c r="DIU40" s="3327"/>
      <c r="DIV40" s="3327"/>
      <c r="DIW40" s="3327"/>
      <c r="DIX40" s="3327"/>
      <c r="DIY40" s="3327"/>
      <c r="DIZ40" s="3327"/>
      <c r="DJA40" s="3327"/>
      <c r="DJB40" s="3327"/>
      <c r="DJC40" s="3327"/>
      <c r="DJD40" s="3327"/>
      <c r="DJE40" s="3327"/>
      <c r="DJF40" s="3327"/>
      <c r="DJG40" s="3327"/>
      <c r="DJH40" s="3327"/>
      <c r="DJI40" s="3327"/>
      <c r="DJJ40" s="3327"/>
      <c r="DJK40" s="3327"/>
      <c r="DJL40" s="3327"/>
      <c r="DJM40" s="3327"/>
      <c r="DJN40" s="3327"/>
      <c r="DJO40" s="3327"/>
      <c r="DJP40" s="3327"/>
      <c r="DJQ40" s="3327"/>
      <c r="DJR40" s="3327"/>
      <c r="DJS40" s="3327"/>
      <c r="DJT40" s="3327"/>
      <c r="DJU40" s="3327"/>
      <c r="DJV40" s="3327"/>
      <c r="DJW40" s="3327"/>
      <c r="DJX40" s="3327"/>
      <c r="DJY40" s="3327"/>
      <c r="DJZ40" s="3327"/>
      <c r="DKA40" s="3327"/>
      <c r="DKB40" s="3327"/>
      <c r="DKC40" s="3327"/>
      <c r="DKD40" s="3327"/>
      <c r="DKE40" s="3327"/>
      <c r="DKF40" s="3327"/>
      <c r="DKG40" s="3327"/>
      <c r="DKH40" s="3327"/>
      <c r="DKI40" s="3327"/>
      <c r="DKJ40" s="3327"/>
      <c r="DKK40" s="3327"/>
      <c r="DKL40" s="3327"/>
      <c r="DKM40" s="3327"/>
      <c r="DKN40" s="3327"/>
      <c r="DKO40" s="3327"/>
      <c r="DKP40" s="3327"/>
      <c r="DKQ40" s="3327"/>
      <c r="DKR40" s="3327"/>
      <c r="DKS40" s="3327"/>
      <c r="DKT40" s="3327"/>
      <c r="DKU40" s="3327"/>
      <c r="DKV40" s="3327"/>
      <c r="DKW40" s="3327"/>
      <c r="DKX40" s="3327"/>
      <c r="DKY40" s="3327"/>
      <c r="DKZ40" s="3327"/>
      <c r="DLA40" s="3327"/>
      <c r="DLB40" s="3327"/>
      <c r="DLC40" s="3327"/>
      <c r="DLD40" s="3327"/>
      <c r="DLE40" s="3327"/>
      <c r="DLF40" s="3327"/>
      <c r="DLG40" s="3327"/>
      <c r="DLH40" s="3327"/>
      <c r="DLI40" s="3327"/>
      <c r="DLJ40" s="3327"/>
      <c r="DLK40" s="3327"/>
      <c r="DLL40" s="3327"/>
      <c r="DLM40" s="3327"/>
      <c r="DLN40" s="3327"/>
      <c r="DLO40" s="3327"/>
      <c r="DLP40" s="3327"/>
      <c r="DLQ40" s="3327"/>
      <c r="DLR40" s="3327"/>
      <c r="DLS40" s="3327"/>
      <c r="DLT40" s="3327"/>
      <c r="DLU40" s="3327"/>
      <c r="DLV40" s="3327"/>
      <c r="DLW40" s="3327"/>
      <c r="DLX40" s="3327"/>
      <c r="DLY40" s="3327"/>
      <c r="DLZ40" s="3327"/>
      <c r="DMA40" s="3327"/>
      <c r="DMB40" s="3327"/>
      <c r="DMC40" s="3327"/>
      <c r="DMD40" s="3327"/>
      <c r="DME40" s="3327"/>
      <c r="DMF40" s="3327"/>
      <c r="DMG40" s="3327"/>
      <c r="DMH40" s="3327"/>
      <c r="DMI40" s="3327"/>
      <c r="DMJ40" s="3327"/>
      <c r="DMK40" s="3327"/>
      <c r="DML40" s="3327"/>
      <c r="DMM40" s="3327"/>
      <c r="DMN40" s="3327"/>
      <c r="DMO40" s="3327"/>
      <c r="DMP40" s="3327"/>
      <c r="DMQ40" s="3327"/>
      <c r="DMR40" s="3327"/>
      <c r="DMS40" s="3327"/>
      <c r="DMT40" s="3327"/>
      <c r="DMU40" s="3327"/>
      <c r="DMV40" s="3327"/>
      <c r="DMW40" s="3327"/>
      <c r="DMX40" s="3327"/>
      <c r="DMY40" s="3327"/>
      <c r="DMZ40" s="3327"/>
      <c r="DNA40" s="3327"/>
      <c r="DNB40" s="3327"/>
      <c r="DNC40" s="3327"/>
      <c r="DND40" s="3327"/>
      <c r="DNE40" s="3327"/>
      <c r="DNF40" s="3327"/>
      <c r="DNG40" s="3327"/>
      <c r="DNH40" s="3327"/>
      <c r="DNI40" s="3327"/>
      <c r="DNJ40" s="3327"/>
      <c r="DNK40" s="3327"/>
      <c r="DNL40" s="3327"/>
      <c r="DNM40" s="3327"/>
      <c r="DNN40" s="3327"/>
      <c r="DNO40" s="3327"/>
      <c r="DNP40" s="3327"/>
      <c r="DNQ40" s="3327"/>
      <c r="DNR40" s="3327"/>
      <c r="DNS40" s="3327"/>
      <c r="DNT40" s="3327"/>
      <c r="DNU40" s="3327"/>
      <c r="DNV40" s="3327"/>
      <c r="DNW40" s="3327"/>
      <c r="DNX40" s="3327"/>
      <c r="DNY40" s="3327"/>
      <c r="DNZ40" s="3327"/>
      <c r="DOA40" s="3327"/>
      <c r="DOB40" s="3327"/>
      <c r="DOC40" s="3327"/>
      <c r="DOD40" s="3327"/>
      <c r="DOE40" s="3327"/>
      <c r="DOF40" s="3327"/>
      <c r="DOG40" s="3327"/>
      <c r="DOH40" s="3327"/>
      <c r="DOI40" s="3327"/>
      <c r="DOJ40" s="3327"/>
      <c r="DOK40" s="3327"/>
      <c r="DOL40" s="3327"/>
      <c r="DOM40" s="3327"/>
      <c r="DON40" s="3327"/>
      <c r="DOO40" s="3327"/>
      <c r="DOP40" s="3327"/>
      <c r="DOQ40" s="3327"/>
      <c r="DOR40" s="3327"/>
      <c r="DOS40" s="3327"/>
      <c r="DOT40" s="3327"/>
      <c r="DOU40" s="3327"/>
      <c r="DOV40" s="3327"/>
      <c r="DOW40" s="3327"/>
      <c r="DOX40" s="3327"/>
      <c r="DOY40" s="3327"/>
      <c r="DOZ40" s="3327"/>
      <c r="DPA40" s="3327"/>
      <c r="DPB40" s="3327"/>
      <c r="DPC40" s="3327"/>
      <c r="DPD40" s="3327"/>
      <c r="DPE40" s="3327"/>
      <c r="DPF40" s="3327"/>
      <c r="DPG40" s="3327"/>
      <c r="DPH40" s="3327"/>
      <c r="DPI40" s="3327"/>
      <c r="DPJ40" s="3327"/>
      <c r="DPK40" s="3327"/>
      <c r="DPL40" s="3327"/>
      <c r="DPM40" s="3327"/>
      <c r="DPN40" s="3327"/>
      <c r="DPO40" s="3327"/>
      <c r="DPP40" s="3327"/>
      <c r="DPQ40" s="3327"/>
      <c r="DPR40" s="3327"/>
      <c r="DPS40" s="3327"/>
      <c r="DPT40" s="3327"/>
      <c r="DPU40" s="3327"/>
      <c r="DPV40" s="3327"/>
      <c r="DPW40" s="3327"/>
      <c r="DPX40" s="3327"/>
      <c r="DPY40" s="3327"/>
      <c r="DPZ40" s="3327"/>
      <c r="DQA40" s="3327"/>
      <c r="DQB40" s="3327"/>
      <c r="DQC40" s="3327"/>
      <c r="DQD40" s="3327"/>
      <c r="DQE40" s="3327"/>
      <c r="DQF40" s="3327"/>
      <c r="DQG40" s="3327"/>
      <c r="DQH40" s="3327"/>
      <c r="DQI40" s="3327"/>
      <c r="DQJ40" s="3327"/>
      <c r="DQK40" s="3327"/>
      <c r="DQL40" s="3327"/>
      <c r="DQM40" s="3327"/>
      <c r="DQN40" s="3327"/>
      <c r="DQO40" s="3327"/>
      <c r="DQP40" s="3327"/>
      <c r="DQQ40" s="3327"/>
      <c r="DQR40" s="3327"/>
      <c r="DQS40" s="3327"/>
      <c r="DQT40" s="3327"/>
      <c r="DQU40" s="3327"/>
      <c r="DQV40" s="3327"/>
      <c r="DQW40" s="3327"/>
      <c r="DQX40" s="3327"/>
      <c r="DQY40" s="3327"/>
      <c r="DQZ40" s="3327"/>
      <c r="DRA40" s="3327"/>
      <c r="DRB40" s="3327"/>
      <c r="DRC40" s="3327"/>
      <c r="DRD40" s="3327"/>
      <c r="DRE40" s="3327"/>
      <c r="DRF40" s="3327"/>
      <c r="DRG40" s="3327"/>
      <c r="DRH40" s="3327"/>
      <c r="DRI40" s="3327"/>
      <c r="DRJ40" s="3327"/>
      <c r="DRK40" s="3327"/>
      <c r="DRL40" s="3327"/>
      <c r="DRM40" s="3327"/>
      <c r="DRN40" s="3327"/>
      <c r="DRO40" s="3327"/>
      <c r="DRP40" s="3327"/>
      <c r="DRQ40" s="3327"/>
      <c r="DRR40" s="3327"/>
      <c r="DRS40" s="3327"/>
      <c r="DRT40" s="3327"/>
      <c r="DRU40" s="3327"/>
      <c r="DRV40" s="3327"/>
      <c r="DRW40" s="3327"/>
      <c r="DRX40" s="3327"/>
      <c r="DRY40" s="3327"/>
      <c r="DRZ40" s="3327"/>
      <c r="DSA40" s="3327"/>
      <c r="DSB40" s="3327"/>
      <c r="DSC40" s="3327"/>
      <c r="DSD40" s="3327"/>
      <c r="DSE40" s="3327"/>
      <c r="DSF40" s="3327"/>
      <c r="DSG40" s="3327"/>
      <c r="DSH40" s="3327"/>
      <c r="DSI40" s="3327"/>
      <c r="DSJ40" s="3327"/>
      <c r="DSK40" s="3327"/>
      <c r="DSL40" s="3327"/>
      <c r="DSM40" s="3327"/>
      <c r="DSN40" s="3327"/>
      <c r="DSO40" s="3327"/>
      <c r="DSP40" s="3327"/>
      <c r="DSQ40" s="3327"/>
      <c r="DSR40" s="3327"/>
      <c r="DSS40" s="3327"/>
      <c r="DST40" s="3327"/>
      <c r="DSU40" s="3327"/>
      <c r="DSV40" s="3327"/>
      <c r="DSW40" s="3327"/>
      <c r="DSX40" s="3327"/>
      <c r="DSY40" s="3327"/>
      <c r="DSZ40" s="3327"/>
      <c r="DTA40" s="3327"/>
      <c r="DTB40" s="3327"/>
      <c r="DTC40" s="3327"/>
      <c r="DTD40" s="3327"/>
      <c r="DTE40" s="3327"/>
      <c r="DTF40" s="3327"/>
      <c r="DTG40" s="3327"/>
      <c r="DTH40" s="3327"/>
      <c r="DTI40" s="3327"/>
      <c r="DTJ40" s="3327"/>
      <c r="DTK40" s="3327"/>
      <c r="DTL40" s="3327"/>
      <c r="DTM40" s="3327"/>
      <c r="DTN40" s="3327"/>
      <c r="DTO40" s="3327"/>
      <c r="DTP40" s="3327"/>
      <c r="DTQ40" s="3327"/>
      <c r="DTR40" s="3327"/>
      <c r="DTS40" s="3327"/>
      <c r="DTT40" s="3327"/>
      <c r="DTU40" s="3327"/>
      <c r="DTV40" s="3327"/>
      <c r="DTW40" s="3327"/>
      <c r="DTX40" s="3327"/>
      <c r="DTY40" s="3327"/>
      <c r="DTZ40" s="3327"/>
      <c r="DUA40" s="3327"/>
      <c r="DUB40" s="3327"/>
      <c r="DUC40" s="3327"/>
      <c r="DUD40" s="3327"/>
      <c r="DUE40" s="3327"/>
      <c r="DUF40" s="3327"/>
      <c r="DUG40" s="3327"/>
      <c r="DUH40" s="3327"/>
      <c r="DUI40" s="3327"/>
      <c r="DUJ40" s="3327"/>
      <c r="DUK40" s="3327"/>
      <c r="DUL40" s="3327"/>
      <c r="DUM40" s="3327"/>
      <c r="DUN40" s="3327"/>
      <c r="DUO40" s="3327"/>
      <c r="DUP40" s="3327"/>
      <c r="DUQ40" s="3327"/>
      <c r="DUR40" s="3327"/>
      <c r="DUS40" s="3327"/>
      <c r="DUT40" s="3327"/>
      <c r="DUU40" s="3327"/>
      <c r="DUV40" s="3327"/>
      <c r="DUW40" s="3327"/>
      <c r="DUX40" s="3327"/>
      <c r="DUY40" s="3327"/>
      <c r="DUZ40" s="3327"/>
      <c r="DVA40" s="3327"/>
      <c r="DVB40" s="3327"/>
      <c r="DVC40" s="3327"/>
      <c r="DVD40" s="3327"/>
      <c r="DVE40" s="3327"/>
      <c r="DVF40" s="3327"/>
      <c r="DVG40" s="3327"/>
      <c r="DVH40" s="3327"/>
      <c r="DVI40" s="3327"/>
      <c r="DVJ40" s="3327"/>
      <c r="DVK40" s="3327"/>
      <c r="DVL40" s="3327"/>
      <c r="DVM40" s="3327"/>
      <c r="DVN40" s="3327"/>
      <c r="DVO40" s="3327"/>
      <c r="DVP40" s="3327"/>
      <c r="DVQ40" s="3327"/>
      <c r="DVR40" s="3327"/>
      <c r="DVS40" s="3327"/>
      <c r="DVT40" s="3327"/>
      <c r="DVU40" s="3327"/>
      <c r="DVV40" s="3327"/>
      <c r="DVW40" s="3327"/>
      <c r="DVX40" s="3327"/>
      <c r="DVY40" s="3327"/>
      <c r="DVZ40" s="3327"/>
      <c r="DWA40" s="3327"/>
      <c r="DWB40" s="3327"/>
      <c r="DWC40" s="3327"/>
      <c r="DWD40" s="3327"/>
      <c r="DWE40" s="3327"/>
      <c r="DWF40" s="3327"/>
      <c r="DWG40" s="3327"/>
      <c r="DWH40" s="3327"/>
      <c r="DWI40" s="3327"/>
      <c r="DWJ40" s="3327"/>
      <c r="DWK40" s="3327"/>
      <c r="DWL40" s="3327"/>
      <c r="DWM40" s="3327"/>
      <c r="DWN40" s="3327"/>
      <c r="DWO40" s="3327"/>
      <c r="DWP40" s="3327"/>
      <c r="DWQ40" s="3327"/>
      <c r="DWR40" s="3327"/>
      <c r="DWS40" s="3327"/>
      <c r="DWT40" s="3327"/>
      <c r="DWU40" s="3327"/>
      <c r="DWV40" s="3327"/>
      <c r="DWW40" s="3327"/>
      <c r="DWX40" s="3327"/>
      <c r="DWY40" s="3327"/>
      <c r="DWZ40" s="3327"/>
      <c r="DXA40" s="3327"/>
      <c r="DXB40" s="3327"/>
      <c r="DXC40" s="3327"/>
      <c r="DXD40" s="3327"/>
      <c r="DXE40" s="3327"/>
      <c r="DXF40" s="3327"/>
      <c r="DXG40" s="3327"/>
      <c r="DXH40" s="3327"/>
      <c r="DXI40" s="3327"/>
      <c r="DXJ40" s="3327"/>
      <c r="DXK40" s="3327"/>
      <c r="DXL40" s="3327"/>
      <c r="DXM40" s="3327"/>
      <c r="DXN40" s="3327"/>
      <c r="DXO40" s="3327"/>
      <c r="DXP40" s="3327"/>
      <c r="DXQ40" s="3327"/>
      <c r="DXR40" s="3327"/>
      <c r="DXS40" s="3327"/>
      <c r="DXT40" s="3327"/>
      <c r="DXU40" s="3327"/>
      <c r="DXV40" s="3327"/>
      <c r="DXW40" s="3327"/>
      <c r="DXX40" s="3327"/>
      <c r="DXY40" s="3327"/>
      <c r="DXZ40" s="3327"/>
      <c r="DYA40" s="3327"/>
      <c r="DYB40" s="3327"/>
      <c r="DYC40" s="3327"/>
      <c r="DYD40" s="3327"/>
      <c r="DYE40" s="3327"/>
      <c r="DYF40" s="3327"/>
      <c r="DYG40" s="3327"/>
      <c r="DYH40" s="3327"/>
      <c r="DYI40" s="3327"/>
      <c r="DYJ40" s="3327"/>
      <c r="DYK40" s="3327"/>
      <c r="DYL40" s="3327"/>
      <c r="DYM40" s="3327"/>
      <c r="DYN40" s="3327"/>
      <c r="DYO40" s="3327"/>
      <c r="DYP40" s="3327"/>
      <c r="DYQ40" s="3327"/>
      <c r="DYR40" s="3327"/>
      <c r="DYS40" s="3327"/>
      <c r="DYT40" s="3327"/>
      <c r="DYU40" s="3327"/>
      <c r="DYV40" s="3327"/>
      <c r="DYW40" s="3327"/>
      <c r="DYX40" s="3327"/>
      <c r="DYY40" s="3327"/>
      <c r="DYZ40" s="3327"/>
      <c r="DZA40" s="3327"/>
      <c r="DZB40" s="3327"/>
      <c r="DZC40" s="3327"/>
      <c r="DZD40" s="3327"/>
      <c r="DZE40" s="3327"/>
      <c r="DZF40" s="3327"/>
      <c r="DZG40" s="3327"/>
      <c r="DZH40" s="3327"/>
      <c r="DZI40" s="3327"/>
      <c r="DZJ40" s="3327"/>
      <c r="DZK40" s="3327"/>
      <c r="DZL40" s="3327"/>
      <c r="DZM40" s="3327"/>
      <c r="DZN40" s="3327"/>
      <c r="DZO40" s="3327"/>
      <c r="DZP40" s="3327"/>
      <c r="DZQ40" s="3327"/>
      <c r="DZR40" s="3327"/>
      <c r="DZS40" s="3327"/>
      <c r="DZT40" s="3327"/>
      <c r="DZU40" s="3327"/>
      <c r="DZV40" s="3327"/>
      <c r="DZW40" s="3327"/>
      <c r="DZX40" s="3327"/>
      <c r="DZY40" s="3327"/>
      <c r="DZZ40" s="3327"/>
      <c r="EAA40" s="3327"/>
      <c r="EAB40" s="3327"/>
      <c r="EAC40" s="3327"/>
      <c r="EAD40" s="3327"/>
      <c r="EAE40" s="3327"/>
      <c r="EAF40" s="3327"/>
      <c r="EAG40" s="3327"/>
      <c r="EAH40" s="3327"/>
      <c r="EAI40" s="3327"/>
      <c r="EAJ40" s="3327"/>
      <c r="EAK40" s="3327"/>
      <c r="EAL40" s="3327"/>
      <c r="EAM40" s="3327"/>
      <c r="EAN40" s="3327"/>
      <c r="EAO40" s="3327"/>
      <c r="EAP40" s="3327"/>
      <c r="EAQ40" s="3327"/>
      <c r="EAR40" s="3327"/>
      <c r="EAS40" s="3327"/>
      <c r="EAT40" s="3327"/>
      <c r="EAU40" s="3327"/>
      <c r="EAV40" s="3327"/>
      <c r="EAW40" s="3327"/>
      <c r="EAX40" s="3327"/>
      <c r="EAY40" s="3327"/>
      <c r="EAZ40" s="3327"/>
      <c r="EBA40" s="3327"/>
      <c r="EBB40" s="3327"/>
      <c r="EBC40" s="3327"/>
      <c r="EBD40" s="3327"/>
      <c r="EBE40" s="3327"/>
      <c r="EBF40" s="3327"/>
      <c r="EBG40" s="3327"/>
      <c r="EBH40" s="3327"/>
      <c r="EBI40" s="3327"/>
      <c r="EBJ40" s="3327"/>
      <c r="EBK40" s="3327"/>
      <c r="EBL40" s="3327"/>
      <c r="EBM40" s="3327"/>
      <c r="EBN40" s="3327"/>
      <c r="EBO40" s="3327"/>
      <c r="EBP40" s="3327"/>
      <c r="EBQ40" s="3327"/>
      <c r="EBR40" s="3327"/>
      <c r="EBS40" s="3327"/>
      <c r="EBT40" s="3327"/>
      <c r="EBU40" s="3327"/>
      <c r="EBV40" s="3327"/>
      <c r="EBW40" s="3327"/>
      <c r="EBX40" s="3327"/>
      <c r="EBY40" s="3327"/>
      <c r="EBZ40" s="3327"/>
      <c r="ECA40" s="3327"/>
      <c r="ECB40" s="3327"/>
      <c r="ECC40" s="3327"/>
      <c r="ECD40" s="3327"/>
      <c r="ECE40" s="3327"/>
      <c r="ECF40" s="3327"/>
      <c r="ECG40" s="3327"/>
      <c r="ECH40" s="3327"/>
      <c r="ECI40" s="3327"/>
      <c r="ECJ40" s="3327"/>
      <c r="ECK40" s="3327"/>
      <c r="ECL40" s="3327"/>
      <c r="ECM40" s="3327"/>
      <c r="ECN40" s="3327"/>
      <c r="ECO40" s="3327"/>
      <c r="ECP40" s="3327"/>
      <c r="ECQ40" s="3327"/>
      <c r="ECR40" s="3327"/>
      <c r="ECS40" s="3327"/>
      <c r="ECT40" s="3327"/>
      <c r="ECU40" s="3327"/>
      <c r="ECV40" s="3327"/>
      <c r="ECW40" s="3327"/>
      <c r="ECX40" s="3327"/>
      <c r="ECY40" s="3327"/>
      <c r="ECZ40" s="3327"/>
      <c r="EDA40" s="3327"/>
      <c r="EDB40" s="3327"/>
      <c r="EDC40" s="3327"/>
      <c r="EDD40" s="3327"/>
      <c r="EDE40" s="3327"/>
      <c r="EDF40" s="3327"/>
      <c r="EDG40" s="3327"/>
      <c r="EDH40" s="3327"/>
      <c r="EDI40" s="3327"/>
      <c r="EDJ40" s="3327"/>
      <c r="EDK40" s="3327"/>
      <c r="EDL40" s="3327"/>
      <c r="EDM40" s="3327"/>
      <c r="EDN40" s="3327"/>
      <c r="EDO40" s="3327"/>
      <c r="EDP40" s="3327"/>
      <c r="EDQ40" s="3327"/>
      <c r="EDR40" s="3327"/>
      <c r="EDS40" s="3327"/>
      <c r="EDT40" s="3327"/>
      <c r="EDU40" s="3327"/>
      <c r="EDV40" s="3327"/>
      <c r="EDW40" s="3327"/>
      <c r="EDX40" s="3327"/>
      <c r="EDY40" s="3327"/>
      <c r="EDZ40" s="3327"/>
      <c r="EEA40" s="3327"/>
      <c r="EEB40" s="3327"/>
      <c r="EEC40" s="3327"/>
      <c r="EED40" s="3327"/>
      <c r="EEE40" s="3327"/>
      <c r="EEF40" s="3327"/>
      <c r="EEG40" s="3327"/>
      <c r="EEH40" s="3327"/>
      <c r="EEI40" s="3327"/>
      <c r="EEJ40" s="3327"/>
      <c r="EEK40" s="3327"/>
      <c r="EEL40" s="3327"/>
      <c r="EEM40" s="3327"/>
      <c r="EEN40" s="3327"/>
      <c r="EEO40" s="3327"/>
      <c r="EEP40" s="3327"/>
      <c r="EEQ40" s="3327"/>
      <c r="EER40" s="3327"/>
      <c r="EES40" s="3327"/>
      <c r="EET40" s="3327"/>
      <c r="EEU40" s="3327"/>
      <c r="EEV40" s="3327"/>
      <c r="EEW40" s="3327"/>
      <c r="EEX40" s="3327"/>
      <c r="EEY40" s="3327"/>
      <c r="EEZ40" s="3327"/>
      <c r="EFA40" s="3327"/>
      <c r="EFB40" s="3327"/>
      <c r="EFC40" s="3327"/>
      <c r="EFD40" s="3327"/>
      <c r="EFE40" s="3327"/>
      <c r="EFF40" s="3327"/>
      <c r="EFG40" s="3327"/>
      <c r="EFH40" s="3327"/>
      <c r="EFI40" s="3327"/>
      <c r="EFJ40" s="3327"/>
      <c r="EFK40" s="3327"/>
      <c r="EFL40" s="3327"/>
      <c r="EFM40" s="3327"/>
      <c r="EFN40" s="3327"/>
      <c r="EFO40" s="3327"/>
      <c r="EFP40" s="3327"/>
      <c r="EFQ40" s="3327"/>
      <c r="EFR40" s="3327"/>
      <c r="EFS40" s="3327"/>
      <c r="EFT40" s="3327"/>
      <c r="EFU40" s="3327"/>
      <c r="EFV40" s="3327"/>
      <c r="EFW40" s="3327"/>
      <c r="EFX40" s="3327"/>
      <c r="EFY40" s="3327"/>
      <c r="EFZ40" s="3327"/>
      <c r="EGA40" s="3327"/>
      <c r="EGB40" s="3327"/>
      <c r="EGC40" s="3327"/>
      <c r="EGD40" s="3327"/>
      <c r="EGE40" s="3327"/>
      <c r="EGF40" s="3327"/>
      <c r="EGG40" s="3327"/>
      <c r="EGH40" s="3327"/>
      <c r="EGI40" s="3327"/>
      <c r="EGJ40" s="3327"/>
      <c r="EGK40" s="3327"/>
      <c r="EGL40" s="3327"/>
      <c r="EGM40" s="3327"/>
      <c r="EGN40" s="3327"/>
      <c r="EGO40" s="3327"/>
      <c r="EGP40" s="3327"/>
      <c r="EGQ40" s="3327"/>
      <c r="EGR40" s="3327"/>
      <c r="EGS40" s="3327"/>
      <c r="EGT40" s="3327"/>
      <c r="EGU40" s="3327"/>
      <c r="EGV40" s="3327"/>
      <c r="EGW40" s="3327"/>
      <c r="EGX40" s="3327"/>
      <c r="EGY40" s="3327"/>
      <c r="EGZ40" s="3327"/>
      <c r="EHA40" s="3327"/>
      <c r="EHB40" s="3327"/>
      <c r="EHC40" s="3327"/>
      <c r="EHD40" s="3327"/>
      <c r="EHE40" s="3327"/>
      <c r="EHF40" s="3327"/>
      <c r="EHG40" s="3327"/>
      <c r="EHH40" s="3327"/>
      <c r="EHI40" s="3327"/>
      <c r="EHJ40" s="3327"/>
      <c r="EHK40" s="3327"/>
      <c r="EHL40" s="3327"/>
      <c r="EHM40" s="3327"/>
      <c r="EHN40" s="3327"/>
      <c r="EHO40" s="3327"/>
      <c r="EHP40" s="3327"/>
      <c r="EHQ40" s="3327"/>
      <c r="EHR40" s="3327"/>
      <c r="EHS40" s="3327"/>
      <c r="EHT40" s="3327"/>
      <c r="EHU40" s="3327"/>
      <c r="EHV40" s="3327"/>
      <c r="EHW40" s="3327"/>
      <c r="EHX40" s="3327"/>
      <c r="EHY40" s="3327"/>
      <c r="EHZ40" s="3327"/>
      <c r="EIA40" s="3327"/>
      <c r="EIB40" s="3327"/>
      <c r="EIC40" s="3327"/>
      <c r="EID40" s="3327"/>
      <c r="EIE40" s="3327"/>
      <c r="EIF40" s="3327"/>
      <c r="EIG40" s="3327"/>
      <c r="EIH40" s="3327"/>
      <c r="EII40" s="3327"/>
      <c r="EIJ40" s="3327"/>
      <c r="EIK40" s="3327"/>
      <c r="EIL40" s="3327"/>
      <c r="EIM40" s="3327"/>
      <c r="EIN40" s="3327"/>
      <c r="EIO40" s="3327"/>
      <c r="EIP40" s="3327"/>
      <c r="EIQ40" s="3327"/>
      <c r="EIR40" s="3327"/>
      <c r="EIS40" s="3327"/>
      <c r="EIT40" s="3327"/>
      <c r="EIU40" s="3327"/>
      <c r="EIV40" s="3327"/>
      <c r="EIW40" s="3327"/>
      <c r="EIX40" s="3327"/>
      <c r="EIY40" s="3327"/>
      <c r="EIZ40" s="3327"/>
      <c r="EJA40" s="3327"/>
      <c r="EJB40" s="3327"/>
      <c r="EJC40" s="3327"/>
      <c r="EJD40" s="3327"/>
      <c r="EJE40" s="3327"/>
      <c r="EJF40" s="3327"/>
      <c r="EJG40" s="3327"/>
      <c r="EJH40" s="3327"/>
      <c r="EJI40" s="3327"/>
      <c r="EJJ40" s="3327"/>
      <c r="EJK40" s="3327"/>
      <c r="EJL40" s="3327"/>
      <c r="EJM40" s="3327"/>
      <c r="EJN40" s="3327"/>
      <c r="EJO40" s="3327"/>
      <c r="EJP40" s="3327"/>
      <c r="EJQ40" s="3327"/>
      <c r="EJR40" s="3327"/>
      <c r="EJS40" s="3327"/>
      <c r="EJT40" s="3327"/>
      <c r="EJU40" s="3327"/>
      <c r="EJV40" s="3327"/>
      <c r="EJW40" s="3327"/>
      <c r="EJX40" s="3327"/>
      <c r="EJY40" s="3327"/>
      <c r="EJZ40" s="3327"/>
      <c r="EKA40" s="3327"/>
      <c r="EKB40" s="3327"/>
      <c r="EKC40" s="3327"/>
      <c r="EKD40" s="3327"/>
      <c r="EKE40" s="3327"/>
      <c r="EKF40" s="3327"/>
      <c r="EKG40" s="3327"/>
      <c r="EKH40" s="3327"/>
      <c r="EKI40" s="3327"/>
      <c r="EKJ40" s="3327"/>
      <c r="EKK40" s="3327"/>
      <c r="EKL40" s="3327"/>
      <c r="EKM40" s="3327"/>
      <c r="EKN40" s="3327"/>
      <c r="EKO40" s="3327"/>
      <c r="EKP40" s="3327"/>
      <c r="EKQ40" s="3327"/>
      <c r="EKR40" s="3327"/>
      <c r="EKS40" s="3327"/>
      <c r="EKT40" s="3327"/>
      <c r="EKU40" s="3327"/>
      <c r="EKV40" s="3327"/>
      <c r="EKW40" s="3327"/>
      <c r="EKX40" s="3327"/>
      <c r="EKY40" s="3327"/>
      <c r="EKZ40" s="3327"/>
      <c r="ELA40" s="3327"/>
      <c r="ELB40" s="3327"/>
      <c r="ELC40" s="3327"/>
      <c r="ELD40" s="3327"/>
      <c r="ELE40" s="3327"/>
      <c r="ELF40" s="3327"/>
      <c r="ELG40" s="3327"/>
      <c r="ELH40" s="3327"/>
      <c r="ELI40" s="3327"/>
      <c r="ELJ40" s="3327"/>
      <c r="ELK40" s="3327"/>
      <c r="ELL40" s="3327"/>
      <c r="ELM40" s="3327"/>
      <c r="ELN40" s="3327"/>
      <c r="ELO40" s="3327"/>
      <c r="ELP40" s="3327"/>
      <c r="ELQ40" s="3327"/>
      <c r="ELR40" s="3327"/>
      <c r="ELS40" s="3327"/>
      <c r="ELT40" s="3327"/>
      <c r="ELU40" s="3327"/>
      <c r="ELV40" s="3327"/>
      <c r="ELW40" s="3327"/>
      <c r="ELX40" s="3327"/>
      <c r="ELY40" s="3327"/>
      <c r="ELZ40" s="3327"/>
      <c r="EMA40" s="3327"/>
      <c r="EMB40" s="3327"/>
      <c r="EMC40" s="3327"/>
      <c r="EMD40" s="3327"/>
      <c r="EME40" s="3327"/>
      <c r="EMF40" s="3327"/>
      <c r="EMG40" s="3327"/>
      <c r="EMH40" s="3327"/>
      <c r="EMI40" s="3327"/>
      <c r="EMJ40" s="3327"/>
      <c r="EMK40" s="3327"/>
      <c r="EML40" s="3327"/>
      <c r="EMM40" s="3327"/>
      <c r="EMN40" s="3327"/>
      <c r="EMO40" s="3327"/>
      <c r="EMP40" s="3327"/>
      <c r="EMQ40" s="3327"/>
      <c r="EMR40" s="3327"/>
      <c r="EMS40" s="3327"/>
      <c r="EMT40" s="3327"/>
      <c r="EMU40" s="3327"/>
      <c r="EMV40" s="3327"/>
      <c r="EMW40" s="3327"/>
      <c r="EMX40" s="3327"/>
      <c r="EMY40" s="3327"/>
      <c r="EMZ40" s="3327"/>
      <c r="ENA40" s="3327"/>
      <c r="ENB40" s="3327"/>
      <c r="ENC40" s="3327"/>
      <c r="END40" s="3327"/>
      <c r="ENE40" s="3327"/>
      <c r="ENF40" s="3327"/>
      <c r="ENG40" s="3327"/>
      <c r="ENH40" s="3327"/>
      <c r="ENI40" s="3327"/>
      <c r="ENJ40" s="3327"/>
      <c r="ENK40" s="3327"/>
      <c r="ENL40" s="3327"/>
      <c r="ENM40" s="3327"/>
      <c r="ENN40" s="3327"/>
      <c r="ENO40" s="3327"/>
      <c r="ENP40" s="3327"/>
      <c r="ENQ40" s="3327"/>
      <c r="ENR40" s="3327"/>
      <c r="ENS40" s="3327"/>
      <c r="ENT40" s="3327"/>
      <c r="ENU40" s="3327"/>
      <c r="ENV40" s="3327"/>
      <c r="ENW40" s="3327"/>
      <c r="ENX40" s="3327"/>
      <c r="ENY40" s="3327"/>
      <c r="ENZ40" s="3327"/>
      <c r="EOA40" s="3327"/>
      <c r="EOB40" s="3327"/>
      <c r="EOC40" s="3327"/>
      <c r="EOD40" s="3327"/>
      <c r="EOE40" s="3327"/>
      <c r="EOF40" s="3327"/>
      <c r="EOG40" s="3327"/>
      <c r="EOH40" s="3327"/>
      <c r="EOI40" s="3327"/>
      <c r="EOJ40" s="3327"/>
      <c r="EOK40" s="3327"/>
      <c r="EOL40" s="3327"/>
      <c r="EOM40" s="3327"/>
      <c r="EON40" s="3327"/>
      <c r="EOO40" s="3327"/>
      <c r="EOP40" s="3327"/>
      <c r="EOQ40" s="3327"/>
      <c r="EOR40" s="3327"/>
      <c r="EOS40" s="3327"/>
      <c r="EOT40" s="3327"/>
      <c r="EOU40" s="3327"/>
      <c r="EOV40" s="3327"/>
      <c r="EOW40" s="3327"/>
      <c r="EOX40" s="3327"/>
      <c r="EOY40" s="3327"/>
      <c r="EOZ40" s="3327"/>
      <c r="EPA40" s="3327"/>
      <c r="EPB40" s="3327"/>
      <c r="EPC40" s="3327"/>
      <c r="EPD40" s="3327"/>
      <c r="EPE40" s="3327"/>
      <c r="EPF40" s="3327"/>
      <c r="EPG40" s="3327"/>
      <c r="EPH40" s="3327"/>
      <c r="EPI40" s="3327"/>
      <c r="EPJ40" s="3327"/>
      <c r="EPK40" s="3327"/>
      <c r="EPL40" s="3327"/>
      <c r="EPM40" s="3327"/>
      <c r="EPN40" s="3327"/>
      <c r="EPO40" s="3327"/>
      <c r="EPP40" s="3327"/>
      <c r="EPQ40" s="3327"/>
      <c r="EPR40" s="3327"/>
      <c r="EPS40" s="3327"/>
      <c r="EPT40" s="3327"/>
      <c r="EPU40" s="3327"/>
      <c r="EPV40" s="3327"/>
      <c r="EPW40" s="3327"/>
      <c r="EPX40" s="3327"/>
      <c r="EPY40" s="3327"/>
      <c r="EPZ40" s="3327"/>
      <c r="EQA40" s="3327"/>
      <c r="EQB40" s="3327"/>
      <c r="EQC40" s="3327"/>
      <c r="EQD40" s="3327"/>
      <c r="EQE40" s="3327"/>
      <c r="EQF40" s="3327"/>
      <c r="EQG40" s="3327"/>
      <c r="EQH40" s="3327"/>
      <c r="EQI40" s="3327"/>
      <c r="EQJ40" s="3327"/>
      <c r="EQK40" s="3327"/>
      <c r="EQL40" s="3327"/>
      <c r="EQM40" s="3327"/>
      <c r="EQN40" s="3327"/>
      <c r="EQO40" s="3327"/>
      <c r="EQP40" s="3327"/>
      <c r="EQQ40" s="3327"/>
      <c r="EQR40" s="3327"/>
      <c r="EQS40" s="3327"/>
      <c r="EQT40" s="3327"/>
      <c r="EQU40" s="3327"/>
      <c r="EQV40" s="3327"/>
      <c r="EQW40" s="3327"/>
      <c r="EQX40" s="3327"/>
      <c r="EQY40" s="3327"/>
      <c r="EQZ40" s="3327"/>
      <c r="ERA40" s="3327"/>
      <c r="ERB40" s="3327"/>
      <c r="ERC40" s="3327"/>
      <c r="ERD40" s="3327"/>
      <c r="ERE40" s="3327"/>
      <c r="ERF40" s="3327"/>
      <c r="ERG40" s="3327"/>
      <c r="ERH40" s="3327"/>
      <c r="ERI40" s="3327"/>
      <c r="ERJ40" s="3327"/>
      <c r="ERK40" s="3327"/>
      <c r="ERL40" s="3327"/>
      <c r="ERM40" s="3327"/>
      <c r="ERN40" s="3327"/>
      <c r="ERO40" s="3327"/>
      <c r="ERP40" s="3327"/>
      <c r="ERQ40" s="3327"/>
      <c r="ERR40" s="3327"/>
      <c r="ERS40" s="3327"/>
      <c r="ERT40" s="3327"/>
      <c r="ERU40" s="3327"/>
      <c r="ERV40" s="3327"/>
      <c r="ERW40" s="3327"/>
      <c r="ERX40" s="3327"/>
      <c r="ERY40" s="3327"/>
      <c r="ERZ40" s="3327"/>
      <c r="ESA40" s="3327"/>
      <c r="ESB40" s="3327"/>
      <c r="ESC40" s="3327"/>
      <c r="ESD40" s="3327"/>
      <c r="ESE40" s="3327"/>
      <c r="ESF40" s="3327"/>
      <c r="ESG40" s="3327"/>
      <c r="ESH40" s="3327"/>
      <c r="ESI40" s="3327"/>
      <c r="ESJ40" s="3327"/>
      <c r="ESK40" s="3327"/>
      <c r="ESL40" s="3327"/>
      <c r="ESM40" s="3327"/>
      <c r="ESN40" s="3327"/>
      <c r="ESO40" s="3327"/>
      <c r="ESP40" s="3327"/>
      <c r="ESQ40" s="3327"/>
      <c r="ESR40" s="3327"/>
      <c r="ESS40" s="3327"/>
      <c r="EST40" s="3327"/>
      <c r="ESU40" s="3327"/>
      <c r="ESV40" s="3327"/>
      <c r="ESW40" s="3327"/>
      <c r="ESX40" s="3327"/>
      <c r="ESY40" s="3327"/>
      <c r="ESZ40" s="3327"/>
      <c r="ETA40" s="3327"/>
      <c r="ETB40" s="3327"/>
      <c r="ETC40" s="3327"/>
      <c r="ETD40" s="3327"/>
      <c r="ETE40" s="3327"/>
      <c r="ETF40" s="3327"/>
      <c r="ETG40" s="3327"/>
      <c r="ETH40" s="3327"/>
      <c r="ETI40" s="3327"/>
      <c r="ETJ40" s="3327"/>
      <c r="ETK40" s="3327"/>
      <c r="ETL40" s="3327"/>
      <c r="ETM40" s="3327"/>
      <c r="ETN40" s="3327"/>
      <c r="ETO40" s="3327"/>
      <c r="ETP40" s="3327"/>
      <c r="ETQ40" s="3327"/>
      <c r="ETR40" s="3327"/>
      <c r="ETS40" s="3327"/>
      <c r="ETT40" s="3327"/>
      <c r="ETU40" s="3327"/>
      <c r="ETV40" s="3327"/>
      <c r="ETW40" s="3327"/>
      <c r="ETX40" s="3327"/>
      <c r="ETY40" s="3327"/>
      <c r="ETZ40" s="3327"/>
      <c r="EUA40" s="3327"/>
      <c r="EUB40" s="3327"/>
      <c r="EUC40" s="3327"/>
      <c r="EUD40" s="3327"/>
      <c r="EUE40" s="3327"/>
      <c r="EUF40" s="3327"/>
      <c r="EUG40" s="3327"/>
      <c r="EUH40" s="3327"/>
      <c r="EUI40" s="3327"/>
      <c r="EUJ40" s="3327"/>
      <c r="EUK40" s="3327"/>
      <c r="EUL40" s="3327"/>
      <c r="EUM40" s="3327"/>
      <c r="EUN40" s="3327"/>
      <c r="EUO40" s="3327"/>
      <c r="EUP40" s="3327"/>
      <c r="EUQ40" s="3327"/>
      <c r="EUR40" s="3327"/>
      <c r="EUS40" s="3327"/>
      <c r="EUT40" s="3327"/>
      <c r="EUU40" s="3327"/>
      <c r="EUV40" s="3327"/>
      <c r="EUW40" s="3327"/>
      <c r="EUX40" s="3327"/>
      <c r="EUY40" s="3327"/>
      <c r="EUZ40" s="3327"/>
      <c r="EVA40" s="3327"/>
      <c r="EVB40" s="3327"/>
      <c r="EVC40" s="3327"/>
      <c r="EVD40" s="3327"/>
      <c r="EVE40" s="3327"/>
      <c r="EVF40" s="3327"/>
      <c r="EVG40" s="3327"/>
      <c r="EVH40" s="3327"/>
      <c r="EVI40" s="3327"/>
      <c r="EVJ40" s="3327"/>
      <c r="EVK40" s="3327"/>
      <c r="EVL40" s="3327"/>
      <c r="EVM40" s="3327"/>
      <c r="EVN40" s="3327"/>
      <c r="EVO40" s="3327"/>
      <c r="EVP40" s="3327"/>
      <c r="EVQ40" s="3327"/>
      <c r="EVR40" s="3327"/>
      <c r="EVS40" s="3327"/>
      <c r="EVT40" s="3327"/>
      <c r="EVU40" s="3327"/>
      <c r="EVV40" s="3327"/>
      <c r="EVW40" s="3327"/>
      <c r="EVX40" s="3327"/>
      <c r="EVY40" s="3327"/>
      <c r="EVZ40" s="3327"/>
      <c r="EWA40" s="3327"/>
      <c r="EWB40" s="3327"/>
      <c r="EWC40" s="3327"/>
      <c r="EWD40" s="3327"/>
      <c r="EWE40" s="3327"/>
      <c r="EWF40" s="3327"/>
      <c r="EWG40" s="3327"/>
      <c r="EWH40" s="3327"/>
      <c r="EWI40" s="3327"/>
      <c r="EWJ40" s="3327"/>
      <c r="EWK40" s="3327"/>
      <c r="EWL40" s="3327"/>
      <c r="EWM40" s="3327"/>
      <c r="EWN40" s="3327"/>
      <c r="EWO40" s="3327"/>
      <c r="EWP40" s="3327"/>
      <c r="EWQ40" s="3327"/>
      <c r="EWR40" s="3327"/>
      <c r="EWS40" s="3327"/>
      <c r="EWT40" s="3327"/>
      <c r="EWU40" s="3327"/>
      <c r="EWV40" s="3327"/>
      <c r="EWW40" s="3327"/>
      <c r="EWX40" s="3327"/>
      <c r="EWY40" s="3327"/>
      <c r="EWZ40" s="3327"/>
      <c r="EXA40" s="3327"/>
      <c r="EXB40" s="3327"/>
      <c r="EXC40" s="3327"/>
      <c r="EXD40" s="3327"/>
      <c r="EXE40" s="3327"/>
      <c r="EXF40" s="3327"/>
      <c r="EXG40" s="3327"/>
      <c r="EXH40" s="3327"/>
      <c r="EXI40" s="3327"/>
      <c r="EXJ40" s="3327"/>
      <c r="EXK40" s="3327"/>
      <c r="EXL40" s="3327"/>
      <c r="EXM40" s="3327"/>
      <c r="EXN40" s="3327"/>
      <c r="EXO40" s="3327"/>
      <c r="EXP40" s="3327"/>
      <c r="EXQ40" s="3327"/>
      <c r="EXR40" s="3327"/>
      <c r="EXS40" s="3327"/>
      <c r="EXT40" s="3327"/>
      <c r="EXU40" s="3327"/>
      <c r="EXV40" s="3327"/>
      <c r="EXW40" s="3327"/>
      <c r="EXX40" s="3327"/>
      <c r="EXY40" s="3327"/>
      <c r="EXZ40" s="3327"/>
      <c r="EYA40" s="3327"/>
      <c r="EYB40" s="3327"/>
      <c r="EYC40" s="3327"/>
      <c r="EYD40" s="3327"/>
      <c r="EYE40" s="3327"/>
      <c r="EYF40" s="3327"/>
      <c r="EYG40" s="3327"/>
      <c r="EYH40" s="3327"/>
      <c r="EYI40" s="3327"/>
      <c r="EYJ40" s="3327"/>
      <c r="EYK40" s="3327"/>
      <c r="EYL40" s="3327"/>
      <c r="EYM40" s="3327"/>
      <c r="EYN40" s="3327"/>
      <c r="EYO40" s="3327"/>
      <c r="EYP40" s="3327"/>
      <c r="EYQ40" s="3327"/>
      <c r="EYR40" s="3327"/>
      <c r="EYS40" s="3327"/>
      <c r="EYT40" s="3327"/>
      <c r="EYU40" s="3327"/>
      <c r="EYV40" s="3327"/>
      <c r="EYW40" s="3327"/>
      <c r="EYX40" s="3327"/>
      <c r="EYY40" s="3327"/>
      <c r="EYZ40" s="3327"/>
      <c r="EZA40" s="3327"/>
      <c r="EZB40" s="3327"/>
      <c r="EZC40" s="3327"/>
      <c r="EZD40" s="3327"/>
      <c r="EZE40" s="3327"/>
      <c r="EZF40" s="3327"/>
      <c r="EZG40" s="3327"/>
      <c r="EZH40" s="3327"/>
      <c r="EZI40" s="3327"/>
      <c r="EZJ40" s="3327"/>
      <c r="EZK40" s="3327"/>
      <c r="EZL40" s="3327"/>
      <c r="EZM40" s="3327"/>
      <c r="EZN40" s="3327"/>
      <c r="EZO40" s="3327"/>
      <c r="EZP40" s="3327"/>
      <c r="EZQ40" s="3327"/>
      <c r="EZR40" s="3327"/>
      <c r="EZS40" s="3327"/>
      <c r="EZT40" s="3327"/>
      <c r="EZU40" s="3327"/>
      <c r="EZV40" s="3327"/>
      <c r="EZW40" s="3327"/>
      <c r="EZX40" s="3327"/>
      <c r="EZY40" s="3327"/>
      <c r="EZZ40" s="3327"/>
      <c r="FAA40" s="3327"/>
      <c r="FAB40" s="3327"/>
      <c r="FAC40" s="3327"/>
      <c r="FAD40" s="3327"/>
      <c r="FAE40" s="3327"/>
      <c r="FAF40" s="3327"/>
      <c r="FAG40" s="3327"/>
      <c r="FAH40" s="3327"/>
      <c r="FAI40" s="3327"/>
      <c r="FAJ40" s="3327"/>
      <c r="FAK40" s="3327"/>
      <c r="FAL40" s="3327"/>
      <c r="FAM40" s="3327"/>
      <c r="FAN40" s="3327"/>
      <c r="FAO40" s="3327"/>
      <c r="FAP40" s="3327"/>
      <c r="FAQ40" s="3327"/>
      <c r="FAR40" s="3327"/>
      <c r="FAS40" s="3327"/>
      <c r="FAT40" s="3327"/>
      <c r="FAU40" s="3327"/>
      <c r="FAV40" s="3327"/>
      <c r="FAW40" s="3327"/>
      <c r="FAX40" s="3327"/>
      <c r="FAY40" s="3327"/>
      <c r="FAZ40" s="3327"/>
      <c r="FBA40" s="3327"/>
      <c r="FBB40" s="3327"/>
      <c r="FBC40" s="3327"/>
      <c r="FBD40" s="3327"/>
      <c r="FBE40" s="3327"/>
      <c r="FBF40" s="3327"/>
      <c r="FBG40" s="3327"/>
      <c r="FBH40" s="3327"/>
      <c r="FBI40" s="3327"/>
      <c r="FBJ40" s="3327"/>
      <c r="FBK40" s="3327"/>
      <c r="FBL40" s="3327"/>
      <c r="FBM40" s="3327"/>
      <c r="FBN40" s="3327"/>
      <c r="FBO40" s="3327"/>
      <c r="FBP40" s="3327"/>
      <c r="FBQ40" s="3327"/>
      <c r="FBR40" s="3327"/>
      <c r="FBS40" s="3327"/>
      <c r="FBT40" s="3327"/>
      <c r="FBU40" s="3327"/>
      <c r="FBV40" s="3327"/>
      <c r="FBW40" s="3327"/>
      <c r="FBX40" s="3327"/>
      <c r="FBY40" s="3327"/>
      <c r="FBZ40" s="3327"/>
      <c r="FCA40" s="3327"/>
      <c r="FCB40" s="3327"/>
      <c r="FCC40" s="3327"/>
      <c r="FCD40" s="3327"/>
      <c r="FCE40" s="3327"/>
      <c r="FCF40" s="3327"/>
      <c r="FCG40" s="3327"/>
      <c r="FCH40" s="3327"/>
      <c r="FCI40" s="3327"/>
      <c r="FCJ40" s="3327"/>
      <c r="FCK40" s="3327"/>
      <c r="FCL40" s="3327"/>
      <c r="FCM40" s="3327"/>
      <c r="FCN40" s="3327"/>
      <c r="FCO40" s="3327"/>
      <c r="FCP40" s="3327"/>
      <c r="FCQ40" s="3327"/>
      <c r="FCR40" s="3327"/>
      <c r="FCS40" s="3327"/>
      <c r="FCT40" s="3327"/>
      <c r="FCU40" s="3327"/>
      <c r="FCV40" s="3327"/>
      <c r="FCW40" s="3327"/>
      <c r="FCX40" s="3327"/>
      <c r="FCY40" s="3327"/>
      <c r="FCZ40" s="3327"/>
      <c r="FDA40" s="3327"/>
      <c r="FDB40" s="3327"/>
      <c r="FDC40" s="3327"/>
      <c r="FDD40" s="3327"/>
      <c r="FDE40" s="3327"/>
      <c r="FDF40" s="3327"/>
      <c r="FDG40" s="3327"/>
      <c r="FDH40" s="3327"/>
      <c r="FDI40" s="3327"/>
      <c r="FDJ40" s="3327"/>
      <c r="FDK40" s="3327"/>
      <c r="FDL40" s="3327"/>
      <c r="FDM40" s="3327"/>
      <c r="FDN40" s="3327"/>
      <c r="FDO40" s="3327"/>
      <c r="FDP40" s="3327"/>
      <c r="FDQ40" s="3327"/>
      <c r="FDR40" s="3327"/>
      <c r="FDS40" s="3327"/>
      <c r="FDT40" s="3327"/>
      <c r="FDU40" s="3327"/>
      <c r="FDV40" s="3327"/>
      <c r="FDW40" s="3327"/>
      <c r="FDX40" s="3327"/>
      <c r="FDY40" s="3327"/>
      <c r="FDZ40" s="3327"/>
      <c r="FEA40" s="3327"/>
      <c r="FEB40" s="3327"/>
      <c r="FEC40" s="3327"/>
      <c r="FED40" s="3327"/>
      <c r="FEE40" s="3327"/>
      <c r="FEF40" s="3327"/>
      <c r="FEG40" s="3327"/>
      <c r="FEH40" s="3327"/>
      <c r="FEI40" s="3327"/>
      <c r="FEJ40" s="3327"/>
      <c r="FEK40" s="3327"/>
      <c r="FEL40" s="3327"/>
      <c r="FEM40" s="3327"/>
      <c r="FEN40" s="3327"/>
      <c r="FEO40" s="3327"/>
      <c r="FEP40" s="3327"/>
      <c r="FEQ40" s="3327"/>
      <c r="FER40" s="3327"/>
      <c r="FES40" s="3327"/>
      <c r="FET40" s="3327"/>
      <c r="FEU40" s="3327"/>
      <c r="FEV40" s="3327"/>
      <c r="FEW40" s="3327"/>
      <c r="FEX40" s="3327"/>
      <c r="FEY40" s="3327"/>
      <c r="FEZ40" s="3327"/>
      <c r="FFA40" s="3327"/>
      <c r="FFB40" s="3327"/>
      <c r="FFC40" s="3327"/>
      <c r="FFD40" s="3327"/>
      <c r="FFE40" s="3327"/>
      <c r="FFF40" s="3327"/>
      <c r="FFG40" s="3327"/>
      <c r="FFH40" s="3327"/>
      <c r="FFI40" s="3327"/>
      <c r="FFJ40" s="3327"/>
      <c r="FFK40" s="3327"/>
      <c r="FFL40" s="3327"/>
      <c r="FFM40" s="3327"/>
      <c r="FFN40" s="3327"/>
      <c r="FFO40" s="3327"/>
      <c r="FFP40" s="3327"/>
      <c r="FFQ40" s="3327"/>
      <c r="FFR40" s="3327"/>
      <c r="FFS40" s="3327"/>
      <c r="FFT40" s="3327"/>
      <c r="FFU40" s="3327"/>
      <c r="FFV40" s="3327"/>
      <c r="FFW40" s="3327"/>
      <c r="FFX40" s="3327"/>
      <c r="FFY40" s="3327"/>
      <c r="FFZ40" s="3327"/>
      <c r="FGA40" s="3327"/>
      <c r="FGB40" s="3327"/>
      <c r="FGC40" s="3327"/>
      <c r="FGD40" s="3327"/>
      <c r="FGE40" s="3327"/>
      <c r="FGF40" s="3327"/>
      <c r="FGG40" s="3327"/>
      <c r="FGH40" s="3327"/>
      <c r="FGI40" s="3327"/>
      <c r="FGJ40" s="3327"/>
      <c r="FGK40" s="3327"/>
      <c r="FGL40" s="3327"/>
      <c r="FGM40" s="3327"/>
      <c r="FGN40" s="3327"/>
      <c r="FGO40" s="3327"/>
      <c r="FGP40" s="3327"/>
      <c r="FGQ40" s="3327"/>
      <c r="FGR40" s="3327"/>
      <c r="FGS40" s="3327"/>
      <c r="FGT40" s="3327"/>
      <c r="FGU40" s="3327"/>
      <c r="FGV40" s="3327"/>
      <c r="FGW40" s="3327"/>
      <c r="FGX40" s="3327"/>
      <c r="FGY40" s="3327"/>
      <c r="FGZ40" s="3327"/>
      <c r="FHA40" s="3327"/>
      <c r="FHB40" s="3327"/>
      <c r="FHC40" s="3327"/>
      <c r="FHD40" s="3327"/>
      <c r="FHE40" s="3327"/>
      <c r="FHF40" s="3327"/>
      <c r="FHG40" s="3327"/>
      <c r="FHH40" s="3327"/>
      <c r="FHI40" s="3327"/>
      <c r="FHJ40" s="3327"/>
      <c r="FHK40" s="3327"/>
      <c r="FHL40" s="3327"/>
      <c r="FHM40" s="3327"/>
      <c r="FHN40" s="3327"/>
      <c r="FHO40" s="3327"/>
      <c r="FHP40" s="3327"/>
      <c r="FHQ40" s="3327"/>
      <c r="FHR40" s="3327"/>
      <c r="FHS40" s="3327"/>
      <c r="FHT40" s="3327"/>
      <c r="FHU40" s="3327"/>
      <c r="FHV40" s="3327"/>
      <c r="FHW40" s="3327"/>
      <c r="FHX40" s="3327"/>
      <c r="FHY40" s="3327"/>
      <c r="FHZ40" s="3327"/>
      <c r="FIA40" s="3327"/>
      <c r="FIB40" s="3327"/>
      <c r="FIC40" s="3327"/>
      <c r="FID40" s="3327"/>
      <c r="FIE40" s="3327"/>
      <c r="FIF40" s="3327"/>
      <c r="FIG40" s="3327"/>
      <c r="FIH40" s="3327"/>
      <c r="FII40" s="3327"/>
      <c r="FIJ40" s="3327"/>
      <c r="FIK40" s="3327"/>
      <c r="FIL40" s="3327"/>
      <c r="FIM40" s="3327"/>
      <c r="FIN40" s="3327"/>
      <c r="FIO40" s="3327"/>
      <c r="FIP40" s="3327"/>
      <c r="FIQ40" s="3327"/>
      <c r="FIR40" s="3327"/>
      <c r="FIS40" s="3327"/>
      <c r="FIT40" s="3327"/>
      <c r="FIU40" s="3327"/>
      <c r="FIV40" s="3327"/>
      <c r="FIW40" s="3327"/>
      <c r="FIX40" s="3327"/>
      <c r="FIY40" s="3327"/>
      <c r="FIZ40" s="3327"/>
      <c r="FJA40" s="3327"/>
      <c r="FJB40" s="3327"/>
      <c r="FJC40" s="3327"/>
      <c r="FJD40" s="3327"/>
      <c r="FJE40" s="3327"/>
      <c r="FJF40" s="3327"/>
      <c r="FJG40" s="3327"/>
      <c r="FJH40" s="3327"/>
      <c r="FJI40" s="3327"/>
      <c r="FJJ40" s="3327"/>
      <c r="FJK40" s="3327"/>
      <c r="FJL40" s="3327"/>
      <c r="FJM40" s="3327"/>
      <c r="FJN40" s="3327"/>
      <c r="FJO40" s="3327"/>
      <c r="FJP40" s="3327"/>
      <c r="FJQ40" s="3327"/>
      <c r="FJR40" s="3327"/>
      <c r="FJS40" s="3327"/>
      <c r="FJT40" s="3327"/>
      <c r="FJU40" s="3327"/>
      <c r="FJV40" s="3327"/>
      <c r="FJW40" s="3327"/>
      <c r="FJX40" s="3327"/>
      <c r="FJY40" s="3327"/>
      <c r="FJZ40" s="3327"/>
      <c r="FKA40" s="3327"/>
      <c r="FKB40" s="3327"/>
      <c r="FKC40" s="3327"/>
      <c r="FKD40" s="3327"/>
      <c r="FKE40" s="3327"/>
      <c r="FKF40" s="3327"/>
      <c r="FKG40" s="3327"/>
      <c r="FKH40" s="3327"/>
      <c r="FKI40" s="3327"/>
      <c r="FKJ40" s="3327"/>
      <c r="FKK40" s="3327"/>
      <c r="FKL40" s="3327"/>
      <c r="FKM40" s="3327"/>
      <c r="FKN40" s="3327"/>
      <c r="FKO40" s="3327"/>
      <c r="FKP40" s="3327"/>
      <c r="FKQ40" s="3327"/>
      <c r="FKR40" s="3327"/>
      <c r="FKS40" s="3327"/>
      <c r="FKT40" s="3327"/>
      <c r="FKU40" s="3327"/>
      <c r="FKV40" s="3327"/>
      <c r="FKW40" s="3327"/>
      <c r="FKX40" s="3327"/>
      <c r="FKY40" s="3327"/>
      <c r="FKZ40" s="3327"/>
      <c r="FLA40" s="3327"/>
      <c r="FLB40" s="3327"/>
      <c r="FLC40" s="3327"/>
      <c r="FLD40" s="3327"/>
      <c r="FLE40" s="3327"/>
      <c r="FLF40" s="3327"/>
      <c r="FLG40" s="3327"/>
      <c r="FLH40" s="3327"/>
      <c r="FLI40" s="3327"/>
      <c r="FLJ40" s="3327"/>
      <c r="FLK40" s="3327"/>
      <c r="FLL40" s="3327"/>
      <c r="FLM40" s="3327"/>
      <c r="FLN40" s="3327"/>
      <c r="FLO40" s="3327"/>
      <c r="FLP40" s="3327"/>
      <c r="FLQ40" s="3327"/>
      <c r="FLR40" s="3327"/>
      <c r="FLS40" s="3327"/>
      <c r="FLT40" s="3327"/>
      <c r="FLU40" s="3327"/>
      <c r="FLV40" s="3327"/>
      <c r="FLW40" s="3327"/>
      <c r="FLX40" s="3327"/>
      <c r="FLY40" s="3327"/>
      <c r="FLZ40" s="3327"/>
      <c r="FMA40" s="3327"/>
      <c r="FMB40" s="3327"/>
      <c r="FMC40" s="3327"/>
      <c r="FMD40" s="3327"/>
      <c r="FME40" s="3327"/>
      <c r="FMF40" s="3327"/>
      <c r="FMG40" s="3327"/>
      <c r="FMH40" s="3327"/>
      <c r="FMI40" s="3327"/>
      <c r="FMJ40" s="3327"/>
      <c r="FMK40" s="3327"/>
      <c r="FML40" s="3327"/>
      <c r="FMM40" s="3327"/>
      <c r="FMN40" s="3327"/>
      <c r="FMO40" s="3327"/>
      <c r="FMP40" s="3327"/>
      <c r="FMQ40" s="3327"/>
      <c r="FMR40" s="3327"/>
      <c r="FMS40" s="3327"/>
      <c r="FMT40" s="3327"/>
      <c r="FMU40" s="3327"/>
      <c r="FMV40" s="3327"/>
      <c r="FMW40" s="3327"/>
      <c r="FMX40" s="3327"/>
      <c r="FMY40" s="3327"/>
      <c r="FMZ40" s="3327"/>
      <c r="FNA40" s="3327"/>
      <c r="FNB40" s="3327"/>
      <c r="FNC40" s="3327"/>
      <c r="FND40" s="3327"/>
      <c r="FNE40" s="3327"/>
      <c r="FNF40" s="3327"/>
      <c r="FNG40" s="3327"/>
      <c r="FNH40" s="3327"/>
      <c r="FNI40" s="3327"/>
      <c r="FNJ40" s="3327"/>
      <c r="FNK40" s="3327"/>
      <c r="FNL40" s="3327"/>
      <c r="FNM40" s="3327"/>
      <c r="FNN40" s="3327"/>
      <c r="FNO40" s="3327"/>
      <c r="FNP40" s="3327"/>
      <c r="FNQ40" s="3327"/>
      <c r="FNR40" s="3327"/>
      <c r="FNS40" s="3327"/>
      <c r="FNT40" s="3327"/>
      <c r="FNU40" s="3327"/>
      <c r="FNV40" s="3327"/>
      <c r="FNW40" s="3327"/>
      <c r="FNX40" s="3327"/>
      <c r="FNY40" s="3327"/>
      <c r="FNZ40" s="3327"/>
      <c r="FOA40" s="3327"/>
      <c r="FOB40" s="3327"/>
      <c r="FOC40" s="3327"/>
      <c r="FOD40" s="3327"/>
      <c r="FOE40" s="3327"/>
      <c r="FOF40" s="3327"/>
      <c r="FOG40" s="3327"/>
      <c r="FOH40" s="3327"/>
      <c r="FOI40" s="3327"/>
      <c r="FOJ40" s="3327"/>
      <c r="FOK40" s="3327"/>
      <c r="FOL40" s="3327"/>
      <c r="FOM40" s="3327"/>
      <c r="FON40" s="3327"/>
      <c r="FOO40" s="3327"/>
      <c r="FOP40" s="3327"/>
      <c r="FOQ40" s="3327"/>
      <c r="FOR40" s="3327"/>
      <c r="FOS40" s="3327"/>
      <c r="FOT40" s="3327"/>
      <c r="FOU40" s="3327"/>
      <c r="FOV40" s="3327"/>
      <c r="FOW40" s="3327"/>
      <c r="FOX40" s="3327"/>
      <c r="FOY40" s="3327"/>
      <c r="FOZ40" s="3327"/>
      <c r="FPA40" s="3327"/>
      <c r="FPB40" s="3327"/>
      <c r="FPC40" s="3327"/>
      <c r="FPD40" s="3327"/>
      <c r="FPE40" s="3327"/>
      <c r="FPF40" s="3327"/>
      <c r="FPG40" s="3327"/>
      <c r="FPH40" s="3327"/>
      <c r="FPI40" s="3327"/>
      <c r="FPJ40" s="3327"/>
      <c r="FPK40" s="3327"/>
      <c r="FPL40" s="3327"/>
      <c r="FPM40" s="3327"/>
      <c r="FPN40" s="3327"/>
      <c r="FPO40" s="3327"/>
      <c r="FPP40" s="3327"/>
      <c r="FPQ40" s="3327"/>
      <c r="FPR40" s="3327"/>
      <c r="FPS40" s="3327"/>
      <c r="FPT40" s="3327"/>
      <c r="FPU40" s="3327"/>
      <c r="FPV40" s="3327"/>
      <c r="FPW40" s="3327"/>
      <c r="FPX40" s="3327"/>
      <c r="FPY40" s="3327"/>
      <c r="FPZ40" s="3327"/>
      <c r="FQA40" s="3327"/>
      <c r="FQB40" s="3327"/>
      <c r="FQC40" s="3327"/>
      <c r="FQD40" s="3327"/>
      <c r="FQE40" s="3327"/>
      <c r="FQF40" s="3327"/>
      <c r="FQG40" s="3327"/>
      <c r="FQH40" s="3327"/>
      <c r="FQI40" s="3327"/>
      <c r="FQJ40" s="3327"/>
      <c r="FQK40" s="3327"/>
      <c r="FQL40" s="3327"/>
      <c r="FQM40" s="3327"/>
      <c r="FQN40" s="3327"/>
      <c r="FQO40" s="3327"/>
      <c r="FQP40" s="3327"/>
      <c r="FQQ40" s="3327"/>
      <c r="FQR40" s="3327"/>
      <c r="FQS40" s="3327"/>
      <c r="FQT40" s="3327"/>
      <c r="FQU40" s="3327"/>
      <c r="FQV40" s="3327"/>
      <c r="FQW40" s="3327"/>
      <c r="FQX40" s="3327"/>
      <c r="FQY40" s="3327"/>
      <c r="FQZ40" s="3327"/>
      <c r="FRA40" s="3327"/>
      <c r="FRB40" s="3327"/>
      <c r="FRC40" s="3327"/>
      <c r="FRD40" s="3327"/>
      <c r="FRE40" s="3327"/>
      <c r="FRF40" s="3327"/>
      <c r="FRG40" s="3327"/>
      <c r="FRH40" s="3327"/>
      <c r="FRI40" s="3327"/>
      <c r="FRJ40" s="3327"/>
      <c r="FRK40" s="3327"/>
      <c r="FRL40" s="3327"/>
      <c r="FRM40" s="3327"/>
      <c r="FRN40" s="3327"/>
      <c r="FRO40" s="3327"/>
      <c r="FRP40" s="3327"/>
      <c r="FRQ40" s="3327"/>
      <c r="FRR40" s="3327"/>
      <c r="FRS40" s="3327"/>
      <c r="FRT40" s="3327"/>
      <c r="FRU40" s="3327"/>
      <c r="FRV40" s="3327"/>
      <c r="FRW40" s="3327"/>
      <c r="FRX40" s="3327"/>
      <c r="FRY40" s="3327"/>
      <c r="FRZ40" s="3327"/>
      <c r="FSA40" s="3327"/>
      <c r="FSB40" s="3327"/>
      <c r="FSC40" s="3327"/>
      <c r="FSD40" s="3327"/>
      <c r="FSE40" s="3327"/>
      <c r="FSF40" s="3327"/>
      <c r="FSG40" s="3327"/>
      <c r="FSH40" s="3327"/>
      <c r="FSI40" s="3327"/>
      <c r="FSJ40" s="3327"/>
      <c r="FSK40" s="3327"/>
      <c r="FSL40" s="3327"/>
      <c r="FSM40" s="3327"/>
      <c r="FSN40" s="3327"/>
      <c r="FSO40" s="3327"/>
      <c r="FSP40" s="3327"/>
      <c r="FSQ40" s="3327"/>
      <c r="FSR40" s="3327"/>
      <c r="FSS40" s="3327"/>
      <c r="FST40" s="3327"/>
      <c r="FSU40" s="3327"/>
      <c r="FSV40" s="3327"/>
      <c r="FSW40" s="3327"/>
      <c r="FSX40" s="3327"/>
      <c r="FSY40" s="3327"/>
      <c r="FSZ40" s="3327"/>
      <c r="FTA40" s="3327"/>
      <c r="FTB40" s="3327"/>
      <c r="FTC40" s="3327"/>
      <c r="FTD40" s="3327"/>
      <c r="FTE40" s="3327"/>
      <c r="FTF40" s="3327"/>
      <c r="FTG40" s="3327"/>
      <c r="FTH40" s="3327"/>
      <c r="FTI40" s="3327"/>
      <c r="FTJ40" s="3327"/>
      <c r="FTK40" s="3327"/>
      <c r="FTL40" s="3327"/>
      <c r="FTM40" s="3327"/>
      <c r="FTN40" s="3327"/>
      <c r="FTO40" s="3327"/>
      <c r="FTP40" s="3327"/>
      <c r="FTQ40" s="3327"/>
      <c r="FTR40" s="3327"/>
      <c r="FTS40" s="3327"/>
      <c r="FTT40" s="3327"/>
      <c r="FTU40" s="3327"/>
      <c r="FTV40" s="3327"/>
      <c r="FTW40" s="3327"/>
      <c r="FTX40" s="3327"/>
      <c r="FTY40" s="3327"/>
      <c r="FTZ40" s="3327"/>
      <c r="FUA40" s="3327"/>
      <c r="FUB40" s="3327"/>
      <c r="FUC40" s="3327"/>
      <c r="FUD40" s="3327"/>
      <c r="FUE40" s="3327"/>
      <c r="FUF40" s="3327"/>
      <c r="FUG40" s="3327"/>
      <c r="FUH40" s="3327"/>
      <c r="FUI40" s="3327"/>
      <c r="FUJ40" s="3327"/>
      <c r="FUK40" s="3327"/>
      <c r="FUL40" s="3327"/>
      <c r="FUM40" s="3327"/>
      <c r="FUN40" s="3327"/>
      <c r="FUO40" s="3327"/>
      <c r="FUP40" s="3327"/>
      <c r="FUQ40" s="3327"/>
      <c r="FUR40" s="3327"/>
      <c r="FUS40" s="3327"/>
      <c r="FUT40" s="3327"/>
      <c r="FUU40" s="3327"/>
      <c r="FUV40" s="3327"/>
      <c r="FUW40" s="3327"/>
      <c r="FUX40" s="3327"/>
      <c r="FUY40" s="3327"/>
      <c r="FUZ40" s="3327"/>
      <c r="FVA40" s="3327"/>
      <c r="FVB40" s="3327"/>
      <c r="FVC40" s="3327"/>
      <c r="FVD40" s="3327"/>
      <c r="FVE40" s="3327"/>
      <c r="FVF40" s="3327"/>
      <c r="FVG40" s="3327"/>
      <c r="FVH40" s="3327"/>
      <c r="FVI40" s="3327"/>
      <c r="FVJ40" s="3327"/>
      <c r="FVK40" s="3327"/>
      <c r="FVL40" s="3327"/>
      <c r="FVM40" s="3327"/>
      <c r="FVN40" s="3327"/>
      <c r="FVO40" s="3327"/>
      <c r="FVP40" s="3327"/>
      <c r="FVQ40" s="3327"/>
      <c r="FVR40" s="3327"/>
      <c r="FVS40" s="3327"/>
      <c r="FVT40" s="3327"/>
      <c r="FVU40" s="3327"/>
      <c r="FVV40" s="3327"/>
      <c r="FVW40" s="3327"/>
      <c r="FVX40" s="3327"/>
      <c r="FVY40" s="3327"/>
      <c r="FVZ40" s="3327"/>
      <c r="FWA40" s="3327"/>
      <c r="FWB40" s="3327"/>
      <c r="FWC40" s="3327"/>
      <c r="FWD40" s="3327"/>
      <c r="FWE40" s="3327"/>
      <c r="FWF40" s="3327"/>
      <c r="FWG40" s="3327"/>
      <c r="FWH40" s="3327"/>
      <c r="FWI40" s="3327"/>
      <c r="FWJ40" s="3327"/>
      <c r="FWK40" s="3327"/>
      <c r="FWL40" s="3327"/>
      <c r="FWM40" s="3327"/>
      <c r="FWN40" s="3327"/>
      <c r="FWO40" s="3327"/>
      <c r="FWP40" s="3327"/>
      <c r="FWQ40" s="3327"/>
      <c r="FWR40" s="3327"/>
      <c r="FWS40" s="3327"/>
      <c r="FWT40" s="3327"/>
      <c r="FWU40" s="3327"/>
      <c r="FWV40" s="3327"/>
      <c r="FWW40" s="3327"/>
      <c r="FWX40" s="3327"/>
      <c r="FWY40" s="3327"/>
      <c r="FWZ40" s="3327"/>
      <c r="FXA40" s="3327"/>
      <c r="FXB40" s="3327"/>
      <c r="FXC40" s="3327"/>
      <c r="FXD40" s="3327"/>
      <c r="FXE40" s="3327"/>
      <c r="FXF40" s="3327"/>
      <c r="FXG40" s="3327"/>
      <c r="FXH40" s="3327"/>
      <c r="FXI40" s="3327"/>
      <c r="FXJ40" s="3327"/>
      <c r="FXK40" s="3327"/>
      <c r="FXL40" s="3327"/>
      <c r="FXM40" s="3327"/>
      <c r="FXN40" s="3327"/>
      <c r="FXO40" s="3327"/>
      <c r="FXP40" s="3327"/>
      <c r="FXQ40" s="3327"/>
      <c r="FXR40" s="3327"/>
      <c r="FXS40" s="3327"/>
      <c r="FXT40" s="3327"/>
      <c r="FXU40" s="3327"/>
      <c r="FXV40" s="3327"/>
      <c r="FXW40" s="3327"/>
      <c r="FXX40" s="3327"/>
      <c r="FXY40" s="3327"/>
      <c r="FXZ40" s="3327"/>
      <c r="FYA40" s="3327"/>
      <c r="FYB40" s="3327"/>
      <c r="FYC40" s="3327"/>
      <c r="FYD40" s="3327"/>
      <c r="FYE40" s="3327"/>
      <c r="FYF40" s="3327"/>
      <c r="FYG40" s="3327"/>
      <c r="FYH40" s="3327"/>
      <c r="FYI40" s="3327"/>
      <c r="FYJ40" s="3327"/>
      <c r="FYK40" s="3327"/>
      <c r="FYL40" s="3327"/>
      <c r="FYM40" s="3327"/>
      <c r="FYN40" s="3327"/>
      <c r="FYO40" s="3327"/>
      <c r="FYP40" s="3327"/>
      <c r="FYQ40" s="3327"/>
      <c r="FYR40" s="3327"/>
      <c r="FYS40" s="3327"/>
      <c r="FYT40" s="3327"/>
      <c r="FYU40" s="3327"/>
      <c r="FYV40" s="3327"/>
      <c r="FYW40" s="3327"/>
      <c r="FYX40" s="3327"/>
      <c r="FYY40" s="3327"/>
      <c r="FYZ40" s="3327"/>
      <c r="FZA40" s="3327"/>
      <c r="FZB40" s="3327"/>
      <c r="FZC40" s="3327"/>
      <c r="FZD40" s="3327"/>
      <c r="FZE40" s="3327"/>
      <c r="FZF40" s="3327"/>
      <c r="FZG40" s="3327"/>
      <c r="FZH40" s="3327"/>
      <c r="FZI40" s="3327"/>
      <c r="FZJ40" s="3327"/>
      <c r="FZK40" s="3327"/>
      <c r="FZL40" s="3327"/>
      <c r="FZM40" s="3327"/>
      <c r="FZN40" s="3327"/>
      <c r="FZO40" s="3327"/>
      <c r="FZP40" s="3327"/>
      <c r="FZQ40" s="3327"/>
      <c r="FZR40" s="3327"/>
      <c r="FZS40" s="3327"/>
      <c r="FZT40" s="3327"/>
      <c r="FZU40" s="3327"/>
      <c r="FZV40" s="3327"/>
      <c r="FZW40" s="3327"/>
      <c r="FZX40" s="3327"/>
      <c r="FZY40" s="3327"/>
      <c r="FZZ40" s="3327"/>
      <c r="GAA40" s="3327"/>
      <c r="GAB40" s="3327"/>
      <c r="GAC40" s="3327"/>
      <c r="GAD40" s="3327"/>
      <c r="GAE40" s="3327"/>
      <c r="GAF40" s="3327"/>
      <c r="GAG40" s="3327"/>
      <c r="GAH40" s="3327"/>
      <c r="GAI40" s="3327"/>
      <c r="GAJ40" s="3327"/>
      <c r="GAK40" s="3327"/>
      <c r="GAL40" s="3327"/>
      <c r="GAM40" s="3327"/>
      <c r="GAN40" s="3327"/>
      <c r="GAO40" s="3327"/>
      <c r="GAP40" s="3327"/>
      <c r="GAQ40" s="3327"/>
      <c r="GAR40" s="3327"/>
      <c r="GAS40" s="3327"/>
      <c r="GAT40" s="3327"/>
      <c r="GAU40" s="3327"/>
      <c r="GAV40" s="3327"/>
      <c r="GAW40" s="3327"/>
      <c r="GAX40" s="3327"/>
      <c r="GAY40" s="3327"/>
      <c r="GAZ40" s="3327"/>
      <c r="GBA40" s="3327"/>
      <c r="GBB40" s="3327"/>
      <c r="GBC40" s="3327"/>
      <c r="GBD40" s="3327"/>
      <c r="GBE40" s="3327"/>
      <c r="GBF40" s="3327"/>
      <c r="GBG40" s="3327"/>
      <c r="GBH40" s="3327"/>
      <c r="GBI40" s="3327"/>
      <c r="GBJ40" s="3327"/>
      <c r="GBK40" s="3327"/>
      <c r="GBL40" s="3327"/>
      <c r="GBM40" s="3327"/>
      <c r="GBN40" s="3327"/>
      <c r="GBO40" s="3327"/>
      <c r="GBP40" s="3327"/>
      <c r="GBQ40" s="3327"/>
      <c r="GBR40" s="3327"/>
      <c r="GBS40" s="3327"/>
      <c r="GBT40" s="3327"/>
      <c r="GBU40" s="3327"/>
      <c r="GBV40" s="3327"/>
      <c r="GBW40" s="3327"/>
      <c r="GBX40" s="3327"/>
      <c r="GBY40" s="3327"/>
      <c r="GBZ40" s="3327"/>
      <c r="GCA40" s="3327"/>
      <c r="GCB40" s="3327"/>
      <c r="GCC40" s="3327"/>
      <c r="GCD40" s="3327"/>
      <c r="GCE40" s="3327"/>
      <c r="GCF40" s="3327"/>
      <c r="GCG40" s="3327"/>
      <c r="GCH40" s="3327"/>
      <c r="GCI40" s="3327"/>
      <c r="GCJ40" s="3327"/>
      <c r="GCK40" s="3327"/>
      <c r="GCL40" s="3327"/>
      <c r="GCM40" s="3327"/>
      <c r="GCN40" s="3327"/>
      <c r="GCO40" s="3327"/>
      <c r="GCP40" s="3327"/>
      <c r="GCQ40" s="3327"/>
      <c r="GCR40" s="3327"/>
      <c r="GCS40" s="3327"/>
      <c r="GCT40" s="3327"/>
      <c r="GCU40" s="3327"/>
      <c r="GCV40" s="3327"/>
      <c r="GCW40" s="3327"/>
      <c r="GCX40" s="3327"/>
      <c r="GCY40" s="3327"/>
      <c r="GCZ40" s="3327"/>
      <c r="GDA40" s="3327"/>
      <c r="GDB40" s="3327"/>
      <c r="GDC40" s="3327"/>
      <c r="GDD40" s="3327"/>
      <c r="GDE40" s="3327"/>
      <c r="GDF40" s="3327"/>
      <c r="GDG40" s="3327"/>
      <c r="GDH40" s="3327"/>
      <c r="GDI40" s="3327"/>
      <c r="GDJ40" s="3327"/>
      <c r="GDK40" s="3327"/>
      <c r="GDL40" s="3327"/>
      <c r="GDM40" s="3327"/>
      <c r="GDN40" s="3327"/>
      <c r="GDO40" s="3327"/>
      <c r="GDP40" s="3327"/>
      <c r="GDQ40" s="3327"/>
      <c r="GDR40" s="3327"/>
      <c r="GDS40" s="3327"/>
      <c r="GDT40" s="3327"/>
      <c r="GDU40" s="3327"/>
      <c r="GDV40" s="3327"/>
      <c r="GDW40" s="3327"/>
      <c r="GDX40" s="3327"/>
      <c r="GDY40" s="3327"/>
      <c r="GDZ40" s="3327"/>
      <c r="GEA40" s="3327"/>
      <c r="GEB40" s="3327"/>
      <c r="GEC40" s="3327"/>
      <c r="GED40" s="3327"/>
      <c r="GEE40" s="3327"/>
      <c r="GEF40" s="3327"/>
      <c r="GEG40" s="3327"/>
      <c r="GEH40" s="3327"/>
      <c r="GEI40" s="3327"/>
      <c r="GEJ40" s="3327"/>
      <c r="GEK40" s="3327"/>
      <c r="GEL40" s="3327"/>
      <c r="GEM40" s="3327"/>
      <c r="GEN40" s="3327"/>
      <c r="GEO40" s="3327"/>
      <c r="GEP40" s="3327"/>
      <c r="GEQ40" s="3327"/>
      <c r="GER40" s="3327"/>
      <c r="GES40" s="3327"/>
      <c r="GET40" s="3327"/>
      <c r="GEU40" s="3327"/>
      <c r="GEV40" s="3327"/>
      <c r="GEW40" s="3327"/>
      <c r="GEX40" s="3327"/>
      <c r="GEY40" s="3327"/>
      <c r="GEZ40" s="3327"/>
      <c r="GFA40" s="3327"/>
      <c r="GFB40" s="3327"/>
      <c r="GFC40" s="3327"/>
      <c r="GFD40" s="3327"/>
      <c r="GFE40" s="3327"/>
      <c r="GFF40" s="3327"/>
      <c r="GFG40" s="3327"/>
      <c r="GFH40" s="3327"/>
      <c r="GFI40" s="3327"/>
      <c r="GFJ40" s="3327"/>
      <c r="GFK40" s="3327"/>
      <c r="GFL40" s="3327"/>
      <c r="GFM40" s="3327"/>
      <c r="GFN40" s="3327"/>
      <c r="GFO40" s="3327"/>
      <c r="GFP40" s="3327"/>
      <c r="GFQ40" s="3327"/>
      <c r="GFR40" s="3327"/>
      <c r="GFS40" s="3327"/>
      <c r="GFT40" s="3327"/>
      <c r="GFU40" s="3327"/>
      <c r="GFV40" s="3327"/>
      <c r="GFW40" s="3327"/>
      <c r="GFX40" s="3327"/>
      <c r="GFY40" s="3327"/>
      <c r="GFZ40" s="3327"/>
      <c r="GGA40" s="3327"/>
      <c r="GGB40" s="3327"/>
      <c r="GGC40" s="3327"/>
      <c r="GGD40" s="3327"/>
      <c r="GGE40" s="3327"/>
      <c r="GGF40" s="3327"/>
      <c r="GGG40" s="3327"/>
      <c r="GGH40" s="3327"/>
      <c r="GGI40" s="3327"/>
      <c r="GGJ40" s="3327"/>
      <c r="GGK40" s="3327"/>
      <c r="GGL40" s="3327"/>
      <c r="GGM40" s="3327"/>
      <c r="GGN40" s="3327"/>
      <c r="GGO40" s="3327"/>
      <c r="GGP40" s="3327"/>
      <c r="GGQ40" s="3327"/>
      <c r="GGR40" s="3327"/>
      <c r="GGS40" s="3327"/>
      <c r="GGT40" s="3327"/>
      <c r="GGU40" s="3327"/>
      <c r="GGV40" s="3327"/>
      <c r="GGW40" s="3327"/>
      <c r="GGX40" s="3327"/>
      <c r="GGY40" s="3327"/>
      <c r="GGZ40" s="3327"/>
      <c r="GHA40" s="3327"/>
      <c r="GHB40" s="3327"/>
      <c r="GHC40" s="3327"/>
      <c r="GHD40" s="3327"/>
      <c r="GHE40" s="3327"/>
      <c r="GHF40" s="3327"/>
      <c r="GHG40" s="3327"/>
      <c r="GHH40" s="3327"/>
      <c r="GHI40" s="3327"/>
      <c r="GHJ40" s="3327"/>
      <c r="GHK40" s="3327"/>
      <c r="GHL40" s="3327"/>
      <c r="GHM40" s="3327"/>
      <c r="GHN40" s="3327"/>
      <c r="GHO40" s="3327"/>
      <c r="GHP40" s="3327"/>
      <c r="GHQ40" s="3327"/>
      <c r="GHR40" s="3327"/>
      <c r="GHS40" s="3327"/>
      <c r="GHT40" s="3327"/>
      <c r="GHU40" s="3327"/>
      <c r="GHV40" s="3327"/>
      <c r="GHW40" s="3327"/>
      <c r="GHX40" s="3327"/>
      <c r="GHY40" s="3327"/>
      <c r="GHZ40" s="3327"/>
      <c r="GIA40" s="3327"/>
      <c r="GIB40" s="3327"/>
      <c r="GIC40" s="3327"/>
      <c r="GID40" s="3327"/>
      <c r="GIE40" s="3327"/>
      <c r="GIF40" s="3327"/>
      <c r="GIG40" s="3327"/>
      <c r="GIH40" s="3327"/>
      <c r="GII40" s="3327"/>
      <c r="GIJ40" s="3327"/>
      <c r="GIK40" s="3327"/>
      <c r="GIL40" s="3327"/>
      <c r="GIM40" s="3327"/>
      <c r="GIN40" s="3327"/>
      <c r="GIO40" s="3327"/>
      <c r="GIP40" s="3327"/>
      <c r="GIQ40" s="3327"/>
      <c r="GIR40" s="3327"/>
      <c r="GIS40" s="3327"/>
      <c r="GIT40" s="3327"/>
      <c r="GIU40" s="3327"/>
      <c r="GIV40" s="3327"/>
      <c r="GIW40" s="3327"/>
      <c r="GIX40" s="3327"/>
      <c r="GIY40" s="3327"/>
      <c r="GIZ40" s="3327"/>
      <c r="GJA40" s="3327"/>
      <c r="GJB40" s="3327"/>
      <c r="GJC40" s="3327"/>
      <c r="GJD40" s="3327"/>
      <c r="GJE40" s="3327"/>
      <c r="GJF40" s="3327"/>
      <c r="GJG40" s="3327"/>
      <c r="GJH40" s="3327"/>
      <c r="GJI40" s="3327"/>
      <c r="GJJ40" s="3327"/>
      <c r="GJK40" s="3327"/>
      <c r="GJL40" s="3327"/>
      <c r="GJM40" s="3327"/>
      <c r="GJN40" s="3327"/>
      <c r="GJO40" s="3327"/>
      <c r="GJP40" s="3327"/>
      <c r="GJQ40" s="3327"/>
      <c r="GJR40" s="3327"/>
      <c r="GJS40" s="3327"/>
      <c r="GJT40" s="3327"/>
      <c r="GJU40" s="3327"/>
      <c r="GJV40" s="3327"/>
      <c r="GJW40" s="3327"/>
      <c r="GJX40" s="3327"/>
      <c r="GJY40" s="3327"/>
      <c r="GJZ40" s="3327"/>
      <c r="GKA40" s="3327"/>
      <c r="GKB40" s="3327"/>
      <c r="GKC40" s="3327"/>
      <c r="GKD40" s="3327"/>
      <c r="GKE40" s="3327"/>
      <c r="GKF40" s="3327"/>
      <c r="GKG40" s="3327"/>
      <c r="GKH40" s="3327"/>
      <c r="GKI40" s="3327"/>
      <c r="GKJ40" s="3327"/>
      <c r="GKK40" s="3327"/>
      <c r="GKL40" s="3327"/>
      <c r="GKM40" s="3327"/>
      <c r="GKN40" s="3327"/>
      <c r="GKO40" s="3327"/>
      <c r="GKP40" s="3327"/>
      <c r="GKQ40" s="3327"/>
      <c r="GKR40" s="3327"/>
      <c r="GKS40" s="3327"/>
      <c r="GKT40" s="3327"/>
      <c r="GKU40" s="3327"/>
      <c r="GKV40" s="3327"/>
      <c r="GKW40" s="3327"/>
      <c r="GKX40" s="3327"/>
      <c r="GKY40" s="3327"/>
      <c r="GKZ40" s="3327"/>
      <c r="GLA40" s="3327"/>
      <c r="GLB40" s="3327"/>
      <c r="GLC40" s="3327"/>
      <c r="GLD40" s="3327"/>
      <c r="GLE40" s="3327"/>
      <c r="GLF40" s="3327"/>
      <c r="GLG40" s="3327"/>
      <c r="GLH40" s="3327"/>
      <c r="GLI40" s="3327"/>
      <c r="GLJ40" s="3327"/>
      <c r="GLK40" s="3327"/>
      <c r="GLL40" s="3327"/>
      <c r="GLM40" s="3327"/>
      <c r="GLN40" s="3327"/>
      <c r="GLO40" s="3327"/>
      <c r="GLP40" s="3327"/>
      <c r="GLQ40" s="3327"/>
      <c r="GLR40" s="3327"/>
      <c r="GLS40" s="3327"/>
      <c r="GLT40" s="3327"/>
      <c r="GLU40" s="3327"/>
      <c r="GLV40" s="3327"/>
      <c r="GLW40" s="3327"/>
      <c r="GLX40" s="3327"/>
      <c r="GLY40" s="3327"/>
      <c r="GLZ40" s="3327"/>
      <c r="GMA40" s="3327"/>
      <c r="GMB40" s="3327"/>
      <c r="GMC40" s="3327"/>
      <c r="GMD40" s="3327"/>
      <c r="GME40" s="3327"/>
      <c r="GMF40" s="3327"/>
      <c r="GMG40" s="3327"/>
      <c r="GMH40" s="3327"/>
      <c r="GMI40" s="3327"/>
      <c r="GMJ40" s="3327"/>
      <c r="GMK40" s="3327"/>
      <c r="GML40" s="3327"/>
      <c r="GMM40" s="3327"/>
      <c r="GMN40" s="3327"/>
      <c r="GMO40" s="3327"/>
      <c r="GMP40" s="3327"/>
      <c r="GMQ40" s="3327"/>
      <c r="GMR40" s="3327"/>
      <c r="GMS40" s="3327"/>
      <c r="GMT40" s="3327"/>
      <c r="GMU40" s="3327"/>
      <c r="GMV40" s="3327"/>
      <c r="GMW40" s="3327"/>
      <c r="GMX40" s="3327"/>
      <c r="GMY40" s="3327"/>
      <c r="GMZ40" s="3327"/>
      <c r="GNA40" s="3327"/>
      <c r="GNB40" s="3327"/>
      <c r="GNC40" s="3327"/>
      <c r="GND40" s="3327"/>
      <c r="GNE40" s="3327"/>
      <c r="GNF40" s="3327"/>
      <c r="GNG40" s="3327"/>
      <c r="GNH40" s="3327"/>
      <c r="GNI40" s="3327"/>
      <c r="GNJ40" s="3327"/>
      <c r="GNK40" s="3327"/>
      <c r="GNL40" s="3327"/>
      <c r="GNM40" s="3327"/>
      <c r="GNN40" s="3327"/>
      <c r="GNO40" s="3327"/>
      <c r="GNP40" s="3327"/>
      <c r="GNQ40" s="3327"/>
      <c r="GNR40" s="3327"/>
      <c r="GNS40" s="3327"/>
      <c r="GNT40" s="3327"/>
      <c r="GNU40" s="3327"/>
      <c r="GNV40" s="3327"/>
      <c r="GNW40" s="3327"/>
      <c r="GNX40" s="3327"/>
      <c r="GNY40" s="3327"/>
      <c r="GNZ40" s="3327"/>
      <c r="GOA40" s="3327"/>
      <c r="GOB40" s="3327"/>
      <c r="GOC40" s="3327"/>
      <c r="GOD40" s="3327"/>
      <c r="GOE40" s="3327"/>
      <c r="GOF40" s="3327"/>
      <c r="GOG40" s="3327"/>
      <c r="GOH40" s="3327"/>
      <c r="GOI40" s="3327"/>
      <c r="GOJ40" s="3327"/>
      <c r="GOK40" s="3327"/>
      <c r="GOL40" s="3327"/>
      <c r="GOM40" s="3327"/>
      <c r="GON40" s="3327"/>
      <c r="GOO40" s="3327"/>
      <c r="GOP40" s="3327"/>
      <c r="GOQ40" s="3327"/>
      <c r="GOR40" s="3327"/>
      <c r="GOS40" s="3327"/>
      <c r="GOT40" s="3327"/>
      <c r="GOU40" s="3327"/>
      <c r="GOV40" s="3327"/>
      <c r="GOW40" s="3327"/>
      <c r="GOX40" s="3327"/>
      <c r="GOY40" s="3327"/>
      <c r="GOZ40" s="3327"/>
      <c r="GPA40" s="3327"/>
      <c r="GPB40" s="3327"/>
      <c r="GPC40" s="3327"/>
      <c r="GPD40" s="3327"/>
      <c r="GPE40" s="3327"/>
      <c r="GPF40" s="3327"/>
      <c r="GPG40" s="3327"/>
      <c r="GPH40" s="3327"/>
      <c r="GPI40" s="3327"/>
      <c r="GPJ40" s="3327"/>
      <c r="GPK40" s="3327"/>
      <c r="GPL40" s="3327"/>
      <c r="GPM40" s="3327"/>
      <c r="GPN40" s="3327"/>
      <c r="GPO40" s="3327"/>
      <c r="GPP40" s="3327"/>
      <c r="GPQ40" s="3327"/>
      <c r="GPR40" s="3327"/>
      <c r="GPS40" s="3327"/>
      <c r="GPT40" s="3327"/>
      <c r="GPU40" s="3327"/>
      <c r="GPV40" s="3327"/>
      <c r="GPW40" s="3327"/>
      <c r="GPX40" s="3327"/>
      <c r="GPY40" s="3327"/>
      <c r="GPZ40" s="3327"/>
      <c r="GQA40" s="3327"/>
      <c r="GQB40" s="3327"/>
      <c r="GQC40" s="3327"/>
      <c r="GQD40" s="3327"/>
      <c r="GQE40" s="3327"/>
      <c r="GQF40" s="3327"/>
      <c r="GQG40" s="3327"/>
      <c r="GQH40" s="3327"/>
      <c r="GQI40" s="3327"/>
      <c r="GQJ40" s="3327"/>
      <c r="GQK40" s="3327"/>
      <c r="GQL40" s="3327"/>
      <c r="GQM40" s="3327"/>
      <c r="GQN40" s="3327"/>
      <c r="GQO40" s="3327"/>
      <c r="GQP40" s="3327"/>
      <c r="GQQ40" s="3327"/>
      <c r="GQR40" s="3327"/>
      <c r="GQS40" s="3327"/>
      <c r="GQT40" s="3327"/>
      <c r="GQU40" s="3327"/>
      <c r="GQV40" s="3327"/>
      <c r="GQW40" s="3327"/>
      <c r="GQX40" s="3327"/>
      <c r="GQY40" s="3327"/>
      <c r="GQZ40" s="3327"/>
      <c r="GRA40" s="3327"/>
      <c r="GRB40" s="3327"/>
      <c r="GRC40" s="3327"/>
      <c r="GRD40" s="3327"/>
      <c r="GRE40" s="3327"/>
      <c r="GRF40" s="3327"/>
      <c r="GRG40" s="3327"/>
      <c r="GRH40" s="3327"/>
      <c r="GRI40" s="3327"/>
      <c r="GRJ40" s="3327"/>
      <c r="GRK40" s="3327"/>
      <c r="GRL40" s="3327"/>
      <c r="GRM40" s="3327"/>
      <c r="GRN40" s="3327"/>
      <c r="GRO40" s="3327"/>
      <c r="GRP40" s="3327"/>
      <c r="GRQ40" s="3327"/>
      <c r="GRR40" s="3327"/>
      <c r="GRS40" s="3327"/>
      <c r="GRT40" s="3327"/>
      <c r="GRU40" s="3327"/>
      <c r="GRV40" s="3327"/>
      <c r="GRW40" s="3327"/>
      <c r="GRX40" s="3327"/>
      <c r="GRY40" s="3327"/>
      <c r="GRZ40" s="3327"/>
      <c r="GSA40" s="3327"/>
      <c r="GSB40" s="3327"/>
      <c r="GSC40" s="3327"/>
      <c r="GSD40" s="3327"/>
      <c r="GSE40" s="3327"/>
      <c r="GSF40" s="3327"/>
      <c r="GSG40" s="3327"/>
      <c r="GSH40" s="3327"/>
      <c r="GSI40" s="3327"/>
      <c r="GSJ40" s="3327"/>
      <c r="GSK40" s="3327"/>
      <c r="GSL40" s="3327"/>
      <c r="GSM40" s="3327"/>
      <c r="GSN40" s="3327"/>
      <c r="GSO40" s="3327"/>
      <c r="GSP40" s="3327"/>
      <c r="GSQ40" s="3327"/>
      <c r="GSR40" s="3327"/>
      <c r="GSS40" s="3327"/>
      <c r="GST40" s="3327"/>
      <c r="GSU40" s="3327"/>
      <c r="GSV40" s="3327"/>
      <c r="GSW40" s="3327"/>
      <c r="GSX40" s="3327"/>
      <c r="GSY40" s="3327"/>
      <c r="GSZ40" s="3327"/>
      <c r="GTA40" s="3327"/>
      <c r="GTB40" s="3327"/>
      <c r="GTC40" s="3327"/>
      <c r="GTD40" s="3327"/>
      <c r="GTE40" s="3327"/>
      <c r="GTF40" s="3327"/>
      <c r="GTG40" s="3327"/>
      <c r="GTH40" s="3327"/>
      <c r="GTI40" s="3327"/>
      <c r="GTJ40" s="3327"/>
      <c r="GTK40" s="3327"/>
      <c r="GTL40" s="3327"/>
      <c r="GTM40" s="3327"/>
      <c r="GTN40" s="3327"/>
      <c r="GTO40" s="3327"/>
      <c r="GTP40" s="3327"/>
      <c r="GTQ40" s="3327"/>
      <c r="GTR40" s="3327"/>
      <c r="GTS40" s="3327"/>
      <c r="GTT40" s="3327"/>
      <c r="GTU40" s="3327"/>
      <c r="GTV40" s="3327"/>
      <c r="GTW40" s="3327"/>
      <c r="GTX40" s="3327"/>
      <c r="GTY40" s="3327"/>
      <c r="GTZ40" s="3327"/>
      <c r="GUA40" s="3327"/>
      <c r="GUB40" s="3327"/>
      <c r="GUC40" s="3327"/>
      <c r="GUD40" s="3327"/>
      <c r="GUE40" s="3327"/>
      <c r="GUF40" s="3327"/>
      <c r="GUG40" s="3327"/>
      <c r="GUH40" s="3327"/>
      <c r="GUI40" s="3327"/>
      <c r="GUJ40" s="3327"/>
      <c r="GUK40" s="3327"/>
      <c r="GUL40" s="3327"/>
      <c r="GUM40" s="3327"/>
      <c r="GUN40" s="3327"/>
      <c r="GUO40" s="3327"/>
      <c r="GUP40" s="3327"/>
      <c r="GUQ40" s="3327"/>
      <c r="GUR40" s="3327"/>
      <c r="GUS40" s="3327"/>
      <c r="GUT40" s="3327"/>
      <c r="GUU40" s="3327"/>
      <c r="GUV40" s="3327"/>
      <c r="GUW40" s="3327"/>
      <c r="GUX40" s="3327"/>
      <c r="GUY40" s="3327"/>
      <c r="GUZ40" s="3327"/>
      <c r="GVA40" s="3327"/>
      <c r="GVB40" s="3327"/>
      <c r="GVC40" s="3327"/>
      <c r="GVD40" s="3327"/>
      <c r="GVE40" s="3327"/>
      <c r="GVF40" s="3327"/>
      <c r="GVG40" s="3327"/>
      <c r="GVH40" s="3327"/>
      <c r="GVI40" s="3327"/>
      <c r="GVJ40" s="3327"/>
      <c r="GVK40" s="3327"/>
      <c r="GVL40" s="3327"/>
      <c r="GVM40" s="3327"/>
      <c r="GVN40" s="3327"/>
      <c r="GVO40" s="3327"/>
      <c r="GVP40" s="3327"/>
      <c r="GVQ40" s="3327"/>
      <c r="GVR40" s="3327"/>
      <c r="GVS40" s="3327"/>
      <c r="GVT40" s="3327"/>
      <c r="GVU40" s="3327"/>
      <c r="GVV40" s="3327"/>
      <c r="GVW40" s="3327"/>
      <c r="GVX40" s="3327"/>
      <c r="GVY40" s="3327"/>
      <c r="GVZ40" s="3327"/>
      <c r="GWA40" s="3327"/>
      <c r="GWB40" s="3327"/>
      <c r="GWC40" s="3327"/>
      <c r="GWD40" s="3327"/>
      <c r="GWE40" s="3327"/>
      <c r="GWF40" s="3327"/>
      <c r="GWG40" s="3327"/>
      <c r="GWH40" s="3327"/>
      <c r="GWI40" s="3327"/>
      <c r="GWJ40" s="3327"/>
      <c r="GWK40" s="3327"/>
      <c r="GWL40" s="3327"/>
      <c r="GWM40" s="3327"/>
      <c r="GWN40" s="3327"/>
      <c r="GWO40" s="3327"/>
      <c r="GWP40" s="3327"/>
      <c r="GWQ40" s="3327"/>
      <c r="GWR40" s="3327"/>
      <c r="GWS40" s="3327"/>
      <c r="GWT40" s="3327"/>
      <c r="GWU40" s="3327"/>
      <c r="GWV40" s="3327"/>
      <c r="GWW40" s="3327"/>
      <c r="GWX40" s="3327"/>
      <c r="GWY40" s="3327"/>
      <c r="GWZ40" s="3327"/>
      <c r="GXA40" s="3327"/>
      <c r="GXB40" s="3327"/>
      <c r="GXC40" s="3327"/>
      <c r="GXD40" s="3327"/>
      <c r="GXE40" s="3327"/>
      <c r="GXF40" s="3327"/>
      <c r="GXG40" s="3327"/>
      <c r="GXH40" s="3327"/>
      <c r="GXI40" s="3327"/>
      <c r="GXJ40" s="3327"/>
      <c r="GXK40" s="3327"/>
      <c r="GXL40" s="3327"/>
      <c r="GXM40" s="3327"/>
      <c r="GXN40" s="3327"/>
      <c r="GXO40" s="3327"/>
      <c r="GXP40" s="3327"/>
      <c r="GXQ40" s="3327"/>
      <c r="GXR40" s="3327"/>
      <c r="GXS40" s="3327"/>
      <c r="GXT40" s="3327"/>
      <c r="GXU40" s="3327"/>
      <c r="GXV40" s="3327"/>
      <c r="GXW40" s="3327"/>
      <c r="GXX40" s="3327"/>
      <c r="GXY40" s="3327"/>
      <c r="GXZ40" s="3327"/>
      <c r="GYA40" s="3327"/>
      <c r="GYB40" s="3327"/>
      <c r="GYC40" s="3327"/>
      <c r="GYD40" s="3327"/>
      <c r="GYE40" s="3327"/>
      <c r="GYF40" s="3327"/>
      <c r="GYG40" s="3327"/>
      <c r="GYH40" s="3327"/>
      <c r="GYI40" s="3327"/>
      <c r="GYJ40" s="3327"/>
      <c r="GYK40" s="3327"/>
      <c r="GYL40" s="3327"/>
      <c r="GYM40" s="3327"/>
      <c r="GYN40" s="3327"/>
      <c r="GYO40" s="3327"/>
      <c r="GYP40" s="3327"/>
      <c r="GYQ40" s="3327"/>
      <c r="GYR40" s="3327"/>
      <c r="GYS40" s="3327"/>
      <c r="GYT40" s="3327"/>
      <c r="GYU40" s="3327"/>
      <c r="GYV40" s="3327"/>
      <c r="GYW40" s="3327"/>
      <c r="GYX40" s="3327"/>
      <c r="GYY40" s="3327"/>
      <c r="GYZ40" s="3327"/>
      <c r="GZA40" s="3327"/>
      <c r="GZB40" s="3327"/>
      <c r="GZC40" s="3327"/>
      <c r="GZD40" s="3327"/>
      <c r="GZE40" s="3327"/>
      <c r="GZF40" s="3327"/>
      <c r="GZG40" s="3327"/>
      <c r="GZH40" s="3327"/>
      <c r="GZI40" s="3327"/>
      <c r="GZJ40" s="3327"/>
      <c r="GZK40" s="3327"/>
      <c r="GZL40" s="3327"/>
      <c r="GZM40" s="3327"/>
      <c r="GZN40" s="3327"/>
      <c r="GZO40" s="3327"/>
      <c r="GZP40" s="3327"/>
      <c r="GZQ40" s="3327"/>
      <c r="GZR40" s="3327"/>
      <c r="GZS40" s="3327"/>
      <c r="GZT40" s="3327"/>
      <c r="GZU40" s="3327"/>
      <c r="GZV40" s="3327"/>
      <c r="GZW40" s="3327"/>
      <c r="GZX40" s="3327"/>
      <c r="GZY40" s="3327"/>
      <c r="GZZ40" s="3327"/>
      <c r="HAA40" s="3327"/>
      <c r="HAB40" s="3327"/>
      <c r="HAC40" s="3327"/>
      <c r="HAD40" s="3327"/>
      <c r="HAE40" s="3327"/>
      <c r="HAF40" s="3327"/>
      <c r="HAG40" s="3327"/>
      <c r="HAH40" s="3327"/>
      <c r="HAI40" s="3327"/>
      <c r="HAJ40" s="3327"/>
      <c r="HAK40" s="3327"/>
      <c r="HAL40" s="3327"/>
      <c r="HAM40" s="3327"/>
      <c r="HAN40" s="3327"/>
      <c r="HAO40" s="3327"/>
      <c r="HAP40" s="3327"/>
      <c r="HAQ40" s="3327"/>
      <c r="HAR40" s="3327"/>
      <c r="HAS40" s="3327"/>
      <c r="HAT40" s="3327"/>
      <c r="HAU40" s="3327"/>
      <c r="HAV40" s="3327"/>
      <c r="HAW40" s="3327"/>
      <c r="HAX40" s="3327"/>
      <c r="HAY40" s="3327"/>
      <c r="HAZ40" s="3327"/>
      <c r="HBA40" s="3327"/>
      <c r="HBB40" s="3327"/>
      <c r="HBC40" s="3327"/>
      <c r="HBD40" s="3327"/>
      <c r="HBE40" s="3327"/>
      <c r="HBF40" s="3327"/>
      <c r="HBG40" s="3327"/>
      <c r="HBH40" s="3327"/>
      <c r="HBI40" s="3327"/>
      <c r="HBJ40" s="3327"/>
      <c r="HBK40" s="3327"/>
      <c r="HBL40" s="3327"/>
      <c r="HBM40" s="3327"/>
      <c r="HBN40" s="3327"/>
      <c r="HBO40" s="3327"/>
      <c r="HBP40" s="3327"/>
      <c r="HBQ40" s="3327"/>
      <c r="HBR40" s="3327"/>
      <c r="HBS40" s="3327"/>
      <c r="HBT40" s="3327"/>
      <c r="HBU40" s="3327"/>
      <c r="HBV40" s="3327"/>
      <c r="HBW40" s="3327"/>
      <c r="HBX40" s="3327"/>
      <c r="HBY40" s="3327"/>
      <c r="HBZ40" s="3327"/>
      <c r="HCA40" s="3327"/>
      <c r="HCB40" s="3327"/>
      <c r="HCC40" s="3327"/>
      <c r="HCD40" s="3327"/>
      <c r="HCE40" s="3327"/>
      <c r="HCF40" s="3327"/>
      <c r="HCG40" s="3327"/>
      <c r="HCH40" s="3327"/>
      <c r="HCI40" s="3327"/>
      <c r="HCJ40" s="3327"/>
      <c r="HCK40" s="3327"/>
      <c r="HCL40" s="3327"/>
      <c r="HCM40" s="3327"/>
      <c r="HCN40" s="3327"/>
      <c r="HCO40" s="3327"/>
      <c r="HCP40" s="3327"/>
      <c r="HCQ40" s="3327"/>
      <c r="HCR40" s="3327"/>
      <c r="HCS40" s="3327"/>
      <c r="HCT40" s="3327"/>
      <c r="HCU40" s="3327"/>
      <c r="HCV40" s="3327"/>
      <c r="HCW40" s="3327"/>
      <c r="HCX40" s="3327"/>
      <c r="HCY40" s="3327"/>
      <c r="HCZ40" s="3327"/>
      <c r="HDA40" s="3327"/>
      <c r="HDB40" s="3327"/>
      <c r="HDC40" s="3327"/>
      <c r="HDD40" s="3327"/>
      <c r="HDE40" s="3327"/>
      <c r="HDF40" s="3327"/>
      <c r="HDG40" s="3327"/>
      <c r="HDH40" s="3327"/>
      <c r="HDI40" s="3327"/>
      <c r="HDJ40" s="3327"/>
      <c r="HDK40" s="3327"/>
      <c r="HDL40" s="3327"/>
      <c r="HDM40" s="3327"/>
      <c r="HDN40" s="3327"/>
      <c r="HDO40" s="3327"/>
      <c r="HDP40" s="3327"/>
      <c r="HDQ40" s="3327"/>
      <c r="HDR40" s="3327"/>
      <c r="HDS40" s="3327"/>
      <c r="HDT40" s="3327"/>
      <c r="HDU40" s="3327"/>
      <c r="HDV40" s="3327"/>
      <c r="HDW40" s="3327"/>
      <c r="HDX40" s="3327"/>
      <c r="HDY40" s="3327"/>
      <c r="HDZ40" s="3327"/>
      <c r="HEA40" s="3327"/>
      <c r="HEB40" s="3327"/>
      <c r="HEC40" s="3327"/>
      <c r="HED40" s="3327"/>
      <c r="HEE40" s="3327"/>
      <c r="HEF40" s="3327"/>
      <c r="HEG40" s="3327"/>
      <c r="HEH40" s="3327"/>
      <c r="HEI40" s="3327"/>
      <c r="HEJ40" s="3327"/>
      <c r="HEK40" s="3327"/>
      <c r="HEL40" s="3327"/>
      <c r="HEM40" s="3327"/>
      <c r="HEN40" s="3327"/>
      <c r="HEO40" s="3327"/>
      <c r="HEP40" s="3327"/>
      <c r="HEQ40" s="3327"/>
      <c r="HER40" s="3327"/>
      <c r="HES40" s="3327"/>
      <c r="HET40" s="3327"/>
      <c r="HEU40" s="3327"/>
      <c r="HEV40" s="3327"/>
      <c r="HEW40" s="3327"/>
      <c r="HEX40" s="3327"/>
      <c r="HEY40" s="3327"/>
      <c r="HEZ40" s="3327"/>
      <c r="HFA40" s="3327"/>
      <c r="HFB40" s="3327"/>
      <c r="HFC40" s="3327"/>
      <c r="HFD40" s="3327"/>
      <c r="HFE40" s="3327"/>
      <c r="HFF40" s="3327"/>
      <c r="HFG40" s="3327"/>
      <c r="HFH40" s="3327"/>
      <c r="HFI40" s="3327"/>
      <c r="HFJ40" s="3327"/>
      <c r="HFK40" s="3327"/>
      <c r="HFL40" s="3327"/>
      <c r="HFM40" s="3327"/>
      <c r="HFN40" s="3327"/>
      <c r="HFO40" s="3327"/>
      <c r="HFP40" s="3327"/>
      <c r="HFQ40" s="3327"/>
      <c r="HFR40" s="3327"/>
      <c r="HFS40" s="3327"/>
      <c r="HFT40" s="3327"/>
      <c r="HFU40" s="3327"/>
      <c r="HFV40" s="3327"/>
      <c r="HFW40" s="3327"/>
      <c r="HFX40" s="3327"/>
      <c r="HFY40" s="3327"/>
      <c r="HFZ40" s="3327"/>
      <c r="HGA40" s="3327"/>
      <c r="HGB40" s="3327"/>
      <c r="HGC40" s="3327"/>
      <c r="HGD40" s="3327"/>
      <c r="HGE40" s="3327"/>
      <c r="HGF40" s="3327"/>
      <c r="HGG40" s="3327"/>
      <c r="HGH40" s="3327"/>
      <c r="HGI40" s="3327"/>
      <c r="HGJ40" s="3327"/>
      <c r="HGK40" s="3327"/>
      <c r="HGL40" s="3327"/>
      <c r="HGM40" s="3327"/>
      <c r="HGN40" s="3327"/>
      <c r="HGO40" s="3327"/>
      <c r="HGP40" s="3327"/>
      <c r="HGQ40" s="3327"/>
      <c r="HGR40" s="3327"/>
      <c r="HGS40" s="3327"/>
      <c r="HGT40" s="3327"/>
      <c r="HGU40" s="3327"/>
      <c r="HGV40" s="3327"/>
      <c r="HGW40" s="3327"/>
      <c r="HGX40" s="3327"/>
      <c r="HGY40" s="3327"/>
      <c r="HGZ40" s="3327"/>
      <c r="HHA40" s="3327"/>
      <c r="HHB40" s="3327"/>
      <c r="HHC40" s="3327"/>
      <c r="HHD40" s="3327"/>
      <c r="HHE40" s="3327"/>
      <c r="HHF40" s="3327"/>
      <c r="HHG40" s="3327"/>
      <c r="HHH40" s="3327"/>
      <c r="HHI40" s="3327"/>
      <c r="HHJ40" s="3327"/>
      <c r="HHK40" s="3327"/>
      <c r="HHL40" s="3327"/>
      <c r="HHM40" s="3327"/>
      <c r="HHN40" s="3327"/>
      <c r="HHO40" s="3327"/>
      <c r="HHP40" s="3327"/>
      <c r="HHQ40" s="3327"/>
      <c r="HHR40" s="3327"/>
      <c r="HHS40" s="3327"/>
      <c r="HHT40" s="3327"/>
      <c r="HHU40" s="3327"/>
      <c r="HHV40" s="3327"/>
      <c r="HHW40" s="3327"/>
      <c r="HHX40" s="3327"/>
      <c r="HHY40" s="3327"/>
      <c r="HHZ40" s="3327"/>
      <c r="HIA40" s="3327"/>
      <c r="HIB40" s="3327"/>
      <c r="HIC40" s="3327"/>
      <c r="HID40" s="3327"/>
      <c r="HIE40" s="3327"/>
      <c r="HIF40" s="3327"/>
      <c r="HIG40" s="3327"/>
      <c r="HIH40" s="3327"/>
      <c r="HII40" s="3327"/>
      <c r="HIJ40" s="3327"/>
      <c r="HIK40" s="3327"/>
      <c r="HIL40" s="3327"/>
      <c r="HIM40" s="3327"/>
      <c r="HIN40" s="3327"/>
      <c r="HIO40" s="3327"/>
      <c r="HIP40" s="3327"/>
      <c r="HIQ40" s="3327"/>
      <c r="HIR40" s="3327"/>
      <c r="HIS40" s="3327"/>
      <c r="HIT40" s="3327"/>
      <c r="HIU40" s="3327"/>
      <c r="HIV40" s="3327"/>
      <c r="HIW40" s="3327"/>
      <c r="HIX40" s="3327"/>
      <c r="HIY40" s="3327"/>
      <c r="HIZ40" s="3327"/>
      <c r="HJA40" s="3327"/>
      <c r="HJB40" s="3327"/>
      <c r="HJC40" s="3327"/>
      <c r="HJD40" s="3327"/>
      <c r="HJE40" s="3327"/>
      <c r="HJF40" s="3327"/>
      <c r="HJG40" s="3327"/>
      <c r="HJH40" s="3327"/>
      <c r="HJI40" s="3327"/>
      <c r="HJJ40" s="3327"/>
      <c r="HJK40" s="3327"/>
      <c r="HJL40" s="3327"/>
      <c r="HJM40" s="3327"/>
      <c r="HJN40" s="3327"/>
      <c r="HJO40" s="3327"/>
      <c r="HJP40" s="3327"/>
      <c r="HJQ40" s="3327"/>
      <c r="HJR40" s="3327"/>
      <c r="HJS40" s="3327"/>
      <c r="HJT40" s="3327"/>
      <c r="HJU40" s="3327"/>
      <c r="HJV40" s="3327"/>
      <c r="HJW40" s="3327"/>
      <c r="HJX40" s="3327"/>
      <c r="HJY40" s="3327"/>
      <c r="HJZ40" s="3327"/>
      <c r="HKA40" s="3327"/>
      <c r="HKB40" s="3327"/>
      <c r="HKC40" s="3327"/>
      <c r="HKD40" s="3327"/>
      <c r="HKE40" s="3327"/>
      <c r="HKF40" s="3327"/>
      <c r="HKG40" s="3327"/>
      <c r="HKH40" s="3327"/>
      <c r="HKI40" s="3327"/>
      <c r="HKJ40" s="3327"/>
      <c r="HKK40" s="3327"/>
      <c r="HKL40" s="3327"/>
      <c r="HKM40" s="3327"/>
      <c r="HKN40" s="3327"/>
      <c r="HKO40" s="3327"/>
      <c r="HKP40" s="3327"/>
      <c r="HKQ40" s="3327"/>
      <c r="HKR40" s="3327"/>
      <c r="HKS40" s="3327"/>
      <c r="HKT40" s="3327"/>
      <c r="HKU40" s="3327"/>
      <c r="HKV40" s="3327"/>
      <c r="HKW40" s="3327"/>
      <c r="HKX40" s="3327"/>
      <c r="HKY40" s="3327"/>
      <c r="HKZ40" s="3327"/>
      <c r="HLA40" s="3327"/>
      <c r="HLB40" s="3327"/>
      <c r="HLC40" s="3327"/>
      <c r="HLD40" s="3327"/>
      <c r="HLE40" s="3327"/>
      <c r="HLF40" s="3327"/>
      <c r="HLG40" s="3327"/>
      <c r="HLH40" s="3327"/>
      <c r="HLI40" s="3327"/>
      <c r="HLJ40" s="3327"/>
      <c r="HLK40" s="3327"/>
      <c r="HLL40" s="3327"/>
      <c r="HLM40" s="3327"/>
      <c r="HLN40" s="3327"/>
      <c r="HLO40" s="3327"/>
      <c r="HLP40" s="3327"/>
      <c r="HLQ40" s="3327"/>
      <c r="HLR40" s="3327"/>
      <c r="HLS40" s="3327"/>
      <c r="HLT40" s="3327"/>
      <c r="HLU40" s="3327"/>
      <c r="HLV40" s="3327"/>
      <c r="HLW40" s="3327"/>
      <c r="HLX40" s="3327"/>
      <c r="HLY40" s="3327"/>
      <c r="HLZ40" s="3327"/>
      <c r="HMA40" s="3327"/>
      <c r="HMB40" s="3327"/>
      <c r="HMC40" s="3327"/>
      <c r="HMD40" s="3327"/>
      <c r="HME40" s="3327"/>
      <c r="HMF40" s="3327"/>
      <c r="HMG40" s="3327"/>
      <c r="HMH40" s="3327"/>
      <c r="HMI40" s="3327"/>
      <c r="HMJ40" s="3327"/>
      <c r="HMK40" s="3327"/>
      <c r="HML40" s="3327"/>
      <c r="HMM40" s="3327"/>
      <c r="HMN40" s="3327"/>
      <c r="HMO40" s="3327"/>
      <c r="HMP40" s="3327"/>
      <c r="HMQ40" s="3327"/>
      <c r="HMR40" s="3327"/>
      <c r="HMS40" s="3327"/>
      <c r="HMT40" s="3327"/>
      <c r="HMU40" s="3327"/>
      <c r="HMV40" s="3327"/>
      <c r="HMW40" s="3327"/>
      <c r="HMX40" s="3327"/>
      <c r="HMY40" s="3327"/>
      <c r="HMZ40" s="3327"/>
      <c r="HNA40" s="3327"/>
      <c r="HNB40" s="3327"/>
      <c r="HNC40" s="3327"/>
      <c r="HND40" s="3327"/>
      <c r="HNE40" s="3327"/>
      <c r="HNF40" s="3327"/>
      <c r="HNG40" s="3327"/>
      <c r="HNH40" s="3327"/>
      <c r="HNI40" s="3327"/>
      <c r="HNJ40" s="3327"/>
      <c r="HNK40" s="3327"/>
      <c r="HNL40" s="3327"/>
      <c r="HNM40" s="3327"/>
      <c r="HNN40" s="3327"/>
      <c r="HNO40" s="3327"/>
      <c r="HNP40" s="3327"/>
      <c r="HNQ40" s="3327"/>
      <c r="HNR40" s="3327"/>
      <c r="HNS40" s="3327"/>
      <c r="HNT40" s="3327"/>
      <c r="HNU40" s="3327"/>
      <c r="HNV40" s="3327"/>
      <c r="HNW40" s="3327"/>
      <c r="HNX40" s="3327"/>
      <c r="HNY40" s="3327"/>
      <c r="HNZ40" s="3327"/>
      <c r="HOA40" s="3327"/>
      <c r="HOB40" s="3327"/>
      <c r="HOC40" s="3327"/>
      <c r="HOD40" s="3327"/>
      <c r="HOE40" s="3327"/>
      <c r="HOF40" s="3327"/>
      <c r="HOG40" s="3327"/>
      <c r="HOH40" s="3327"/>
      <c r="HOI40" s="3327"/>
      <c r="HOJ40" s="3327"/>
      <c r="HOK40" s="3327"/>
      <c r="HOL40" s="3327"/>
      <c r="HOM40" s="3327"/>
      <c r="HON40" s="3327"/>
      <c r="HOO40" s="3327"/>
      <c r="HOP40" s="3327"/>
      <c r="HOQ40" s="3327"/>
      <c r="HOR40" s="3327"/>
      <c r="HOS40" s="3327"/>
      <c r="HOT40" s="3327"/>
      <c r="HOU40" s="3327"/>
      <c r="HOV40" s="3327"/>
      <c r="HOW40" s="3327"/>
      <c r="HOX40" s="3327"/>
      <c r="HOY40" s="3327"/>
      <c r="HOZ40" s="3327"/>
      <c r="HPA40" s="3327"/>
      <c r="HPB40" s="3327"/>
      <c r="HPC40" s="3327"/>
      <c r="HPD40" s="3327"/>
      <c r="HPE40" s="3327"/>
      <c r="HPF40" s="3327"/>
      <c r="HPG40" s="3327"/>
      <c r="HPH40" s="3327"/>
      <c r="HPI40" s="3327"/>
      <c r="HPJ40" s="3327"/>
      <c r="HPK40" s="3327"/>
      <c r="HPL40" s="3327"/>
      <c r="HPM40" s="3327"/>
      <c r="HPN40" s="3327"/>
      <c r="HPO40" s="3327"/>
      <c r="HPP40" s="3327"/>
      <c r="HPQ40" s="3327"/>
      <c r="HPR40" s="3327"/>
      <c r="HPS40" s="3327"/>
      <c r="HPT40" s="3327"/>
      <c r="HPU40" s="3327"/>
      <c r="HPV40" s="3327"/>
      <c r="HPW40" s="3327"/>
      <c r="HPX40" s="3327"/>
      <c r="HPY40" s="3327"/>
      <c r="HPZ40" s="3327"/>
      <c r="HQA40" s="3327"/>
      <c r="HQB40" s="3327"/>
      <c r="HQC40" s="3327"/>
      <c r="HQD40" s="3327"/>
      <c r="HQE40" s="3327"/>
      <c r="HQF40" s="3327"/>
      <c r="HQG40" s="3327"/>
      <c r="HQH40" s="3327"/>
      <c r="HQI40" s="3327"/>
      <c r="HQJ40" s="3327"/>
      <c r="HQK40" s="3327"/>
      <c r="HQL40" s="3327"/>
      <c r="HQM40" s="3327"/>
      <c r="HQN40" s="3327"/>
      <c r="HQO40" s="3327"/>
      <c r="HQP40" s="3327"/>
      <c r="HQQ40" s="3327"/>
      <c r="HQR40" s="3327"/>
      <c r="HQS40" s="3327"/>
      <c r="HQT40" s="3327"/>
      <c r="HQU40" s="3327"/>
      <c r="HQV40" s="3327"/>
      <c r="HQW40" s="3327"/>
      <c r="HQX40" s="3327"/>
      <c r="HQY40" s="3327"/>
      <c r="HQZ40" s="3327"/>
      <c r="HRA40" s="3327"/>
      <c r="HRB40" s="3327"/>
      <c r="HRC40" s="3327"/>
      <c r="HRD40" s="3327"/>
      <c r="HRE40" s="3327"/>
      <c r="HRF40" s="3327"/>
      <c r="HRG40" s="3327"/>
      <c r="HRH40" s="3327"/>
      <c r="HRI40" s="3327"/>
      <c r="HRJ40" s="3327"/>
      <c r="HRK40" s="3327"/>
      <c r="HRL40" s="3327"/>
      <c r="HRM40" s="3327"/>
      <c r="HRN40" s="3327"/>
      <c r="HRO40" s="3327"/>
      <c r="HRP40" s="3327"/>
      <c r="HRQ40" s="3327"/>
      <c r="HRR40" s="3327"/>
      <c r="HRS40" s="3327"/>
      <c r="HRT40" s="3327"/>
      <c r="HRU40" s="3327"/>
      <c r="HRV40" s="3327"/>
      <c r="HRW40" s="3327"/>
      <c r="HRX40" s="3327"/>
      <c r="HRY40" s="3327"/>
      <c r="HRZ40" s="3327"/>
      <c r="HSA40" s="3327"/>
      <c r="HSB40" s="3327"/>
      <c r="HSC40" s="3327"/>
      <c r="HSD40" s="3327"/>
      <c r="HSE40" s="3327"/>
      <c r="HSF40" s="3327"/>
      <c r="HSG40" s="3327"/>
      <c r="HSH40" s="3327"/>
      <c r="HSI40" s="3327"/>
      <c r="HSJ40" s="3327"/>
      <c r="HSK40" s="3327"/>
      <c r="HSL40" s="3327"/>
      <c r="HSM40" s="3327"/>
      <c r="HSN40" s="3327"/>
      <c r="HSO40" s="3327"/>
      <c r="HSP40" s="3327"/>
      <c r="HSQ40" s="3327"/>
      <c r="HSR40" s="3327"/>
      <c r="HSS40" s="3327"/>
      <c r="HST40" s="3327"/>
      <c r="HSU40" s="3327"/>
      <c r="HSV40" s="3327"/>
      <c r="HSW40" s="3327"/>
      <c r="HSX40" s="3327"/>
      <c r="HSY40" s="3327"/>
      <c r="HSZ40" s="3327"/>
      <c r="HTA40" s="3327"/>
      <c r="HTB40" s="3327"/>
      <c r="HTC40" s="3327"/>
      <c r="HTD40" s="3327"/>
      <c r="HTE40" s="3327"/>
      <c r="HTF40" s="3327"/>
      <c r="HTG40" s="3327"/>
      <c r="HTH40" s="3327"/>
      <c r="HTI40" s="3327"/>
      <c r="HTJ40" s="3327"/>
      <c r="HTK40" s="3327"/>
      <c r="HTL40" s="3327"/>
      <c r="HTM40" s="3327"/>
      <c r="HTN40" s="3327"/>
      <c r="HTO40" s="3327"/>
      <c r="HTP40" s="3327"/>
      <c r="HTQ40" s="3327"/>
      <c r="HTR40" s="3327"/>
      <c r="HTS40" s="3327"/>
      <c r="HTT40" s="3327"/>
      <c r="HTU40" s="3327"/>
      <c r="HTV40" s="3327"/>
      <c r="HTW40" s="3327"/>
      <c r="HTX40" s="3327"/>
      <c r="HTY40" s="3327"/>
      <c r="HTZ40" s="3327"/>
      <c r="HUA40" s="3327"/>
      <c r="HUB40" s="3327"/>
      <c r="HUC40" s="3327"/>
      <c r="HUD40" s="3327"/>
      <c r="HUE40" s="3327"/>
      <c r="HUF40" s="3327"/>
      <c r="HUG40" s="3327"/>
      <c r="HUH40" s="3327"/>
      <c r="HUI40" s="3327"/>
      <c r="HUJ40" s="3327"/>
      <c r="HUK40" s="3327"/>
      <c r="HUL40" s="3327"/>
      <c r="HUM40" s="3327"/>
      <c r="HUN40" s="3327"/>
      <c r="HUO40" s="3327"/>
      <c r="HUP40" s="3327"/>
      <c r="HUQ40" s="3327"/>
      <c r="HUR40" s="3327"/>
      <c r="HUS40" s="3327"/>
      <c r="HUT40" s="3327"/>
      <c r="HUU40" s="3327"/>
      <c r="HUV40" s="3327"/>
      <c r="HUW40" s="3327"/>
      <c r="HUX40" s="3327"/>
      <c r="HUY40" s="3327"/>
      <c r="HUZ40" s="3327"/>
      <c r="HVA40" s="3327"/>
      <c r="HVB40" s="3327"/>
      <c r="HVC40" s="3327"/>
      <c r="HVD40" s="3327"/>
      <c r="HVE40" s="3327"/>
      <c r="HVF40" s="3327"/>
      <c r="HVG40" s="3327"/>
      <c r="HVH40" s="3327"/>
      <c r="HVI40" s="3327"/>
      <c r="HVJ40" s="3327"/>
      <c r="HVK40" s="3327"/>
      <c r="HVL40" s="3327"/>
      <c r="HVM40" s="3327"/>
      <c r="HVN40" s="3327"/>
      <c r="HVO40" s="3327"/>
      <c r="HVP40" s="3327"/>
      <c r="HVQ40" s="3327"/>
      <c r="HVR40" s="3327"/>
      <c r="HVS40" s="3327"/>
      <c r="HVT40" s="3327"/>
      <c r="HVU40" s="3327"/>
      <c r="HVV40" s="3327"/>
      <c r="HVW40" s="3327"/>
      <c r="HVX40" s="3327"/>
      <c r="HVY40" s="3327"/>
      <c r="HVZ40" s="3327"/>
      <c r="HWA40" s="3327"/>
      <c r="HWB40" s="3327"/>
      <c r="HWC40" s="3327"/>
      <c r="HWD40" s="3327"/>
      <c r="HWE40" s="3327"/>
      <c r="HWF40" s="3327"/>
      <c r="HWG40" s="3327"/>
      <c r="HWH40" s="3327"/>
      <c r="HWI40" s="3327"/>
      <c r="HWJ40" s="3327"/>
      <c r="HWK40" s="3327"/>
      <c r="HWL40" s="3327"/>
      <c r="HWM40" s="3327"/>
      <c r="HWN40" s="3327"/>
      <c r="HWO40" s="3327"/>
      <c r="HWP40" s="3327"/>
      <c r="HWQ40" s="3327"/>
      <c r="HWR40" s="3327"/>
      <c r="HWS40" s="3327"/>
      <c r="HWT40" s="3327"/>
      <c r="HWU40" s="3327"/>
      <c r="HWV40" s="3327"/>
      <c r="HWW40" s="3327"/>
      <c r="HWX40" s="3327"/>
      <c r="HWY40" s="3327"/>
      <c r="HWZ40" s="3327"/>
      <c r="HXA40" s="3327"/>
      <c r="HXB40" s="3327"/>
      <c r="HXC40" s="3327"/>
      <c r="HXD40" s="3327"/>
      <c r="HXE40" s="3327"/>
      <c r="HXF40" s="3327"/>
      <c r="HXG40" s="3327"/>
      <c r="HXH40" s="3327"/>
      <c r="HXI40" s="3327"/>
      <c r="HXJ40" s="3327"/>
      <c r="HXK40" s="3327"/>
      <c r="HXL40" s="3327"/>
      <c r="HXM40" s="3327"/>
      <c r="HXN40" s="3327"/>
      <c r="HXO40" s="3327"/>
      <c r="HXP40" s="3327"/>
      <c r="HXQ40" s="3327"/>
      <c r="HXR40" s="3327"/>
      <c r="HXS40" s="3327"/>
      <c r="HXT40" s="3327"/>
      <c r="HXU40" s="3327"/>
      <c r="HXV40" s="3327"/>
      <c r="HXW40" s="3327"/>
      <c r="HXX40" s="3327"/>
      <c r="HXY40" s="3327"/>
      <c r="HXZ40" s="3327"/>
      <c r="HYA40" s="3327"/>
      <c r="HYB40" s="3327"/>
      <c r="HYC40" s="3327"/>
      <c r="HYD40" s="3327"/>
      <c r="HYE40" s="3327"/>
      <c r="HYF40" s="3327"/>
      <c r="HYG40" s="3327"/>
      <c r="HYH40" s="3327"/>
      <c r="HYI40" s="3327"/>
      <c r="HYJ40" s="3327"/>
      <c r="HYK40" s="3327"/>
      <c r="HYL40" s="3327"/>
      <c r="HYM40" s="3327"/>
      <c r="HYN40" s="3327"/>
      <c r="HYO40" s="3327"/>
      <c r="HYP40" s="3327"/>
      <c r="HYQ40" s="3327"/>
      <c r="HYR40" s="3327"/>
      <c r="HYS40" s="3327"/>
      <c r="HYT40" s="3327"/>
      <c r="HYU40" s="3327"/>
      <c r="HYV40" s="3327"/>
      <c r="HYW40" s="3327"/>
      <c r="HYX40" s="3327"/>
      <c r="HYY40" s="3327"/>
      <c r="HYZ40" s="3327"/>
      <c r="HZA40" s="3327"/>
      <c r="HZB40" s="3327"/>
      <c r="HZC40" s="3327"/>
      <c r="HZD40" s="3327"/>
      <c r="HZE40" s="3327"/>
      <c r="HZF40" s="3327"/>
      <c r="HZG40" s="3327"/>
      <c r="HZH40" s="3327"/>
      <c r="HZI40" s="3327"/>
      <c r="HZJ40" s="3327"/>
      <c r="HZK40" s="3327"/>
      <c r="HZL40" s="3327"/>
      <c r="HZM40" s="3327"/>
      <c r="HZN40" s="3327"/>
      <c r="HZO40" s="3327"/>
      <c r="HZP40" s="3327"/>
      <c r="HZQ40" s="3327"/>
      <c r="HZR40" s="3327"/>
      <c r="HZS40" s="3327"/>
      <c r="HZT40" s="3327"/>
      <c r="HZU40" s="3327"/>
      <c r="HZV40" s="3327"/>
      <c r="HZW40" s="3327"/>
      <c r="HZX40" s="3327"/>
      <c r="HZY40" s="3327"/>
      <c r="HZZ40" s="3327"/>
      <c r="IAA40" s="3327"/>
      <c r="IAB40" s="3327"/>
      <c r="IAC40" s="3327"/>
      <c r="IAD40" s="3327"/>
      <c r="IAE40" s="3327"/>
      <c r="IAF40" s="3327"/>
      <c r="IAG40" s="3327"/>
      <c r="IAH40" s="3327"/>
      <c r="IAI40" s="3327"/>
      <c r="IAJ40" s="3327"/>
      <c r="IAK40" s="3327"/>
      <c r="IAL40" s="3327"/>
      <c r="IAM40" s="3327"/>
      <c r="IAN40" s="3327"/>
      <c r="IAO40" s="3327"/>
      <c r="IAP40" s="3327"/>
      <c r="IAQ40" s="3327"/>
      <c r="IAR40" s="3327"/>
      <c r="IAS40" s="3327"/>
      <c r="IAT40" s="3327"/>
      <c r="IAU40" s="3327"/>
      <c r="IAV40" s="3327"/>
      <c r="IAW40" s="3327"/>
      <c r="IAX40" s="3327"/>
      <c r="IAY40" s="3327"/>
      <c r="IAZ40" s="3327"/>
      <c r="IBA40" s="3327"/>
      <c r="IBB40" s="3327"/>
      <c r="IBC40" s="3327"/>
      <c r="IBD40" s="3327"/>
      <c r="IBE40" s="3327"/>
      <c r="IBF40" s="3327"/>
      <c r="IBG40" s="3327"/>
      <c r="IBH40" s="3327"/>
      <c r="IBI40" s="3327"/>
      <c r="IBJ40" s="3327"/>
      <c r="IBK40" s="3327"/>
      <c r="IBL40" s="3327"/>
      <c r="IBM40" s="3327"/>
      <c r="IBN40" s="3327"/>
      <c r="IBO40" s="3327"/>
      <c r="IBP40" s="3327"/>
      <c r="IBQ40" s="3327"/>
      <c r="IBR40" s="3327"/>
      <c r="IBS40" s="3327"/>
      <c r="IBT40" s="3327"/>
      <c r="IBU40" s="3327"/>
      <c r="IBV40" s="3327"/>
      <c r="IBW40" s="3327"/>
      <c r="IBX40" s="3327"/>
      <c r="IBY40" s="3327"/>
      <c r="IBZ40" s="3327"/>
      <c r="ICA40" s="3327"/>
      <c r="ICB40" s="3327"/>
      <c r="ICC40" s="3327"/>
      <c r="ICD40" s="3327"/>
      <c r="ICE40" s="3327"/>
      <c r="ICF40" s="3327"/>
      <c r="ICG40" s="3327"/>
      <c r="ICH40" s="3327"/>
      <c r="ICI40" s="3327"/>
      <c r="ICJ40" s="3327"/>
      <c r="ICK40" s="3327"/>
      <c r="ICL40" s="3327"/>
      <c r="ICM40" s="3327"/>
      <c r="ICN40" s="3327"/>
      <c r="ICO40" s="3327"/>
      <c r="ICP40" s="3327"/>
      <c r="ICQ40" s="3327"/>
      <c r="ICR40" s="3327"/>
      <c r="ICS40" s="3327"/>
      <c r="ICT40" s="3327"/>
      <c r="ICU40" s="3327"/>
      <c r="ICV40" s="3327"/>
      <c r="ICW40" s="3327"/>
      <c r="ICX40" s="3327"/>
      <c r="ICY40" s="3327"/>
      <c r="ICZ40" s="3327"/>
      <c r="IDA40" s="3327"/>
      <c r="IDB40" s="3327"/>
      <c r="IDC40" s="3327"/>
      <c r="IDD40" s="3327"/>
      <c r="IDE40" s="3327"/>
      <c r="IDF40" s="3327"/>
      <c r="IDG40" s="3327"/>
      <c r="IDH40" s="3327"/>
      <c r="IDI40" s="3327"/>
      <c r="IDJ40" s="3327"/>
      <c r="IDK40" s="3327"/>
      <c r="IDL40" s="3327"/>
      <c r="IDM40" s="3327"/>
      <c r="IDN40" s="3327"/>
      <c r="IDO40" s="3327"/>
      <c r="IDP40" s="3327"/>
      <c r="IDQ40" s="3327"/>
      <c r="IDR40" s="3327"/>
      <c r="IDS40" s="3327"/>
      <c r="IDT40" s="3327"/>
      <c r="IDU40" s="3327"/>
      <c r="IDV40" s="3327"/>
      <c r="IDW40" s="3327"/>
      <c r="IDX40" s="3327"/>
      <c r="IDY40" s="3327"/>
      <c r="IDZ40" s="3327"/>
      <c r="IEA40" s="3327"/>
      <c r="IEB40" s="3327"/>
      <c r="IEC40" s="3327"/>
      <c r="IED40" s="3327"/>
      <c r="IEE40" s="3327"/>
      <c r="IEF40" s="3327"/>
      <c r="IEG40" s="3327"/>
      <c r="IEH40" s="3327"/>
      <c r="IEI40" s="3327"/>
      <c r="IEJ40" s="3327"/>
      <c r="IEK40" s="3327"/>
      <c r="IEL40" s="3327"/>
      <c r="IEM40" s="3327"/>
      <c r="IEN40" s="3327"/>
      <c r="IEO40" s="3327"/>
      <c r="IEP40" s="3327"/>
      <c r="IEQ40" s="3327"/>
      <c r="IER40" s="3327"/>
      <c r="IES40" s="3327"/>
      <c r="IET40" s="3327"/>
      <c r="IEU40" s="3327"/>
      <c r="IEV40" s="3327"/>
      <c r="IEW40" s="3327"/>
      <c r="IEX40" s="3327"/>
      <c r="IEY40" s="3327"/>
      <c r="IEZ40" s="3327"/>
      <c r="IFA40" s="3327"/>
      <c r="IFB40" s="3327"/>
      <c r="IFC40" s="3327"/>
      <c r="IFD40" s="3327"/>
      <c r="IFE40" s="3327"/>
      <c r="IFF40" s="3327"/>
      <c r="IFG40" s="3327"/>
      <c r="IFH40" s="3327"/>
      <c r="IFI40" s="3327"/>
      <c r="IFJ40" s="3327"/>
      <c r="IFK40" s="3327"/>
      <c r="IFL40" s="3327"/>
      <c r="IFM40" s="3327"/>
      <c r="IFN40" s="3327"/>
      <c r="IFO40" s="3327"/>
      <c r="IFP40" s="3327"/>
      <c r="IFQ40" s="3327"/>
      <c r="IFR40" s="3327"/>
      <c r="IFS40" s="3327"/>
      <c r="IFT40" s="3327"/>
      <c r="IFU40" s="3327"/>
      <c r="IFV40" s="3327"/>
      <c r="IFW40" s="3327"/>
      <c r="IFX40" s="3327"/>
      <c r="IFY40" s="3327"/>
      <c r="IFZ40" s="3327"/>
      <c r="IGA40" s="3327"/>
      <c r="IGB40" s="3327"/>
      <c r="IGC40" s="3327"/>
      <c r="IGD40" s="3327"/>
      <c r="IGE40" s="3327"/>
      <c r="IGF40" s="3327"/>
      <c r="IGG40" s="3327"/>
      <c r="IGH40" s="3327"/>
      <c r="IGI40" s="3327"/>
      <c r="IGJ40" s="3327"/>
      <c r="IGK40" s="3327"/>
      <c r="IGL40" s="3327"/>
      <c r="IGM40" s="3327"/>
      <c r="IGN40" s="3327"/>
      <c r="IGO40" s="3327"/>
      <c r="IGP40" s="3327"/>
      <c r="IGQ40" s="3327"/>
      <c r="IGR40" s="3327"/>
      <c r="IGS40" s="3327"/>
      <c r="IGT40" s="3327"/>
      <c r="IGU40" s="3327"/>
      <c r="IGV40" s="3327"/>
      <c r="IGW40" s="3327"/>
      <c r="IGX40" s="3327"/>
      <c r="IGY40" s="3327"/>
      <c r="IGZ40" s="3327"/>
      <c r="IHA40" s="3327"/>
      <c r="IHB40" s="3327"/>
      <c r="IHC40" s="3327"/>
      <c r="IHD40" s="3327"/>
      <c r="IHE40" s="3327"/>
      <c r="IHF40" s="3327"/>
      <c r="IHG40" s="3327"/>
      <c r="IHH40" s="3327"/>
      <c r="IHI40" s="3327"/>
      <c r="IHJ40" s="3327"/>
      <c r="IHK40" s="3327"/>
      <c r="IHL40" s="3327"/>
      <c r="IHM40" s="3327"/>
      <c r="IHN40" s="3327"/>
      <c r="IHO40" s="3327"/>
      <c r="IHP40" s="3327"/>
      <c r="IHQ40" s="3327"/>
      <c r="IHR40" s="3327"/>
      <c r="IHS40" s="3327"/>
      <c r="IHT40" s="3327"/>
      <c r="IHU40" s="3327"/>
      <c r="IHV40" s="3327"/>
      <c r="IHW40" s="3327"/>
      <c r="IHX40" s="3327"/>
      <c r="IHY40" s="3327"/>
      <c r="IHZ40" s="3327"/>
      <c r="IIA40" s="3327"/>
      <c r="IIB40" s="3327"/>
      <c r="IIC40" s="3327"/>
      <c r="IID40" s="3327"/>
      <c r="IIE40" s="3327"/>
      <c r="IIF40" s="3327"/>
      <c r="IIG40" s="3327"/>
      <c r="IIH40" s="3327"/>
      <c r="III40" s="3327"/>
      <c r="IIJ40" s="3327"/>
      <c r="IIK40" s="3327"/>
      <c r="IIL40" s="3327"/>
      <c r="IIM40" s="3327"/>
      <c r="IIN40" s="3327"/>
      <c r="IIO40" s="3327"/>
      <c r="IIP40" s="3327"/>
      <c r="IIQ40" s="3327"/>
      <c r="IIR40" s="3327"/>
      <c r="IIS40" s="3327"/>
      <c r="IIT40" s="3327"/>
      <c r="IIU40" s="3327"/>
      <c r="IIV40" s="3327"/>
      <c r="IIW40" s="3327"/>
      <c r="IIX40" s="3327"/>
      <c r="IIY40" s="3327"/>
      <c r="IIZ40" s="3327"/>
      <c r="IJA40" s="3327"/>
      <c r="IJB40" s="3327"/>
      <c r="IJC40" s="3327"/>
      <c r="IJD40" s="3327"/>
      <c r="IJE40" s="3327"/>
      <c r="IJF40" s="3327"/>
      <c r="IJG40" s="3327"/>
      <c r="IJH40" s="3327"/>
      <c r="IJI40" s="3327"/>
      <c r="IJJ40" s="3327"/>
      <c r="IJK40" s="3327"/>
      <c r="IJL40" s="3327"/>
      <c r="IJM40" s="3327"/>
      <c r="IJN40" s="3327"/>
      <c r="IJO40" s="3327"/>
      <c r="IJP40" s="3327"/>
      <c r="IJQ40" s="3327"/>
      <c r="IJR40" s="3327"/>
      <c r="IJS40" s="3327"/>
      <c r="IJT40" s="3327"/>
      <c r="IJU40" s="3327"/>
      <c r="IJV40" s="3327"/>
      <c r="IJW40" s="3327"/>
      <c r="IJX40" s="3327"/>
      <c r="IJY40" s="3327"/>
      <c r="IJZ40" s="3327"/>
      <c r="IKA40" s="3327"/>
      <c r="IKB40" s="3327"/>
      <c r="IKC40" s="3327"/>
      <c r="IKD40" s="3327"/>
      <c r="IKE40" s="3327"/>
      <c r="IKF40" s="3327"/>
      <c r="IKG40" s="3327"/>
      <c r="IKH40" s="3327"/>
      <c r="IKI40" s="3327"/>
      <c r="IKJ40" s="3327"/>
      <c r="IKK40" s="3327"/>
      <c r="IKL40" s="3327"/>
      <c r="IKM40" s="3327"/>
      <c r="IKN40" s="3327"/>
      <c r="IKO40" s="3327"/>
      <c r="IKP40" s="3327"/>
      <c r="IKQ40" s="3327"/>
      <c r="IKR40" s="3327"/>
      <c r="IKS40" s="3327"/>
      <c r="IKT40" s="3327"/>
      <c r="IKU40" s="3327"/>
      <c r="IKV40" s="3327"/>
      <c r="IKW40" s="3327"/>
      <c r="IKX40" s="3327"/>
      <c r="IKY40" s="3327"/>
      <c r="IKZ40" s="3327"/>
      <c r="ILA40" s="3327"/>
      <c r="ILB40" s="3327"/>
      <c r="ILC40" s="3327"/>
      <c r="ILD40" s="3327"/>
      <c r="ILE40" s="3327"/>
      <c r="ILF40" s="3327"/>
      <c r="ILG40" s="3327"/>
      <c r="ILH40" s="3327"/>
      <c r="ILI40" s="3327"/>
      <c r="ILJ40" s="3327"/>
      <c r="ILK40" s="3327"/>
      <c r="ILL40" s="3327"/>
      <c r="ILM40" s="3327"/>
      <c r="ILN40" s="3327"/>
      <c r="ILO40" s="3327"/>
      <c r="ILP40" s="3327"/>
      <c r="ILQ40" s="3327"/>
      <c r="ILR40" s="3327"/>
      <c r="ILS40" s="3327"/>
      <c r="ILT40" s="3327"/>
      <c r="ILU40" s="3327"/>
      <c r="ILV40" s="3327"/>
      <c r="ILW40" s="3327"/>
      <c r="ILX40" s="3327"/>
      <c r="ILY40" s="3327"/>
      <c r="ILZ40" s="3327"/>
      <c r="IMA40" s="3327"/>
      <c r="IMB40" s="3327"/>
      <c r="IMC40" s="3327"/>
      <c r="IMD40" s="3327"/>
      <c r="IME40" s="3327"/>
      <c r="IMF40" s="3327"/>
      <c r="IMG40" s="3327"/>
      <c r="IMH40" s="3327"/>
      <c r="IMI40" s="3327"/>
      <c r="IMJ40" s="3327"/>
      <c r="IMK40" s="3327"/>
      <c r="IML40" s="3327"/>
      <c r="IMM40" s="3327"/>
      <c r="IMN40" s="3327"/>
      <c r="IMO40" s="3327"/>
      <c r="IMP40" s="3327"/>
      <c r="IMQ40" s="3327"/>
      <c r="IMR40" s="3327"/>
      <c r="IMS40" s="3327"/>
      <c r="IMT40" s="3327"/>
      <c r="IMU40" s="3327"/>
      <c r="IMV40" s="3327"/>
      <c r="IMW40" s="3327"/>
      <c r="IMX40" s="3327"/>
      <c r="IMY40" s="3327"/>
      <c r="IMZ40" s="3327"/>
      <c r="INA40" s="3327"/>
      <c r="INB40" s="3327"/>
      <c r="INC40" s="3327"/>
      <c r="IND40" s="3327"/>
      <c r="INE40" s="3327"/>
      <c r="INF40" s="3327"/>
      <c r="ING40" s="3327"/>
      <c r="INH40" s="3327"/>
      <c r="INI40" s="3327"/>
      <c r="INJ40" s="3327"/>
      <c r="INK40" s="3327"/>
      <c r="INL40" s="3327"/>
      <c r="INM40" s="3327"/>
      <c r="INN40" s="3327"/>
      <c r="INO40" s="3327"/>
      <c r="INP40" s="3327"/>
      <c r="INQ40" s="3327"/>
      <c r="INR40" s="3327"/>
      <c r="INS40" s="3327"/>
      <c r="INT40" s="3327"/>
      <c r="INU40" s="3327"/>
      <c r="INV40" s="3327"/>
      <c r="INW40" s="3327"/>
      <c r="INX40" s="3327"/>
      <c r="INY40" s="3327"/>
      <c r="INZ40" s="3327"/>
      <c r="IOA40" s="3327"/>
      <c r="IOB40" s="3327"/>
      <c r="IOC40" s="3327"/>
      <c r="IOD40" s="3327"/>
      <c r="IOE40" s="3327"/>
      <c r="IOF40" s="3327"/>
      <c r="IOG40" s="3327"/>
      <c r="IOH40" s="3327"/>
      <c r="IOI40" s="3327"/>
      <c r="IOJ40" s="3327"/>
      <c r="IOK40" s="3327"/>
      <c r="IOL40" s="3327"/>
      <c r="IOM40" s="3327"/>
      <c r="ION40" s="3327"/>
      <c r="IOO40" s="3327"/>
      <c r="IOP40" s="3327"/>
      <c r="IOQ40" s="3327"/>
      <c r="IOR40" s="3327"/>
      <c r="IOS40" s="3327"/>
      <c r="IOT40" s="3327"/>
      <c r="IOU40" s="3327"/>
      <c r="IOV40" s="3327"/>
      <c r="IOW40" s="3327"/>
      <c r="IOX40" s="3327"/>
      <c r="IOY40" s="3327"/>
      <c r="IOZ40" s="3327"/>
      <c r="IPA40" s="3327"/>
      <c r="IPB40" s="3327"/>
      <c r="IPC40" s="3327"/>
      <c r="IPD40" s="3327"/>
      <c r="IPE40" s="3327"/>
      <c r="IPF40" s="3327"/>
      <c r="IPG40" s="3327"/>
      <c r="IPH40" s="3327"/>
      <c r="IPI40" s="3327"/>
      <c r="IPJ40" s="3327"/>
      <c r="IPK40" s="3327"/>
      <c r="IPL40" s="3327"/>
      <c r="IPM40" s="3327"/>
      <c r="IPN40" s="3327"/>
      <c r="IPO40" s="3327"/>
      <c r="IPP40" s="3327"/>
      <c r="IPQ40" s="3327"/>
      <c r="IPR40" s="3327"/>
      <c r="IPS40" s="3327"/>
      <c r="IPT40" s="3327"/>
      <c r="IPU40" s="3327"/>
      <c r="IPV40" s="3327"/>
      <c r="IPW40" s="3327"/>
      <c r="IPX40" s="3327"/>
      <c r="IPY40" s="3327"/>
      <c r="IPZ40" s="3327"/>
      <c r="IQA40" s="3327"/>
      <c r="IQB40" s="3327"/>
      <c r="IQC40" s="3327"/>
      <c r="IQD40" s="3327"/>
      <c r="IQE40" s="3327"/>
      <c r="IQF40" s="3327"/>
      <c r="IQG40" s="3327"/>
      <c r="IQH40" s="3327"/>
      <c r="IQI40" s="3327"/>
      <c r="IQJ40" s="3327"/>
      <c r="IQK40" s="3327"/>
      <c r="IQL40" s="3327"/>
      <c r="IQM40" s="3327"/>
      <c r="IQN40" s="3327"/>
      <c r="IQO40" s="3327"/>
      <c r="IQP40" s="3327"/>
      <c r="IQQ40" s="3327"/>
      <c r="IQR40" s="3327"/>
      <c r="IQS40" s="3327"/>
      <c r="IQT40" s="3327"/>
      <c r="IQU40" s="3327"/>
      <c r="IQV40" s="3327"/>
      <c r="IQW40" s="3327"/>
      <c r="IQX40" s="3327"/>
      <c r="IQY40" s="3327"/>
      <c r="IQZ40" s="3327"/>
      <c r="IRA40" s="3327"/>
      <c r="IRB40" s="3327"/>
      <c r="IRC40" s="3327"/>
      <c r="IRD40" s="3327"/>
      <c r="IRE40" s="3327"/>
      <c r="IRF40" s="3327"/>
      <c r="IRG40" s="3327"/>
      <c r="IRH40" s="3327"/>
      <c r="IRI40" s="3327"/>
      <c r="IRJ40" s="3327"/>
      <c r="IRK40" s="3327"/>
      <c r="IRL40" s="3327"/>
      <c r="IRM40" s="3327"/>
      <c r="IRN40" s="3327"/>
      <c r="IRO40" s="3327"/>
      <c r="IRP40" s="3327"/>
      <c r="IRQ40" s="3327"/>
      <c r="IRR40" s="3327"/>
      <c r="IRS40" s="3327"/>
      <c r="IRT40" s="3327"/>
      <c r="IRU40" s="3327"/>
      <c r="IRV40" s="3327"/>
      <c r="IRW40" s="3327"/>
      <c r="IRX40" s="3327"/>
      <c r="IRY40" s="3327"/>
      <c r="IRZ40" s="3327"/>
      <c r="ISA40" s="3327"/>
      <c r="ISB40" s="3327"/>
      <c r="ISC40" s="3327"/>
      <c r="ISD40" s="3327"/>
      <c r="ISE40" s="3327"/>
      <c r="ISF40" s="3327"/>
      <c r="ISG40" s="3327"/>
      <c r="ISH40" s="3327"/>
      <c r="ISI40" s="3327"/>
      <c r="ISJ40" s="3327"/>
      <c r="ISK40" s="3327"/>
      <c r="ISL40" s="3327"/>
      <c r="ISM40" s="3327"/>
      <c r="ISN40" s="3327"/>
      <c r="ISO40" s="3327"/>
      <c r="ISP40" s="3327"/>
      <c r="ISQ40" s="3327"/>
      <c r="ISR40" s="3327"/>
      <c r="ISS40" s="3327"/>
      <c r="IST40" s="3327"/>
      <c r="ISU40" s="3327"/>
      <c r="ISV40" s="3327"/>
      <c r="ISW40" s="3327"/>
      <c r="ISX40" s="3327"/>
      <c r="ISY40" s="3327"/>
      <c r="ISZ40" s="3327"/>
      <c r="ITA40" s="3327"/>
      <c r="ITB40" s="3327"/>
      <c r="ITC40" s="3327"/>
      <c r="ITD40" s="3327"/>
      <c r="ITE40" s="3327"/>
      <c r="ITF40" s="3327"/>
      <c r="ITG40" s="3327"/>
      <c r="ITH40" s="3327"/>
      <c r="ITI40" s="3327"/>
      <c r="ITJ40" s="3327"/>
      <c r="ITK40" s="3327"/>
      <c r="ITL40" s="3327"/>
      <c r="ITM40" s="3327"/>
      <c r="ITN40" s="3327"/>
      <c r="ITO40" s="3327"/>
      <c r="ITP40" s="3327"/>
      <c r="ITQ40" s="3327"/>
      <c r="ITR40" s="3327"/>
      <c r="ITS40" s="3327"/>
      <c r="ITT40" s="3327"/>
      <c r="ITU40" s="3327"/>
      <c r="ITV40" s="3327"/>
      <c r="ITW40" s="3327"/>
      <c r="ITX40" s="3327"/>
      <c r="ITY40" s="3327"/>
      <c r="ITZ40" s="3327"/>
      <c r="IUA40" s="3327"/>
      <c r="IUB40" s="3327"/>
      <c r="IUC40" s="3327"/>
      <c r="IUD40" s="3327"/>
      <c r="IUE40" s="3327"/>
      <c r="IUF40" s="3327"/>
      <c r="IUG40" s="3327"/>
      <c r="IUH40" s="3327"/>
      <c r="IUI40" s="3327"/>
      <c r="IUJ40" s="3327"/>
      <c r="IUK40" s="3327"/>
      <c r="IUL40" s="3327"/>
      <c r="IUM40" s="3327"/>
      <c r="IUN40" s="3327"/>
      <c r="IUO40" s="3327"/>
      <c r="IUP40" s="3327"/>
      <c r="IUQ40" s="3327"/>
      <c r="IUR40" s="3327"/>
      <c r="IUS40" s="3327"/>
      <c r="IUT40" s="3327"/>
      <c r="IUU40" s="3327"/>
      <c r="IUV40" s="3327"/>
      <c r="IUW40" s="3327"/>
      <c r="IUX40" s="3327"/>
      <c r="IUY40" s="3327"/>
      <c r="IUZ40" s="3327"/>
      <c r="IVA40" s="3327"/>
      <c r="IVB40" s="3327"/>
      <c r="IVC40" s="3327"/>
      <c r="IVD40" s="3327"/>
      <c r="IVE40" s="3327"/>
      <c r="IVF40" s="3327"/>
      <c r="IVG40" s="3327"/>
      <c r="IVH40" s="3327"/>
      <c r="IVI40" s="3327"/>
      <c r="IVJ40" s="3327"/>
      <c r="IVK40" s="3327"/>
      <c r="IVL40" s="3327"/>
      <c r="IVM40" s="3327"/>
      <c r="IVN40" s="3327"/>
      <c r="IVO40" s="3327"/>
      <c r="IVP40" s="3327"/>
      <c r="IVQ40" s="3327"/>
      <c r="IVR40" s="3327"/>
      <c r="IVS40" s="3327"/>
      <c r="IVT40" s="3327"/>
      <c r="IVU40" s="3327"/>
      <c r="IVV40" s="3327"/>
      <c r="IVW40" s="3327"/>
      <c r="IVX40" s="3327"/>
      <c r="IVY40" s="3327"/>
      <c r="IVZ40" s="3327"/>
      <c r="IWA40" s="3327"/>
      <c r="IWB40" s="3327"/>
      <c r="IWC40" s="3327"/>
      <c r="IWD40" s="3327"/>
      <c r="IWE40" s="3327"/>
      <c r="IWF40" s="3327"/>
      <c r="IWG40" s="3327"/>
      <c r="IWH40" s="3327"/>
      <c r="IWI40" s="3327"/>
      <c r="IWJ40" s="3327"/>
      <c r="IWK40" s="3327"/>
      <c r="IWL40" s="3327"/>
      <c r="IWM40" s="3327"/>
      <c r="IWN40" s="3327"/>
      <c r="IWO40" s="3327"/>
      <c r="IWP40" s="3327"/>
      <c r="IWQ40" s="3327"/>
      <c r="IWR40" s="3327"/>
      <c r="IWS40" s="3327"/>
      <c r="IWT40" s="3327"/>
      <c r="IWU40" s="3327"/>
      <c r="IWV40" s="3327"/>
      <c r="IWW40" s="3327"/>
      <c r="IWX40" s="3327"/>
      <c r="IWY40" s="3327"/>
      <c r="IWZ40" s="3327"/>
      <c r="IXA40" s="3327"/>
      <c r="IXB40" s="3327"/>
      <c r="IXC40" s="3327"/>
      <c r="IXD40" s="3327"/>
      <c r="IXE40" s="3327"/>
      <c r="IXF40" s="3327"/>
      <c r="IXG40" s="3327"/>
      <c r="IXH40" s="3327"/>
      <c r="IXI40" s="3327"/>
      <c r="IXJ40" s="3327"/>
      <c r="IXK40" s="3327"/>
      <c r="IXL40" s="3327"/>
      <c r="IXM40" s="3327"/>
      <c r="IXN40" s="3327"/>
      <c r="IXO40" s="3327"/>
      <c r="IXP40" s="3327"/>
      <c r="IXQ40" s="3327"/>
      <c r="IXR40" s="3327"/>
      <c r="IXS40" s="3327"/>
      <c r="IXT40" s="3327"/>
      <c r="IXU40" s="3327"/>
      <c r="IXV40" s="3327"/>
      <c r="IXW40" s="3327"/>
      <c r="IXX40" s="3327"/>
      <c r="IXY40" s="3327"/>
      <c r="IXZ40" s="3327"/>
      <c r="IYA40" s="3327"/>
      <c r="IYB40" s="3327"/>
      <c r="IYC40" s="3327"/>
      <c r="IYD40" s="3327"/>
      <c r="IYE40" s="3327"/>
      <c r="IYF40" s="3327"/>
      <c r="IYG40" s="3327"/>
      <c r="IYH40" s="3327"/>
      <c r="IYI40" s="3327"/>
      <c r="IYJ40" s="3327"/>
      <c r="IYK40" s="3327"/>
      <c r="IYL40" s="3327"/>
      <c r="IYM40" s="3327"/>
      <c r="IYN40" s="3327"/>
      <c r="IYO40" s="3327"/>
      <c r="IYP40" s="3327"/>
      <c r="IYQ40" s="3327"/>
      <c r="IYR40" s="3327"/>
      <c r="IYS40" s="3327"/>
      <c r="IYT40" s="3327"/>
      <c r="IYU40" s="3327"/>
      <c r="IYV40" s="3327"/>
      <c r="IYW40" s="3327"/>
      <c r="IYX40" s="3327"/>
      <c r="IYY40" s="3327"/>
      <c r="IYZ40" s="3327"/>
      <c r="IZA40" s="3327"/>
      <c r="IZB40" s="3327"/>
      <c r="IZC40" s="3327"/>
      <c r="IZD40" s="3327"/>
      <c r="IZE40" s="3327"/>
      <c r="IZF40" s="3327"/>
      <c r="IZG40" s="3327"/>
      <c r="IZH40" s="3327"/>
      <c r="IZI40" s="3327"/>
      <c r="IZJ40" s="3327"/>
      <c r="IZK40" s="3327"/>
      <c r="IZL40" s="3327"/>
      <c r="IZM40" s="3327"/>
      <c r="IZN40" s="3327"/>
      <c r="IZO40" s="3327"/>
      <c r="IZP40" s="3327"/>
      <c r="IZQ40" s="3327"/>
      <c r="IZR40" s="3327"/>
      <c r="IZS40" s="3327"/>
      <c r="IZT40" s="3327"/>
      <c r="IZU40" s="3327"/>
      <c r="IZV40" s="3327"/>
      <c r="IZW40" s="3327"/>
      <c r="IZX40" s="3327"/>
      <c r="IZY40" s="3327"/>
      <c r="IZZ40" s="3327"/>
      <c r="JAA40" s="3327"/>
      <c r="JAB40" s="3327"/>
      <c r="JAC40" s="3327"/>
      <c r="JAD40" s="3327"/>
      <c r="JAE40" s="3327"/>
      <c r="JAF40" s="3327"/>
      <c r="JAG40" s="3327"/>
      <c r="JAH40" s="3327"/>
      <c r="JAI40" s="3327"/>
      <c r="JAJ40" s="3327"/>
      <c r="JAK40" s="3327"/>
      <c r="JAL40" s="3327"/>
      <c r="JAM40" s="3327"/>
      <c r="JAN40" s="3327"/>
      <c r="JAO40" s="3327"/>
      <c r="JAP40" s="3327"/>
      <c r="JAQ40" s="3327"/>
      <c r="JAR40" s="3327"/>
      <c r="JAS40" s="3327"/>
      <c r="JAT40" s="3327"/>
      <c r="JAU40" s="3327"/>
      <c r="JAV40" s="3327"/>
      <c r="JAW40" s="3327"/>
      <c r="JAX40" s="3327"/>
      <c r="JAY40" s="3327"/>
      <c r="JAZ40" s="3327"/>
      <c r="JBA40" s="3327"/>
      <c r="JBB40" s="3327"/>
      <c r="JBC40" s="3327"/>
      <c r="JBD40" s="3327"/>
      <c r="JBE40" s="3327"/>
      <c r="JBF40" s="3327"/>
      <c r="JBG40" s="3327"/>
      <c r="JBH40" s="3327"/>
      <c r="JBI40" s="3327"/>
      <c r="JBJ40" s="3327"/>
      <c r="JBK40" s="3327"/>
      <c r="JBL40" s="3327"/>
      <c r="JBM40" s="3327"/>
      <c r="JBN40" s="3327"/>
      <c r="JBO40" s="3327"/>
      <c r="JBP40" s="3327"/>
      <c r="JBQ40" s="3327"/>
      <c r="JBR40" s="3327"/>
      <c r="JBS40" s="3327"/>
      <c r="JBT40" s="3327"/>
      <c r="JBU40" s="3327"/>
      <c r="JBV40" s="3327"/>
      <c r="JBW40" s="3327"/>
      <c r="JBX40" s="3327"/>
      <c r="JBY40" s="3327"/>
      <c r="JBZ40" s="3327"/>
      <c r="JCA40" s="3327"/>
      <c r="JCB40" s="3327"/>
      <c r="JCC40" s="3327"/>
      <c r="JCD40" s="3327"/>
      <c r="JCE40" s="3327"/>
      <c r="JCF40" s="3327"/>
      <c r="JCG40" s="3327"/>
      <c r="JCH40" s="3327"/>
      <c r="JCI40" s="3327"/>
      <c r="JCJ40" s="3327"/>
      <c r="JCK40" s="3327"/>
      <c r="JCL40" s="3327"/>
      <c r="JCM40" s="3327"/>
      <c r="JCN40" s="3327"/>
      <c r="JCO40" s="3327"/>
      <c r="JCP40" s="3327"/>
      <c r="JCQ40" s="3327"/>
      <c r="JCR40" s="3327"/>
      <c r="JCS40" s="3327"/>
      <c r="JCT40" s="3327"/>
      <c r="JCU40" s="3327"/>
      <c r="JCV40" s="3327"/>
      <c r="JCW40" s="3327"/>
      <c r="JCX40" s="3327"/>
      <c r="JCY40" s="3327"/>
      <c r="JCZ40" s="3327"/>
      <c r="JDA40" s="3327"/>
      <c r="JDB40" s="3327"/>
      <c r="JDC40" s="3327"/>
      <c r="JDD40" s="3327"/>
      <c r="JDE40" s="3327"/>
      <c r="JDF40" s="3327"/>
      <c r="JDG40" s="3327"/>
      <c r="JDH40" s="3327"/>
      <c r="JDI40" s="3327"/>
      <c r="JDJ40" s="3327"/>
      <c r="JDK40" s="3327"/>
      <c r="JDL40" s="3327"/>
      <c r="JDM40" s="3327"/>
      <c r="JDN40" s="3327"/>
      <c r="JDO40" s="3327"/>
      <c r="JDP40" s="3327"/>
      <c r="JDQ40" s="3327"/>
      <c r="JDR40" s="3327"/>
      <c r="JDS40" s="3327"/>
      <c r="JDT40" s="3327"/>
      <c r="JDU40" s="3327"/>
      <c r="JDV40" s="3327"/>
      <c r="JDW40" s="3327"/>
      <c r="JDX40" s="3327"/>
      <c r="JDY40" s="3327"/>
      <c r="JDZ40" s="3327"/>
      <c r="JEA40" s="3327"/>
      <c r="JEB40" s="3327"/>
      <c r="JEC40" s="3327"/>
      <c r="JED40" s="3327"/>
      <c r="JEE40" s="3327"/>
      <c r="JEF40" s="3327"/>
      <c r="JEG40" s="3327"/>
      <c r="JEH40" s="3327"/>
      <c r="JEI40" s="3327"/>
      <c r="JEJ40" s="3327"/>
      <c r="JEK40" s="3327"/>
      <c r="JEL40" s="3327"/>
      <c r="JEM40" s="3327"/>
      <c r="JEN40" s="3327"/>
      <c r="JEO40" s="3327"/>
      <c r="JEP40" s="3327"/>
      <c r="JEQ40" s="3327"/>
      <c r="JER40" s="3327"/>
      <c r="JES40" s="3327"/>
      <c r="JET40" s="3327"/>
      <c r="JEU40" s="3327"/>
      <c r="JEV40" s="3327"/>
      <c r="JEW40" s="3327"/>
      <c r="JEX40" s="3327"/>
      <c r="JEY40" s="3327"/>
      <c r="JEZ40" s="3327"/>
      <c r="JFA40" s="3327"/>
      <c r="JFB40" s="3327"/>
      <c r="JFC40" s="3327"/>
      <c r="JFD40" s="3327"/>
      <c r="JFE40" s="3327"/>
      <c r="JFF40" s="3327"/>
      <c r="JFG40" s="3327"/>
      <c r="JFH40" s="3327"/>
      <c r="JFI40" s="3327"/>
      <c r="JFJ40" s="3327"/>
      <c r="JFK40" s="3327"/>
      <c r="JFL40" s="3327"/>
      <c r="JFM40" s="3327"/>
      <c r="JFN40" s="3327"/>
      <c r="JFO40" s="3327"/>
      <c r="JFP40" s="3327"/>
      <c r="JFQ40" s="3327"/>
      <c r="JFR40" s="3327"/>
      <c r="JFS40" s="3327"/>
      <c r="JFT40" s="3327"/>
      <c r="JFU40" s="3327"/>
      <c r="JFV40" s="3327"/>
      <c r="JFW40" s="3327"/>
      <c r="JFX40" s="3327"/>
      <c r="JFY40" s="3327"/>
      <c r="JFZ40" s="3327"/>
      <c r="JGA40" s="3327"/>
      <c r="JGB40" s="3327"/>
      <c r="JGC40" s="3327"/>
      <c r="JGD40" s="3327"/>
      <c r="JGE40" s="3327"/>
      <c r="JGF40" s="3327"/>
      <c r="JGG40" s="3327"/>
      <c r="JGH40" s="3327"/>
      <c r="JGI40" s="3327"/>
      <c r="JGJ40" s="3327"/>
      <c r="JGK40" s="3327"/>
      <c r="JGL40" s="3327"/>
      <c r="JGM40" s="3327"/>
      <c r="JGN40" s="3327"/>
      <c r="JGO40" s="3327"/>
      <c r="JGP40" s="3327"/>
      <c r="JGQ40" s="3327"/>
      <c r="JGR40" s="3327"/>
      <c r="JGS40" s="3327"/>
      <c r="JGT40" s="3327"/>
      <c r="JGU40" s="3327"/>
      <c r="JGV40" s="3327"/>
      <c r="JGW40" s="3327"/>
      <c r="JGX40" s="3327"/>
      <c r="JGY40" s="3327"/>
      <c r="JGZ40" s="3327"/>
      <c r="JHA40" s="3327"/>
      <c r="JHB40" s="3327"/>
      <c r="JHC40" s="3327"/>
      <c r="JHD40" s="3327"/>
      <c r="JHE40" s="3327"/>
      <c r="JHF40" s="3327"/>
      <c r="JHG40" s="3327"/>
      <c r="JHH40" s="3327"/>
      <c r="JHI40" s="3327"/>
      <c r="JHJ40" s="3327"/>
      <c r="JHK40" s="3327"/>
      <c r="JHL40" s="3327"/>
      <c r="JHM40" s="3327"/>
      <c r="JHN40" s="3327"/>
      <c r="JHO40" s="3327"/>
      <c r="JHP40" s="3327"/>
      <c r="JHQ40" s="3327"/>
      <c r="JHR40" s="3327"/>
      <c r="JHS40" s="3327"/>
      <c r="JHT40" s="3327"/>
      <c r="JHU40" s="3327"/>
      <c r="JHV40" s="3327"/>
      <c r="JHW40" s="3327"/>
      <c r="JHX40" s="3327"/>
      <c r="JHY40" s="3327"/>
      <c r="JHZ40" s="3327"/>
      <c r="JIA40" s="3327"/>
      <c r="JIB40" s="3327"/>
      <c r="JIC40" s="3327"/>
      <c r="JID40" s="3327"/>
      <c r="JIE40" s="3327"/>
      <c r="JIF40" s="3327"/>
      <c r="JIG40" s="3327"/>
      <c r="JIH40" s="3327"/>
      <c r="JII40" s="3327"/>
      <c r="JIJ40" s="3327"/>
      <c r="JIK40" s="3327"/>
      <c r="JIL40" s="3327"/>
      <c r="JIM40" s="3327"/>
      <c r="JIN40" s="3327"/>
      <c r="JIO40" s="3327"/>
      <c r="JIP40" s="3327"/>
      <c r="JIQ40" s="3327"/>
      <c r="JIR40" s="3327"/>
      <c r="JIS40" s="3327"/>
      <c r="JIT40" s="3327"/>
      <c r="JIU40" s="3327"/>
      <c r="JIV40" s="3327"/>
      <c r="JIW40" s="3327"/>
      <c r="JIX40" s="3327"/>
      <c r="JIY40" s="3327"/>
      <c r="JIZ40" s="3327"/>
      <c r="JJA40" s="3327"/>
      <c r="JJB40" s="3327"/>
      <c r="JJC40" s="3327"/>
      <c r="JJD40" s="3327"/>
      <c r="JJE40" s="3327"/>
      <c r="JJF40" s="3327"/>
      <c r="JJG40" s="3327"/>
      <c r="JJH40" s="3327"/>
      <c r="JJI40" s="3327"/>
      <c r="JJJ40" s="3327"/>
      <c r="JJK40" s="3327"/>
      <c r="JJL40" s="3327"/>
      <c r="JJM40" s="3327"/>
      <c r="JJN40" s="3327"/>
      <c r="JJO40" s="3327"/>
      <c r="JJP40" s="3327"/>
      <c r="JJQ40" s="3327"/>
      <c r="JJR40" s="3327"/>
      <c r="JJS40" s="3327"/>
      <c r="JJT40" s="3327"/>
      <c r="JJU40" s="3327"/>
      <c r="JJV40" s="3327"/>
      <c r="JJW40" s="3327"/>
      <c r="JJX40" s="3327"/>
      <c r="JJY40" s="3327"/>
      <c r="JJZ40" s="3327"/>
      <c r="JKA40" s="3327"/>
      <c r="JKB40" s="3327"/>
      <c r="JKC40" s="3327"/>
      <c r="JKD40" s="3327"/>
      <c r="JKE40" s="3327"/>
      <c r="JKF40" s="3327"/>
      <c r="JKG40" s="3327"/>
      <c r="JKH40" s="3327"/>
      <c r="JKI40" s="3327"/>
      <c r="JKJ40" s="3327"/>
      <c r="JKK40" s="3327"/>
      <c r="JKL40" s="3327"/>
      <c r="JKM40" s="3327"/>
      <c r="JKN40" s="3327"/>
      <c r="JKO40" s="3327"/>
      <c r="JKP40" s="3327"/>
      <c r="JKQ40" s="3327"/>
      <c r="JKR40" s="3327"/>
      <c r="JKS40" s="3327"/>
      <c r="JKT40" s="3327"/>
      <c r="JKU40" s="3327"/>
      <c r="JKV40" s="3327"/>
      <c r="JKW40" s="3327"/>
      <c r="JKX40" s="3327"/>
      <c r="JKY40" s="3327"/>
      <c r="JKZ40" s="3327"/>
      <c r="JLA40" s="3327"/>
      <c r="JLB40" s="3327"/>
      <c r="JLC40" s="3327"/>
      <c r="JLD40" s="3327"/>
      <c r="JLE40" s="3327"/>
      <c r="JLF40" s="3327"/>
      <c r="JLG40" s="3327"/>
      <c r="JLH40" s="3327"/>
      <c r="JLI40" s="3327"/>
      <c r="JLJ40" s="3327"/>
      <c r="JLK40" s="3327"/>
      <c r="JLL40" s="3327"/>
      <c r="JLM40" s="3327"/>
      <c r="JLN40" s="3327"/>
      <c r="JLO40" s="3327"/>
      <c r="JLP40" s="3327"/>
      <c r="JLQ40" s="3327"/>
      <c r="JLR40" s="3327"/>
      <c r="JLS40" s="3327"/>
      <c r="JLT40" s="3327"/>
      <c r="JLU40" s="3327"/>
      <c r="JLV40" s="3327"/>
      <c r="JLW40" s="3327"/>
      <c r="JLX40" s="3327"/>
      <c r="JLY40" s="3327"/>
      <c r="JLZ40" s="3327"/>
      <c r="JMA40" s="3327"/>
      <c r="JMB40" s="3327"/>
      <c r="JMC40" s="3327"/>
      <c r="JMD40" s="3327"/>
      <c r="JME40" s="3327"/>
      <c r="JMF40" s="3327"/>
      <c r="JMG40" s="3327"/>
      <c r="JMH40" s="3327"/>
      <c r="JMI40" s="3327"/>
      <c r="JMJ40" s="3327"/>
      <c r="JMK40" s="3327"/>
      <c r="JML40" s="3327"/>
      <c r="JMM40" s="3327"/>
      <c r="JMN40" s="3327"/>
      <c r="JMO40" s="3327"/>
      <c r="JMP40" s="3327"/>
      <c r="JMQ40" s="3327"/>
      <c r="JMR40" s="3327"/>
      <c r="JMS40" s="3327"/>
      <c r="JMT40" s="3327"/>
      <c r="JMU40" s="3327"/>
      <c r="JMV40" s="3327"/>
      <c r="JMW40" s="3327"/>
      <c r="JMX40" s="3327"/>
      <c r="JMY40" s="3327"/>
      <c r="JMZ40" s="3327"/>
      <c r="JNA40" s="3327"/>
      <c r="JNB40" s="3327"/>
      <c r="JNC40" s="3327"/>
      <c r="JND40" s="3327"/>
      <c r="JNE40" s="3327"/>
      <c r="JNF40" s="3327"/>
      <c r="JNG40" s="3327"/>
      <c r="JNH40" s="3327"/>
      <c r="JNI40" s="3327"/>
      <c r="JNJ40" s="3327"/>
      <c r="JNK40" s="3327"/>
      <c r="JNL40" s="3327"/>
      <c r="JNM40" s="3327"/>
      <c r="JNN40" s="3327"/>
      <c r="JNO40" s="3327"/>
      <c r="JNP40" s="3327"/>
      <c r="JNQ40" s="3327"/>
      <c r="JNR40" s="3327"/>
      <c r="JNS40" s="3327"/>
      <c r="JNT40" s="3327"/>
      <c r="JNU40" s="3327"/>
      <c r="JNV40" s="3327"/>
      <c r="JNW40" s="3327"/>
      <c r="JNX40" s="3327"/>
      <c r="JNY40" s="3327"/>
      <c r="JNZ40" s="3327"/>
      <c r="JOA40" s="3327"/>
      <c r="JOB40" s="3327"/>
      <c r="JOC40" s="3327"/>
      <c r="JOD40" s="3327"/>
      <c r="JOE40" s="3327"/>
      <c r="JOF40" s="3327"/>
      <c r="JOG40" s="3327"/>
      <c r="JOH40" s="3327"/>
      <c r="JOI40" s="3327"/>
      <c r="JOJ40" s="3327"/>
      <c r="JOK40" s="3327"/>
      <c r="JOL40" s="3327"/>
      <c r="JOM40" s="3327"/>
      <c r="JON40" s="3327"/>
      <c r="JOO40" s="3327"/>
      <c r="JOP40" s="3327"/>
      <c r="JOQ40" s="3327"/>
      <c r="JOR40" s="3327"/>
      <c r="JOS40" s="3327"/>
      <c r="JOT40" s="3327"/>
      <c r="JOU40" s="3327"/>
      <c r="JOV40" s="3327"/>
      <c r="JOW40" s="3327"/>
      <c r="JOX40" s="3327"/>
      <c r="JOY40" s="3327"/>
      <c r="JOZ40" s="3327"/>
      <c r="JPA40" s="3327"/>
      <c r="JPB40" s="3327"/>
      <c r="JPC40" s="3327"/>
      <c r="JPD40" s="3327"/>
      <c r="JPE40" s="3327"/>
      <c r="JPF40" s="3327"/>
      <c r="JPG40" s="3327"/>
      <c r="JPH40" s="3327"/>
      <c r="JPI40" s="3327"/>
      <c r="JPJ40" s="3327"/>
      <c r="JPK40" s="3327"/>
      <c r="JPL40" s="3327"/>
      <c r="JPM40" s="3327"/>
      <c r="JPN40" s="3327"/>
      <c r="JPO40" s="3327"/>
      <c r="JPP40" s="3327"/>
      <c r="JPQ40" s="3327"/>
      <c r="JPR40" s="3327"/>
      <c r="JPS40" s="3327"/>
      <c r="JPT40" s="3327"/>
      <c r="JPU40" s="3327"/>
      <c r="JPV40" s="3327"/>
      <c r="JPW40" s="3327"/>
      <c r="JPX40" s="3327"/>
      <c r="JPY40" s="3327"/>
      <c r="JPZ40" s="3327"/>
      <c r="JQA40" s="3327"/>
      <c r="JQB40" s="3327"/>
      <c r="JQC40" s="3327"/>
      <c r="JQD40" s="3327"/>
      <c r="JQE40" s="3327"/>
      <c r="JQF40" s="3327"/>
      <c r="JQG40" s="3327"/>
      <c r="JQH40" s="3327"/>
      <c r="JQI40" s="3327"/>
      <c r="JQJ40" s="3327"/>
      <c r="JQK40" s="3327"/>
      <c r="JQL40" s="3327"/>
      <c r="JQM40" s="3327"/>
      <c r="JQN40" s="3327"/>
      <c r="JQO40" s="3327"/>
      <c r="JQP40" s="3327"/>
      <c r="JQQ40" s="3327"/>
      <c r="JQR40" s="3327"/>
      <c r="JQS40" s="3327"/>
      <c r="JQT40" s="3327"/>
      <c r="JQU40" s="3327"/>
      <c r="JQV40" s="3327"/>
      <c r="JQW40" s="3327"/>
      <c r="JQX40" s="3327"/>
      <c r="JQY40" s="3327"/>
      <c r="JQZ40" s="3327"/>
      <c r="JRA40" s="3327"/>
      <c r="JRB40" s="3327"/>
      <c r="JRC40" s="3327"/>
      <c r="JRD40" s="3327"/>
      <c r="JRE40" s="3327"/>
      <c r="JRF40" s="3327"/>
      <c r="JRG40" s="3327"/>
      <c r="JRH40" s="3327"/>
      <c r="JRI40" s="3327"/>
      <c r="JRJ40" s="3327"/>
      <c r="JRK40" s="3327"/>
      <c r="JRL40" s="3327"/>
      <c r="JRM40" s="3327"/>
      <c r="JRN40" s="3327"/>
      <c r="JRO40" s="3327"/>
      <c r="JRP40" s="3327"/>
      <c r="JRQ40" s="3327"/>
      <c r="JRR40" s="3327"/>
      <c r="JRS40" s="3327"/>
      <c r="JRT40" s="3327"/>
      <c r="JRU40" s="3327"/>
      <c r="JRV40" s="3327"/>
      <c r="JRW40" s="3327"/>
      <c r="JRX40" s="3327"/>
      <c r="JRY40" s="3327"/>
      <c r="JRZ40" s="3327"/>
      <c r="JSA40" s="3327"/>
      <c r="JSB40" s="3327"/>
      <c r="JSC40" s="3327"/>
      <c r="JSD40" s="3327"/>
      <c r="JSE40" s="3327"/>
      <c r="JSF40" s="3327"/>
      <c r="JSG40" s="3327"/>
      <c r="JSH40" s="3327"/>
      <c r="JSI40" s="3327"/>
      <c r="JSJ40" s="3327"/>
      <c r="JSK40" s="3327"/>
      <c r="JSL40" s="3327"/>
      <c r="JSM40" s="3327"/>
      <c r="JSN40" s="3327"/>
      <c r="JSO40" s="3327"/>
      <c r="JSP40" s="3327"/>
      <c r="JSQ40" s="3327"/>
      <c r="JSR40" s="3327"/>
      <c r="JSS40" s="3327"/>
      <c r="JST40" s="3327"/>
      <c r="JSU40" s="3327"/>
      <c r="JSV40" s="3327"/>
      <c r="JSW40" s="3327"/>
      <c r="JSX40" s="3327"/>
      <c r="JSY40" s="3327"/>
      <c r="JSZ40" s="3327"/>
      <c r="JTA40" s="3327"/>
      <c r="JTB40" s="3327"/>
      <c r="JTC40" s="3327"/>
      <c r="JTD40" s="3327"/>
      <c r="JTE40" s="3327"/>
      <c r="JTF40" s="3327"/>
      <c r="JTG40" s="3327"/>
      <c r="JTH40" s="3327"/>
      <c r="JTI40" s="3327"/>
      <c r="JTJ40" s="3327"/>
      <c r="JTK40" s="3327"/>
      <c r="JTL40" s="3327"/>
      <c r="JTM40" s="3327"/>
      <c r="JTN40" s="3327"/>
      <c r="JTO40" s="3327"/>
      <c r="JTP40" s="3327"/>
      <c r="JTQ40" s="3327"/>
      <c r="JTR40" s="3327"/>
      <c r="JTS40" s="3327"/>
      <c r="JTT40" s="3327"/>
      <c r="JTU40" s="3327"/>
      <c r="JTV40" s="3327"/>
      <c r="JTW40" s="3327"/>
      <c r="JTX40" s="3327"/>
      <c r="JTY40" s="3327"/>
      <c r="JTZ40" s="3327"/>
      <c r="JUA40" s="3327"/>
      <c r="JUB40" s="3327"/>
      <c r="JUC40" s="3327"/>
      <c r="JUD40" s="3327"/>
      <c r="JUE40" s="3327"/>
      <c r="JUF40" s="3327"/>
      <c r="JUG40" s="3327"/>
      <c r="JUH40" s="3327"/>
      <c r="JUI40" s="3327"/>
      <c r="JUJ40" s="3327"/>
      <c r="JUK40" s="3327"/>
      <c r="JUL40" s="3327"/>
      <c r="JUM40" s="3327"/>
      <c r="JUN40" s="3327"/>
      <c r="JUO40" s="3327"/>
      <c r="JUP40" s="3327"/>
      <c r="JUQ40" s="3327"/>
      <c r="JUR40" s="3327"/>
      <c r="JUS40" s="3327"/>
      <c r="JUT40" s="3327"/>
      <c r="JUU40" s="3327"/>
      <c r="JUV40" s="3327"/>
      <c r="JUW40" s="3327"/>
      <c r="JUX40" s="3327"/>
      <c r="JUY40" s="3327"/>
      <c r="JUZ40" s="3327"/>
      <c r="JVA40" s="3327"/>
      <c r="JVB40" s="3327"/>
      <c r="JVC40" s="3327"/>
      <c r="JVD40" s="3327"/>
      <c r="JVE40" s="3327"/>
      <c r="JVF40" s="3327"/>
      <c r="JVG40" s="3327"/>
      <c r="JVH40" s="3327"/>
      <c r="JVI40" s="3327"/>
      <c r="JVJ40" s="3327"/>
      <c r="JVK40" s="3327"/>
      <c r="JVL40" s="3327"/>
      <c r="JVM40" s="3327"/>
      <c r="JVN40" s="3327"/>
      <c r="JVO40" s="3327"/>
      <c r="JVP40" s="3327"/>
      <c r="JVQ40" s="3327"/>
      <c r="JVR40" s="3327"/>
      <c r="JVS40" s="3327"/>
      <c r="JVT40" s="3327"/>
      <c r="JVU40" s="3327"/>
      <c r="JVV40" s="3327"/>
      <c r="JVW40" s="3327"/>
      <c r="JVX40" s="3327"/>
      <c r="JVY40" s="3327"/>
      <c r="JVZ40" s="3327"/>
      <c r="JWA40" s="3327"/>
      <c r="JWB40" s="3327"/>
      <c r="JWC40" s="3327"/>
      <c r="JWD40" s="3327"/>
      <c r="JWE40" s="3327"/>
      <c r="JWF40" s="3327"/>
      <c r="JWG40" s="3327"/>
      <c r="JWH40" s="3327"/>
      <c r="JWI40" s="3327"/>
      <c r="JWJ40" s="3327"/>
      <c r="JWK40" s="3327"/>
      <c r="JWL40" s="3327"/>
      <c r="JWM40" s="3327"/>
      <c r="JWN40" s="3327"/>
      <c r="JWO40" s="3327"/>
      <c r="JWP40" s="3327"/>
      <c r="JWQ40" s="3327"/>
      <c r="JWR40" s="3327"/>
      <c r="JWS40" s="3327"/>
      <c r="JWT40" s="3327"/>
      <c r="JWU40" s="3327"/>
      <c r="JWV40" s="3327"/>
      <c r="JWW40" s="3327"/>
      <c r="JWX40" s="3327"/>
      <c r="JWY40" s="3327"/>
      <c r="JWZ40" s="3327"/>
      <c r="JXA40" s="3327"/>
      <c r="JXB40" s="3327"/>
      <c r="JXC40" s="3327"/>
      <c r="JXD40" s="3327"/>
      <c r="JXE40" s="3327"/>
      <c r="JXF40" s="3327"/>
      <c r="JXG40" s="3327"/>
      <c r="JXH40" s="3327"/>
      <c r="JXI40" s="3327"/>
      <c r="JXJ40" s="3327"/>
      <c r="JXK40" s="3327"/>
      <c r="JXL40" s="3327"/>
      <c r="JXM40" s="3327"/>
      <c r="JXN40" s="3327"/>
      <c r="JXO40" s="3327"/>
      <c r="JXP40" s="3327"/>
      <c r="JXQ40" s="3327"/>
      <c r="JXR40" s="3327"/>
      <c r="JXS40" s="3327"/>
      <c r="JXT40" s="3327"/>
      <c r="JXU40" s="3327"/>
      <c r="JXV40" s="3327"/>
      <c r="JXW40" s="3327"/>
      <c r="JXX40" s="3327"/>
      <c r="JXY40" s="3327"/>
      <c r="JXZ40" s="3327"/>
      <c r="JYA40" s="3327"/>
      <c r="JYB40" s="3327"/>
      <c r="JYC40" s="3327"/>
      <c r="JYD40" s="3327"/>
      <c r="JYE40" s="3327"/>
      <c r="JYF40" s="3327"/>
      <c r="JYG40" s="3327"/>
      <c r="JYH40" s="3327"/>
      <c r="JYI40" s="3327"/>
      <c r="JYJ40" s="3327"/>
      <c r="JYK40" s="3327"/>
      <c r="JYL40" s="3327"/>
      <c r="JYM40" s="3327"/>
      <c r="JYN40" s="3327"/>
      <c r="JYO40" s="3327"/>
      <c r="JYP40" s="3327"/>
      <c r="JYQ40" s="3327"/>
      <c r="JYR40" s="3327"/>
      <c r="JYS40" s="3327"/>
      <c r="JYT40" s="3327"/>
      <c r="JYU40" s="3327"/>
      <c r="JYV40" s="3327"/>
      <c r="JYW40" s="3327"/>
      <c r="JYX40" s="3327"/>
      <c r="JYY40" s="3327"/>
      <c r="JYZ40" s="3327"/>
      <c r="JZA40" s="3327"/>
      <c r="JZB40" s="3327"/>
      <c r="JZC40" s="3327"/>
      <c r="JZD40" s="3327"/>
      <c r="JZE40" s="3327"/>
      <c r="JZF40" s="3327"/>
      <c r="JZG40" s="3327"/>
      <c r="JZH40" s="3327"/>
      <c r="JZI40" s="3327"/>
      <c r="JZJ40" s="3327"/>
      <c r="JZK40" s="3327"/>
      <c r="JZL40" s="3327"/>
      <c r="JZM40" s="3327"/>
      <c r="JZN40" s="3327"/>
      <c r="JZO40" s="3327"/>
      <c r="JZP40" s="3327"/>
      <c r="JZQ40" s="3327"/>
      <c r="JZR40" s="3327"/>
      <c r="JZS40" s="3327"/>
      <c r="JZT40" s="3327"/>
      <c r="JZU40" s="3327"/>
      <c r="JZV40" s="3327"/>
      <c r="JZW40" s="3327"/>
      <c r="JZX40" s="3327"/>
      <c r="JZY40" s="3327"/>
      <c r="JZZ40" s="3327"/>
      <c r="KAA40" s="3327"/>
      <c r="KAB40" s="3327"/>
      <c r="KAC40" s="3327"/>
      <c r="KAD40" s="3327"/>
      <c r="KAE40" s="3327"/>
      <c r="KAF40" s="3327"/>
      <c r="KAG40" s="3327"/>
      <c r="KAH40" s="3327"/>
      <c r="KAI40" s="3327"/>
      <c r="KAJ40" s="3327"/>
      <c r="KAK40" s="3327"/>
      <c r="KAL40" s="3327"/>
      <c r="KAM40" s="3327"/>
      <c r="KAN40" s="3327"/>
      <c r="KAO40" s="3327"/>
      <c r="KAP40" s="3327"/>
      <c r="KAQ40" s="3327"/>
      <c r="KAR40" s="3327"/>
      <c r="KAS40" s="3327"/>
      <c r="KAT40" s="3327"/>
      <c r="KAU40" s="3327"/>
      <c r="KAV40" s="3327"/>
      <c r="KAW40" s="3327"/>
      <c r="KAX40" s="3327"/>
      <c r="KAY40" s="3327"/>
      <c r="KAZ40" s="3327"/>
      <c r="KBA40" s="3327"/>
      <c r="KBB40" s="3327"/>
      <c r="KBC40" s="3327"/>
      <c r="KBD40" s="3327"/>
      <c r="KBE40" s="3327"/>
      <c r="KBF40" s="3327"/>
      <c r="KBG40" s="3327"/>
      <c r="KBH40" s="3327"/>
      <c r="KBI40" s="3327"/>
      <c r="KBJ40" s="3327"/>
      <c r="KBK40" s="3327"/>
      <c r="KBL40" s="3327"/>
      <c r="KBM40" s="3327"/>
      <c r="KBN40" s="3327"/>
      <c r="KBO40" s="3327"/>
      <c r="KBP40" s="3327"/>
      <c r="KBQ40" s="3327"/>
      <c r="KBR40" s="3327"/>
      <c r="KBS40" s="3327"/>
      <c r="KBT40" s="3327"/>
      <c r="KBU40" s="3327"/>
      <c r="KBV40" s="3327"/>
      <c r="KBW40" s="3327"/>
      <c r="KBX40" s="3327"/>
      <c r="KBY40" s="3327"/>
      <c r="KBZ40" s="3327"/>
      <c r="KCA40" s="3327"/>
      <c r="KCB40" s="3327"/>
      <c r="KCC40" s="3327"/>
      <c r="KCD40" s="3327"/>
      <c r="KCE40" s="3327"/>
      <c r="KCF40" s="3327"/>
      <c r="KCG40" s="3327"/>
      <c r="KCH40" s="3327"/>
      <c r="KCI40" s="3327"/>
      <c r="KCJ40" s="3327"/>
      <c r="KCK40" s="3327"/>
      <c r="KCL40" s="3327"/>
      <c r="KCM40" s="3327"/>
      <c r="KCN40" s="3327"/>
      <c r="KCO40" s="3327"/>
      <c r="KCP40" s="3327"/>
      <c r="KCQ40" s="3327"/>
      <c r="KCR40" s="3327"/>
      <c r="KCS40" s="3327"/>
      <c r="KCT40" s="3327"/>
      <c r="KCU40" s="3327"/>
      <c r="KCV40" s="3327"/>
      <c r="KCW40" s="3327"/>
      <c r="KCX40" s="3327"/>
      <c r="KCY40" s="3327"/>
      <c r="KCZ40" s="3327"/>
      <c r="KDA40" s="3327"/>
      <c r="KDB40" s="3327"/>
      <c r="KDC40" s="3327"/>
      <c r="KDD40" s="3327"/>
      <c r="KDE40" s="3327"/>
      <c r="KDF40" s="3327"/>
      <c r="KDG40" s="3327"/>
      <c r="KDH40" s="3327"/>
      <c r="KDI40" s="3327"/>
      <c r="KDJ40" s="3327"/>
      <c r="KDK40" s="3327"/>
      <c r="KDL40" s="3327"/>
      <c r="KDM40" s="3327"/>
      <c r="KDN40" s="3327"/>
      <c r="KDO40" s="3327"/>
      <c r="KDP40" s="3327"/>
      <c r="KDQ40" s="3327"/>
      <c r="KDR40" s="3327"/>
      <c r="KDS40" s="3327"/>
      <c r="KDT40" s="3327"/>
      <c r="KDU40" s="3327"/>
      <c r="KDV40" s="3327"/>
      <c r="KDW40" s="3327"/>
      <c r="KDX40" s="3327"/>
      <c r="KDY40" s="3327"/>
      <c r="KDZ40" s="3327"/>
      <c r="KEA40" s="3327"/>
      <c r="KEB40" s="3327"/>
      <c r="KEC40" s="3327"/>
      <c r="KED40" s="3327"/>
      <c r="KEE40" s="3327"/>
      <c r="KEF40" s="3327"/>
      <c r="KEG40" s="3327"/>
      <c r="KEH40" s="3327"/>
      <c r="KEI40" s="3327"/>
      <c r="KEJ40" s="3327"/>
      <c r="KEK40" s="3327"/>
      <c r="KEL40" s="3327"/>
      <c r="KEM40" s="3327"/>
      <c r="KEN40" s="3327"/>
      <c r="KEO40" s="3327"/>
      <c r="KEP40" s="3327"/>
      <c r="KEQ40" s="3327"/>
      <c r="KER40" s="3327"/>
      <c r="KES40" s="3327"/>
      <c r="KET40" s="3327"/>
      <c r="KEU40" s="3327"/>
      <c r="KEV40" s="3327"/>
      <c r="KEW40" s="3327"/>
      <c r="KEX40" s="3327"/>
      <c r="KEY40" s="3327"/>
      <c r="KEZ40" s="3327"/>
      <c r="KFA40" s="3327"/>
      <c r="KFB40" s="3327"/>
      <c r="KFC40" s="3327"/>
      <c r="KFD40" s="3327"/>
      <c r="KFE40" s="3327"/>
      <c r="KFF40" s="3327"/>
      <c r="KFG40" s="3327"/>
      <c r="KFH40" s="3327"/>
      <c r="KFI40" s="3327"/>
      <c r="KFJ40" s="3327"/>
      <c r="KFK40" s="3327"/>
      <c r="KFL40" s="3327"/>
      <c r="KFM40" s="3327"/>
      <c r="KFN40" s="3327"/>
      <c r="KFO40" s="3327"/>
      <c r="KFP40" s="3327"/>
      <c r="KFQ40" s="3327"/>
      <c r="KFR40" s="3327"/>
      <c r="KFS40" s="3327"/>
      <c r="KFT40" s="3327"/>
      <c r="KFU40" s="3327"/>
      <c r="KFV40" s="3327"/>
      <c r="KFW40" s="3327"/>
      <c r="KFX40" s="3327"/>
      <c r="KFY40" s="3327"/>
      <c r="KFZ40" s="3327"/>
      <c r="KGA40" s="3327"/>
      <c r="KGB40" s="3327"/>
      <c r="KGC40" s="3327"/>
      <c r="KGD40" s="3327"/>
      <c r="KGE40" s="3327"/>
      <c r="KGF40" s="3327"/>
      <c r="KGG40" s="3327"/>
      <c r="KGH40" s="3327"/>
      <c r="KGI40" s="3327"/>
      <c r="KGJ40" s="3327"/>
      <c r="KGK40" s="3327"/>
      <c r="KGL40" s="3327"/>
      <c r="KGM40" s="3327"/>
      <c r="KGN40" s="3327"/>
      <c r="KGO40" s="3327"/>
      <c r="KGP40" s="3327"/>
      <c r="KGQ40" s="3327"/>
      <c r="KGR40" s="3327"/>
      <c r="KGS40" s="3327"/>
      <c r="KGT40" s="3327"/>
      <c r="KGU40" s="3327"/>
      <c r="KGV40" s="3327"/>
      <c r="KGW40" s="3327"/>
      <c r="KGX40" s="3327"/>
      <c r="KGY40" s="3327"/>
      <c r="KGZ40" s="3327"/>
      <c r="KHA40" s="3327"/>
      <c r="KHB40" s="3327"/>
      <c r="KHC40" s="3327"/>
      <c r="KHD40" s="3327"/>
      <c r="KHE40" s="3327"/>
      <c r="KHF40" s="3327"/>
      <c r="KHG40" s="3327"/>
      <c r="KHH40" s="3327"/>
      <c r="KHI40" s="3327"/>
      <c r="KHJ40" s="3327"/>
      <c r="KHK40" s="3327"/>
      <c r="KHL40" s="3327"/>
      <c r="KHM40" s="3327"/>
      <c r="KHN40" s="3327"/>
      <c r="KHO40" s="3327"/>
      <c r="KHP40" s="3327"/>
      <c r="KHQ40" s="3327"/>
      <c r="KHR40" s="3327"/>
      <c r="KHS40" s="3327"/>
      <c r="KHT40" s="3327"/>
      <c r="KHU40" s="3327"/>
      <c r="KHV40" s="3327"/>
      <c r="KHW40" s="3327"/>
      <c r="KHX40" s="3327"/>
      <c r="KHY40" s="3327"/>
      <c r="KHZ40" s="3327"/>
      <c r="KIA40" s="3327"/>
      <c r="KIB40" s="3327"/>
      <c r="KIC40" s="3327"/>
      <c r="KID40" s="3327"/>
      <c r="KIE40" s="3327"/>
      <c r="KIF40" s="3327"/>
      <c r="KIG40" s="3327"/>
      <c r="KIH40" s="3327"/>
      <c r="KII40" s="3327"/>
      <c r="KIJ40" s="3327"/>
      <c r="KIK40" s="3327"/>
      <c r="KIL40" s="3327"/>
      <c r="KIM40" s="3327"/>
      <c r="KIN40" s="3327"/>
      <c r="KIO40" s="3327"/>
      <c r="KIP40" s="3327"/>
      <c r="KIQ40" s="3327"/>
      <c r="KIR40" s="3327"/>
      <c r="KIS40" s="3327"/>
      <c r="KIT40" s="3327"/>
      <c r="KIU40" s="3327"/>
      <c r="KIV40" s="3327"/>
      <c r="KIW40" s="3327"/>
      <c r="KIX40" s="3327"/>
      <c r="KIY40" s="3327"/>
      <c r="KIZ40" s="3327"/>
      <c r="KJA40" s="3327"/>
      <c r="KJB40" s="3327"/>
      <c r="KJC40" s="3327"/>
      <c r="KJD40" s="3327"/>
      <c r="KJE40" s="3327"/>
      <c r="KJF40" s="3327"/>
      <c r="KJG40" s="3327"/>
      <c r="KJH40" s="3327"/>
      <c r="KJI40" s="3327"/>
      <c r="KJJ40" s="3327"/>
      <c r="KJK40" s="3327"/>
      <c r="KJL40" s="3327"/>
      <c r="KJM40" s="3327"/>
      <c r="KJN40" s="3327"/>
      <c r="KJO40" s="3327"/>
      <c r="KJP40" s="3327"/>
      <c r="KJQ40" s="3327"/>
      <c r="KJR40" s="3327"/>
      <c r="KJS40" s="3327"/>
      <c r="KJT40" s="3327"/>
      <c r="KJU40" s="3327"/>
      <c r="KJV40" s="3327"/>
      <c r="KJW40" s="3327"/>
      <c r="KJX40" s="3327"/>
      <c r="KJY40" s="3327"/>
      <c r="KJZ40" s="3327"/>
      <c r="KKA40" s="3327"/>
      <c r="KKB40" s="3327"/>
      <c r="KKC40" s="3327"/>
      <c r="KKD40" s="3327"/>
      <c r="KKE40" s="3327"/>
      <c r="KKF40" s="3327"/>
      <c r="KKG40" s="3327"/>
      <c r="KKH40" s="3327"/>
      <c r="KKI40" s="3327"/>
      <c r="KKJ40" s="3327"/>
      <c r="KKK40" s="3327"/>
      <c r="KKL40" s="3327"/>
      <c r="KKM40" s="3327"/>
      <c r="KKN40" s="3327"/>
      <c r="KKO40" s="3327"/>
      <c r="KKP40" s="3327"/>
      <c r="KKQ40" s="3327"/>
      <c r="KKR40" s="3327"/>
      <c r="KKS40" s="3327"/>
      <c r="KKT40" s="3327"/>
      <c r="KKU40" s="3327"/>
      <c r="KKV40" s="3327"/>
      <c r="KKW40" s="3327"/>
      <c r="KKX40" s="3327"/>
      <c r="KKY40" s="3327"/>
      <c r="KKZ40" s="3327"/>
      <c r="KLA40" s="3327"/>
      <c r="KLB40" s="3327"/>
      <c r="KLC40" s="3327"/>
      <c r="KLD40" s="3327"/>
      <c r="KLE40" s="3327"/>
      <c r="KLF40" s="3327"/>
      <c r="KLG40" s="3327"/>
      <c r="KLH40" s="3327"/>
      <c r="KLI40" s="3327"/>
      <c r="KLJ40" s="3327"/>
      <c r="KLK40" s="3327"/>
      <c r="KLL40" s="3327"/>
      <c r="KLM40" s="3327"/>
      <c r="KLN40" s="3327"/>
      <c r="KLO40" s="3327"/>
      <c r="KLP40" s="3327"/>
      <c r="KLQ40" s="3327"/>
      <c r="KLR40" s="3327"/>
      <c r="KLS40" s="3327"/>
      <c r="KLT40" s="3327"/>
      <c r="KLU40" s="3327"/>
      <c r="KLV40" s="3327"/>
      <c r="KLW40" s="3327"/>
      <c r="KLX40" s="3327"/>
      <c r="KLY40" s="3327"/>
      <c r="KLZ40" s="3327"/>
      <c r="KMA40" s="3327"/>
      <c r="KMB40" s="3327"/>
      <c r="KMC40" s="3327"/>
      <c r="KMD40" s="3327"/>
      <c r="KME40" s="3327"/>
      <c r="KMF40" s="3327"/>
      <c r="KMG40" s="3327"/>
      <c r="KMH40" s="3327"/>
      <c r="KMI40" s="3327"/>
      <c r="KMJ40" s="3327"/>
      <c r="KMK40" s="3327"/>
      <c r="KML40" s="3327"/>
      <c r="KMM40" s="3327"/>
      <c r="KMN40" s="3327"/>
      <c r="KMO40" s="3327"/>
      <c r="KMP40" s="3327"/>
      <c r="KMQ40" s="3327"/>
      <c r="KMR40" s="3327"/>
      <c r="KMS40" s="3327"/>
      <c r="KMT40" s="3327"/>
      <c r="KMU40" s="3327"/>
      <c r="KMV40" s="3327"/>
      <c r="KMW40" s="3327"/>
      <c r="KMX40" s="3327"/>
      <c r="KMY40" s="3327"/>
      <c r="KMZ40" s="3327"/>
      <c r="KNA40" s="3327"/>
      <c r="KNB40" s="3327"/>
      <c r="KNC40" s="3327"/>
      <c r="KND40" s="3327"/>
      <c r="KNE40" s="3327"/>
      <c r="KNF40" s="3327"/>
      <c r="KNG40" s="3327"/>
      <c r="KNH40" s="3327"/>
      <c r="KNI40" s="3327"/>
      <c r="KNJ40" s="3327"/>
      <c r="KNK40" s="3327"/>
      <c r="KNL40" s="3327"/>
      <c r="KNM40" s="3327"/>
      <c r="KNN40" s="3327"/>
      <c r="KNO40" s="3327"/>
      <c r="KNP40" s="3327"/>
      <c r="KNQ40" s="3327"/>
      <c r="KNR40" s="3327"/>
      <c r="KNS40" s="3327"/>
      <c r="KNT40" s="3327"/>
      <c r="KNU40" s="3327"/>
      <c r="KNV40" s="3327"/>
      <c r="KNW40" s="3327"/>
      <c r="KNX40" s="3327"/>
      <c r="KNY40" s="3327"/>
      <c r="KNZ40" s="3327"/>
      <c r="KOA40" s="3327"/>
      <c r="KOB40" s="3327"/>
      <c r="KOC40" s="3327"/>
      <c r="KOD40" s="3327"/>
      <c r="KOE40" s="3327"/>
      <c r="KOF40" s="3327"/>
      <c r="KOG40" s="3327"/>
      <c r="KOH40" s="3327"/>
      <c r="KOI40" s="3327"/>
      <c r="KOJ40" s="3327"/>
      <c r="KOK40" s="3327"/>
      <c r="KOL40" s="3327"/>
      <c r="KOM40" s="3327"/>
      <c r="KON40" s="3327"/>
      <c r="KOO40" s="3327"/>
      <c r="KOP40" s="3327"/>
      <c r="KOQ40" s="3327"/>
      <c r="KOR40" s="3327"/>
      <c r="KOS40" s="3327"/>
      <c r="KOT40" s="3327"/>
      <c r="KOU40" s="3327"/>
      <c r="KOV40" s="3327"/>
      <c r="KOW40" s="3327"/>
      <c r="KOX40" s="3327"/>
      <c r="KOY40" s="3327"/>
      <c r="KOZ40" s="3327"/>
      <c r="KPA40" s="3327"/>
      <c r="KPB40" s="3327"/>
      <c r="KPC40" s="3327"/>
      <c r="KPD40" s="3327"/>
      <c r="KPE40" s="3327"/>
      <c r="KPF40" s="3327"/>
      <c r="KPG40" s="3327"/>
      <c r="KPH40" s="3327"/>
      <c r="KPI40" s="3327"/>
      <c r="KPJ40" s="3327"/>
      <c r="KPK40" s="3327"/>
      <c r="KPL40" s="3327"/>
      <c r="KPM40" s="3327"/>
      <c r="KPN40" s="3327"/>
      <c r="KPO40" s="3327"/>
      <c r="KPP40" s="3327"/>
      <c r="KPQ40" s="3327"/>
      <c r="KPR40" s="3327"/>
      <c r="KPS40" s="3327"/>
      <c r="KPT40" s="3327"/>
      <c r="KPU40" s="3327"/>
      <c r="KPV40" s="3327"/>
      <c r="KPW40" s="3327"/>
      <c r="KPX40" s="3327"/>
      <c r="KPY40" s="3327"/>
      <c r="KPZ40" s="3327"/>
      <c r="KQA40" s="3327"/>
      <c r="KQB40" s="3327"/>
      <c r="KQC40" s="3327"/>
      <c r="KQD40" s="3327"/>
      <c r="KQE40" s="3327"/>
      <c r="KQF40" s="3327"/>
      <c r="KQG40" s="3327"/>
      <c r="KQH40" s="3327"/>
      <c r="KQI40" s="3327"/>
      <c r="KQJ40" s="3327"/>
      <c r="KQK40" s="3327"/>
      <c r="KQL40" s="3327"/>
      <c r="KQM40" s="3327"/>
      <c r="KQN40" s="3327"/>
      <c r="KQO40" s="3327"/>
      <c r="KQP40" s="3327"/>
      <c r="KQQ40" s="3327"/>
      <c r="KQR40" s="3327"/>
      <c r="KQS40" s="3327"/>
      <c r="KQT40" s="3327"/>
      <c r="KQU40" s="3327"/>
      <c r="KQV40" s="3327"/>
      <c r="KQW40" s="3327"/>
      <c r="KQX40" s="3327"/>
      <c r="KQY40" s="3327"/>
      <c r="KQZ40" s="3327"/>
      <c r="KRA40" s="3327"/>
      <c r="KRB40" s="3327"/>
      <c r="KRC40" s="3327"/>
      <c r="KRD40" s="3327"/>
      <c r="KRE40" s="3327"/>
      <c r="KRF40" s="3327"/>
      <c r="KRG40" s="3327"/>
      <c r="KRH40" s="3327"/>
      <c r="KRI40" s="3327"/>
      <c r="KRJ40" s="3327"/>
      <c r="KRK40" s="3327"/>
      <c r="KRL40" s="3327"/>
      <c r="KRM40" s="3327"/>
      <c r="KRN40" s="3327"/>
      <c r="KRO40" s="3327"/>
      <c r="KRP40" s="3327"/>
      <c r="KRQ40" s="3327"/>
      <c r="KRR40" s="3327"/>
      <c r="KRS40" s="3327"/>
      <c r="KRT40" s="3327"/>
      <c r="KRU40" s="3327"/>
      <c r="KRV40" s="3327"/>
      <c r="KRW40" s="3327"/>
      <c r="KRX40" s="3327"/>
      <c r="KRY40" s="3327"/>
      <c r="KRZ40" s="3327"/>
      <c r="KSA40" s="3327"/>
      <c r="KSB40" s="3327"/>
      <c r="KSC40" s="3327"/>
      <c r="KSD40" s="3327"/>
      <c r="KSE40" s="3327"/>
      <c r="KSF40" s="3327"/>
      <c r="KSG40" s="3327"/>
      <c r="KSH40" s="3327"/>
      <c r="KSI40" s="3327"/>
      <c r="KSJ40" s="3327"/>
      <c r="KSK40" s="3327"/>
      <c r="KSL40" s="3327"/>
      <c r="KSM40" s="3327"/>
      <c r="KSN40" s="3327"/>
      <c r="KSO40" s="3327"/>
      <c r="KSP40" s="3327"/>
      <c r="KSQ40" s="3327"/>
      <c r="KSR40" s="3327"/>
      <c r="KSS40" s="3327"/>
      <c r="KST40" s="3327"/>
      <c r="KSU40" s="3327"/>
      <c r="KSV40" s="3327"/>
      <c r="KSW40" s="3327"/>
      <c r="KSX40" s="3327"/>
      <c r="KSY40" s="3327"/>
      <c r="KSZ40" s="3327"/>
      <c r="KTA40" s="3327"/>
      <c r="KTB40" s="3327"/>
      <c r="KTC40" s="3327"/>
      <c r="KTD40" s="3327"/>
      <c r="KTE40" s="3327"/>
      <c r="KTF40" s="3327"/>
      <c r="KTG40" s="3327"/>
      <c r="KTH40" s="3327"/>
      <c r="KTI40" s="3327"/>
      <c r="KTJ40" s="3327"/>
      <c r="KTK40" s="3327"/>
      <c r="KTL40" s="3327"/>
      <c r="KTM40" s="3327"/>
      <c r="KTN40" s="3327"/>
      <c r="KTO40" s="3327"/>
      <c r="KTP40" s="3327"/>
      <c r="KTQ40" s="3327"/>
      <c r="KTR40" s="3327"/>
      <c r="KTS40" s="3327"/>
      <c r="KTT40" s="3327"/>
      <c r="KTU40" s="3327"/>
      <c r="KTV40" s="3327"/>
      <c r="KTW40" s="3327"/>
      <c r="KTX40" s="3327"/>
      <c r="KTY40" s="3327"/>
      <c r="KTZ40" s="3327"/>
      <c r="KUA40" s="3327"/>
      <c r="KUB40" s="3327"/>
      <c r="KUC40" s="3327"/>
      <c r="KUD40" s="3327"/>
      <c r="KUE40" s="3327"/>
      <c r="KUF40" s="3327"/>
      <c r="KUG40" s="3327"/>
      <c r="KUH40" s="3327"/>
      <c r="KUI40" s="3327"/>
      <c r="KUJ40" s="3327"/>
      <c r="KUK40" s="3327"/>
      <c r="KUL40" s="3327"/>
      <c r="KUM40" s="3327"/>
      <c r="KUN40" s="3327"/>
      <c r="KUO40" s="3327"/>
      <c r="KUP40" s="3327"/>
      <c r="KUQ40" s="3327"/>
      <c r="KUR40" s="3327"/>
      <c r="KUS40" s="3327"/>
      <c r="KUT40" s="3327"/>
      <c r="KUU40" s="3327"/>
      <c r="KUV40" s="3327"/>
      <c r="KUW40" s="3327"/>
      <c r="KUX40" s="3327"/>
      <c r="KUY40" s="3327"/>
      <c r="KUZ40" s="3327"/>
      <c r="KVA40" s="3327"/>
      <c r="KVB40" s="3327"/>
      <c r="KVC40" s="3327"/>
      <c r="KVD40" s="3327"/>
      <c r="KVE40" s="3327"/>
      <c r="KVF40" s="3327"/>
      <c r="KVG40" s="3327"/>
      <c r="KVH40" s="3327"/>
      <c r="KVI40" s="3327"/>
      <c r="KVJ40" s="3327"/>
      <c r="KVK40" s="3327"/>
      <c r="KVL40" s="3327"/>
      <c r="KVM40" s="3327"/>
      <c r="KVN40" s="3327"/>
      <c r="KVO40" s="3327"/>
      <c r="KVP40" s="3327"/>
      <c r="KVQ40" s="3327"/>
      <c r="KVR40" s="3327"/>
      <c r="KVS40" s="3327"/>
      <c r="KVT40" s="3327"/>
      <c r="KVU40" s="3327"/>
      <c r="KVV40" s="3327"/>
      <c r="KVW40" s="3327"/>
      <c r="KVX40" s="3327"/>
      <c r="KVY40" s="3327"/>
      <c r="KVZ40" s="3327"/>
      <c r="KWA40" s="3327"/>
      <c r="KWB40" s="3327"/>
      <c r="KWC40" s="3327"/>
      <c r="KWD40" s="3327"/>
      <c r="KWE40" s="3327"/>
      <c r="KWF40" s="3327"/>
      <c r="KWG40" s="3327"/>
      <c r="KWH40" s="3327"/>
      <c r="KWI40" s="3327"/>
      <c r="KWJ40" s="3327"/>
      <c r="KWK40" s="3327"/>
      <c r="KWL40" s="3327"/>
      <c r="KWM40" s="3327"/>
      <c r="KWN40" s="3327"/>
      <c r="KWO40" s="3327"/>
      <c r="KWP40" s="3327"/>
      <c r="KWQ40" s="3327"/>
      <c r="KWR40" s="3327"/>
      <c r="KWS40" s="3327"/>
      <c r="KWT40" s="3327"/>
      <c r="KWU40" s="3327"/>
      <c r="KWV40" s="3327"/>
      <c r="KWW40" s="3327"/>
      <c r="KWX40" s="3327"/>
      <c r="KWY40" s="3327"/>
      <c r="KWZ40" s="3327"/>
      <c r="KXA40" s="3327"/>
      <c r="KXB40" s="3327"/>
      <c r="KXC40" s="3327"/>
      <c r="KXD40" s="3327"/>
      <c r="KXE40" s="3327"/>
      <c r="KXF40" s="3327"/>
      <c r="KXG40" s="3327"/>
      <c r="KXH40" s="3327"/>
      <c r="KXI40" s="3327"/>
      <c r="KXJ40" s="3327"/>
      <c r="KXK40" s="3327"/>
      <c r="KXL40" s="3327"/>
      <c r="KXM40" s="3327"/>
      <c r="KXN40" s="3327"/>
      <c r="KXO40" s="3327"/>
      <c r="KXP40" s="3327"/>
      <c r="KXQ40" s="3327"/>
      <c r="KXR40" s="3327"/>
      <c r="KXS40" s="3327"/>
      <c r="KXT40" s="3327"/>
      <c r="KXU40" s="3327"/>
      <c r="KXV40" s="3327"/>
      <c r="KXW40" s="3327"/>
      <c r="KXX40" s="3327"/>
      <c r="KXY40" s="3327"/>
      <c r="KXZ40" s="3327"/>
      <c r="KYA40" s="3327"/>
      <c r="KYB40" s="3327"/>
      <c r="KYC40" s="3327"/>
      <c r="KYD40" s="3327"/>
      <c r="KYE40" s="3327"/>
      <c r="KYF40" s="3327"/>
      <c r="KYG40" s="3327"/>
      <c r="KYH40" s="3327"/>
      <c r="KYI40" s="3327"/>
      <c r="KYJ40" s="3327"/>
      <c r="KYK40" s="3327"/>
      <c r="KYL40" s="3327"/>
      <c r="KYM40" s="3327"/>
      <c r="KYN40" s="3327"/>
      <c r="KYO40" s="3327"/>
      <c r="KYP40" s="3327"/>
      <c r="KYQ40" s="3327"/>
      <c r="KYR40" s="3327"/>
      <c r="KYS40" s="3327"/>
      <c r="KYT40" s="3327"/>
      <c r="KYU40" s="3327"/>
      <c r="KYV40" s="3327"/>
      <c r="KYW40" s="3327"/>
      <c r="KYX40" s="3327"/>
      <c r="KYY40" s="3327"/>
      <c r="KYZ40" s="3327"/>
      <c r="KZA40" s="3327"/>
      <c r="KZB40" s="3327"/>
      <c r="KZC40" s="3327"/>
      <c r="KZD40" s="3327"/>
      <c r="KZE40" s="3327"/>
      <c r="KZF40" s="3327"/>
      <c r="KZG40" s="3327"/>
      <c r="KZH40" s="3327"/>
      <c r="KZI40" s="3327"/>
      <c r="KZJ40" s="3327"/>
      <c r="KZK40" s="3327"/>
      <c r="KZL40" s="3327"/>
      <c r="KZM40" s="3327"/>
      <c r="KZN40" s="3327"/>
      <c r="KZO40" s="3327"/>
      <c r="KZP40" s="3327"/>
      <c r="KZQ40" s="3327"/>
      <c r="KZR40" s="3327"/>
      <c r="KZS40" s="3327"/>
      <c r="KZT40" s="3327"/>
      <c r="KZU40" s="3327"/>
      <c r="KZV40" s="3327"/>
      <c r="KZW40" s="3327"/>
      <c r="KZX40" s="3327"/>
      <c r="KZY40" s="3327"/>
      <c r="KZZ40" s="3327"/>
      <c r="LAA40" s="3327"/>
      <c r="LAB40" s="3327"/>
      <c r="LAC40" s="3327"/>
      <c r="LAD40" s="3327"/>
      <c r="LAE40" s="3327"/>
      <c r="LAF40" s="3327"/>
      <c r="LAG40" s="3327"/>
      <c r="LAH40" s="3327"/>
      <c r="LAI40" s="3327"/>
      <c r="LAJ40" s="3327"/>
      <c r="LAK40" s="3327"/>
      <c r="LAL40" s="3327"/>
      <c r="LAM40" s="3327"/>
      <c r="LAN40" s="3327"/>
      <c r="LAO40" s="3327"/>
      <c r="LAP40" s="3327"/>
      <c r="LAQ40" s="3327"/>
      <c r="LAR40" s="3327"/>
      <c r="LAS40" s="3327"/>
      <c r="LAT40" s="3327"/>
      <c r="LAU40" s="3327"/>
      <c r="LAV40" s="3327"/>
      <c r="LAW40" s="3327"/>
      <c r="LAX40" s="3327"/>
      <c r="LAY40" s="3327"/>
      <c r="LAZ40" s="3327"/>
      <c r="LBA40" s="3327"/>
      <c r="LBB40" s="3327"/>
      <c r="LBC40" s="3327"/>
      <c r="LBD40" s="3327"/>
      <c r="LBE40" s="3327"/>
      <c r="LBF40" s="3327"/>
      <c r="LBG40" s="3327"/>
      <c r="LBH40" s="3327"/>
      <c r="LBI40" s="3327"/>
      <c r="LBJ40" s="3327"/>
      <c r="LBK40" s="3327"/>
      <c r="LBL40" s="3327"/>
      <c r="LBM40" s="3327"/>
      <c r="LBN40" s="3327"/>
      <c r="LBO40" s="3327"/>
      <c r="LBP40" s="3327"/>
      <c r="LBQ40" s="3327"/>
      <c r="LBR40" s="3327"/>
      <c r="LBS40" s="3327"/>
      <c r="LBT40" s="3327"/>
      <c r="LBU40" s="3327"/>
      <c r="LBV40" s="3327"/>
      <c r="LBW40" s="3327"/>
      <c r="LBX40" s="3327"/>
      <c r="LBY40" s="3327"/>
      <c r="LBZ40" s="3327"/>
      <c r="LCA40" s="3327"/>
      <c r="LCB40" s="3327"/>
      <c r="LCC40" s="3327"/>
      <c r="LCD40" s="3327"/>
      <c r="LCE40" s="3327"/>
      <c r="LCF40" s="3327"/>
      <c r="LCG40" s="3327"/>
      <c r="LCH40" s="3327"/>
      <c r="LCI40" s="3327"/>
      <c r="LCJ40" s="3327"/>
      <c r="LCK40" s="3327"/>
      <c r="LCL40" s="3327"/>
      <c r="LCM40" s="3327"/>
      <c r="LCN40" s="3327"/>
      <c r="LCO40" s="3327"/>
      <c r="LCP40" s="3327"/>
      <c r="LCQ40" s="3327"/>
      <c r="LCR40" s="3327"/>
      <c r="LCS40" s="3327"/>
      <c r="LCT40" s="3327"/>
      <c r="LCU40" s="3327"/>
      <c r="LCV40" s="3327"/>
      <c r="LCW40" s="3327"/>
      <c r="LCX40" s="3327"/>
      <c r="LCY40" s="3327"/>
      <c r="LCZ40" s="3327"/>
      <c r="LDA40" s="3327"/>
      <c r="LDB40" s="3327"/>
      <c r="LDC40" s="3327"/>
      <c r="LDD40" s="3327"/>
      <c r="LDE40" s="3327"/>
      <c r="LDF40" s="3327"/>
      <c r="LDG40" s="3327"/>
      <c r="LDH40" s="3327"/>
      <c r="LDI40" s="3327"/>
      <c r="LDJ40" s="3327"/>
      <c r="LDK40" s="3327"/>
      <c r="LDL40" s="3327"/>
      <c r="LDM40" s="3327"/>
      <c r="LDN40" s="3327"/>
      <c r="LDO40" s="3327"/>
      <c r="LDP40" s="3327"/>
      <c r="LDQ40" s="3327"/>
      <c r="LDR40" s="3327"/>
      <c r="LDS40" s="3327"/>
      <c r="LDT40" s="3327"/>
      <c r="LDU40" s="3327"/>
      <c r="LDV40" s="3327"/>
      <c r="LDW40" s="3327"/>
      <c r="LDX40" s="3327"/>
      <c r="LDY40" s="3327"/>
      <c r="LDZ40" s="3327"/>
      <c r="LEA40" s="3327"/>
      <c r="LEB40" s="3327"/>
      <c r="LEC40" s="3327"/>
      <c r="LED40" s="3327"/>
      <c r="LEE40" s="3327"/>
      <c r="LEF40" s="3327"/>
      <c r="LEG40" s="3327"/>
      <c r="LEH40" s="3327"/>
      <c r="LEI40" s="3327"/>
      <c r="LEJ40" s="3327"/>
      <c r="LEK40" s="3327"/>
      <c r="LEL40" s="3327"/>
      <c r="LEM40" s="3327"/>
      <c r="LEN40" s="3327"/>
      <c r="LEO40" s="3327"/>
      <c r="LEP40" s="3327"/>
      <c r="LEQ40" s="3327"/>
      <c r="LER40" s="3327"/>
      <c r="LES40" s="3327"/>
      <c r="LET40" s="3327"/>
      <c r="LEU40" s="3327"/>
      <c r="LEV40" s="3327"/>
      <c r="LEW40" s="3327"/>
      <c r="LEX40" s="3327"/>
      <c r="LEY40" s="3327"/>
      <c r="LEZ40" s="3327"/>
      <c r="LFA40" s="3327"/>
      <c r="LFB40" s="3327"/>
      <c r="LFC40" s="3327"/>
      <c r="LFD40" s="3327"/>
      <c r="LFE40" s="3327"/>
      <c r="LFF40" s="3327"/>
      <c r="LFG40" s="3327"/>
      <c r="LFH40" s="3327"/>
      <c r="LFI40" s="3327"/>
      <c r="LFJ40" s="3327"/>
      <c r="LFK40" s="3327"/>
      <c r="LFL40" s="3327"/>
      <c r="LFM40" s="3327"/>
      <c r="LFN40" s="3327"/>
      <c r="LFO40" s="3327"/>
      <c r="LFP40" s="3327"/>
      <c r="LFQ40" s="3327"/>
      <c r="LFR40" s="3327"/>
      <c r="LFS40" s="3327"/>
      <c r="LFT40" s="3327"/>
      <c r="LFU40" s="3327"/>
      <c r="LFV40" s="3327"/>
      <c r="LFW40" s="3327"/>
      <c r="LFX40" s="3327"/>
      <c r="LFY40" s="3327"/>
      <c r="LFZ40" s="3327"/>
      <c r="LGA40" s="3327"/>
      <c r="LGB40" s="3327"/>
      <c r="LGC40" s="3327"/>
      <c r="LGD40" s="3327"/>
      <c r="LGE40" s="3327"/>
      <c r="LGF40" s="3327"/>
      <c r="LGG40" s="3327"/>
      <c r="LGH40" s="3327"/>
      <c r="LGI40" s="3327"/>
      <c r="LGJ40" s="3327"/>
      <c r="LGK40" s="3327"/>
      <c r="LGL40" s="3327"/>
      <c r="LGM40" s="3327"/>
      <c r="LGN40" s="3327"/>
      <c r="LGO40" s="3327"/>
      <c r="LGP40" s="3327"/>
      <c r="LGQ40" s="3327"/>
      <c r="LGR40" s="3327"/>
      <c r="LGS40" s="3327"/>
      <c r="LGT40" s="3327"/>
      <c r="LGU40" s="3327"/>
      <c r="LGV40" s="3327"/>
      <c r="LGW40" s="3327"/>
      <c r="LGX40" s="3327"/>
      <c r="LGY40" s="3327"/>
      <c r="LGZ40" s="3327"/>
      <c r="LHA40" s="3327"/>
      <c r="LHB40" s="3327"/>
      <c r="LHC40" s="3327"/>
      <c r="LHD40" s="3327"/>
      <c r="LHE40" s="3327"/>
      <c r="LHF40" s="3327"/>
      <c r="LHG40" s="3327"/>
      <c r="LHH40" s="3327"/>
      <c r="LHI40" s="3327"/>
      <c r="LHJ40" s="3327"/>
      <c r="LHK40" s="3327"/>
      <c r="LHL40" s="3327"/>
      <c r="LHM40" s="3327"/>
      <c r="LHN40" s="3327"/>
      <c r="LHO40" s="3327"/>
      <c r="LHP40" s="3327"/>
      <c r="LHQ40" s="3327"/>
      <c r="LHR40" s="3327"/>
      <c r="LHS40" s="3327"/>
      <c r="LHT40" s="3327"/>
      <c r="LHU40" s="3327"/>
      <c r="LHV40" s="3327"/>
      <c r="LHW40" s="3327"/>
      <c r="LHX40" s="3327"/>
      <c r="LHY40" s="3327"/>
      <c r="LHZ40" s="3327"/>
      <c r="LIA40" s="3327"/>
      <c r="LIB40" s="3327"/>
      <c r="LIC40" s="3327"/>
      <c r="LID40" s="3327"/>
      <c r="LIE40" s="3327"/>
      <c r="LIF40" s="3327"/>
      <c r="LIG40" s="3327"/>
      <c r="LIH40" s="3327"/>
      <c r="LII40" s="3327"/>
      <c r="LIJ40" s="3327"/>
      <c r="LIK40" s="3327"/>
      <c r="LIL40" s="3327"/>
      <c r="LIM40" s="3327"/>
      <c r="LIN40" s="3327"/>
      <c r="LIO40" s="3327"/>
      <c r="LIP40" s="3327"/>
      <c r="LIQ40" s="3327"/>
      <c r="LIR40" s="3327"/>
      <c r="LIS40" s="3327"/>
      <c r="LIT40" s="3327"/>
      <c r="LIU40" s="3327"/>
      <c r="LIV40" s="3327"/>
      <c r="LIW40" s="3327"/>
      <c r="LIX40" s="3327"/>
      <c r="LIY40" s="3327"/>
      <c r="LIZ40" s="3327"/>
      <c r="LJA40" s="3327"/>
      <c r="LJB40" s="3327"/>
      <c r="LJC40" s="3327"/>
      <c r="LJD40" s="3327"/>
      <c r="LJE40" s="3327"/>
      <c r="LJF40" s="3327"/>
      <c r="LJG40" s="3327"/>
      <c r="LJH40" s="3327"/>
      <c r="LJI40" s="3327"/>
      <c r="LJJ40" s="3327"/>
      <c r="LJK40" s="3327"/>
      <c r="LJL40" s="3327"/>
      <c r="LJM40" s="3327"/>
      <c r="LJN40" s="3327"/>
      <c r="LJO40" s="3327"/>
      <c r="LJP40" s="3327"/>
      <c r="LJQ40" s="3327"/>
      <c r="LJR40" s="3327"/>
      <c r="LJS40" s="3327"/>
      <c r="LJT40" s="3327"/>
      <c r="LJU40" s="3327"/>
      <c r="LJV40" s="3327"/>
      <c r="LJW40" s="3327"/>
      <c r="LJX40" s="3327"/>
      <c r="LJY40" s="3327"/>
      <c r="LJZ40" s="3327"/>
      <c r="LKA40" s="3327"/>
      <c r="LKB40" s="3327"/>
      <c r="LKC40" s="3327"/>
      <c r="LKD40" s="3327"/>
      <c r="LKE40" s="3327"/>
      <c r="LKF40" s="3327"/>
      <c r="LKG40" s="3327"/>
      <c r="LKH40" s="3327"/>
      <c r="LKI40" s="3327"/>
      <c r="LKJ40" s="3327"/>
      <c r="LKK40" s="3327"/>
      <c r="LKL40" s="3327"/>
      <c r="LKM40" s="3327"/>
      <c r="LKN40" s="3327"/>
      <c r="LKO40" s="3327"/>
      <c r="LKP40" s="3327"/>
      <c r="LKQ40" s="3327"/>
      <c r="LKR40" s="3327"/>
      <c r="LKS40" s="3327"/>
      <c r="LKT40" s="3327"/>
      <c r="LKU40" s="3327"/>
      <c r="LKV40" s="3327"/>
      <c r="LKW40" s="3327"/>
      <c r="LKX40" s="3327"/>
      <c r="LKY40" s="3327"/>
      <c r="LKZ40" s="3327"/>
      <c r="LLA40" s="3327"/>
      <c r="LLB40" s="3327"/>
      <c r="LLC40" s="3327"/>
      <c r="LLD40" s="3327"/>
      <c r="LLE40" s="3327"/>
      <c r="LLF40" s="3327"/>
      <c r="LLG40" s="3327"/>
      <c r="LLH40" s="3327"/>
      <c r="LLI40" s="3327"/>
      <c r="LLJ40" s="3327"/>
      <c r="LLK40" s="3327"/>
      <c r="LLL40" s="3327"/>
      <c r="LLM40" s="3327"/>
      <c r="LLN40" s="3327"/>
      <c r="LLO40" s="3327"/>
      <c r="LLP40" s="3327"/>
      <c r="LLQ40" s="3327"/>
      <c r="LLR40" s="3327"/>
      <c r="LLS40" s="3327"/>
      <c r="LLT40" s="3327"/>
      <c r="LLU40" s="3327"/>
      <c r="LLV40" s="3327"/>
      <c r="LLW40" s="3327"/>
      <c r="LLX40" s="3327"/>
      <c r="LLY40" s="3327"/>
      <c r="LLZ40" s="3327"/>
      <c r="LMA40" s="3327"/>
      <c r="LMB40" s="3327"/>
      <c r="LMC40" s="3327"/>
      <c r="LMD40" s="3327"/>
      <c r="LME40" s="3327"/>
      <c r="LMF40" s="3327"/>
      <c r="LMG40" s="3327"/>
      <c r="LMH40" s="3327"/>
      <c r="LMI40" s="3327"/>
      <c r="LMJ40" s="3327"/>
      <c r="LMK40" s="3327"/>
      <c r="LML40" s="3327"/>
      <c r="LMM40" s="3327"/>
      <c r="LMN40" s="3327"/>
      <c r="LMO40" s="3327"/>
      <c r="LMP40" s="3327"/>
      <c r="LMQ40" s="3327"/>
      <c r="LMR40" s="3327"/>
      <c r="LMS40" s="3327"/>
      <c r="LMT40" s="3327"/>
      <c r="LMU40" s="3327"/>
      <c r="LMV40" s="3327"/>
      <c r="LMW40" s="3327"/>
      <c r="LMX40" s="3327"/>
      <c r="LMY40" s="3327"/>
      <c r="LMZ40" s="3327"/>
      <c r="LNA40" s="3327"/>
      <c r="LNB40" s="3327"/>
      <c r="LNC40" s="3327"/>
      <c r="LND40" s="3327"/>
      <c r="LNE40" s="3327"/>
      <c r="LNF40" s="3327"/>
      <c r="LNG40" s="3327"/>
      <c r="LNH40" s="3327"/>
      <c r="LNI40" s="3327"/>
      <c r="LNJ40" s="3327"/>
      <c r="LNK40" s="3327"/>
      <c r="LNL40" s="3327"/>
      <c r="LNM40" s="3327"/>
      <c r="LNN40" s="3327"/>
      <c r="LNO40" s="3327"/>
      <c r="LNP40" s="3327"/>
      <c r="LNQ40" s="3327"/>
      <c r="LNR40" s="3327"/>
      <c r="LNS40" s="3327"/>
      <c r="LNT40" s="3327"/>
      <c r="LNU40" s="3327"/>
      <c r="LNV40" s="3327"/>
      <c r="LNW40" s="3327"/>
      <c r="LNX40" s="3327"/>
      <c r="LNY40" s="3327"/>
      <c r="LNZ40" s="3327"/>
      <c r="LOA40" s="3327"/>
      <c r="LOB40" s="3327"/>
      <c r="LOC40" s="3327"/>
      <c r="LOD40" s="3327"/>
      <c r="LOE40" s="3327"/>
      <c r="LOF40" s="3327"/>
      <c r="LOG40" s="3327"/>
      <c r="LOH40" s="3327"/>
      <c r="LOI40" s="3327"/>
      <c r="LOJ40" s="3327"/>
      <c r="LOK40" s="3327"/>
      <c r="LOL40" s="3327"/>
      <c r="LOM40" s="3327"/>
      <c r="LON40" s="3327"/>
      <c r="LOO40" s="3327"/>
      <c r="LOP40" s="3327"/>
      <c r="LOQ40" s="3327"/>
      <c r="LOR40" s="3327"/>
      <c r="LOS40" s="3327"/>
      <c r="LOT40" s="3327"/>
      <c r="LOU40" s="3327"/>
      <c r="LOV40" s="3327"/>
      <c r="LOW40" s="3327"/>
      <c r="LOX40" s="3327"/>
      <c r="LOY40" s="3327"/>
      <c r="LOZ40" s="3327"/>
      <c r="LPA40" s="3327"/>
      <c r="LPB40" s="3327"/>
      <c r="LPC40" s="3327"/>
      <c r="LPD40" s="3327"/>
      <c r="LPE40" s="3327"/>
      <c r="LPF40" s="3327"/>
      <c r="LPG40" s="3327"/>
      <c r="LPH40" s="3327"/>
      <c r="LPI40" s="3327"/>
      <c r="LPJ40" s="3327"/>
      <c r="LPK40" s="3327"/>
      <c r="LPL40" s="3327"/>
      <c r="LPM40" s="3327"/>
      <c r="LPN40" s="3327"/>
      <c r="LPO40" s="3327"/>
      <c r="LPP40" s="3327"/>
      <c r="LPQ40" s="3327"/>
      <c r="LPR40" s="3327"/>
      <c r="LPS40" s="3327"/>
      <c r="LPT40" s="3327"/>
      <c r="LPU40" s="3327"/>
      <c r="LPV40" s="3327"/>
      <c r="LPW40" s="3327"/>
      <c r="LPX40" s="3327"/>
      <c r="LPY40" s="3327"/>
      <c r="LPZ40" s="3327"/>
      <c r="LQA40" s="3327"/>
      <c r="LQB40" s="3327"/>
      <c r="LQC40" s="3327"/>
      <c r="LQD40" s="3327"/>
      <c r="LQE40" s="3327"/>
      <c r="LQF40" s="3327"/>
      <c r="LQG40" s="3327"/>
      <c r="LQH40" s="3327"/>
      <c r="LQI40" s="3327"/>
      <c r="LQJ40" s="3327"/>
      <c r="LQK40" s="3327"/>
      <c r="LQL40" s="3327"/>
      <c r="LQM40" s="3327"/>
      <c r="LQN40" s="3327"/>
      <c r="LQO40" s="3327"/>
      <c r="LQP40" s="3327"/>
      <c r="LQQ40" s="3327"/>
      <c r="LQR40" s="3327"/>
      <c r="LQS40" s="3327"/>
      <c r="LQT40" s="3327"/>
      <c r="LQU40" s="3327"/>
      <c r="LQV40" s="3327"/>
      <c r="LQW40" s="3327"/>
      <c r="LQX40" s="3327"/>
      <c r="LQY40" s="3327"/>
      <c r="LQZ40" s="3327"/>
      <c r="LRA40" s="3327"/>
      <c r="LRB40" s="3327"/>
      <c r="LRC40" s="3327"/>
      <c r="LRD40" s="3327"/>
      <c r="LRE40" s="3327"/>
      <c r="LRF40" s="3327"/>
      <c r="LRG40" s="3327"/>
      <c r="LRH40" s="3327"/>
      <c r="LRI40" s="3327"/>
      <c r="LRJ40" s="3327"/>
      <c r="LRK40" s="3327"/>
      <c r="LRL40" s="3327"/>
      <c r="LRM40" s="3327"/>
      <c r="LRN40" s="3327"/>
      <c r="LRO40" s="3327"/>
      <c r="LRP40" s="3327"/>
      <c r="LRQ40" s="3327"/>
      <c r="LRR40" s="3327"/>
      <c r="LRS40" s="3327"/>
      <c r="LRT40" s="3327"/>
      <c r="LRU40" s="3327"/>
      <c r="LRV40" s="3327"/>
      <c r="LRW40" s="3327"/>
      <c r="LRX40" s="3327"/>
      <c r="LRY40" s="3327"/>
      <c r="LRZ40" s="3327"/>
      <c r="LSA40" s="3327"/>
      <c r="LSB40" s="3327"/>
      <c r="LSC40" s="3327"/>
      <c r="LSD40" s="3327"/>
      <c r="LSE40" s="3327"/>
      <c r="LSF40" s="3327"/>
      <c r="LSG40" s="3327"/>
      <c r="LSH40" s="3327"/>
      <c r="LSI40" s="3327"/>
      <c r="LSJ40" s="3327"/>
      <c r="LSK40" s="3327"/>
      <c r="LSL40" s="3327"/>
      <c r="LSM40" s="3327"/>
      <c r="LSN40" s="3327"/>
      <c r="LSO40" s="3327"/>
      <c r="LSP40" s="3327"/>
      <c r="LSQ40" s="3327"/>
      <c r="LSR40" s="3327"/>
      <c r="LSS40" s="3327"/>
      <c r="LST40" s="3327"/>
      <c r="LSU40" s="3327"/>
      <c r="LSV40" s="3327"/>
      <c r="LSW40" s="3327"/>
      <c r="LSX40" s="3327"/>
      <c r="LSY40" s="3327"/>
      <c r="LSZ40" s="3327"/>
      <c r="LTA40" s="3327"/>
      <c r="LTB40" s="3327"/>
      <c r="LTC40" s="3327"/>
      <c r="LTD40" s="3327"/>
      <c r="LTE40" s="3327"/>
      <c r="LTF40" s="3327"/>
      <c r="LTG40" s="3327"/>
      <c r="LTH40" s="3327"/>
      <c r="LTI40" s="3327"/>
      <c r="LTJ40" s="3327"/>
      <c r="LTK40" s="3327"/>
      <c r="LTL40" s="3327"/>
      <c r="LTM40" s="3327"/>
      <c r="LTN40" s="3327"/>
      <c r="LTO40" s="3327"/>
      <c r="LTP40" s="3327"/>
      <c r="LTQ40" s="3327"/>
      <c r="LTR40" s="3327"/>
      <c r="LTS40" s="3327"/>
      <c r="LTT40" s="3327"/>
      <c r="LTU40" s="3327"/>
      <c r="LTV40" s="3327"/>
      <c r="LTW40" s="3327"/>
      <c r="LTX40" s="3327"/>
      <c r="LTY40" s="3327"/>
      <c r="LTZ40" s="3327"/>
      <c r="LUA40" s="3327"/>
      <c r="LUB40" s="3327"/>
      <c r="LUC40" s="3327"/>
      <c r="LUD40" s="3327"/>
      <c r="LUE40" s="3327"/>
      <c r="LUF40" s="3327"/>
      <c r="LUG40" s="3327"/>
      <c r="LUH40" s="3327"/>
      <c r="LUI40" s="3327"/>
      <c r="LUJ40" s="3327"/>
      <c r="LUK40" s="3327"/>
      <c r="LUL40" s="3327"/>
      <c r="LUM40" s="3327"/>
      <c r="LUN40" s="3327"/>
      <c r="LUO40" s="3327"/>
      <c r="LUP40" s="3327"/>
      <c r="LUQ40" s="3327"/>
      <c r="LUR40" s="3327"/>
      <c r="LUS40" s="3327"/>
      <c r="LUT40" s="3327"/>
      <c r="LUU40" s="3327"/>
      <c r="LUV40" s="3327"/>
      <c r="LUW40" s="3327"/>
      <c r="LUX40" s="3327"/>
      <c r="LUY40" s="3327"/>
      <c r="LUZ40" s="3327"/>
      <c r="LVA40" s="3327"/>
      <c r="LVB40" s="3327"/>
      <c r="LVC40" s="3327"/>
      <c r="LVD40" s="3327"/>
      <c r="LVE40" s="3327"/>
      <c r="LVF40" s="3327"/>
      <c r="LVG40" s="3327"/>
      <c r="LVH40" s="3327"/>
      <c r="LVI40" s="3327"/>
      <c r="LVJ40" s="3327"/>
      <c r="LVK40" s="3327"/>
      <c r="LVL40" s="3327"/>
      <c r="LVM40" s="3327"/>
      <c r="LVN40" s="3327"/>
      <c r="LVO40" s="3327"/>
      <c r="LVP40" s="3327"/>
      <c r="LVQ40" s="3327"/>
      <c r="LVR40" s="3327"/>
      <c r="LVS40" s="3327"/>
      <c r="LVT40" s="3327"/>
      <c r="LVU40" s="3327"/>
      <c r="LVV40" s="3327"/>
      <c r="LVW40" s="3327"/>
      <c r="LVX40" s="3327"/>
      <c r="LVY40" s="3327"/>
      <c r="LVZ40" s="3327"/>
      <c r="LWA40" s="3327"/>
      <c r="LWB40" s="3327"/>
      <c r="LWC40" s="3327"/>
      <c r="LWD40" s="3327"/>
      <c r="LWE40" s="3327"/>
      <c r="LWF40" s="3327"/>
      <c r="LWG40" s="3327"/>
      <c r="LWH40" s="3327"/>
      <c r="LWI40" s="3327"/>
      <c r="LWJ40" s="3327"/>
      <c r="LWK40" s="3327"/>
      <c r="LWL40" s="3327"/>
      <c r="LWM40" s="3327"/>
      <c r="LWN40" s="3327"/>
      <c r="LWO40" s="3327"/>
      <c r="LWP40" s="3327"/>
      <c r="LWQ40" s="3327"/>
      <c r="LWR40" s="3327"/>
      <c r="LWS40" s="3327"/>
      <c r="LWT40" s="3327"/>
      <c r="LWU40" s="3327"/>
      <c r="LWV40" s="3327"/>
      <c r="LWW40" s="3327"/>
      <c r="LWX40" s="3327"/>
      <c r="LWY40" s="3327"/>
      <c r="LWZ40" s="3327"/>
      <c r="LXA40" s="3327"/>
      <c r="LXB40" s="3327"/>
      <c r="LXC40" s="3327"/>
      <c r="LXD40" s="3327"/>
      <c r="LXE40" s="3327"/>
      <c r="LXF40" s="3327"/>
      <c r="LXG40" s="3327"/>
      <c r="LXH40" s="3327"/>
      <c r="LXI40" s="3327"/>
      <c r="LXJ40" s="3327"/>
      <c r="LXK40" s="3327"/>
      <c r="LXL40" s="3327"/>
      <c r="LXM40" s="3327"/>
      <c r="LXN40" s="3327"/>
      <c r="LXO40" s="3327"/>
      <c r="LXP40" s="3327"/>
      <c r="LXQ40" s="3327"/>
      <c r="LXR40" s="3327"/>
      <c r="LXS40" s="3327"/>
      <c r="LXT40" s="3327"/>
      <c r="LXU40" s="3327"/>
      <c r="LXV40" s="3327"/>
      <c r="LXW40" s="3327"/>
      <c r="LXX40" s="3327"/>
      <c r="LXY40" s="3327"/>
      <c r="LXZ40" s="3327"/>
      <c r="LYA40" s="3327"/>
      <c r="LYB40" s="3327"/>
      <c r="LYC40" s="3327"/>
      <c r="LYD40" s="3327"/>
      <c r="LYE40" s="3327"/>
      <c r="LYF40" s="3327"/>
      <c r="LYG40" s="3327"/>
      <c r="LYH40" s="3327"/>
      <c r="LYI40" s="3327"/>
      <c r="LYJ40" s="3327"/>
      <c r="LYK40" s="3327"/>
      <c r="LYL40" s="3327"/>
      <c r="LYM40" s="3327"/>
      <c r="LYN40" s="3327"/>
      <c r="LYO40" s="3327"/>
      <c r="LYP40" s="3327"/>
      <c r="LYQ40" s="3327"/>
      <c r="LYR40" s="3327"/>
      <c r="LYS40" s="3327"/>
      <c r="LYT40" s="3327"/>
      <c r="LYU40" s="3327"/>
      <c r="LYV40" s="3327"/>
      <c r="LYW40" s="3327"/>
      <c r="LYX40" s="3327"/>
      <c r="LYY40" s="3327"/>
      <c r="LYZ40" s="3327"/>
      <c r="LZA40" s="3327"/>
      <c r="LZB40" s="3327"/>
      <c r="LZC40" s="3327"/>
      <c r="LZD40" s="3327"/>
      <c r="LZE40" s="3327"/>
      <c r="LZF40" s="3327"/>
      <c r="LZG40" s="3327"/>
      <c r="LZH40" s="3327"/>
      <c r="LZI40" s="3327"/>
      <c r="LZJ40" s="3327"/>
      <c r="LZK40" s="3327"/>
      <c r="LZL40" s="3327"/>
      <c r="LZM40" s="3327"/>
      <c r="LZN40" s="3327"/>
      <c r="LZO40" s="3327"/>
      <c r="LZP40" s="3327"/>
      <c r="LZQ40" s="3327"/>
      <c r="LZR40" s="3327"/>
      <c r="LZS40" s="3327"/>
      <c r="LZT40" s="3327"/>
      <c r="LZU40" s="3327"/>
      <c r="LZV40" s="3327"/>
      <c r="LZW40" s="3327"/>
      <c r="LZX40" s="3327"/>
      <c r="LZY40" s="3327"/>
      <c r="LZZ40" s="3327"/>
      <c r="MAA40" s="3327"/>
      <c r="MAB40" s="3327"/>
      <c r="MAC40" s="3327"/>
      <c r="MAD40" s="3327"/>
      <c r="MAE40" s="3327"/>
      <c r="MAF40" s="3327"/>
      <c r="MAG40" s="3327"/>
      <c r="MAH40" s="3327"/>
      <c r="MAI40" s="3327"/>
      <c r="MAJ40" s="3327"/>
      <c r="MAK40" s="3327"/>
      <c r="MAL40" s="3327"/>
      <c r="MAM40" s="3327"/>
      <c r="MAN40" s="3327"/>
      <c r="MAO40" s="3327"/>
      <c r="MAP40" s="3327"/>
      <c r="MAQ40" s="3327"/>
      <c r="MAR40" s="3327"/>
      <c r="MAS40" s="3327"/>
      <c r="MAT40" s="3327"/>
      <c r="MAU40" s="3327"/>
      <c r="MAV40" s="3327"/>
      <c r="MAW40" s="3327"/>
      <c r="MAX40" s="3327"/>
      <c r="MAY40" s="3327"/>
      <c r="MAZ40" s="3327"/>
      <c r="MBA40" s="3327"/>
      <c r="MBB40" s="3327"/>
      <c r="MBC40" s="3327"/>
      <c r="MBD40" s="3327"/>
      <c r="MBE40" s="3327"/>
      <c r="MBF40" s="3327"/>
      <c r="MBG40" s="3327"/>
      <c r="MBH40" s="3327"/>
      <c r="MBI40" s="3327"/>
      <c r="MBJ40" s="3327"/>
      <c r="MBK40" s="3327"/>
      <c r="MBL40" s="3327"/>
      <c r="MBM40" s="3327"/>
      <c r="MBN40" s="3327"/>
      <c r="MBO40" s="3327"/>
      <c r="MBP40" s="3327"/>
      <c r="MBQ40" s="3327"/>
      <c r="MBR40" s="3327"/>
      <c r="MBS40" s="3327"/>
      <c r="MBT40" s="3327"/>
      <c r="MBU40" s="3327"/>
      <c r="MBV40" s="3327"/>
      <c r="MBW40" s="3327"/>
      <c r="MBX40" s="3327"/>
      <c r="MBY40" s="3327"/>
      <c r="MBZ40" s="3327"/>
      <c r="MCA40" s="3327"/>
      <c r="MCB40" s="3327"/>
      <c r="MCC40" s="3327"/>
      <c r="MCD40" s="3327"/>
      <c r="MCE40" s="3327"/>
      <c r="MCF40" s="3327"/>
      <c r="MCG40" s="3327"/>
      <c r="MCH40" s="3327"/>
      <c r="MCI40" s="3327"/>
      <c r="MCJ40" s="3327"/>
      <c r="MCK40" s="3327"/>
      <c r="MCL40" s="3327"/>
      <c r="MCM40" s="3327"/>
      <c r="MCN40" s="3327"/>
      <c r="MCO40" s="3327"/>
      <c r="MCP40" s="3327"/>
      <c r="MCQ40" s="3327"/>
      <c r="MCR40" s="3327"/>
      <c r="MCS40" s="3327"/>
      <c r="MCT40" s="3327"/>
      <c r="MCU40" s="3327"/>
      <c r="MCV40" s="3327"/>
      <c r="MCW40" s="3327"/>
      <c r="MCX40" s="3327"/>
      <c r="MCY40" s="3327"/>
      <c r="MCZ40" s="3327"/>
      <c r="MDA40" s="3327"/>
      <c r="MDB40" s="3327"/>
      <c r="MDC40" s="3327"/>
      <c r="MDD40" s="3327"/>
      <c r="MDE40" s="3327"/>
      <c r="MDF40" s="3327"/>
      <c r="MDG40" s="3327"/>
      <c r="MDH40" s="3327"/>
      <c r="MDI40" s="3327"/>
      <c r="MDJ40" s="3327"/>
      <c r="MDK40" s="3327"/>
      <c r="MDL40" s="3327"/>
      <c r="MDM40" s="3327"/>
      <c r="MDN40" s="3327"/>
      <c r="MDO40" s="3327"/>
      <c r="MDP40" s="3327"/>
      <c r="MDQ40" s="3327"/>
      <c r="MDR40" s="3327"/>
      <c r="MDS40" s="3327"/>
      <c r="MDT40" s="3327"/>
      <c r="MDU40" s="3327"/>
      <c r="MDV40" s="3327"/>
      <c r="MDW40" s="3327"/>
      <c r="MDX40" s="3327"/>
      <c r="MDY40" s="3327"/>
      <c r="MDZ40" s="3327"/>
      <c r="MEA40" s="3327"/>
      <c r="MEB40" s="3327"/>
      <c r="MEC40" s="3327"/>
      <c r="MED40" s="3327"/>
      <c r="MEE40" s="3327"/>
      <c r="MEF40" s="3327"/>
      <c r="MEG40" s="3327"/>
      <c r="MEH40" s="3327"/>
      <c r="MEI40" s="3327"/>
      <c r="MEJ40" s="3327"/>
      <c r="MEK40" s="3327"/>
      <c r="MEL40" s="3327"/>
      <c r="MEM40" s="3327"/>
      <c r="MEN40" s="3327"/>
      <c r="MEO40" s="3327"/>
      <c r="MEP40" s="3327"/>
      <c r="MEQ40" s="3327"/>
      <c r="MER40" s="3327"/>
      <c r="MES40" s="3327"/>
      <c r="MET40" s="3327"/>
      <c r="MEU40" s="3327"/>
      <c r="MEV40" s="3327"/>
      <c r="MEW40" s="3327"/>
      <c r="MEX40" s="3327"/>
      <c r="MEY40" s="3327"/>
      <c r="MEZ40" s="3327"/>
      <c r="MFA40" s="3327"/>
      <c r="MFB40" s="3327"/>
      <c r="MFC40" s="3327"/>
      <c r="MFD40" s="3327"/>
      <c r="MFE40" s="3327"/>
      <c r="MFF40" s="3327"/>
      <c r="MFG40" s="3327"/>
      <c r="MFH40" s="3327"/>
      <c r="MFI40" s="3327"/>
      <c r="MFJ40" s="3327"/>
      <c r="MFK40" s="3327"/>
      <c r="MFL40" s="3327"/>
      <c r="MFM40" s="3327"/>
      <c r="MFN40" s="3327"/>
      <c r="MFO40" s="3327"/>
      <c r="MFP40" s="3327"/>
      <c r="MFQ40" s="3327"/>
      <c r="MFR40" s="3327"/>
      <c r="MFS40" s="3327"/>
      <c r="MFT40" s="3327"/>
      <c r="MFU40" s="3327"/>
      <c r="MFV40" s="3327"/>
      <c r="MFW40" s="3327"/>
      <c r="MFX40" s="3327"/>
      <c r="MFY40" s="3327"/>
      <c r="MFZ40" s="3327"/>
      <c r="MGA40" s="3327"/>
      <c r="MGB40" s="3327"/>
      <c r="MGC40" s="3327"/>
      <c r="MGD40" s="3327"/>
      <c r="MGE40" s="3327"/>
      <c r="MGF40" s="3327"/>
      <c r="MGG40" s="3327"/>
      <c r="MGH40" s="3327"/>
      <c r="MGI40" s="3327"/>
      <c r="MGJ40" s="3327"/>
      <c r="MGK40" s="3327"/>
      <c r="MGL40" s="3327"/>
      <c r="MGM40" s="3327"/>
      <c r="MGN40" s="3327"/>
      <c r="MGO40" s="3327"/>
      <c r="MGP40" s="3327"/>
      <c r="MGQ40" s="3327"/>
      <c r="MGR40" s="3327"/>
      <c r="MGS40" s="3327"/>
      <c r="MGT40" s="3327"/>
      <c r="MGU40" s="3327"/>
      <c r="MGV40" s="3327"/>
      <c r="MGW40" s="3327"/>
      <c r="MGX40" s="3327"/>
      <c r="MGY40" s="3327"/>
      <c r="MGZ40" s="3327"/>
      <c r="MHA40" s="3327"/>
      <c r="MHB40" s="3327"/>
      <c r="MHC40" s="3327"/>
      <c r="MHD40" s="3327"/>
      <c r="MHE40" s="3327"/>
      <c r="MHF40" s="3327"/>
      <c r="MHG40" s="3327"/>
      <c r="MHH40" s="3327"/>
      <c r="MHI40" s="3327"/>
      <c r="MHJ40" s="3327"/>
      <c r="MHK40" s="3327"/>
      <c r="MHL40" s="3327"/>
      <c r="MHM40" s="3327"/>
      <c r="MHN40" s="3327"/>
      <c r="MHO40" s="3327"/>
      <c r="MHP40" s="3327"/>
      <c r="MHQ40" s="3327"/>
      <c r="MHR40" s="3327"/>
      <c r="MHS40" s="3327"/>
      <c r="MHT40" s="3327"/>
      <c r="MHU40" s="3327"/>
      <c r="MHV40" s="3327"/>
      <c r="MHW40" s="3327"/>
      <c r="MHX40" s="3327"/>
      <c r="MHY40" s="3327"/>
      <c r="MHZ40" s="3327"/>
      <c r="MIA40" s="3327"/>
      <c r="MIB40" s="3327"/>
      <c r="MIC40" s="3327"/>
      <c r="MID40" s="3327"/>
      <c r="MIE40" s="3327"/>
      <c r="MIF40" s="3327"/>
      <c r="MIG40" s="3327"/>
      <c r="MIH40" s="3327"/>
      <c r="MII40" s="3327"/>
      <c r="MIJ40" s="3327"/>
      <c r="MIK40" s="3327"/>
      <c r="MIL40" s="3327"/>
      <c r="MIM40" s="3327"/>
      <c r="MIN40" s="3327"/>
      <c r="MIO40" s="3327"/>
      <c r="MIP40" s="3327"/>
      <c r="MIQ40" s="3327"/>
      <c r="MIR40" s="3327"/>
      <c r="MIS40" s="3327"/>
      <c r="MIT40" s="3327"/>
      <c r="MIU40" s="3327"/>
      <c r="MIV40" s="3327"/>
      <c r="MIW40" s="3327"/>
      <c r="MIX40" s="3327"/>
      <c r="MIY40" s="3327"/>
      <c r="MIZ40" s="3327"/>
      <c r="MJA40" s="3327"/>
      <c r="MJB40" s="3327"/>
      <c r="MJC40" s="3327"/>
      <c r="MJD40" s="3327"/>
      <c r="MJE40" s="3327"/>
      <c r="MJF40" s="3327"/>
      <c r="MJG40" s="3327"/>
      <c r="MJH40" s="3327"/>
      <c r="MJI40" s="3327"/>
      <c r="MJJ40" s="3327"/>
      <c r="MJK40" s="3327"/>
      <c r="MJL40" s="3327"/>
      <c r="MJM40" s="3327"/>
      <c r="MJN40" s="3327"/>
      <c r="MJO40" s="3327"/>
      <c r="MJP40" s="3327"/>
      <c r="MJQ40" s="3327"/>
      <c r="MJR40" s="3327"/>
      <c r="MJS40" s="3327"/>
      <c r="MJT40" s="3327"/>
      <c r="MJU40" s="3327"/>
      <c r="MJV40" s="3327"/>
      <c r="MJW40" s="3327"/>
      <c r="MJX40" s="3327"/>
      <c r="MJY40" s="3327"/>
      <c r="MJZ40" s="3327"/>
      <c r="MKA40" s="3327"/>
      <c r="MKB40" s="3327"/>
      <c r="MKC40" s="3327"/>
      <c r="MKD40" s="3327"/>
      <c r="MKE40" s="3327"/>
      <c r="MKF40" s="3327"/>
      <c r="MKG40" s="3327"/>
      <c r="MKH40" s="3327"/>
      <c r="MKI40" s="3327"/>
      <c r="MKJ40" s="3327"/>
      <c r="MKK40" s="3327"/>
      <c r="MKL40" s="3327"/>
      <c r="MKM40" s="3327"/>
      <c r="MKN40" s="3327"/>
      <c r="MKO40" s="3327"/>
      <c r="MKP40" s="3327"/>
      <c r="MKQ40" s="3327"/>
      <c r="MKR40" s="3327"/>
      <c r="MKS40" s="3327"/>
      <c r="MKT40" s="3327"/>
      <c r="MKU40" s="3327"/>
      <c r="MKV40" s="3327"/>
      <c r="MKW40" s="3327"/>
      <c r="MKX40" s="3327"/>
      <c r="MKY40" s="3327"/>
      <c r="MKZ40" s="3327"/>
      <c r="MLA40" s="3327"/>
      <c r="MLB40" s="3327"/>
      <c r="MLC40" s="3327"/>
      <c r="MLD40" s="3327"/>
      <c r="MLE40" s="3327"/>
      <c r="MLF40" s="3327"/>
      <c r="MLG40" s="3327"/>
      <c r="MLH40" s="3327"/>
      <c r="MLI40" s="3327"/>
      <c r="MLJ40" s="3327"/>
      <c r="MLK40" s="3327"/>
      <c r="MLL40" s="3327"/>
      <c r="MLM40" s="3327"/>
      <c r="MLN40" s="3327"/>
      <c r="MLO40" s="3327"/>
      <c r="MLP40" s="3327"/>
      <c r="MLQ40" s="3327"/>
      <c r="MLR40" s="3327"/>
      <c r="MLS40" s="3327"/>
      <c r="MLT40" s="3327"/>
      <c r="MLU40" s="3327"/>
      <c r="MLV40" s="3327"/>
      <c r="MLW40" s="3327"/>
      <c r="MLX40" s="3327"/>
      <c r="MLY40" s="3327"/>
      <c r="MLZ40" s="3327"/>
      <c r="MMA40" s="3327"/>
      <c r="MMB40" s="3327"/>
      <c r="MMC40" s="3327"/>
      <c r="MMD40" s="3327"/>
      <c r="MME40" s="3327"/>
      <c r="MMF40" s="3327"/>
      <c r="MMG40" s="3327"/>
      <c r="MMH40" s="3327"/>
      <c r="MMI40" s="3327"/>
      <c r="MMJ40" s="3327"/>
      <c r="MMK40" s="3327"/>
      <c r="MML40" s="3327"/>
      <c r="MMM40" s="3327"/>
      <c r="MMN40" s="3327"/>
      <c r="MMO40" s="3327"/>
      <c r="MMP40" s="3327"/>
      <c r="MMQ40" s="3327"/>
      <c r="MMR40" s="3327"/>
      <c r="MMS40" s="3327"/>
      <c r="MMT40" s="3327"/>
      <c r="MMU40" s="3327"/>
      <c r="MMV40" s="3327"/>
      <c r="MMW40" s="3327"/>
      <c r="MMX40" s="3327"/>
      <c r="MMY40" s="3327"/>
      <c r="MMZ40" s="3327"/>
      <c r="MNA40" s="3327"/>
      <c r="MNB40" s="3327"/>
      <c r="MNC40" s="3327"/>
      <c r="MND40" s="3327"/>
      <c r="MNE40" s="3327"/>
      <c r="MNF40" s="3327"/>
      <c r="MNG40" s="3327"/>
      <c r="MNH40" s="3327"/>
      <c r="MNI40" s="3327"/>
      <c r="MNJ40" s="3327"/>
      <c r="MNK40" s="3327"/>
      <c r="MNL40" s="3327"/>
      <c r="MNM40" s="3327"/>
      <c r="MNN40" s="3327"/>
      <c r="MNO40" s="3327"/>
      <c r="MNP40" s="3327"/>
      <c r="MNQ40" s="3327"/>
      <c r="MNR40" s="3327"/>
      <c r="MNS40" s="3327"/>
      <c r="MNT40" s="3327"/>
      <c r="MNU40" s="3327"/>
      <c r="MNV40" s="3327"/>
      <c r="MNW40" s="3327"/>
      <c r="MNX40" s="3327"/>
      <c r="MNY40" s="3327"/>
      <c r="MNZ40" s="3327"/>
      <c r="MOA40" s="3327"/>
      <c r="MOB40" s="3327"/>
      <c r="MOC40" s="3327"/>
      <c r="MOD40" s="3327"/>
      <c r="MOE40" s="3327"/>
      <c r="MOF40" s="3327"/>
      <c r="MOG40" s="3327"/>
      <c r="MOH40" s="3327"/>
      <c r="MOI40" s="3327"/>
      <c r="MOJ40" s="3327"/>
      <c r="MOK40" s="3327"/>
      <c r="MOL40" s="3327"/>
      <c r="MOM40" s="3327"/>
      <c r="MON40" s="3327"/>
      <c r="MOO40" s="3327"/>
      <c r="MOP40" s="3327"/>
      <c r="MOQ40" s="3327"/>
      <c r="MOR40" s="3327"/>
      <c r="MOS40" s="3327"/>
      <c r="MOT40" s="3327"/>
      <c r="MOU40" s="3327"/>
      <c r="MOV40" s="3327"/>
      <c r="MOW40" s="3327"/>
      <c r="MOX40" s="3327"/>
      <c r="MOY40" s="3327"/>
      <c r="MOZ40" s="3327"/>
      <c r="MPA40" s="3327"/>
      <c r="MPB40" s="3327"/>
      <c r="MPC40" s="3327"/>
      <c r="MPD40" s="3327"/>
      <c r="MPE40" s="3327"/>
      <c r="MPF40" s="3327"/>
      <c r="MPG40" s="3327"/>
      <c r="MPH40" s="3327"/>
      <c r="MPI40" s="3327"/>
      <c r="MPJ40" s="3327"/>
      <c r="MPK40" s="3327"/>
      <c r="MPL40" s="3327"/>
      <c r="MPM40" s="3327"/>
      <c r="MPN40" s="3327"/>
      <c r="MPO40" s="3327"/>
      <c r="MPP40" s="3327"/>
      <c r="MPQ40" s="3327"/>
      <c r="MPR40" s="3327"/>
      <c r="MPS40" s="3327"/>
      <c r="MPT40" s="3327"/>
      <c r="MPU40" s="3327"/>
      <c r="MPV40" s="3327"/>
      <c r="MPW40" s="3327"/>
      <c r="MPX40" s="3327"/>
      <c r="MPY40" s="3327"/>
      <c r="MPZ40" s="3327"/>
      <c r="MQA40" s="3327"/>
      <c r="MQB40" s="3327"/>
      <c r="MQC40" s="3327"/>
      <c r="MQD40" s="3327"/>
      <c r="MQE40" s="3327"/>
      <c r="MQF40" s="3327"/>
      <c r="MQG40" s="3327"/>
      <c r="MQH40" s="3327"/>
      <c r="MQI40" s="3327"/>
      <c r="MQJ40" s="3327"/>
      <c r="MQK40" s="3327"/>
      <c r="MQL40" s="3327"/>
      <c r="MQM40" s="3327"/>
      <c r="MQN40" s="3327"/>
      <c r="MQO40" s="3327"/>
      <c r="MQP40" s="3327"/>
      <c r="MQQ40" s="3327"/>
      <c r="MQR40" s="3327"/>
      <c r="MQS40" s="3327"/>
      <c r="MQT40" s="3327"/>
      <c r="MQU40" s="3327"/>
      <c r="MQV40" s="3327"/>
      <c r="MQW40" s="3327"/>
      <c r="MQX40" s="3327"/>
      <c r="MQY40" s="3327"/>
      <c r="MQZ40" s="3327"/>
      <c r="MRA40" s="3327"/>
      <c r="MRB40" s="3327"/>
      <c r="MRC40" s="3327"/>
      <c r="MRD40" s="3327"/>
      <c r="MRE40" s="3327"/>
      <c r="MRF40" s="3327"/>
      <c r="MRG40" s="3327"/>
      <c r="MRH40" s="3327"/>
      <c r="MRI40" s="3327"/>
      <c r="MRJ40" s="3327"/>
      <c r="MRK40" s="3327"/>
      <c r="MRL40" s="3327"/>
      <c r="MRM40" s="3327"/>
      <c r="MRN40" s="3327"/>
      <c r="MRO40" s="3327"/>
      <c r="MRP40" s="3327"/>
      <c r="MRQ40" s="3327"/>
      <c r="MRR40" s="3327"/>
      <c r="MRS40" s="3327"/>
      <c r="MRT40" s="3327"/>
      <c r="MRU40" s="3327"/>
      <c r="MRV40" s="3327"/>
      <c r="MRW40" s="3327"/>
      <c r="MRX40" s="3327"/>
      <c r="MRY40" s="3327"/>
      <c r="MRZ40" s="3327"/>
      <c r="MSA40" s="3327"/>
      <c r="MSB40" s="3327"/>
      <c r="MSC40" s="3327"/>
      <c r="MSD40" s="3327"/>
      <c r="MSE40" s="3327"/>
      <c r="MSF40" s="3327"/>
      <c r="MSG40" s="3327"/>
      <c r="MSH40" s="3327"/>
      <c r="MSI40" s="3327"/>
      <c r="MSJ40" s="3327"/>
      <c r="MSK40" s="3327"/>
      <c r="MSL40" s="3327"/>
      <c r="MSM40" s="3327"/>
      <c r="MSN40" s="3327"/>
      <c r="MSO40" s="3327"/>
      <c r="MSP40" s="3327"/>
      <c r="MSQ40" s="3327"/>
      <c r="MSR40" s="3327"/>
      <c r="MSS40" s="3327"/>
      <c r="MST40" s="3327"/>
      <c r="MSU40" s="3327"/>
      <c r="MSV40" s="3327"/>
      <c r="MSW40" s="3327"/>
      <c r="MSX40" s="3327"/>
      <c r="MSY40" s="3327"/>
      <c r="MSZ40" s="3327"/>
      <c r="MTA40" s="3327"/>
      <c r="MTB40" s="3327"/>
      <c r="MTC40" s="3327"/>
      <c r="MTD40" s="3327"/>
      <c r="MTE40" s="3327"/>
      <c r="MTF40" s="3327"/>
      <c r="MTG40" s="3327"/>
      <c r="MTH40" s="3327"/>
      <c r="MTI40" s="3327"/>
      <c r="MTJ40" s="3327"/>
      <c r="MTK40" s="3327"/>
      <c r="MTL40" s="3327"/>
      <c r="MTM40" s="3327"/>
      <c r="MTN40" s="3327"/>
      <c r="MTO40" s="3327"/>
      <c r="MTP40" s="3327"/>
      <c r="MTQ40" s="3327"/>
      <c r="MTR40" s="3327"/>
      <c r="MTS40" s="3327"/>
      <c r="MTT40" s="3327"/>
      <c r="MTU40" s="3327"/>
      <c r="MTV40" s="3327"/>
      <c r="MTW40" s="3327"/>
      <c r="MTX40" s="3327"/>
      <c r="MTY40" s="3327"/>
      <c r="MTZ40" s="3327"/>
      <c r="MUA40" s="3327"/>
      <c r="MUB40" s="3327"/>
      <c r="MUC40" s="3327"/>
      <c r="MUD40" s="3327"/>
      <c r="MUE40" s="3327"/>
      <c r="MUF40" s="3327"/>
      <c r="MUG40" s="3327"/>
      <c r="MUH40" s="3327"/>
      <c r="MUI40" s="3327"/>
      <c r="MUJ40" s="3327"/>
      <c r="MUK40" s="3327"/>
      <c r="MUL40" s="3327"/>
      <c r="MUM40" s="3327"/>
      <c r="MUN40" s="3327"/>
      <c r="MUO40" s="3327"/>
      <c r="MUP40" s="3327"/>
      <c r="MUQ40" s="3327"/>
      <c r="MUR40" s="3327"/>
      <c r="MUS40" s="3327"/>
      <c r="MUT40" s="3327"/>
      <c r="MUU40" s="3327"/>
      <c r="MUV40" s="3327"/>
      <c r="MUW40" s="3327"/>
      <c r="MUX40" s="3327"/>
      <c r="MUY40" s="3327"/>
      <c r="MUZ40" s="3327"/>
      <c r="MVA40" s="3327"/>
      <c r="MVB40" s="3327"/>
      <c r="MVC40" s="3327"/>
      <c r="MVD40" s="3327"/>
      <c r="MVE40" s="3327"/>
      <c r="MVF40" s="3327"/>
      <c r="MVG40" s="3327"/>
      <c r="MVH40" s="3327"/>
      <c r="MVI40" s="3327"/>
      <c r="MVJ40" s="3327"/>
      <c r="MVK40" s="3327"/>
      <c r="MVL40" s="3327"/>
      <c r="MVM40" s="3327"/>
      <c r="MVN40" s="3327"/>
      <c r="MVO40" s="3327"/>
      <c r="MVP40" s="3327"/>
      <c r="MVQ40" s="3327"/>
      <c r="MVR40" s="3327"/>
      <c r="MVS40" s="3327"/>
      <c r="MVT40" s="3327"/>
      <c r="MVU40" s="3327"/>
      <c r="MVV40" s="3327"/>
      <c r="MVW40" s="3327"/>
      <c r="MVX40" s="3327"/>
      <c r="MVY40" s="3327"/>
      <c r="MVZ40" s="3327"/>
      <c r="MWA40" s="3327"/>
      <c r="MWB40" s="3327"/>
      <c r="MWC40" s="3327"/>
      <c r="MWD40" s="3327"/>
      <c r="MWE40" s="3327"/>
      <c r="MWF40" s="3327"/>
      <c r="MWG40" s="3327"/>
      <c r="MWH40" s="3327"/>
      <c r="MWI40" s="3327"/>
      <c r="MWJ40" s="3327"/>
      <c r="MWK40" s="3327"/>
      <c r="MWL40" s="3327"/>
      <c r="MWM40" s="3327"/>
      <c r="MWN40" s="3327"/>
      <c r="MWO40" s="3327"/>
      <c r="MWP40" s="3327"/>
      <c r="MWQ40" s="3327"/>
      <c r="MWR40" s="3327"/>
      <c r="MWS40" s="3327"/>
      <c r="MWT40" s="3327"/>
      <c r="MWU40" s="3327"/>
      <c r="MWV40" s="3327"/>
      <c r="MWW40" s="3327"/>
      <c r="MWX40" s="3327"/>
      <c r="MWY40" s="3327"/>
      <c r="MWZ40" s="3327"/>
      <c r="MXA40" s="3327"/>
      <c r="MXB40" s="3327"/>
      <c r="MXC40" s="3327"/>
      <c r="MXD40" s="3327"/>
      <c r="MXE40" s="3327"/>
      <c r="MXF40" s="3327"/>
      <c r="MXG40" s="3327"/>
      <c r="MXH40" s="3327"/>
      <c r="MXI40" s="3327"/>
      <c r="MXJ40" s="3327"/>
      <c r="MXK40" s="3327"/>
      <c r="MXL40" s="3327"/>
      <c r="MXM40" s="3327"/>
      <c r="MXN40" s="3327"/>
      <c r="MXO40" s="3327"/>
      <c r="MXP40" s="3327"/>
      <c r="MXQ40" s="3327"/>
      <c r="MXR40" s="3327"/>
      <c r="MXS40" s="3327"/>
      <c r="MXT40" s="3327"/>
      <c r="MXU40" s="3327"/>
      <c r="MXV40" s="3327"/>
      <c r="MXW40" s="3327"/>
      <c r="MXX40" s="3327"/>
      <c r="MXY40" s="3327"/>
      <c r="MXZ40" s="3327"/>
      <c r="MYA40" s="3327"/>
      <c r="MYB40" s="3327"/>
      <c r="MYC40" s="3327"/>
      <c r="MYD40" s="3327"/>
      <c r="MYE40" s="3327"/>
      <c r="MYF40" s="3327"/>
      <c r="MYG40" s="3327"/>
      <c r="MYH40" s="3327"/>
      <c r="MYI40" s="3327"/>
      <c r="MYJ40" s="3327"/>
      <c r="MYK40" s="3327"/>
      <c r="MYL40" s="3327"/>
      <c r="MYM40" s="3327"/>
      <c r="MYN40" s="3327"/>
      <c r="MYO40" s="3327"/>
      <c r="MYP40" s="3327"/>
      <c r="MYQ40" s="3327"/>
      <c r="MYR40" s="3327"/>
      <c r="MYS40" s="3327"/>
      <c r="MYT40" s="3327"/>
      <c r="MYU40" s="3327"/>
      <c r="MYV40" s="3327"/>
      <c r="MYW40" s="3327"/>
      <c r="MYX40" s="3327"/>
      <c r="MYY40" s="3327"/>
      <c r="MYZ40" s="3327"/>
      <c r="MZA40" s="3327"/>
      <c r="MZB40" s="3327"/>
      <c r="MZC40" s="3327"/>
      <c r="MZD40" s="3327"/>
      <c r="MZE40" s="3327"/>
      <c r="MZF40" s="3327"/>
      <c r="MZG40" s="3327"/>
      <c r="MZH40" s="3327"/>
      <c r="MZI40" s="3327"/>
      <c r="MZJ40" s="3327"/>
      <c r="MZK40" s="3327"/>
      <c r="MZL40" s="3327"/>
      <c r="MZM40" s="3327"/>
      <c r="MZN40" s="3327"/>
      <c r="MZO40" s="3327"/>
      <c r="MZP40" s="3327"/>
      <c r="MZQ40" s="3327"/>
      <c r="MZR40" s="3327"/>
      <c r="MZS40" s="3327"/>
      <c r="MZT40" s="3327"/>
      <c r="MZU40" s="3327"/>
      <c r="MZV40" s="3327"/>
      <c r="MZW40" s="3327"/>
      <c r="MZX40" s="3327"/>
      <c r="MZY40" s="3327"/>
      <c r="MZZ40" s="3327"/>
      <c r="NAA40" s="3327"/>
      <c r="NAB40" s="3327"/>
      <c r="NAC40" s="3327"/>
      <c r="NAD40" s="3327"/>
      <c r="NAE40" s="3327"/>
      <c r="NAF40" s="3327"/>
      <c r="NAG40" s="3327"/>
      <c r="NAH40" s="3327"/>
      <c r="NAI40" s="3327"/>
      <c r="NAJ40" s="3327"/>
      <c r="NAK40" s="3327"/>
      <c r="NAL40" s="3327"/>
      <c r="NAM40" s="3327"/>
      <c r="NAN40" s="3327"/>
      <c r="NAO40" s="3327"/>
      <c r="NAP40" s="3327"/>
      <c r="NAQ40" s="3327"/>
      <c r="NAR40" s="3327"/>
      <c r="NAS40" s="3327"/>
      <c r="NAT40" s="3327"/>
      <c r="NAU40" s="3327"/>
      <c r="NAV40" s="3327"/>
      <c r="NAW40" s="3327"/>
      <c r="NAX40" s="3327"/>
      <c r="NAY40" s="3327"/>
      <c r="NAZ40" s="3327"/>
      <c r="NBA40" s="3327"/>
      <c r="NBB40" s="3327"/>
      <c r="NBC40" s="3327"/>
      <c r="NBD40" s="3327"/>
      <c r="NBE40" s="3327"/>
      <c r="NBF40" s="3327"/>
      <c r="NBG40" s="3327"/>
      <c r="NBH40" s="3327"/>
      <c r="NBI40" s="3327"/>
      <c r="NBJ40" s="3327"/>
      <c r="NBK40" s="3327"/>
      <c r="NBL40" s="3327"/>
      <c r="NBM40" s="3327"/>
      <c r="NBN40" s="3327"/>
      <c r="NBO40" s="3327"/>
      <c r="NBP40" s="3327"/>
      <c r="NBQ40" s="3327"/>
      <c r="NBR40" s="3327"/>
      <c r="NBS40" s="3327"/>
      <c r="NBT40" s="3327"/>
      <c r="NBU40" s="3327"/>
      <c r="NBV40" s="3327"/>
      <c r="NBW40" s="3327"/>
      <c r="NBX40" s="3327"/>
      <c r="NBY40" s="3327"/>
      <c r="NBZ40" s="3327"/>
      <c r="NCA40" s="3327"/>
      <c r="NCB40" s="3327"/>
      <c r="NCC40" s="3327"/>
      <c r="NCD40" s="3327"/>
      <c r="NCE40" s="3327"/>
      <c r="NCF40" s="3327"/>
      <c r="NCG40" s="3327"/>
      <c r="NCH40" s="3327"/>
      <c r="NCI40" s="3327"/>
      <c r="NCJ40" s="3327"/>
      <c r="NCK40" s="3327"/>
      <c r="NCL40" s="3327"/>
      <c r="NCM40" s="3327"/>
      <c r="NCN40" s="3327"/>
      <c r="NCO40" s="3327"/>
      <c r="NCP40" s="3327"/>
      <c r="NCQ40" s="3327"/>
      <c r="NCR40" s="3327"/>
      <c r="NCS40" s="3327"/>
      <c r="NCT40" s="3327"/>
      <c r="NCU40" s="3327"/>
      <c r="NCV40" s="3327"/>
      <c r="NCW40" s="3327"/>
      <c r="NCX40" s="3327"/>
      <c r="NCY40" s="3327"/>
      <c r="NCZ40" s="3327"/>
      <c r="NDA40" s="3327"/>
      <c r="NDB40" s="3327"/>
      <c r="NDC40" s="3327"/>
      <c r="NDD40" s="3327"/>
      <c r="NDE40" s="3327"/>
      <c r="NDF40" s="3327"/>
      <c r="NDG40" s="3327"/>
      <c r="NDH40" s="3327"/>
      <c r="NDI40" s="3327"/>
      <c r="NDJ40" s="3327"/>
      <c r="NDK40" s="3327"/>
      <c r="NDL40" s="3327"/>
      <c r="NDM40" s="3327"/>
      <c r="NDN40" s="3327"/>
      <c r="NDO40" s="3327"/>
      <c r="NDP40" s="3327"/>
      <c r="NDQ40" s="3327"/>
      <c r="NDR40" s="3327"/>
      <c r="NDS40" s="3327"/>
      <c r="NDT40" s="3327"/>
      <c r="NDU40" s="3327"/>
      <c r="NDV40" s="3327"/>
      <c r="NDW40" s="3327"/>
      <c r="NDX40" s="3327"/>
      <c r="NDY40" s="3327"/>
      <c r="NDZ40" s="3327"/>
      <c r="NEA40" s="3327"/>
      <c r="NEB40" s="3327"/>
      <c r="NEC40" s="3327"/>
      <c r="NED40" s="3327"/>
      <c r="NEE40" s="3327"/>
      <c r="NEF40" s="3327"/>
      <c r="NEG40" s="3327"/>
      <c r="NEH40" s="3327"/>
      <c r="NEI40" s="3327"/>
      <c r="NEJ40" s="3327"/>
      <c r="NEK40" s="3327"/>
      <c r="NEL40" s="3327"/>
      <c r="NEM40" s="3327"/>
      <c r="NEN40" s="3327"/>
      <c r="NEO40" s="3327"/>
      <c r="NEP40" s="3327"/>
      <c r="NEQ40" s="3327"/>
      <c r="NER40" s="3327"/>
      <c r="NES40" s="3327"/>
      <c r="NET40" s="3327"/>
      <c r="NEU40" s="3327"/>
      <c r="NEV40" s="3327"/>
      <c r="NEW40" s="3327"/>
      <c r="NEX40" s="3327"/>
      <c r="NEY40" s="3327"/>
      <c r="NEZ40" s="3327"/>
      <c r="NFA40" s="3327"/>
      <c r="NFB40" s="3327"/>
      <c r="NFC40" s="3327"/>
      <c r="NFD40" s="3327"/>
      <c r="NFE40" s="3327"/>
      <c r="NFF40" s="3327"/>
      <c r="NFG40" s="3327"/>
      <c r="NFH40" s="3327"/>
      <c r="NFI40" s="3327"/>
      <c r="NFJ40" s="3327"/>
      <c r="NFK40" s="3327"/>
      <c r="NFL40" s="3327"/>
      <c r="NFM40" s="3327"/>
      <c r="NFN40" s="3327"/>
      <c r="NFO40" s="3327"/>
      <c r="NFP40" s="3327"/>
      <c r="NFQ40" s="3327"/>
      <c r="NFR40" s="3327"/>
      <c r="NFS40" s="3327"/>
      <c r="NFT40" s="3327"/>
      <c r="NFU40" s="3327"/>
      <c r="NFV40" s="3327"/>
      <c r="NFW40" s="3327"/>
      <c r="NFX40" s="3327"/>
      <c r="NFY40" s="3327"/>
      <c r="NFZ40" s="3327"/>
      <c r="NGA40" s="3327"/>
      <c r="NGB40" s="3327"/>
      <c r="NGC40" s="3327"/>
      <c r="NGD40" s="3327"/>
      <c r="NGE40" s="3327"/>
      <c r="NGF40" s="3327"/>
      <c r="NGG40" s="3327"/>
      <c r="NGH40" s="3327"/>
      <c r="NGI40" s="3327"/>
      <c r="NGJ40" s="3327"/>
      <c r="NGK40" s="3327"/>
      <c r="NGL40" s="3327"/>
      <c r="NGM40" s="3327"/>
      <c r="NGN40" s="3327"/>
      <c r="NGO40" s="3327"/>
      <c r="NGP40" s="3327"/>
      <c r="NGQ40" s="3327"/>
      <c r="NGR40" s="3327"/>
      <c r="NGS40" s="3327"/>
      <c r="NGT40" s="3327"/>
      <c r="NGU40" s="3327"/>
      <c r="NGV40" s="3327"/>
      <c r="NGW40" s="3327"/>
      <c r="NGX40" s="3327"/>
      <c r="NGY40" s="3327"/>
      <c r="NGZ40" s="3327"/>
      <c r="NHA40" s="3327"/>
      <c r="NHB40" s="3327"/>
      <c r="NHC40" s="3327"/>
      <c r="NHD40" s="3327"/>
      <c r="NHE40" s="3327"/>
      <c r="NHF40" s="3327"/>
      <c r="NHG40" s="3327"/>
      <c r="NHH40" s="3327"/>
      <c r="NHI40" s="3327"/>
      <c r="NHJ40" s="3327"/>
      <c r="NHK40" s="3327"/>
      <c r="NHL40" s="3327"/>
      <c r="NHM40" s="3327"/>
      <c r="NHN40" s="3327"/>
      <c r="NHO40" s="3327"/>
      <c r="NHP40" s="3327"/>
      <c r="NHQ40" s="3327"/>
      <c r="NHR40" s="3327"/>
      <c r="NHS40" s="3327"/>
      <c r="NHT40" s="3327"/>
      <c r="NHU40" s="3327"/>
      <c r="NHV40" s="3327"/>
      <c r="NHW40" s="3327"/>
      <c r="NHX40" s="3327"/>
      <c r="NHY40" s="3327"/>
      <c r="NHZ40" s="3327"/>
      <c r="NIA40" s="3327"/>
      <c r="NIB40" s="3327"/>
      <c r="NIC40" s="3327"/>
      <c r="NID40" s="3327"/>
      <c r="NIE40" s="3327"/>
      <c r="NIF40" s="3327"/>
      <c r="NIG40" s="3327"/>
      <c r="NIH40" s="3327"/>
      <c r="NII40" s="3327"/>
      <c r="NIJ40" s="3327"/>
      <c r="NIK40" s="3327"/>
      <c r="NIL40" s="3327"/>
      <c r="NIM40" s="3327"/>
      <c r="NIN40" s="3327"/>
      <c r="NIO40" s="3327"/>
      <c r="NIP40" s="3327"/>
      <c r="NIQ40" s="3327"/>
      <c r="NIR40" s="3327"/>
      <c r="NIS40" s="3327"/>
      <c r="NIT40" s="3327"/>
      <c r="NIU40" s="3327"/>
      <c r="NIV40" s="3327"/>
      <c r="NIW40" s="3327"/>
      <c r="NIX40" s="3327"/>
      <c r="NIY40" s="3327"/>
      <c r="NIZ40" s="3327"/>
      <c r="NJA40" s="3327"/>
      <c r="NJB40" s="3327"/>
      <c r="NJC40" s="3327"/>
      <c r="NJD40" s="3327"/>
      <c r="NJE40" s="3327"/>
      <c r="NJF40" s="3327"/>
      <c r="NJG40" s="3327"/>
      <c r="NJH40" s="3327"/>
      <c r="NJI40" s="3327"/>
      <c r="NJJ40" s="3327"/>
      <c r="NJK40" s="3327"/>
      <c r="NJL40" s="3327"/>
      <c r="NJM40" s="3327"/>
      <c r="NJN40" s="3327"/>
      <c r="NJO40" s="3327"/>
      <c r="NJP40" s="3327"/>
      <c r="NJQ40" s="3327"/>
      <c r="NJR40" s="3327"/>
      <c r="NJS40" s="3327"/>
      <c r="NJT40" s="3327"/>
      <c r="NJU40" s="3327"/>
      <c r="NJV40" s="3327"/>
      <c r="NJW40" s="3327"/>
      <c r="NJX40" s="3327"/>
      <c r="NJY40" s="3327"/>
      <c r="NJZ40" s="3327"/>
      <c r="NKA40" s="3327"/>
      <c r="NKB40" s="3327"/>
      <c r="NKC40" s="3327"/>
      <c r="NKD40" s="3327"/>
      <c r="NKE40" s="3327"/>
      <c r="NKF40" s="3327"/>
      <c r="NKG40" s="3327"/>
      <c r="NKH40" s="3327"/>
      <c r="NKI40" s="3327"/>
      <c r="NKJ40" s="3327"/>
      <c r="NKK40" s="3327"/>
      <c r="NKL40" s="3327"/>
      <c r="NKM40" s="3327"/>
      <c r="NKN40" s="3327"/>
      <c r="NKO40" s="3327"/>
      <c r="NKP40" s="3327"/>
      <c r="NKQ40" s="3327"/>
      <c r="NKR40" s="3327"/>
      <c r="NKS40" s="3327"/>
      <c r="NKT40" s="3327"/>
      <c r="NKU40" s="3327"/>
      <c r="NKV40" s="3327"/>
      <c r="NKW40" s="3327"/>
      <c r="NKX40" s="3327"/>
      <c r="NKY40" s="3327"/>
      <c r="NKZ40" s="3327"/>
      <c r="NLA40" s="3327"/>
      <c r="NLB40" s="3327"/>
      <c r="NLC40" s="3327"/>
      <c r="NLD40" s="3327"/>
      <c r="NLE40" s="3327"/>
      <c r="NLF40" s="3327"/>
      <c r="NLG40" s="3327"/>
      <c r="NLH40" s="3327"/>
      <c r="NLI40" s="3327"/>
      <c r="NLJ40" s="3327"/>
      <c r="NLK40" s="3327"/>
      <c r="NLL40" s="3327"/>
      <c r="NLM40" s="3327"/>
      <c r="NLN40" s="3327"/>
      <c r="NLO40" s="3327"/>
      <c r="NLP40" s="3327"/>
      <c r="NLQ40" s="3327"/>
      <c r="NLR40" s="3327"/>
      <c r="NLS40" s="3327"/>
      <c r="NLT40" s="3327"/>
      <c r="NLU40" s="3327"/>
      <c r="NLV40" s="3327"/>
      <c r="NLW40" s="3327"/>
      <c r="NLX40" s="3327"/>
      <c r="NLY40" s="3327"/>
      <c r="NLZ40" s="3327"/>
      <c r="NMA40" s="3327"/>
      <c r="NMB40" s="3327"/>
      <c r="NMC40" s="3327"/>
      <c r="NMD40" s="3327"/>
      <c r="NME40" s="3327"/>
      <c r="NMF40" s="3327"/>
      <c r="NMG40" s="3327"/>
      <c r="NMH40" s="3327"/>
      <c r="NMI40" s="3327"/>
      <c r="NMJ40" s="3327"/>
      <c r="NMK40" s="3327"/>
      <c r="NML40" s="3327"/>
      <c r="NMM40" s="3327"/>
      <c r="NMN40" s="3327"/>
      <c r="NMO40" s="3327"/>
      <c r="NMP40" s="3327"/>
      <c r="NMQ40" s="3327"/>
      <c r="NMR40" s="3327"/>
      <c r="NMS40" s="3327"/>
      <c r="NMT40" s="3327"/>
      <c r="NMU40" s="3327"/>
      <c r="NMV40" s="3327"/>
      <c r="NMW40" s="3327"/>
      <c r="NMX40" s="3327"/>
      <c r="NMY40" s="3327"/>
      <c r="NMZ40" s="3327"/>
      <c r="NNA40" s="3327"/>
      <c r="NNB40" s="3327"/>
      <c r="NNC40" s="3327"/>
      <c r="NND40" s="3327"/>
      <c r="NNE40" s="3327"/>
      <c r="NNF40" s="3327"/>
      <c r="NNG40" s="3327"/>
      <c r="NNH40" s="3327"/>
      <c r="NNI40" s="3327"/>
      <c r="NNJ40" s="3327"/>
      <c r="NNK40" s="3327"/>
      <c r="NNL40" s="3327"/>
      <c r="NNM40" s="3327"/>
      <c r="NNN40" s="3327"/>
      <c r="NNO40" s="3327"/>
      <c r="NNP40" s="3327"/>
      <c r="NNQ40" s="3327"/>
      <c r="NNR40" s="3327"/>
      <c r="NNS40" s="3327"/>
      <c r="NNT40" s="3327"/>
      <c r="NNU40" s="3327"/>
      <c r="NNV40" s="3327"/>
      <c r="NNW40" s="3327"/>
      <c r="NNX40" s="3327"/>
      <c r="NNY40" s="3327"/>
      <c r="NNZ40" s="3327"/>
      <c r="NOA40" s="3327"/>
      <c r="NOB40" s="3327"/>
      <c r="NOC40" s="3327"/>
      <c r="NOD40" s="3327"/>
      <c r="NOE40" s="3327"/>
      <c r="NOF40" s="3327"/>
      <c r="NOG40" s="3327"/>
      <c r="NOH40" s="3327"/>
      <c r="NOI40" s="3327"/>
      <c r="NOJ40" s="3327"/>
      <c r="NOK40" s="3327"/>
      <c r="NOL40" s="3327"/>
      <c r="NOM40" s="3327"/>
      <c r="NON40" s="3327"/>
      <c r="NOO40" s="3327"/>
      <c r="NOP40" s="3327"/>
      <c r="NOQ40" s="3327"/>
      <c r="NOR40" s="3327"/>
      <c r="NOS40" s="3327"/>
      <c r="NOT40" s="3327"/>
      <c r="NOU40" s="3327"/>
      <c r="NOV40" s="3327"/>
      <c r="NOW40" s="3327"/>
      <c r="NOX40" s="3327"/>
      <c r="NOY40" s="3327"/>
      <c r="NOZ40" s="3327"/>
      <c r="NPA40" s="3327"/>
      <c r="NPB40" s="3327"/>
      <c r="NPC40" s="3327"/>
      <c r="NPD40" s="3327"/>
      <c r="NPE40" s="3327"/>
      <c r="NPF40" s="3327"/>
      <c r="NPG40" s="3327"/>
      <c r="NPH40" s="3327"/>
      <c r="NPI40" s="3327"/>
      <c r="NPJ40" s="3327"/>
      <c r="NPK40" s="3327"/>
      <c r="NPL40" s="3327"/>
      <c r="NPM40" s="3327"/>
      <c r="NPN40" s="3327"/>
      <c r="NPO40" s="3327"/>
      <c r="NPP40" s="3327"/>
      <c r="NPQ40" s="3327"/>
      <c r="NPR40" s="3327"/>
      <c r="NPS40" s="3327"/>
      <c r="NPT40" s="3327"/>
      <c r="NPU40" s="3327"/>
      <c r="NPV40" s="3327"/>
      <c r="NPW40" s="3327"/>
      <c r="NPX40" s="3327"/>
      <c r="NPY40" s="3327"/>
      <c r="NPZ40" s="3327"/>
      <c r="NQA40" s="3327"/>
      <c r="NQB40" s="3327"/>
      <c r="NQC40" s="3327"/>
      <c r="NQD40" s="3327"/>
      <c r="NQE40" s="3327"/>
      <c r="NQF40" s="3327"/>
      <c r="NQG40" s="3327"/>
      <c r="NQH40" s="3327"/>
      <c r="NQI40" s="3327"/>
      <c r="NQJ40" s="3327"/>
      <c r="NQK40" s="3327"/>
      <c r="NQL40" s="3327"/>
      <c r="NQM40" s="3327"/>
      <c r="NQN40" s="3327"/>
      <c r="NQO40" s="3327"/>
      <c r="NQP40" s="3327"/>
      <c r="NQQ40" s="3327"/>
      <c r="NQR40" s="3327"/>
      <c r="NQS40" s="3327"/>
      <c r="NQT40" s="3327"/>
      <c r="NQU40" s="3327"/>
      <c r="NQV40" s="3327"/>
      <c r="NQW40" s="3327"/>
      <c r="NQX40" s="3327"/>
      <c r="NQY40" s="3327"/>
      <c r="NQZ40" s="3327"/>
      <c r="NRA40" s="3327"/>
      <c r="NRB40" s="3327"/>
      <c r="NRC40" s="3327"/>
      <c r="NRD40" s="3327"/>
      <c r="NRE40" s="3327"/>
      <c r="NRF40" s="3327"/>
      <c r="NRG40" s="3327"/>
      <c r="NRH40" s="3327"/>
      <c r="NRI40" s="3327"/>
      <c r="NRJ40" s="3327"/>
      <c r="NRK40" s="3327"/>
      <c r="NRL40" s="3327"/>
      <c r="NRM40" s="3327"/>
      <c r="NRN40" s="3327"/>
      <c r="NRO40" s="3327"/>
      <c r="NRP40" s="3327"/>
      <c r="NRQ40" s="3327"/>
      <c r="NRR40" s="3327"/>
      <c r="NRS40" s="3327"/>
      <c r="NRT40" s="3327"/>
      <c r="NRU40" s="3327"/>
      <c r="NRV40" s="3327"/>
      <c r="NRW40" s="3327"/>
      <c r="NRX40" s="3327"/>
      <c r="NRY40" s="3327"/>
      <c r="NRZ40" s="3327"/>
      <c r="NSA40" s="3327"/>
      <c r="NSB40" s="3327"/>
      <c r="NSC40" s="3327"/>
      <c r="NSD40" s="3327"/>
      <c r="NSE40" s="3327"/>
      <c r="NSF40" s="3327"/>
      <c r="NSG40" s="3327"/>
      <c r="NSH40" s="3327"/>
      <c r="NSI40" s="3327"/>
      <c r="NSJ40" s="3327"/>
      <c r="NSK40" s="3327"/>
      <c r="NSL40" s="3327"/>
      <c r="NSM40" s="3327"/>
      <c r="NSN40" s="3327"/>
      <c r="NSO40" s="3327"/>
      <c r="NSP40" s="3327"/>
      <c r="NSQ40" s="3327"/>
      <c r="NSR40" s="3327"/>
      <c r="NSS40" s="3327"/>
      <c r="NST40" s="3327"/>
      <c r="NSU40" s="3327"/>
      <c r="NSV40" s="3327"/>
      <c r="NSW40" s="3327"/>
      <c r="NSX40" s="3327"/>
      <c r="NSY40" s="3327"/>
      <c r="NSZ40" s="3327"/>
      <c r="NTA40" s="3327"/>
      <c r="NTB40" s="3327"/>
      <c r="NTC40" s="3327"/>
      <c r="NTD40" s="3327"/>
      <c r="NTE40" s="3327"/>
      <c r="NTF40" s="3327"/>
      <c r="NTG40" s="3327"/>
      <c r="NTH40" s="3327"/>
      <c r="NTI40" s="3327"/>
      <c r="NTJ40" s="3327"/>
      <c r="NTK40" s="3327"/>
      <c r="NTL40" s="3327"/>
      <c r="NTM40" s="3327"/>
      <c r="NTN40" s="3327"/>
      <c r="NTO40" s="3327"/>
      <c r="NTP40" s="3327"/>
      <c r="NTQ40" s="3327"/>
      <c r="NTR40" s="3327"/>
      <c r="NTS40" s="3327"/>
      <c r="NTT40" s="3327"/>
      <c r="NTU40" s="3327"/>
      <c r="NTV40" s="3327"/>
      <c r="NTW40" s="3327"/>
      <c r="NTX40" s="3327"/>
      <c r="NTY40" s="3327"/>
      <c r="NTZ40" s="3327"/>
      <c r="NUA40" s="3327"/>
      <c r="NUB40" s="3327"/>
      <c r="NUC40" s="3327"/>
      <c r="NUD40" s="3327"/>
      <c r="NUE40" s="3327"/>
      <c r="NUF40" s="3327"/>
      <c r="NUG40" s="3327"/>
      <c r="NUH40" s="3327"/>
      <c r="NUI40" s="3327"/>
      <c r="NUJ40" s="3327"/>
      <c r="NUK40" s="3327"/>
      <c r="NUL40" s="3327"/>
      <c r="NUM40" s="3327"/>
      <c r="NUN40" s="3327"/>
      <c r="NUO40" s="3327"/>
      <c r="NUP40" s="3327"/>
      <c r="NUQ40" s="3327"/>
      <c r="NUR40" s="3327"/>
      <c r="NUS40" s="3327"/>
      <c r="NUT40" s="3327"/>
      <c r="NUU40" s="3327"/>
      <c r="NUV40" s="3327"/>
      <c r="NUW40" s="3327"/>
      <c r="NUX40" s="3327"/>
      <c r="NUY40" s="3327"/>
      <c r="NUZ40" s="3327"/>
      <c r="NVA40" s="3327"/>
      <c r="NVB40" s="3327"/>
      <c r="NVC40" s="3327"/>
      <c r="NVD40" s="3327"/>
      <c r="NVE40" s="3327"/>
      <c r="NVF40" s="3327"/>
      <c r="NVG40" s="3327"/>
      <c r="NVH40" s="3327"/>
      <c r="NVI40" s="3327"/>
      <c r="NVJ40" s="3327"/>
      <c r="NVK40" s="3327"/>
      <c r="NVL40" s="3327"/>
      <c r="NVM40" s="3327"/>
      <c r="NVN40" s="3327"/>
      <c r="NVO40" s="3327"/>
      <c r="NVP40" s="3327"/>
      <c r="NVQ40" s="3327"/>
      <c r="NVR40" s="3327"/>
      <c r="NVS40" s="3327"/>
      <c r="NVT40" s="3327"/>
      <c r="NVU40" s="3327"/>
      <c r="NVV40" s="3327"/>
      <c r="NVW40" s="3327"/>
      <c r="NVX40" s="3327"/>
      <c r="NVY40" s="3327"/>
      <c r="NVZ40" s="3327"/>
      <c r="NWA40" s="3327"/>
      <c r="NWB40" s="3327"/>
      <c r="NWC40" s="3327"/>
      <c r="NWD40" s="3327"/>
      <c r="NWE40" s="3327"/>
      <c r="NWF40" s="3327"/>
      <c r="NWG40" s="3327"/>
      <c r="NWH40" s="3327"/>
      <c r="NWI40" s="3327"/>
      <c r="NWJ40" s="3327"/>
      <c r="NWK40" s="3327"/>
      <c r="NWL40" s="3327"/>
      <c r="NWM40" s="3327"/>
      <c r="NWN40" s="3327"/>
      <c r="NWO40" s="3327"/>
      <c r="NWP40" s="3327"/>
      <c r="NWQ40" s="3327"/>
      <c r="NWR40" s="3327"/>
      <c r="NWS40" s="3327"/>
      <c r="NWT40" s="3327"/>
      <c r="NWU40" s="3327"/>
      <c r="NWV40" s="3327"/>
      <c r="NWW40" s="3327"/>
      <c r="NWX40" s="3327"/>
      <c r="NWY40" s="3327"/>
      <c r="NWZ40" s="3327"/>
      <c r="NXA40" s="3327"/>
      <c r="NXB40" s="3327"/>
      <c r="NXC40" s="3327"/>
      <c r="NXD40" s="3327"/>
      <c r="NXE40" s="3327"/>
      <c r="NXF40" s="3327"/>
      <c r="NXG40" s="3327"/>
      <c r="NXH40" s="3327"/>
      <c r="NXI40" s="3327"/>
      <c r="NXJ40" s="3327"/>
      <c r="NXK40" s="3327"/>
      <c r="NXL40" s="3327"/>
      <c r="NXM40" s="3327"/>
      <c r="NXN40" s="3327"/>
      <c r="NXO40" s="3327"/>
      <c r="NXP40" s="3327"/>
      <c r="NXQ40" s="3327"/>
      <c r="NXR40" s="3327"/>
      <c r="NXS40" s="3327"/>
      <c r="NXT40" s="3327"/>
      <c r="NXU40" s="3327"/>
      <c r="NXV40" s="3327"/>
      <c r="NXW40" s="3327"/>
      <c r="NXX40" s="3327"/>
      <c r="NXY40" s="3327"/>
      <c r="NXZ40" s="3327"/>
      <c r="NYA40" s="3327"/>
      <c r="NYB40" s="3327"/>
      <c r="NYC40" s="3327"/>
      <c r="NYD40" s="3327"/>
      <c r="NYE40" s="3327"/>
      <c r="NYF40" s="3327"/>
      <c r="NYG40" s="3327"/>
      <c r="NYH40" s="3327"/>
      <c r="NYI40" s="3327"/>
      <c r="NYJ40" s="3327"/>
      <c r="NYK40" s="3327"/>
      <c r="NYL40" s="3327"/>
      <c r="NYM40" s="3327"/>
      <c r="NYN40" s="3327"/>
      <c r="NYO40" s="3327"/>
      <c r="NYP40" s="3327"/>
      <c r="NYQ40" s="3327"/>
      <c r="NYR40" s="3327"/>
      <c r="NYS40" s="3327"/>
      <c r="NYT40" s="3327"/>
      <c r="NYU40" s="3327"/>
      <c r="NYV40" s="3327"/>
      <c r="NYW40" s="3327"/>
      <c r="NYX40" s="3327"/>
      <c r="NYY40" s="3327"/>
      <c r="NYZ40" s="3327"/>
      <c r="NZA40" s="3327"/>
      <c r="NZB40" s="3327"/>
      <c r="NZC40" s="3327"/>
      <c r="NZD40" s="3327"/>
      <c r="NZE40" s="3327"/>
      <c r="NZF40" s="3327"/>
      <c r="NZG40" s="3327"/>
      <c r="NZH40" s="3327"/>
      <c r="NZI40" s="3327"/>
      <c r="NZJ40" s="3327"/>
      <c r="NZK40" s="3327"/>
      <c r="NZL40" s="3327"/>
      <c r="NZM40" s="3327"/>
      <c r="NZN40" s="3327"/>
      <c r="NZO40" s="3327"/>
      <c r="NZP40" s="3327"/>
      <c r="NZQ40" s="3327"/>
      <c r="NZR40" s="3327"/>
      <c r="NZS40" s="3327"/>
      <c r="NZT40" s="3327"/>
      <c r="NZU40" s="3327"/>
      <c r="NZV40" s="3327"/>
      <c r="NZW40" s="3327"/>
      <c r="NZX40" s="3327"/>
      <c r="NZY40" s="3327"/>
      <c r="NZZ40" s="3327"/>
      <c r="OAA40" s="3327"/>
      <c r="OAB40" s="3327"/>
      <c r="OAC40" s="3327"/>
      <c r="OAD40" s="3327"/>
      <c r="OAE40" s="3327"/>
      <c r="OAF40" s="3327"/>
      <c r="OAG40" s="3327"/>
      <c r="OAH40" s="3327"/>
      <c r="OAI40" s="3327"/>
      <c r="OAJ40" s="3327"/>
      <c r="OAK40" s="3327"/>
      <c r="OAL40" s="3327"/>
      <c r="OAM40" s="3327"/>
      <c r="OAN40" s="3327"/>
      <c r="OAO40" s="3327"/>
      <c r="OAP40" s="3327"/>
      <c r="OAQ40" s="3327"/>
      <c r="OAR40" s="3327"/>
      <c r="OAS40" s="3327"/>
      <c r="OAT40" s="3327"/>
      <c r="OAU40" s="3327"/>
      <c r="OAV40" s="3327"/>
      <c r="OAW40" s="3327"/>
      <c r="OAX40" s="3327"/>
      <c r="OAY40" s="3327"/>
      <c r="OAZ40" s="3327"/>
      <c r="OBA40" s="3327"/>
      <c r="OBB40" s="3327"/>
      <c r="OBC40" s="3327"/>
      <c r="OBD40" s="3327"/>
      <c r="OBE40" s="3327"/>
      <c r="OBF40" s="3327"/>
      <c r="OBG40" s="3327"/>
      <c r="OBH40" s="3327"/>
      <c r="OBI40" s="3327"/>
      <c r="OBJ40" s="3327"/>
      <c r="OBK40" s="3327"/>
      <c r="OBL40" s="3327"/>
      <c r="OBM40" s="3327"/>
      <c r="OBN40" s="3327"/>
      <c r="OBO40" s="3327"/>
      <c r="OBP40" s="3327"/>
      <c r="OBQ40" s="3327"/>
      <c r="OBR40" s="3327"/>
      <c r="OBS40" s="3327"/>
      <c r="OBT40" s="3327"/>
      <c r="OBU40" s="3327"/>
      <c r="OBV40" s="3327"/>
      <c r="OBW40" s="3327"/>
      <c r="OBX40" s="3327"/>
      <c r="OBY40" s="3327"/>
      <c r="OBZ40" s="3327"/>
      <c r="OCA40" s="3327"/>
      <c r="OCB40" s="3327"/>
      <c r="OCC40" s="3327"/>
      <c r="OCD40" s="3327"/>
      <c r="OCE40" s="3327"/>
      <c r="OCF40" s="3327"/>
      <c r="OCG40" s="3327"/>
      <c r="OCH40" s="3327"/>
      <c r="OCI40" s="3327"/>
      <c r="OCJ40" s="3327"/>
      <c r="OCK40" s="3327"/>
      <c r="OCL40" s="3327"/>
      <c r="OCM40" s="3327"/>
      <c r="OCN40" s="3327"/>
      <c r="OCO40" s="3327"/>
      <c r="OCP40" s="3327"/>
      <c r="OCQ40" s="3327"/>
      <c r="OCR40" s="3327"/>
      <c r="OCS40" s="3327"/>
      <c r="OCT40" s="3327"/>
      <c r="OCU40" s="3327"/>
      <c r="OCV40" s="3327"/>
      <c r="OCW40" s="3327"/>
      <c r="OCX40" s="3327"/>
      <c r="OCY40" s="3327"/>
      <c r="OCZ40" s="3327"/>
      <c r="ODA40" s="3327"/>
      <c r="ODB40" s="3327"/>
      <c r="ODC40" s="3327"/>
      <c r="ODD40" s="3327"/>
      <c r="ODE40" s="3327"/>
      <c r="ODF40" s="3327"/>
      <c r="ODG40" s="3327"/>
      <c r="ODH40" s="3327"/>
      <c r="ODI40" s="3327"/>
      <c r="ODJ40" s="3327"/>
      <c r="ODK40" s="3327"/>
      <c r="ODL40" s="3327"/>
      <c r="ODM40" s="3327"/>
      <c r="ODN40" s="3327"/>
      <c r="ODO40" s="3327"/>
      <c r="ODP40" s="3327"/>
      <c r="ODQ40" s="3327"/>
      <c r="ODR40" s="3327"/>
      <c r="ODS40" s="3327"/>
      <c r="ODT40" s="3327"/>
      <c r="ODU40" s="3327"/>
      <c r="ODV40" s="3327"/>
      <c r="ODW40" s="3327"/>
      <c r="ODX40" s="3327"/>
      <c r="ODY40" s="3327"/>
      <c r="ODZ40" s="3327"/>
      <c r="OEA40" s="3327"/>
      <c r="OEB40" s="3327"/>
      <c r="OEC40" s="3327"/>
      <c r="OED40" s="3327"/>
      <c r="OEE40" s="3327"/>
      <c r="OEF40" s="3327"/>
      <c r="OEG40" s="3327"/>
      <c r="OEH40" s="3327"/>
      <c r="OEI40" s="3327"/>
      <c r="OEJ40" s="3327"/>
      <c r="OEK40" s="3327"/>
      <c r="OEL40" s="3327"/>
      <c r="OEM40" s="3327"/>
      <c r="OEN40" s="3327"/>
      <c r="OEO40" s="3327"/>
      <c r="OEP40" s="3327"/>
      <c r="OEQ40" s="3327"/>
      <c r="OER40" s="3327"/>
      <c r="OES40" s="3327"/>
      <c r="OET40" s="3327"/>
      <c r="OEU40" s="3327"/>
      <c r="OEV40" s="3327"/>
      <c r="OEW40" s="3327"/>
      <c r="OEX40" s="3327"/>
      <c r="OEY40" s="3327"/>
      <c r="OEZ40" s="3327"/>
      <c r="OFA40" s="3327"/>
      <c r="OFB40" s="3327"/>
      <c r="OFC40" s="3327"/>
      <c r="OFD40" s="3327"/>
      <c r="OFE40" s="3327"/>
      <c r="OFF40" s="3327"/>
      <c r="OFG40" s="3327"/>
      <c r="OFH40" s="3327"/>
      <c r="OFI40" s="3327"/>
      <c r="OFJ40" s="3327"/>
      <c r="OFK40" s="3327"/>
      <c r="OFL40" s="3327"/>
      <c r="OFM40" s="3327"/>
      <c r="OFN40" s="3327"/>
      <c r="OFO40" s="3327"/>
      <c r="OFP40" s="3327"/>
      <c r="OFQ40" s="3327"/>
      <c r="OFR40" s="3327"/>
      <c r="OFS40" s="3327"/>
      <c r="OFT40" s="3327"/>
      <c r="OFU40" s="3327"/>
      <c r="OFV40" s="3327"/>
      <c r="OFW40" s="3327"/>
      <c r="OFX40" s="3327"/>
      <c r="OFY40" s="3327"/>
      <c r="OFZ40" s="3327"/>
      <c r="OGA40" s="3327"/>
      <c r="OGB40" s="3327"/>
      <c r="OGC40" s="3327"/>
      <c r="OGD40" s="3327"/>
      <c r="OGE40" s="3327"/>
      <c r="OGF40" s="3327"/>
      <c r="OGG40" s="3327"/>
      <c r="OGH40" s="3327"/>
      <c r="OGI40" s="3327"/>
      <c r="OGJ40" s="3327"/>
      <c r="OGK40" s="3327"/>
      <c r="OGL40" s="3327"/>
      <c r="OGM40" s="3327"/>
      <c r="OGN40" s="3327"/>
      <c r="OGO40" s="3327"/>
      <c r="OGP40" s="3327"/>
      <c r="OGQ40" s="3327"/>
      <c r="OGR40" s="3327"/>
      <c r="OGS40" s="3327"/>
      <c r="OGT40" s="3327"/>
      <c r="OGU40" s="3327"/>
      <c r="OGV40" s="3327"/>
      <c r="OGW40" s="3327"/>
      <c r="OGX40" s="3327"/>
      <c r="OGY40" s="3327"/>
      <c r="OGZ40" s="3327"/>
      <c r="OHA40" s="3327"/>
      <c r="OHB40" s="3327"/>
      <c r="OHC40" s="3327"/>
      <c r="OHD40" s="3327"/>
      <c r="OHE40" s="3327"/>
      <c r="OHF40" s="3327"/>
      <c r="OHG40" s="3327"/>
      <c r="OHH40" s="3327"/>
      <c r="OHI40" s="3327"/>
      <c r="OHJ40" s="3327"/>
      <c r="OHK40" s="3327"/>
      <c r="OHL40" s="3327"/>
      <c r="OHM40" s="3327"/>
      <c r="OHN40" s="3327"/>
      <c r="OHO40" s="3327"/>
      <c r="OHP40" s="3327"/>
      <c r="OHQ40" s="3327"/>
      <c r="OHR40" s="3327"/>
      <c r="OHS40" s="3327"/>
      <c r="OHT40" s="3327"/>
      <c r="OHU40" s="3327"/>
      <c r="OHV40" s="3327"/>
      <c r="OHW40" s="3327"/>
      <c r="OHX40" s="3327"/>
      <c r="OHY40" s="3327"/>
      <c r="OHZ40" s="3327"/>
      <c r="OIA40" s="3327"/>
      <c r="OIB40" s="3327"/>
      <c r="OIC40" s="3327"/>
      <c r="OID40" s="3327"/>
      <c r="OIE40" s="3327"/>
      <c r="OIF40" s="3327"/>
      <c r="OIG40" s="3327"/>
      <c r="OIH40" s="3327"/>
      <c r="OII40" s="3327"/>
      <c r="OIJ40" s="3327"/>
      <c r="OIK40" s="3327"/>
      <c r="OIL40" s="3327"/>
      <c r="OIM40" s="3327"/>
      <c r="OIN40" s="3327"/>
      <c r="OIO40" s="3327"/>
      <c r="OIP40" s="3327"/>
      <c r="OIQ40" s="3327"/>
      <c r="OIR40" s="3327"/>
      <c r="OIS40" s="3327"/>
      <c r="OIT40" s="3327"/>
      <c r="OIU40" s="3327"/>
      <c r="OIV40" s="3327"/>
      <c r="OIW40" s="3327"/>
      <c r="OIX40" s="3327"/>
      <c r="OIY40" s="3327"/>
      <c r="OIZ40" s="3327"/>
      <c r="OJA40" s="3327"/>
      <c r="OJB40" s="3327"/>
      <c r="OJC40" s="3327"/>
      <c r="OJD40" s="3327"/>
      <c r="OJE40" s="3327"/>
      <c r="OJF40" s="3327"/>
      <c r="OJG40" s="3327"/>
      <c r="OJH40" s="3327"/>
      <c r="OJI40" s="3327"/>
      <c r="OJJ40" s="3327"/>
      <c r="OJK40" s="3327"/>
      <c r="OJL40" s="3327"/>
      <c r="OJM40" s="3327"/>
      <c r="OJN40" s="3327"/>
      <c r="OJO40" s="3327"/>
      <c r="OJP40" s="3327"/>
      <c r="OJQ40" s="3327"/>
      <c r="OJR40" s="3327"/>
      <c r="OJS40" s="3327"/>
      <c r="OJT40" s="3327"/>
      <c r="OJU40" s="3327"/>
      <c r="OJV40" s="3327"/>
      <c r="OJW40" s="3327"/>
      <c r="OJX40" s="3327"/>
      <c r="OJY40" s="3327"/>
      <c r="OJZ40" s="3327"/>
      <c r="OKA40" s="3327"/>
      <c r="OKB40" s="3327"/>
      <c r="OKC40" s="3327"/>
      <c r="OKD40" s="3327"/>
      <c r="OKE40" s="3327"/>
      <c r="OKF40" s="3327"/>
      <c r="OKG40" s="3327"/>
      <c r="OKH40" s="3327"/>
      <c r="OKI40" s="3327"/>
      <c r="OKJ40" s="3327"/>
      <c r="OKK40" s="3327"/>
      <c r="OKL40" s="3327"/>
      <c r="OKM40" s="3327"/>
      <c r="OKN40" s="3327"/>
      <c r="OKO40" s="3327"/>
      <c r="OKP40" s="3327"/>
      <c r="OKQ40" s="3327"/>
      <c r="OKR40" s="3327"/>
      <c r="OKS40" s="3327"/>
      <c r="OKT40" s="3327"/>
      <c r="OKU40" s="3327"/>
      <c r="OKV40" s="3327"/>
      <c r="OKW40" s="3327"/>
      <c r="OKX40" s="3327"/>
      <c r="OKY40" s="3327"/>
      <c r="OKZ40" s="3327"/>
      <c r="OLA40" s="3327"/>
      <c r="OLB40" s="3327"/>
      <c r="OLC40" s="3327"/>
      <c r="OLD40" s="3327"/>
      <c r="OLE40" s="3327"/>
      <c r="OLF40" s="3327"/>
      <c r="OLG40" s="3327"/>
      <c r="OLH40" s="3327"/>
      <c r="OLI40" s="3327"/>
      <c r="OLJ40" s="3327"/>
      <c r="OLK40" s="3327"/>
      <c r="OLL40" s="3327"/>
      <c r="OLM40" s="3327"/>
      <c r="OLN40" s="3327"/>
      <c r="OLO40" s="3327"/>
      <c r="OLP40" s="3327"/>
      <c r="OLQ40" s="3327"/>
      <c r="OLR40" s="3327"/>
      <c r="OLS40" s="3327"/>
      <c r="OLT40" s="3327"/>
      <c r="OLU40" s="3327"/>
      <c r="OLV40" s="3327"/>
      <c r="OLW40" s="3327"/>
      <c r="OLX40" s="3327"/>
      <c r="OLY40" s="3327"/>
      <c r="OLZ40" s="3327"/>
      <c r="OMA40" s="3327"/>
      <c r="OMB40" s="3327"/>
      <c r="OMC40" s="3327"/>
      <c r="OMD40" s="3327"/>
      <c r="OME40" s="3327"/>
      <c r="OMF40" s="3327"/>
      <c r="OMG40" s="3327"/>
      <c r="OMH40" s="3327"/>
      <c r="OMI40" s="3327"/>
      <c r="OMJ40" s="3327"/>
      <c r="OMK40" s="3327"/>
      <c r="OML40" s="3327"/>
      <c r="OMM40" s="3327"/>
      <c r="OMN40" s="3327"/>
      <c r="OMO40" s="3327"/>
      <c r="OMP40" s="3327"/>
      <c r="OMQ40" s="3327"/>
      <c r="OMR40" s="3327"/>
      <c r="OMS40" s="3327"/>
      <c r="OMT40" s="3327"/>
      <c r="OMU40" s="3327"/>
      <c r="OMV40" s="3327"/>
      <c r="OMW40" s="3327"/>
      <c r="OMX40" s="3327"/>
      <c r="OMY40" s="3327"/>
      <c r="OMZ40" s="3327"/>
      <c r="ONA40" s="3327"/>
      <c r="ONB40" s="3327"/>
      <c r="ONC40" s="3327"/>
      <c r="OND40" s="3327"/>
      <c r="ONE40" s="3327"/>
      <c r="ONF40" s="3327"/>
      <c r="ONG40" s="3327"/>
      <c r="ONH40" s="3327"/>
      <c r="ONI40" s="3327"/>
      <c r="ONJ40" s="3327"/>
      <c r="ONK40" s="3327"/>
      <c r="ONL40" s="3327"/>
      <c r="ONM40" s="3327"/>
      <c r="ONN40" s="3327"/>
      <c r="ONO40" s="3327"/>
      <c r="ONP40" s="3327"/>
      <c r="ONQ40" s="3327"/>
      <c r="ONR40" s="3327"/>
      <c r="ONS40" s="3327"/>
      <c r="ONT40" s="3327"/>
      <c r="ONU40" s="3327"/>
      <c r="ONV40" s="3327"/>
      <c r="ONW40" s="3327"/>
      <c r="ONX40" s="3327"/>
      <c r="ONY40" s="3327"/>
      <c r="ONZ40" s="3327"/>
      <c r="OOA40" s="3327"/>
      <c r="OOB40" s="3327"/>
      <c r="OOC40" s="3327"/>
      <c r="OOD40" s="3327"/>
      <c r="OOE40" s="3327"/>
      <c r="OOF40" s="3327"/>
      <c r="OOG40" s="3327"/>
      <c r="OOH40" s="3327"/>
      <c r="OOI40" s="3327"/>
      <c r="OOJ40" s="3327"/>
      <c r="OOK40" s="3327"/>
      <c r="OOL40" s="3327"/>
      <c r="OOM40" s="3327"/>
      <c r="OON40" s="3327"/>
      <c r="OOO40" s="3327"/>
      <c r="OOP40" s="3327"/>
      <c r="OOQ40" s="3327"/>
      <c r="OOR40" s="3327"/>
      <c r="OOS40" s="3327"/>
      <c r="OOT40" s="3327"/>
      <c r="OOU40" s="3327"/>
      <c r="OOV40" s="3327"/>
      <c r="OOW40" s="3327"/>
      <c r="OOX40" s="3327"/>
      <c r="OOY40" s="3327"/>
      <c r="OOZ40" s="3327"/>
      <c r="OPA40" s="3327"/>
      <c r="OPB40" s="3327"/>
      <c r="OPC40" s="3327"/>
      <c r="OPD40" s="3327"/>
      <c r="OPE40" s="3327"/>
      <c r="OPF40" s="3327"/>
      <c r="OPG40" s="3327"/>
      <c r="OPH40" s="3327"/>
      <c r="OPI40" s="3327"/>
      <c r="OPJ40" s="3327"/>
      <c r="OPK40" s="3327"/>
      <c r="OPL40" s="3327"/>
      <c r="OPM40" s="3327"/>
      <c r="OPN40" s="3327"/>
      <c r="OPO40" s="3327"/>
      <c r="OPP40" s="3327"/>
      <c r="OPQ40" s="3327"/>
      <c r="OPR40" s="3327"/>
      <c r="OPS40" s="3327"/>
      <c r="OPT40" s="3327"/>
      <c r="OPU40" s="3327"/>
      <c r="OPV40" s="3327"/>
      <c r="OPW40" s="3327"/>
      <c r="OPX40" s="3327"/>
      <c r="OPY40" s="3327"/>
      <c r="OPZ40" s="3327"/>
      <c r="OQA40" s="3327"/>
      <c r="OQB40" s="3327"/>
      <c r="OQC40" s="3327"/>
      <c r="OQD40" s="3327"/>
      <c r="OQE40" s="3327"/>
      <c r="OQF40" s="3327"/>
      <c r="OQG40" s="3327"/>
      <c r="OQH40" s="3327"/>
      <c r="OQI40" s="3327"/>
      <c r="OQJ40" s="3327"/>
      <c r="OQK40" s="3327"/>
      <c r="OQL40" s="3327"/>
      <c r="OQM40" s="3327"/>
      <c r="OQN40" s="3327"/>
      <c r="OQO40" s="3327"/>
      <c r="OQP40" s="3327"/>
      <c r="OQQ40" s="3327"/>
      <c r="OQR40" s="3327"/>
      <c r="OQS40" s="3327"/>
      <c r="OQT40" s="3327"/>
      <c r="OQU40" s="3327"/>
      <c r="OQV40" s="3327"/>
      <c r="OQW40" s="3327"/>
      <c r="OQX40" s="3327"/>
      <c r="OQY40" s="3327"/>
      <c r="OQZ40" s="3327"/>
      <c r="ORA40" s="3327"/>
      <c r="ORB40" s="3327"/>
      <c r="ORC40" s="3327"/>
      <c r="ORD40" s="3327"/>
      <c r="ORE40" s="3327"/>
      <c r="ORF40" s="3327"/>
      <c r="ORG40" s="3327"/>
      <c r="ORH40" s="3327"/>
      <c r="ORI40" s="3327"/>
      <c r="ORJ40" s="3327"/>
      <c r="ORK40" s="3327"/>
      <c r="ORL40" s="3327"/>
      <c r="ORM40" s="3327"/>
      <c r="ORN40" s="3327"/>
      <c r="ORO40" s="3327"/>
      <c r="ORP40" s="3327"/>
      <c r="ORQ40" s="3327"/>
      <c r="ORR40" s="3327"/>
      <c r="ORS40" s="3327"/>
      <c r="ORT40" s="3327"/>
      <c r="ORU40" s="3327"/>
      <c r="ORV40" s="3327"/>
      <c r="ORW40" s="3327"/>
      <c r="ORX40" s="3327"/>
      <c r="ORY40" s="3327"/>
      <c r="ORZ40" s="3327"/>
      <c r="OSA40" s="3327"/>
      <c r="OSB40" s="3327"/>
      <c r="OSC40" s="3327"/>
      <c r="OSD40" s="3327"/>
      <c r="OSE40" s="3327"/>
      <c r="OSF40" s="3327"/>
      <c r="OSG40" s="3327"/>
      <c r="OSH40" s="3327"/>
      <c r="OSI40" s="3327"/>
      <c r="OSJ40" s="3327"/>
      <c r="OSK40" s="3327"/>
      <c r="OSL40" s="3327"/>
      <c r="OSM40" s="3327"/>
      <c r="OSN40" s="3327"/>
      <c r="OSO40" s="3327"/>
      <c r="OSP40" s="3327"/>
      <c r="OSQ40" s="3327"/>
      <c r="OSR40" s="3327"/>
      <c r="OSS40" s="3327"/>
      <c r="OST40" s="3327"/>
      <c r="OSU40" s="3327"/>
      <c r="OSV40" s="3327"/>
      <c r="OSW40" s="3327"/>
      <c r="OSX40" s="3327"/>
      <c r="OSY40" s="3327"/>
      <c r="OSZ40" s="3327"/>
      <c r="OTA40" s="3327"/>
      <c r="OTB40" s="3327"/>
      <c r="OTC40" s="3327"/>
      <c r="OTD40" s="3327"/>
      <c r="OTE40" s="3327"/>
      <c r="OTF40" s="3327"/>
      <c r="OTG40" s="3327"/>
      <c r="OTH40" s="3327"/>
      <c r="OTI40" s="3327"/>
      <c r="OTJ40" s="3327"/>
      <c r="OTK40" s="3327"/>
      <c r="OTL40" s="3327"/>
      <c r="OTM40" s="3327"/>
      <c r="OTN40" s="3327"/>
      <c r="OTO40" s="3327"/>
      <c r="OTP40" s="3327"/>
      <c r="OTQ40" s="3327"/>
      <c r="OTR40" s="3327"/>
      <c r="OTS40" s="3327"/>
      <c r="OTT40" s="3327"/>
      <c r="OTU40" s="3327"/>
      <c r="OTV40" s="3327"/>
      <c r="OTW40" s="3327"/>
      <c r="OTX40" s="3327"/>
      <c r="OTY40" s="3327"/>
      <c r="OTZ40" s="3327"/>
      <c r="OUA40" s="3327"/>
      <c r="OUB40" s="3327"/>
      <c r="OUC40" s="3327"/>
      <c r="OUD40" s="3327"/>
      <c r="OUE40" s="3327"/>
      <c r="OUF40" s="3327"/>
      <c r="OUG40" s="3327"/>
      <c r="OUH40" s="3327"/>
      <c r="OUI40" s="3327"/>
      <c r="OUJ40" s="3327"/>
      <c r="OUK40" s="3327"/>
      <c r="OUL40" s="3327"/>
      <c r="OUM40" s="3327"/>
      <c r="OUN40" s="3327"/>
      <c r="OUO40" s="3327"/>
      <c r="OUP40" s="3327"/>
      <c r="OUQ40" s="3327"/>
      <c r="OUR40" s="3327"/>
      <c r="OUS40" s="3327"/>
      <c r="OUT40" s="3327"/>
      <c r="OUU40" s="3327"/>
      <c r="OUV40" s="3327"/>
      <c r="OUW40" s="3327"/>
      <c r="OUX40" s="3327"/>
      <c r="OUY40" s="3327"/>
      <c r="OUZ40" s="3327"/>
      <c r="OVA40" s="3327"/>
      <c r="OVB40" s="3327"/>
      <c r="OVC40" s="3327"/>
      <c r="OVD40" s="3327"/>
      <c r="OVE40" s="3327"/>
      <c r="OVF40" s="3327"/>
      <c r="OVG40" s="3327"/>
      <c r="OVH40" s="3327"/>
      <c r="OVI40" s="3327"/>
      <c r="OVJ40" s="3327"/>
      <c r="OVK40" s="3327"/>
      <c r="OVL40" s="3327"/>
      <c r="OVM40" s="3327"/>
      <c r="OVN40" s="3327"/>
      <c r="OVO40" s="3327"/>
      <c r="OVP40" s="3327"/>
      <c r="OVQ40" s="3327"/>
      <c r="OVR40" s="3327"/>
      <c r="OVS40" s="3327"/>
      <c r="OVT40" s="3327"/>
      <c r="OVU40" s="3327"/>
      <c r="OVV40" s="3327"/>
      <c r="OVW40" s="3327"/>
      <c r="OVX40" s="3327"/>
      <c r="OVY40" s="3327"/>
      <c r="OVZ40" s="3327"/>
      <c r="OWA40" s="3327"/>
      <c r="OWB40" s="3327"/>
      <c r="OWC40" s="3327"/>
      <c r="OWD40" s="3327"/>
      <c r="OWE40" s="3327"/>
      <c r="OWF40" s="3327"/>
      <c r="OWG40" s="3327"/>
      <c r="OWH40" s="3327"/>
      <c r="OWI40" s="3327"/>
      <c r="OWJ40" s="3327"/>
      <c r="OWK40" s="3327"/>
      <c r="OWL40" s="3327"/>
      <c r="OWM40" s="3327"/>
      <c r="OWN40" s="3327"/>
      <c r="OWO40" s="3327"/>
      <c r="OWP40" s="3327"/>
      <c r="OWQ40" s="3327"/>
      <c r="OWR40" s="3327"/>
      <c r="OWS40" s="3327"/>
      <c r="OWT40" s="3327"/>
      <c r="OWU40" s="3327"/>
      <c r="OWV40" s="3327"/>
      <c r="OWW40" s="3327"/>
      <c r="OWX40" s="3327"/>
      <c r="OWY40" s="3327"/>
      <c r="OWZ40" s="3327"/>
      <c r="OXA40" s="3327"/>
      <c r="OXB40" s="3327"/>
      <c r="OXC40" s="3327"/>
      <c r="OXD40" s="3327"/>
      <c r="OXE40" s="3327"/>
      <c r="OXF40" s="3327"/>
      <c r="OXG40" s="3327"/>
      <c r="OXH40" s="3327"/>
      <c r="OXI40" s="3327"/>
      <c r="OXJ40" s="3327"/>
      <c r="OXK40" s="3327"/>
      <c r="OXL40" s="3327"/>
      <c r="OXM40" s="3327"/>
      <c r="OXN40" s="3327"/>
      <c r="OXO40" s="3327"/>
      <c r="OXP40" s="3327"/>
      <c r="OXQ40" s="3327"/>
      <c r="OXR40" s="3327"/>
      <c r="OXS40" s="3327"/>
      <c r="OXT40" s="3327"/>
      <c r="OXU40" s="3327"/>
      <c r="OXV40" s="3327"/>
      <c r="OXW40" s="3327"/>
      <c r="OXX40" s="3327"/>
      <c r="OXY40" s="3327"/>
      <c r="OXZ40" s="3327"/>
      <c r="OYA40" s="3327"/>
      <c r="OYB40" s="3327"/>
      <c r="OYC40" s="3327"/>
      <c r="OYD40" s="3327"/>
      <c r="OYE40" s="3327"/>
      <c r="OYF40" s="3327"/>
      <c r="OYG40" s="3327"/>
      <c r="OYH40" s="3327"/>
      <c r="OYI40" s="3327"/>
      <c r="OYJ40" s="3327"/>
      <c r="OYK40" s="3327"/>
      <c r="OYL40" s="3327"/>
      <c r="OYM40" s="3327"/>
      <c r="OYN40" s="3327"/>
      <c r="OYO40" s="3327"/>
      <c r="OYP40" s="3327"/>
      <c r="OYQ40" s="3327"/>
      <c r="OYR40" s="3327"/>
      <c r="OYS40" s="3327"/>
      <c r="OYT40" s="3327"/>
      <c r="OYU40" s="3327"/>
      <c r="OYV40" s="3327"/>
      <c r="OYW40" s="3327"/>
      <c r="OYX40" s="3327"/>
      <c r="OYY40" s="3327"/>
      <c r="OYZ40" s="3327"/>
      <c r="OZA40" s="3327"/>
      <c r="OZB40" s="3327"/>
      <c r="OZC40" s="3327"/>
      <c r="OZD40" s="3327"/>
      <c r="OZE40" s="3327"/>
      <c r="OZF40" s="3327"/>
      <c r="OZG40" s="3327"/>
      <c r="OZH40" s="3327"/>
      <c r="OZI40" s="3327"/>
      <c r="OZJ40" s="3327"/>
      <c r="OZK40" s="3327"/>
      <c r="OZL40" s="3327"/>
      <c r="OZM40" s="3327"/>
      <c r="OZN40" s="3327"/>
      <c r="OZO40" s="3327"/>
      <c r="OZP40" s="3327"/>
      <c r="OZQ40" s="3327"/>
      <c r="OZR40" s="3327"/>
      <c r="OZS40" s="3327"/>
      <c r="OZT40" s="3327"/>
      <c r="OZU40" s="3327"/>
      <c r="OZV40" s="3327"/>
      <c r="OZW40" s="3327"/>
      <c r="OZX40" s="3327"/>
      <c r="OZY40" s="3327"/>
      <c r="OZZ40" s="3327"/>
      <c r="PAA40" s="3327"/>
      <c r="PAB40" s="3327"/>
      <c r="PAC40" s="3327"/>
      <c r="PAD40" s="3327"/>
      <c r="PAE40" s="3327"/>
      <c r="PAF40" s="3327"/>
      <c r="PAG40" s="3327"/>
      <c r="PAH40" s="3327"/>
      <c r="PAI40" s="3327"/>
      <c r="PAJ40" s="3327"/>
      <c r="PAK40" s="3327"/>
      <c r="PAL40" s="3327"/>
      <c r="PAM40" s="3327"/>
      <c r="PAN40" s="3327"/>
      <c r="PAO40" s="3327"/>
      <c r="PAP40" s="3327"/>
      <c r="PAQ40" s="3327"/>
      <c r="PAR40" s="3327"/>
      <c r="PAS40" s="3327"/>
      <c r="PAT40" s="3327"/>
      <c r="PAU40" s="3327"/>
      <c r="PAV40" s="3327"/>
      <c r="PAW40" s="3327"/>
      <c r="PAX40" s="3327"/>
      <c r="PAY40" s="3327"/>
      <c r="PAZ40" s="3327"/>
      <c r="PBA40" s="3327"/>
      <c r="PBB40" s="3327"/>
      <c r="PBC40" s="3327"/>
      <c r="PBD40" s="3327"/>
      <c r="PBE40" s="3327"/>
      <c r="PBF40" s="3327"/>
      <c r="PBG40" s="3327"/>
      <c r="PBH40" s="3327"/>
      <c r="PBI40" s="3327"/>
      <c r="PBJ40" s="3327"/>
      <c r="PBK40" s="3327"/>
      <c r="PBL40" s="3327"/>
      <c r="PBM40" s="3327"/>
      <c r="PBN40" s="3327"/>
      <c r="PBO40" s="3327"/>
      <c r="PBP40" s="3327"/>
      <c r="PBQ40" s="3327"/>
      <c r="PBR40" s="3327"/>
      <c r="PBS40" s="3327"/>
      <c r="PBT40" s="3327"/>
      <c r="PBU40" s="3327"/>
      <c r="PBV40" s="3327"/>
      <c r="PBW40" s="3327"/>
      <c r="PBX40" s="3327"/>
      <c r="PBY40" s="3327"/>
      <c r="PBZ40" s="3327"/>
      <c r="PCA40" s="3327"/>
      <c r="PCB40" s="3327"/>
      <c r="PCC40" s="3327"/>
      <c r="PCD40" s="3327"/>
      <c r="PCE40" s="3327"/>
      <c r="PCF40" s="3327"/>
      <c r="PCG40" s="3327"/>
      <c r="PCH40" s="3327"/>
      <c r="PCI40" s="3327"/>
      <c r="PCJ40" s="3327"/>
      <c r="PCK40" s="3327"/>
      <c r="PCL40" s="3327"/>
      <c r="PCM40" s="3327"/>
      <c r="PCN40" s="3327"/>
      <c r="PCO40" s="3327"/>
      <c r="PCP40" s="3327"/>
      <c r="PCQ40" s="3327"/>
      <c r="PCR40" s="3327"/>
      <c r="PCS40" s="3327"/>
      <c r="PCT40" s="3327"/>
      <c r="PCU40" s="3327"/>
      <c r="PCV40" s="3327"/>
      <c r="PCW40" s="3327"/>
      <c r="PCX40" s="3327"/>
      <c r="PCY40" s="3327"/>
      <c r="PCZ40" s="3327"/>
      <c r="PDA40" s="3327"/>
      <c r="PDB40" s="3327"/>
      <c r="PDC40" s="3327"/>
      <c r="PDD40" s="3327"/>
      <c r="PDE40" s="3327"/>
      <c r="PDF40" s="3327"/>
      <c r="PDG40" s="3327"/>
      <c r="PDH40" s="3327"/>
      <c r="PDI40" s="3327"/>
      <c r="PDJ40" s="3327"/>
      <c r="PDK40" s="3327"/>
      <c r="PDL40" s="3327"/>
      <c r="PDM40" s="3327"/>
      <c r="PDN40" s="3327"/>
      <c r="PDO40" s="3327"/>
      <c r="PDP40" s="3327"/>
      <c r="PDQ40" s="3327"/>
      <c r="PDR40" s="3327"/>
      <c r="PDS40" s="3327"/>
      <c r="PDT40" s="3327"/>
      <c r="PDU40" s="3327"/>
      <c r="PDV40" s="3327"/>
      <c r="PDW40" s="3327"/>
      <c r="PDX40" s="3327"/>
      <c r="PDY40" s="3327"/>
      <c r="PDZ40" s="3327"/>
      <c r="PEA40" s="3327"/>
      <c r="PEB40" s="3327"/>
      <c r="PEC40" s="3327"/>
      <c r="PED40" s="3327"/>
      <c r="PEE40" s="3327"/>
      <c r="PEF40" s="3327"/>
      <c r="PEG40" s="3327"/>
      <c r="PEH40" s="3327"/>
      <c r="PEI40" s="3327"/>
      <c r="PEJ40" s="3327"/>
      <c r="PEK40" s="3327"/>
      <c r="PEL40" s="3327"/>
      <c r="PEM40" s="3327"/>
      <c r="PEN40" s="3327"/>
      <c r="PEO40" s="3327"/>
      <c r="PEP40" s="3327"/>
      <c r="PEQ40" s="3327"/>
      <c r="PER40" s="3327"/>
      <c r="PES40" s="3327"/>
      <c r="PET40" s="3327"/>
      <c r="PEU40" s="3327"/>
      <c r="PEV40" s="3327"/>
      <c r="PEW40" s="3327"/>
      <c r="PEX40" s="3327"/>
      <c r="PEY40" s="3327"/>
      <c r="PEZ40" s="3327"/>
      <c r="PFA40" s="3327"/>
      <c r="PFB40" s="3327"/>
      <c r="PFC40" s="3327"/>
      <c r="PFD40" s="3327"/>
      <c r="PFE40" s="3327"/>
      <c r="PFF40" s="3327"/>
      <c r="PFG40" s="3327"/>
      <c r="PFH40" s="3327"/>
      <c r="PFI40" s="3327"/>
      <c r="PFJ40" s="3327"/>
      <c r="PFK40" s="3327"/>
      <c r="PFL40" s="3327"/>
      <c r="PFM40" s="3327"/>
      <c r="PFN40" s="3327"/>
      <c r="PFO40" s="3327"/>
      <c r="PFP40" s="3327"/>
      <c r="PFQ40" s="3327"/>
      <c r="PFR40" s="3327"/>
      <c r="PFS40" s="3327"/>
      <c r="PFT40" s="3327"/>
      <c r="PFU40" s="3327"/>
      <c r="PFV40" s="3327"/>
      <c r="PFW40" s="3327"/>
      <c r="PFX40" s="3327"/>
      <c r="PFY40" s="3327"/>
      <c r="PFZ40" s="3327"/>
      <c r="PGA40" s="3327"/>
      <c r="PGB40" s="3327"/>
      <c r="PGC40" s="3327"/>
      <c r="PGD40" s="3327"/>
      <c r="PGE40" s="3327"/>
      <c r="PGF40" s="3327"/>
      <c r="PGG40" s="3327"/>
      <c r="PGH40" s="3327"/>
      <c r="PGI40" s="3327"/>
      <c r="PGJ40" s="3327"/>
      <c r="PGK40" s="3327"/>
      <c r="PGL40" s="3327"/>
      <c r="PGM40" s="3327"/>
      <c r="PGN40" s="3327"/>
      <c r="PGO40" s="3327"/>
      <c r="PGP40" s="3327"/>
      <c r="PGQ40" s="3327"/>
      <c r="PGR40" s="3327"/>
      <c r="PGS40" s="3327"/>
      <c r="PGT40" s="3327"/>
      <c r="PGU40" s="3327"/>
      <c r="PGV40" s="3327"/>
      <c r="PGW40" s="3327"/>
      <c r="PGX40" s="3327"/>
      <c r="PGY40" s="3327"/>
      <c r="PGZ40" s="3327"/>
      <c r="PHA40" s="3327"/>
      <c r="PHB40" s="3327"/>
      <c r="PHC40" s="3327"/>
      <c r="PHD40" s="3327"/>
      <c r="PHE40" s="3327"/>
      <c r="PHF40" s="3327"/>
      <c r="PHG40" s="3327"/>
      <c r="PHH40" s="3327"/>
      <c r="PHI40" s="3327"/>
      <c r="PHJ40" s="3327"/>
      <c r="PHK40" s="3327"/>
      <c r="PHL40" s="3327"/>
      <c r="PHM40" s="3327"/>
      <c r="PHN40" s="3327"/>
      <c r="PHO40" s="3327"/>
      <c r="PHP40" s="3327"/>
      <c r="PHQ40" s="3327"/>
      <c r="PHR40" s="3327"/>
      <c r="PHS40" s="3327"/>
      <c r="PHT40" s="3327"/>
      <c r="PHU40" s="3327"/>
      <c r="PHV40" s="3327"/>
      <c r="PHW40" s="3327"/>
      <c r="PHX40" s="3327"/>
      <c r="PHY40" s="3327"/>
      <c r="PHZ40" s="3327"/>
      <c r="PIA40" s="3327"/>
      <c r="PIB40" s="3327"/>
      <c r="PIC40" s="3327"/>
      <c r="PID40" s="3327"/>
      <c r="PIE40" s="3327"/>
      <c r="PIF40" s="3327"/>
      <c r="PIG40" s="3327"/>
      <c r="PIH40" s="3327"/>
      <c r="PII40" s="3327"/>
      <c r="PIJ40" s="3327"/>
      <c r="PIK40" s="3327"/>
      <c r="PIL40" s="3327"/>
      <c r="PIM40" s="3327"/>
      <c r="PIN40" s="3327"/>
      <c r="PIO40" s="3327"/>
      <c r="PIP40" s="3327"/>
      <c r="PIQ40" s="3327"/>
      <c r="PIR40" s="3327"/>
      <c r="PIS40" s="3327"/>
      <c r="PIT40" s="3327"/>
      <c r="PIU40" s="3327"/>
      <c r="PIV40" s="3327"/>
      <c r="PIW40" s="3327"/>
      <c r="PIX40" s="3327"/>
      <c r="PIY40" s="3327"/>
      <c r="PIZ40" s="3327"/>
      <c r="PJA40" s="3327"/>
      <c r="PJB40" s="3327"/>
      <c r="PJC40" s="3327"/>
      <c r="PJD40" s="3327"/>
      <c r="PJE40" s="3327"/>
      <c r="PJF40" s="3327"/>
      <c r="PJG40" s="3327"/>
      <c r="PJH40" s="3327"/>
      <c r="PJI40" s="3327"/>
      <c r="PJJ40" s="3327"/>
      <c r="PJK40" s="3327"/>
      <c r="PJL40" s="3327"/>
      <c r="PJM40" s="3327"/>
      <c r="PJN40" s="3327"/>
      <c r="PJO40" s="3327"/>
      <c r="PJP40" s="3327"/>
      <c r="PJQ40" s="3327"/>
      <c r="PJR40" s="3327"/>
      <c r="PJS40" s="3327"/>
      <c r="PJT40" s="3327"/>
      <c r="PJU40" s="3327"/>
      <c r="PJV40" s="3327"/>
      <c r="PJW40" s="3327"/>
      <c r="PJX40" s="3327"/>
      <c r="PJY40" s="3327"/>
      <c r="PJZ40" s="3327"/>
      <c r="PKA40" s="3327"/>
      <c r="PKB40" s="3327"/>
      <c r="PKC40" s="3327"/>
      <c r="PKD40" s="3327"/>
      <c r="PKE40" s="3327"/>
      <c r="PKF40" s="3327"/>
      <c r="PKG40" s="3327"/>
      <c r="PKH40" s="3327"/>
      <c r="PKI40" s="3327"/>
      <c r="PKJ40" s="3327"/>
      <c r="PKK40" s="3327"/>
      <c r="PKL40" s="3327"/>
      <c r="PKM40" s="3327"/>
      <c r="PKN40" s="3327"/>
      <c r="PKO40" s="3327"/>
      <c r="PKP40" s="3327"/>
      <c r="PKQ40" s="3327"/>
      <c r="PKR40" s="3327"/>
      <c r="PKS40" s="3327"/>
      <c r="PKT40" s="3327"/>
      <c r="PKU40" s="3327"/>
      <c r="PKV40" s="3327"/>
      <c r="PKW40" s="3327"/>
      <c r="PKX40" s="3327"/>
      <c r="PKY40" s="3327"/>
      <c r="PKZ40" s="3327"/>
      <c r="PLA40" s="3327"/>
      <c r="PLB40" s="3327"/>
      <c r="PLC40" s="3327"/>
      <c r="PLD40" s="3327"/>
      <c r="PLE40" s="3327"/>
      <c r="PLF40" s="3327"/>
      <c r="PLG40" s="3327"/>
      <c r="PLH40" s="3327"/>
      <c r="PLI40" s="3327"/>
      <c r="PLJ40" s="3327"/>
      <c r="PLK40" s="3327"/>
      <c r="PLL40" s="3327"/>
      <c r="PLM40" s="3327"/>
      <c r="PLN40" s="3327"/>
      <c r="PLO40" s="3327"/>
      <c r="PLP40" s="3327"/>
      <c r="PLQ40" s="3327"/>
      <c r="PLR40" s="3327"/>
      <c r="PLS40" s="3327"/>
      <c r="PLT40" s="3327"/>
      <c r="PLU40" s="3327"/>
      <c r="PLV40" s="3327"/>
      <c r="PLW40" s="3327"/>
      <c r="PLX40" s="3327"/>
      <c r="PLY40" s="3327"/>
      <c r="PLZ40" s="3327"/>
      <c r="PMA40" s="3327"/>
      <c r="PMB40" s="3327"/>
      <c r="PMC40" s="3327"/>
      <c r="PMD40" s="3327"/>
      <c r="PME40" s="3327"/>
      <c r="PMF40" s="3327"/>
      <c r="PMG40" s="3327"/>
      <c r="PMH40" s="3327"/>
      <c r="PMI40" s="3327"/>
      <c r="PMJ40" s="3327"/>
      <c r="PMK40" s="3327"/>
      <c r="PML40" s="3327"/>
      <c r="PMM40" s="3327"/>
      <c r="PMN40" s="3327"/>
      <c r="PMO40" s="3327"/>
      <c r="PMP40" s="3327"/>
      <c r="PMQ40" s="3327"/>
      <c r="PMR40" s="3327"/>
      <c r="PMS40" s="3327"/>
      <c r="PMT40" s="3327"/>
      <c r="PMU40" s="3327"/>
      <c r="PMV40" s="3327"/>
      <c r="PMW40" s="3327"/>
      <c r="PMX40" s="3327"/>
      <c r="PMY40" s="3327"/>
      <c r="PMZ40" s="3327"/>
      <c r="PNA40" s="3327"/>
      <c r="PNB40" s="3327"/>
      <c r="PNC40" s="3327"/>
      <c r="PND40" s="3327"/>
      <c r="PNE40" s="3327"/>
      <c r="PNF40" s="3327"/>
      <c r="PNG40" s="3327"/>
      <c r="PNH40" s="3327"/>
      <c r="PNI40" s="3327"/>
      <c r="PNJ40" s="3327"/>
      <c r="PNK40" s="3327"/>
      <c r="PNL40" s="3327"/>
      <c r="PNM40" s="3327"/>
      <c r="PNN40" s="3327"/>
      <c r="PNO40" s="3327"/>
      <c r="PNP40" s="3327"/>
      <c r="PNQ40" s="3327"/>
      <c r="PNR40" s="3327"/>
      <c r="PNS40" s="3327"/>
      <c r="PNT40" s="3327"/>
      <c r="PNU40" s="3327"/>
      <c r="PNV40" s="3327"/>
      <c r="PNW40" s="3327"/>
      <c r="PNX40" s="3327"/>
      <c r="PNY40" s="3327"/>
      <c r="PNZ40" s="3327"/>
      <c r="POA40" s="3327"/>
      <c r="POB40" s="3327"/>
      <c r="POC40" s="3327"/>
      <c r="POD40" s="3327"/>
      <c r="POE40" s="3327"/>
      <c r="POF40" s="3327"/>
      <c r="POG40" s="3327"/>
      <c r="POH40" s="3327"/>
      <c r="POI40" s="3327"/>
      <c r="POJ40" s="3327"/>
      <c r="POK40" s="3327"/>
      <c r="POL40" s="3327"/>
      <c r="POM40" s="3327"/>
      <c r="PON40" s="3327"/>
      <c r="POO40" s="3327"/>
      <c r="POP40" s="3327"/>
      <c r="POQ40" s="3327"/>
      <c r="POR40" s="3327"/>
      <c r="POS40" s="3327"/>
      <c r="POT40" s="3327"/>
      <c r="POU40" s="3327"/>
      <c r="POV40" s="3327"/>
      <c r="POW40" s="3327"/>
      <c r="POX40" s="3327"/>
      <c r="POY40" s="3327"/>
      <c r="POZ40" s="3327"/>
      <c r="PPA40" s="3327"/>
      <c r="PPB40" s="3327"/>
      <c r="PPC40" s="3327"/>
      <c r="PPD40" s="3327"/>
      <c r="PPE40" s="3327"/>
      <c r="PPF40" s="3327"/>
      <c r="PPG40" s="3327"/>
      <c r="PPH40" s="3327"/>
      <c r="PPI40" s="3327"/>
      <c r="PPJ40" s="3327"/>
      <c r="PPK40" s="3327"/>
      <c r="PPL40" s="3327"/>
      <c r="PPM40" s="3327"/>
      <c r="PPN40" s="3327"/>
      <c r="PPO40" s="3327"/>
      <c r="PPP40" s="3327"/>
      <c r="PPQ40" s="3327"/>
      <c r="PPR40" s="3327"/>
      <c r="PPS40" s="3327"/>
      <c r="PPT40" s="3327"/>
      <c r="PPU40" s="3327"/>
      <c r="PPV40" s="3327"/>
      <c r="PPW40" s="3327"/>
      <c r="PPX40" s="3327"/>
      <c r="PPY40" s="3327"/>
      <c r="PPZ40" s="3327"/>
      <c r="PQA40" s="3327"/>
      <c r="PQB40" s="3327"/>
      <c r="PQC40" s="3327"/>
      <c r="PQD40" s="3327"/>
      <c r="PQE40" s="3327"/>
      <c r="PQF40" s="3327"/>
      <c r="PQG40" s="3327"/>
      <c r="PQH40" s="3327"/>
      <c r="PQI40" s="3327"/>
      <c r="PQJ40" s="3327"/>
      <c r="PQK40" s="3327"/>
      <c r="PQL40" s="3327"/>
      <c r="PQM40" s="3327"/>
      <c r="PQN40" s="3327"/>
      <c r="PQO40" s="3327"/>
      <c r="PQP40" s="3327"/>
      <c r="PQQ40" s="3327"/>
      <c r="PQR40" s="3327"/>
      <c r="PQS40" s="3327"/>
      <c r="PQT40" s="3327"/>
      <c r="PQU40" s="3327"/>
      <c r="PQV40" s="3327"/>
      <c r="PQW40" s="3327"/>
      <c r="PQX40" s="3327"/>
      <c r="PQY40" s="3327"/>
      <c r="PQZ40" s="3327"/>
      <c r="PRA40" s="3327"/>
      <c r="PRB40" s="3327"/>
      <c r="PRC40" s="3327"/>
      <c r="PRD40" s="3327"/>
      <c r="PRE40" s="3327"/>
      <c r="PRF40" s="3327"/>
      <c r="PRG40" s="3327"/>
      <c r="PRH40" s="3327"/>
      <c r="PRI40" s="3327"/>
      <c r="PRJ40" s="3327"/>
      <c r="PRK40" s="3327"/>
      <c r="PRL40" s="3327"/>
      <c r="PRM40" s="3327"/>
      <c r="PRN40" s="3327"/>
      <c r="PRO40" s="3327"/>
      <c r="PRP40" s="3327"/>
      <c r="PRQ40" s="3327"/>
      <c r="PRR40" s="3327"/>
      <c r="PRS40" s="3327"/>
      <c r="PRT40" s="3327"/>
      <c r="PRU40" s="3327"/>
      <c r="PRV40" s="3327"/>
      <c r="PRW40" s="3327"/>
      <c r="PRX40" s="3327"/>
      <c r="PRY40" s="3327"/>
      <c r="PRZ40" s="3327"/>
      <c r="PSA40" s="3327"/>
      <c r="PSB40" s="3327"/>
      <c r="PSC40" s="3327"/>
      <c r="PSD40" s="3327"/>
      <c r="PSE40" s="3327"/>
      <c r="PSF40" s="3327"/>
      <c r="PSG40" s="3327"/>
      <c r="PSH40" s="3327"/>
      <c r="PSI40" s="3327"/>
      <c r="PSJ40" s="3327"/>
      <c r="PSK40" s="3327"/>
      <c r="PSL40" s="3327"/>
      <c r="PSM40" s="3327"/>
      <c r="PSN40" s="3327"/>
      <c r="PSO40" s="3327"/>
      <c r="PSP40" s="3327"/>
      <c r="PSQ40" s="3327"/>
      <c r="PSR40" s="3327"/>
      <c r="PSS40" s="3327"/>
      <c r="PST40" s="3327"/>
      <c r="PSU40" s="3327"/>
      <c r="PSV40" s="3327"/>
      <c r="PSW40" s="3327"/>
      <c r="PSX40" s="3327"/>
      <c r="PSY40" s="3327"/>
      <c r="PSZ40" s="3327"/>
      <c r="PTA40" s="3327"/>
      <c r="PTB40" s="3327"/>
      <c r="PTC40" s="3327"/>
      <c r="PTD40" s="3327"/>
      <c r="PTE40" s="3327"/>
      <c r="PTF40" s="3327"/>
      <c r="PTG40" s="3327"/>
      <c r="PTH40" s="3327"/>
      <c r="PTI40" s="3327"/>
      <c r="PTJ40" s="3327"/>
      <c r="PTK40" s="3327"/>
      <c r="PTL40" s="3327"/>
      <c r="PTM40" s="3327"/>
      <c r="PTN40" s="3327"/>
      <c r="PTO40" s="3327"/>
      <c r="PTP40" s="3327"/>
      <c r="PTQ40" s="3327"/>
      <c r="PTR40" s="3327"/>
      <c r="PTS40" s="3327"/>
      <c r="PTT40" s="3327"/>
      <c r="PTU40" s="3327"/>
      <c r="PTV40" s="3327"/>
      <c r="PTW40" s="3327"/>
      <c r="PTX40" s="3327"/>
      <c r="PTY40" s="3327"/>
      <c r="PTZ40" s="3327"/>
      <c r="PUA40" s="3327"/>
      <c r="PUB40" s="3327"/>
      <c r="PUC40" s="3327"/>
      <c r="PUD40" s="3327"/>
      <c r="PUE40" s="3327"/>
      <c r="PUF40" s="3327"/>
      <c r="PUG40" s="3327"/>
      <c r="PUH40" s="3327"/>
      <c r="PUI40" s="3327"/>
      <c r="PUJ40" s="3327"/>
      <c r="PUK40" s="3327"/>
      <c r="PUL40" s="3327"/>
      <c r="PUM40" s="3327"/>
      <c r="PUN40" s="3327"/>
      <c r="PUO40" s="3327"/>
      <c r="PUP40" s="3327"/>
      <c r="PUQ40" s="3327"/>
      <c r="PUR40" s="3327"/>
      <c r="PUS40" s="3327"/>
      <c r="PUT40" s="3327"/>
      <c r="PUU40" s="3327"/>
      <c r="PUV40" s="3327"/>
      <c r="PUW40" s="3327"/>
      <c r="PUX40" s="3327"/>
      <c r="PUY40" s="3327"/>
      <c r="PUZ40" s="3327"/>
      <c r="PVA40" s="3327"/>
      <c r="PVB40" s="3327"/>
      <c r="PVC40" s="3327"/>
      <c r="PVD40" s="3327"/>
      <c r="PVE40" s="3327"/>
      <c r="PVF40" s="3327"/>
      <c r="PVG40" s="3327"/>
      <c r="PVH40" s="3327"/>
      <c r="PVI40" s="3327"/>
      <c r="PVJ40" s="3327"/>
      <c r="PVK40" s="3327"/>
      <c r="PVL40" s="3327"/>
      <c r="PVM40" s="3327"/>
      <c r="PVN40" s="3327"/>
      <c r="PVO40" s="3327"/>
      <c r="PVP40" s="3327"/>
      <c r="PVQ40" s="3327"/>
      <c r="PVR40" s="3327"/>
      <c r="PVS40" s="3327"/>
      <c r="PVT40" s="3327"/>
      <c r="PVU40" s="3327"/>
      <c r="PVV40" s="3327"/>
      <c r="PVW40" s="3327"/>
      <c r="PVX40" s="3327"/>
      <c r="PVY40" s="3327"/>
      <c r="PVZ40" s="3327"/>
      <c r="PWA40" s="3327"/>
      <c r="PWB40" s="3327"/>
      <c r="PWC40" s="3327"/>
      <c r="PWD40" s="3327"/>
      <c r="PWE40" s="3327"/>
      <c r="PWF40" s="3327"/>
      <c r="PWG40" s="3327"/>
      <c r="PWH40" s="3327"/>
      <c r="PWI40" s="3327"/>
      <c r="PWJ40" s="3327"/>
      <c r="PWK40" s="3327"/>
      <c r="PWL40" s="3327"/>
      <c r="PWM40" s="3327"/>
      <c r="PWN40" s="3327"/>
      <c r="PWO40" s="3327"/>
      <c r="PWP40" s="3327"/>
      <c r="PWQ40" s="3327"/>
      <c r="PWR40" s="3327"/>
      <c r="PWS40" s="3327"/>
      <c r="PWT40" s="3327"/>
      <c r="PWU40" s="3327"/>
      <c r="PWV40" s="3327"/>
      <c r="PWW40" s="3327"/>
      <c r="PWX40" s="3327"/>
      <c r="PWY40" s="3327"/>
      <c r="PWZ40" s="3327"/>
      <c r="PXA40" s="3327"/>
      <c r="PXB40" s="3327"/>
      <c r="PXC40" s="3327"/>
      <c r="PXD40" s="3327"/>
      <c r="PXE40" s="3327"/>
      <c r="PXF40" s="3327"/>
      <c r="PXG40" s="3327"/>
      <c r="PXH40" s="3327"/>
      <c r="PXI40" s="3327"/>
      <c r="PXJ40" s="3327"/>
      <c r="PXK40" s="3327"/>
      <c r="PXL40" s="3327"/>
      <c r="PXM40" s="3327"/>
      <c r="PXN40" s="3327"/>
      <c r="PXO40" s="3327"/>
      <c r="PXP40" s="3327"/>
      <c r="PXQ40" s="3327"/>
      <c r="PXR40" s="3327"/>
      <c r="PXS40" s="3327"/>
      <c r="PXT40" s="3327"/>
      <c r="PXU40" s="3327"/>
      <c r="PXV40" s="3327"/>
      <c r="PXW40" s="3327"/>
      <c r="PXX40" s="3327"/>
      <c r="PXY40" s="3327"/>
      <c r="PXZ40" s="3327"/>
      <c r="PYA40" s="3327"/>
      <c r="PYB40" s="3327"/>
      <c r="PYC40" s="3327"/>
      <c r="PYD40" s="3327"/>
      <c r="PYE40" s="3327"/>
      <c r="PYF40" s="3327"/>
      <c r="PYG40" s="3327"/>
      <c r="PYH40" s="3327"/>
      <c r="PYI40" s="3327"/>
      <c r="PYJ40" s="3327"/>
      <c r="PYK40" s="3327"/>
      <c r="PYL40" s="3327"/>
      <c r="PYM40" s="3327"/>
      <c r="PYN40" s="3327"/>
      <c r="PYO40" s="3327"/>
      <c r="PYP40" s="3327"/>
      <c r="PYQ40" s="3327"/>
      <c r="PYR40" s="3327"/>
      <c r="PYS40" s="3327"/>
      <c r="PYT40" s="3327"/>
      <c r="PYU40" s="3327"/>
      <c r="PYV40" s="3327"/>
      <c r="PYW40" s="3327"/>
      <c r="PYX40" s="3327"/>
      <c r="PYY40" s="3327"/>
      <c r="PYZ40" s="3327"/>
      <c r="PZA40" s="3327"/>
      <c r="PZB40" s="3327"/>
      <c r="PZC40" s="3327"/>
      <c r="PZD40" s="3327"/>
      <c r="PZE40" s="3327"/>
      <c r="PZF40" s="3327"/>
      <c r="PZG40" s="3327"/>
      <c r="PZH40" s="3327"/>
      <c r="PZI40" s="3327"/>
      <c r="PZJ40" s="3327"/>
      <c r="PZK40" s="3327"/>
      <c r="PZL40" s="3327"/>
      <c r="PZM40" s="3327"/>
      <c r="PZN40" s="3327"/>
      <c r="PZO40" s="3327"/>
      <c r="PZP40" s="3327"/>
      <c r="PZQ40" s="3327"/>
      <c r="PZR40" s="3327"/>
      <c r="PZS40" s="3327"/>
      <c r="PZT40" s="3327"/>
      <c r="PZU40" s="3327"/>
      <c r="PZV40" s="3327"/>
      <c r="PZW40" s="3327"/>
      <c r="PZX40" s="3327"/>
      <c r="PZY40" s="3327"/>
      <c r="PZZ40" s="3327"/>
      <c r="QAA40" s="3327"/>
      <c r="QAB40" s="3327"/>
      <c r="QAC40" s="3327"/>
      <c r="QAD40" s="3327"/>
      <c r="QAE40" s="3327"/>
      <c r="QAF40" s="3327"/>
      <c r="QAG40" s="3327"/>
      <c r="QAH40" s="3327"/>
      <c r="QAI40" s="3327"/>
      <c r="QAJ40" s="3327"/>
      <c r="QAK40" s="3327"/>
      <c r="QAL40" s="3327"/>
      <c r="QAM40" s="3327"/>
      <c r="QAN40" s="3327"/>
      <c r="QAO40" s="3327"/>
      <c r="QAP40" s="3327"/>
      <c r="QAQ40" s="3327"/>
      <c r="QAR40" s="3327"/>
      <c r="QAS40" s="3327"/>
      <c r="QAT40" s="3327"/>
      <c r="QAU40" s="3327"/>
      <c r="QAV40" s="3327"/>
      <c r="QAW40" s="3327"/>
      <c r="QAX40" s="3327"/>
      <c r="QAY40" s="3327"/>
      <c r="QAZ40" s="3327"/>
      <c r="QBA40" s="3327"/>
      <c r="QBB40" s="3327"/>
      <c r="QBC40" s="3327"/>
      <c r="QBD40" s="3327"/>
      <c r="QBE40" s="3327"/>
      <c r="QBF40" s="3327"/>
      <c r="QBG40" s="3327"/>
      <c r="QBH40" s="3327"/>
      <c r="QBI40" s="3327"/>
      <c r="QBJ40" s="3327"/>
      <c r="QBK40" s="3327"/>
      <c r="QBL40" s="3327"/>
      <c r="QBM40" s="3327"/>
      <c r="QBN40" s="3327"/>
      <c r="QBO40" s="3327"/>
      <c r="QBP40" s="3327"/>
      <c r="QBQ40" s="3327"/>
      <c r="QBR40" s="3327"/>
      <c r="QBS40" s="3327"/>
      <c r="QBT40" s="3327"/>
      <c r="QBU40" s="3327"/>
      <c r="QBV40" s="3327"/>
      <c r="QBW40" s="3327"/>
      <c r="QBX40" s="3327"/>
      <c r="QBY40" s="3327"/>
      <c r="QBZ40" s="3327"/>
      <c r="QCA40" s="3327"/>
      <c r="QCB40" s="3327"/>
      <c r="QCC40" s="3327"/>
      <c r="QCD40" s="3327"/>
      <c r="QCE40" s="3327"/>
      <c r="QCF40" s="3327"/>
      <c r="QCG40" s="3327"/>
      <c r="QCH40" s="3327"/>
      <c r="QCI40" s="3327"/>
      <c r="QCJ40" s="3327"/>
      <c r="QCK40" s="3327"/>
      <c r="QCL40" s="3327"/>
      <c r="QCM40" s="3327"/>
      <c r="QCN40" s="3327"/>
      <c r="QCO40" s="3327"/>
      <c r="QCP40" s="3327"/>
      <c r="QCQ40" s="3327"/>
      <c r="QCR40" s="3327"/>
      <c r="QCS40" s="3327"/>
      <c r="QCT40" s="3327"/>
      <c r="QCU40" s="3327"/>
      <c r="QCV40" s="3327"/>
      <c r="QCW40" s="3327"/>
      <c r="QCX40" s="3327"/>
      <c r="QCY40" s="3327"/>
      <c r="QCZ40" s="3327"/>
      <c r="QDA40" s="3327"/>
      <c r="QDB40" s="3327"/>
      <c r="QDC40" s="3327"/>
      <c r="QDD40" s="3327"/>
      <c r="QDE40" s="3327"/>
      <c r="QDF40" s="3327"/>
      <c r="QDG40" s="3327"/>
      <c r="QDH40" s="3327"/>
      <c r="QDI40" s="3327"/>
      <c r="QDJ40" s="3327"/>
      <c r="QDK40" s="3327"/>
      <c r="QDL40" s="3327"/>
      <c r="QDM40" s="3327"/>
      <c r="QDN40" s="3327"/>
      <c r="QDO40" s="3327"/>
      <c r="QDP40" s="3327"/>
      <c r="QDQ40" s="3327"/>
      <c r="QDR40" s="3327"/>
      <c r="QDS40" s="3327"/>
      <c r="QDT40" s="3327"/>
      <c r="QDU40" s="3327"/>
      <c r="QDV40" s="3327"/>
      <c r="QDW40" s="3327"/>
      <c r="QDX40" s="3327"/>
      <c r="QDY40" s="3327"/>
      <c r="QDZ40" s="3327"/>
      <c r="QEA40" s="3327"/>
      <c r="QEB40" s="3327"/>
      <c r="QEC40" s="3327"/>
      <c r="QED40" s="3327"/>
      <c r="QEE40" s="3327"/>
      <c r="QEF40" s="3327"/>
      <c r="QEG40" s="3327"/>
      <c r="QEH40" s="3327"/>
      <c r="QEI40" s="3327"/>
      <c r="QEJ40" s="3327"/>
      <c r="QEK40" s="3327"/>
      <c r="QEL40" s="3327"/>
      <c r="QEM40" s="3327"/>
      <c r="QEN40" s="3327"/>
      <c r="QEO40" s="3327"/>
      <c r="QEP40" s="3327"/>
      <c r="QEQ40" s="3327"/>
      <c r="QER40" s="3327"/>
      <c r="QES40" s="3327"/>
      <c r="QET40" s="3327"/>
      <c r="QEU40" s="3327"/>
      <c r="QEV40" s="3327"/>
      <c r="QEW40" s="3327"/>
      <c r="QEX40" s="3327"/>
      <c r="QEY40" s="3327"/>
      <c r="QEZ40" s="3327"/>
      <c r="QFA40" s="3327"/>
      <c r="QFB40" s="3327"/>
      <c r="QFC40" s="3327"/>
      <c r="QFD40" s="3327"/>
      <c r="QFE40" s="3327"/>
      <c r="QFF40" s="3327"/>
      <c r="QFG40" s="3327"/>
      <c r="QFH40" s="3327"/>
      <c r="QFI40" s="3327"/>
      <c r="QFJ40" s="3327"/>
      <c r="QFK40" s="3327"/>
      <c r="QFL40" s="3327"/>
      <c r="QFM40" s="3327"/>
      <c r="QFN40" s="3327"/>
      <c r="QFO40" s="3327"/>
      <c r="QFP40" s="3327"/>
      <c r="QFQ40" s="3327"/>
      <c r="QFR40" s="3327"/>
      <c r="QFS40" s="3327"/>
      <c r="QFT40" s="3327"/>
      <c r="QFU40" s="3327"/>
      <c r="QFV40" s="3327"/>
      <c r="QFW40" s="3327"/>
      <c r="QFX40" s="3327"/>
      <c r="QFY40" s="3327"/>
      <c r="QFZ40" s="3327"/>
      <c r="QGA40" s="3327"/>
      <c r="QGB40" s="3327"/>
      <c r="QGC40" s="3327"/>
      <c r="QGD40" s="3327"/>
      <c r="QGE40" s="3327"/>
      <c r="QGF40" s="3327"/>
      <c r="QGG40" s="3327"/>
      <c r="QGH40" s="3327"/>
      <c r="QGI40" s="3327"/>
      <c r="QGJ40" s="3327"/>
      <c r="QGK40" s="3327"/>
      <c r="QGL40" s="3327"/>
      <c r="QGM40" s="3327"/>
      <c r="QGN40" s="3327"/>
      <c r="QGO40" s="3327"/>
      <c r="QGP40" s="3327"/>
      <c r="QGQ40" s="3327"/>
      <c r="QGR40" s="3327"/>
      <c r="QGS40" s="3327"/>
      <c r="QGT40" s="3327"/>
      <c r="QGU40" s="3327"/>
      <c r="QGV40" s="3327"/>
      <c r="QGW40" s="3327"/>
      <c r="QGX40" s="3327"/>
      <c r="QGY40" s="3327"/>
      <c r="QGZ40" s="3327"/>
      <c r="QHA40" s="3327"/>
      <c r="QHB40" s="3327"/>
      <c r="QHC40" s="3327"/>
      <c r="QHD40" s="3327"/>
      <c r="QHE40" s="3327"/>
      <c r="QHF40" s="3327"/>
      <c r="QHG40" s="3327"/>
      <c r="QHH40" s="3327"/>
      <c r="QHI40" s="3327"/>
      <c r="QHJ40" s="3327"/>
      <c r="QHK40" s="3327"/>
      <c r="QHL40" s="3327"/>
      <c r="QHM40" s="3327"/>
      <c r="QHN40" s="3327"/>
      <c r="QHO40" s="3327"/>
      <c r="QHP40" s="3327"/>
      <c r="QHQ40" s="3327"/>
      <c r="QHR40" s="3327"/>
      <c r="QHS40" s="3327"/>
      <c r="QHT40" s="3327"/>
      <c r="QHU40" s="3327"/>
      <c r="QHV40" s="3327"/>
      <c r="QHW40" s="3327"/>
      <c r="QHX40" s="3327"/>
      <c r="QHY40" s="3327"/>
      <c r="QHZ40" s="3327"/>
      <c r="QIA40" s="3327"/>
      <c r="QIB40" s="3327"/>
      <c r="QIC40" s="3327"/>
      <c r="QID40" s="3327"/>
      <c r="QIE40" s="3327"/>
      <c r="QIF40" s="3327"/>
      <c r="QIG40" s="3327"/>
      <c r="QIH40" s="3327"/>
      <c r="QII40" s="3327"/>
      <c r="QIJ40" s="3327"/>
      <c r="QIK40" s="3327"/>
      <c r="QIL40" s="3327"/>
      <c r="QIM40" s="3327"/>
      <c r="QIN40" s="3327"/>
      <c r="QIO40" s="3327"/>
      <c r="QIP40" s="3327"/>
      <c r="QIQ40" s="3327"/>
      <c r="QIR40" s="3327"/>
      <c r="QIS40" s="3327"/>
      <c r="QIT40" s="3327"/>
      <c r="QIU40" s="3327"/>
      <c r="QIV40" s="3327"/>
      <c r="QIW40" s="3327"/>
      <c r="QIX40" s="3327"/>
      <c r="QIY40" s="3327"/>
      <c r="QIZ40" s="3327"/>
      <c r="QJA40" s="3327"/>
      <c r="QJB40" s="3327"/>
      <c r="QJC40" s="3327"/>
      <c r="QJD40" s="3327"/>
      <c r="QJE40" s="3327"/>
      <c r="QJF40" s="3327"/>
      <c r="QJG40" s="3327"/>
      <c r="QJH40" s="3327"/>
      <c r="QJI40" s="3327"/>
      <c r="QJJ40" s="3327"/>
      <c r="QJK40" s="3327"/>
      <c r="QJL40" s="3327"/>
      <c r="QJM40" s="3327"/>
      <c r="QJN40" s="3327"/>
      <c r="QJO40" s="3327"/>
      <c r="QJP40" s="3327"/>
      <c r="QJQ40" s="3327"/>
      <c r="QJR40" s="3327"/>
      <c r="QJS40" s="3327"/>
      <c r="QJT40" s="3327"/>
      <c r="QJU40" s="3327"/>
      <c r="QJV40" s="3327"/>
      <c r="QJW40" s="3327"/>
      <c r="QJX40" s="3327"/>
      <c r="QJY40" s="3327"/>
      <c r="QJZ40" s="3327"/>
      <c r="QKA40" s="3327"/>
      <c r="QKB40" s="3327"/>
      <c r="QKC40" s="3327"/>
      <c r="QKD40" s="3327"/>
      <c r="QKE40" s="3327"/>
      <c r="QKF40" s="3327"/>
      <c r="QKG40" s="3327"/>
      <c r="QKH40" s="3327"/>
      <c r="QKI40" s="3327"/>
      <c r="QKJ40" s="3327"/>
      <c r="QKK40" s="3327"/>
      <c r="QKL40" s="3327"/>
      <c r="QKM40" s="3327"/>
      <c r="QKN40" s="3327"/>
      <c r="QKO40" s="3327"/>
      <c r="QKP40" s="3327"/>
      <c r="QKQ40" s="3327"/>
      <c r="QKR40" s="3327"/>
      <c r="QKS40" s="3327"/>
      <c r="QKT40" s="3327"/>
      <c r="QKU40" s="3327"/>
      <c r="QKV40" s="3327"/>
      <c r="QKW40" s="3327"/>
      <c r="QKX40" s="3327"/>
      <c r="QKY40" s="3327"/>
      <c r="QKZ40" s="3327"/>
      <c r="QLA40" s="3327"/>
      <c r="QLB40" s="3327"/>
      <c r="QLC40" s="3327"/>
      <c r="QLD40" s="3327"/>
      <c r="QLE40" s="3327"/>
      <c r="QLF40" s="3327"/>
      <c r="QLG40" s="3327"/>
      <c r="QLH40" s="3327"/>
      <c r="QLI40" s="3327"/>
      <c r="QLJ40" s="3327"/>
      <c r="QLK40" s="3327"/>
      <c r="QLL40" s="3327"/>
      <c r="QLM40" s="3327"/>
      <c r="QLN40" s="3327"/>
      <c r="QLO40" s="3327"/>
      <c r="QLP40" s="3327"/>
      <c r="QLQ40" s="3327"/>
      <c r="QLR40" s="3327"/>
      <c r="QLS40" s="3327"/>
      <c r="QLT40" s="3327"/>
      <c r="QLU40" s="3327"/>
      <c r="QLV40" s="3327"/>
      <c r="QLW40" s="3327"/>
      <c r="QLX40" s="3327"/>
      <c r="QLY40" s="3327"/>
      <c r="QLZ40" s="3327"/>
      <c r="QMA40" s="3327"/>
      <c r="QMB40" s="3327"/>
      <c r="QMC40" s="3327"/>
      <c r="QMD40" s="3327"/>
      <c r="QME40" s="3327"/>
      <c r="QMF40" s="3327"/>
      <c r="QMG40" s="3327"/>
      <c r="QMH40" s="3327"/>
      <c r="QMI40" s="3327"/>
      <c r="QMJ40" s="3327"/>
      <c r="QMK40" s="3327"/>
      <c r="QML40" s="3327"/>
      <c r="QMM40" s="3327"/>
      <c r="QMN40" s="3327"/>
      <c r="QMO40" s="3327"/>
      <c r="QMP40" s="3327"/>
      <c r="QMQ40" s="3327"/>
      <c r="QMR40" s="3327"/>
      <c r="QMS40" s="3327"/>
      <c r="QMT40" s="3327"/>
      <c r="QMU40" s="3327"/>
      <c r="QMV40" s="3327"/>
      <c r="QMW40" s="3327"/>
      <c r="QMX40" s="3327"/>
      <c r="QMY40" s="3327"/>
      <c r="QMZ40" s="3327"/>
      <c r="QNA40" s="3327"/>
      <c r="QNB40" s="3327"/>
      <c r="QNC40" s="3327"/>
      <c r="QND40" s="3327"/>
      <c r="QNE40" s="3327"/>
      <c r="QNF40" s="3327"/>
      <c r="QNG40" s="3327"/>
      <c r="QNH40" s="3327"/>
      <c r="QNI40" s="3327"/>
      <c r="QNJ40" s="3327"/>
      <c r="QNK40" s="3327"/>
      <c r="QNL40" s="3327"/>
      <c r="QNM40" s="3327"/>
      <c r="QNN40" s="3327"/>
      <c r="QNO40" s="3327"/>
      <c r="QNP40" s="3327"/>
      <c r="QNQ40" s="3327"/>
      <c r="QNR40" s="3327"/>
      <c r="QNS40" s="3327"/>
      <c r="QNT40" s="3327"/>
      <c r="QNU40" s="3327"/>
      <c r="QNV40" s="3327"/>
      <c r="QNW40" s="3327"/>
      <c r="QNX40" s="3327"/>
      <c r="QNY40" s="3327"/>
      <c r="QNZ40" s="3327"/>
      <c r="QOA40" s="3327"/>
      <c r="QOB40" s="3327"/>
      <c r="QOC40" s="3327"/>
      <c r="QOD40" s="3327"/>
      <c r="QOE40" s="3327"/>
      <c r="QOF40" s="3327"/>
      <c r="QOG40" s="3327"/>
      <c r="QOH40" s="3327"/>
      <c r="QOI40" s="3327"/>
      <c r="QOJ40" s="3327"/>
      <c r="QOK40" s="3327"/>
      <c r="QOL40" s="3327"/>
      <c r="QOM40" s="3327"/>
      <c r="QON40" s="3327"/>
      <c r="QOO40" s="3327"/>
      <c r="QOP40" s="3327"/>
      <c r="QOQ40" s="3327"/>
      <c r="QOR40" s="3327"/>
      <c r="QOS40" s="3327"/>
      <c r="QOT40" s="3327"/>
      <c r="QOU40" s="3327"/>
      <c r="QOV40" s="3327"/>
      <c r="QOW40" s="3327"/>
      <c r="QOX40" s="3327"/>
      <c r="QOY40" s="3327"/>
      <c r="QOZ40" s="3327"/>
      <c r="QPA40" s="3327"/>
      <c r="QPB40" s="3327"/>
      <c r="QPC40" s="3327"/>
      <c r="QPD40" s="3327"/>
      <c r="QPE40" s="3327"/>
      <c r="QPF40" s="3327"/>
      <c r="QPG40" s="3327"/>
      <c r="QPH40" s="3327"/>
      <c r="QPI40" s="3327"/>
      <c r="QPJ40" s="3327"/>
      <c r="QPK40" s="3327"/>
      <c r="QPL40" s="3327"/>
      <c r="QPM40" s="3327"/>
      <c r="QPN40" s="3327"/>
      <c r="QPO40" s="3327"/>
      <c r="QPP40" s="3327"/>
      <c r="QPQ40" s="3327"/>
      <c r="QPR40" s="3327"/>
      <c r="QPS40" s="3327"/>
      <c r="QPT40" s="3327"/>
      <c r="QPU40" s="3327"/>
      <c r="QPV40" s="3327"/>
      <c r="QPW40" s="3327"/>
      <c r="QPX40" s="3327"/>
      <c r="QPY40" s="3327"/>
      <c r="QPZ40" s="3327"/>
      <c r="QQA40" s="3327"/>
      <c r="QQB40" s="3327"/>
      <c r="QQC40" s="3327"/>
      <c r="QQD40" s="3327"/>
      <c r="QQE40" s="3327"/>
      <c r="QQF40" s="3327"/>
      <c r="QQG40" s="3327"/>
      <c r="QQH40" s="3327"/>
      <c r="QQI40" s="3327"/>
      <c r="QQJ40" s="3327"/>
      <c r="QQK40" s="3327"/>
      <c r="QQL40" s="3327"/>
      <c r="QQM40" s="3327"/>
      <c r="QQN40" s="3327"/>
      <c r="QQO40" s="3327"/>
      <c r="QQP40" s="3327"/>
      <c r="QQQ40" s="3327"/>
      <c r="QQR40" s="3327"/>
      <c r="QQS40" s="3327"/>
      <c r="QQT40" s="3327"/>
      <c r="QQU40" s="3327"/>
      <c r="QQV40" s="3327"/>
      <c r="QQW40" s="3327"/>
      <c r="QQX40" s="3327"/>
      <c r="QQY40" s="3327"/>
      <c r="QQZ40" s="3327"/>
      <c r="QRA40" s="3327"/>
      <c r="QRB40" s="3327"/>
      <c r="QRC40" s="3327"/>
      <c r="QRD40" s="3327"/>
      <c r="QRE40" s="3327"/>
      <c r="QRF40" s="3327"/>
      <c r="QRG40" s="3327"/>
      <c r="QRH40" s="3327"/>
      <c r="QRI40" s="3327"/>
      <c r="QRJ40" s="3327"/>
      <c r="QRK40" s="3327"/>
      <c r="QRL40" s="3327"/>
      <c r="QRM40" s="3327"/>
      <c r="QRN40" s="3327"/>
      <c r="QRO40" s="3327"/>
      <c r="QRP40" s="3327"/>
      <c r="QRQ40" s="3327"/>
      <c r="QRR40" s="3327"/>
      <c r="QRS40" s="3327"/>
      <c r="QRT40" s="3327"/>
      <c r="QRU40" s="3327"/>
      <c r="QRV40" s="3327"/>
      <c r="QRW40" s="3327"/>
      <c r="QRX40" s="3327"/>
      <c r="QRY40" s="3327"/>
      <c r="QRZ40" s="3327"/>
      <c r="QSA40" s="3327"/>
      <c r="QSB40" s="3327"/>
      <c r="QSC40" s="3327"/>
      <c r="QSD40" s="3327"/>
      <c r="QSE40" s="3327"/>
      <c r="QSF40" s="3327"/>
      <c r="QSG40" s="3327"/>
      <c r="QSH40" s="3327"/>
      <c r="QSI40" s="3327"/>
      <c r="QSJ40" s="3327"/>
      <c r="QSK40" s="3327"/>
      <c r="QSL40" s="3327"/>
      <c r="QSM40" s="3327"/>
      <c r="QSN40" s="3327"/>
      <c r="QSO40" s="3327"/>
      <c r="QSP40" s="3327"/>
      <c r="QSQ40" s="3327"/>
      <c r="QSR40" s="3327"/>
      <c r="QSS40" s="3327"/>
      <c r="QST40" s="3327"/>
      <c r="QSU40" s="3327"/>
      <c r="QSV40" s="3327"/>
      <c r="QSW40" s="3327"/>
      <c r="QSX40" s="3327"/>
      <c r="QSY40" s="3327"/>
      <c r="QSZ40" s="3327"/>
      <c r="QTA40" s="3327"/>
      <c r="QTB40" s="3327"/>
      <c r="QTC40" s="3327"/>
      <c r="QTD40" s="3327"/>
      <c r="QTE40" s="3327"/>
      <c r="QTF40" s="3327"/>
      <c r="QTG40" s="3327"/>
      <c r="QTH40" s="3327"/>
      <c r="QTI40" s="3327"/>
      <c r="QTJ40" s="3327"/>
      <c r="QTK40" s="3327"/>
      <c r="QTL40" s="3327"/>
      <c r="QTM40" s="3327"/>
      <c r="QTN40" s="3327"/>
      <c r="QTO40" s="3327"/>
      <c r="QTP40" s="3327"/>
      <c r="QTQ40" s="3327"/>
      <c r="QTR40" s="3327"/>
      <c r="QTS40" s="3327"/>
      <c r="QTT40" s="3327"/>
      <c r="QTU40" s="3327"/>
      <c r="QTV40" s="3327"/>
      <c r="QTW40" s="3327"/>
      <c r="QTX40" s="3327"/>
      <c r="QTY40" s="3327"/>
      <c r="QTZ40" s="3327"/>
      <c r="QUA40" s="3327"/>
      <c r="QUB40" s="3327"/>
      <c r="QUC40" s="3327"/>
      <c r="QUD40" s="3327"/>
      <c r="QUE40" s="3327"/>
      <c r="QUF40" s="3327"/>
      <c r="QUG40" s="3327"/>
      <c r="QUH40" s="3327"/>
      <c r="QUI40" s="3327"/>
      <c r="QUJ40" s="3327"/>
      <c r="QUK40" s="3327"/>
      <c r="QUL40" s="3327"/>
      <c r="QUM40" s="3327"/>
      <c r="QUN40" s="3327"/>
      <c r="QUO40" s="3327"/>
      <c r="QUP40" s="3327"/>
      <c r="QUQ40" s="3327"/>
      <c r="QUR40" s="3327"/>
      <c r="QUS40" s="3327"/>
      <c r="QUT40" s="3327"/>
      <c r="QUU40" s="3327"/>
      <c r="QUV40" s="3327"/>
      <c r="QUW40" s="3327"/>
      <c r="QUX40" s="3327"/>
      <c r="QUY40" s="3327"/>
      <c r="QUZ40" s="3327"/>
      <c r="QVA40" s="3327"/>
      <c r="QVB40" s="3327"/>
      <c r="QVC40" s="3327"/>
      <c r="QVD40" s="3327"/>
      <c r="QVE40" s="3327"/>
      <c r="QVF40" s="3327"/>
      <c r="QVG40" s="3327"/>
      <c r="QVH40" s="3327"/>
      <c r="QVI40" s="3327"/>
      <c r="QVJ40" s="3327"/>
      <c r="QVK40" s="3327"/>
      <c r="QVL40" s="3327"/>
      <c r="QVM40" s="3327"/>
      <c r="QVN40" s="3327"/>
      <c r="QVO40" s="3327"/>
      <c r="QVP40" s="3327"/>
      <c r="QVQ40" s="3327"/>
      <c r="QVR40" s="3327"/>
      <c r="QVS40" s="3327"/>
      <c r="QVT40" s="3327"/>
      <c r="QVU40" s="3327"/>
      <c r="QVV40" s="3327"/>
      <c r="QVW40" s="3327"/>
      <c r="QVX40" s="3327"/>
      <c r="QVY40" s="3327"/>
      <c r="QVZ40" s="3327"/>
      <c r="QWA40" s="3327"/>
      <c r="QWB40" s="3327"/>
      <c r="QWC40" s="3327"/>
      <c r="QWD40" s="3327"/>
      <c r="QWE40" s="3327"/>
      <c r="QWF40" s="3327"/>
      <c r="QWG40" s="3327"/>
      <c r="QWH40" s="3327"/>
      <c r="QWI40" s="3327"/>
      <c r="QWJ40" s="3327"/>
      <c r="QWK40" s="3327"/>
      <c r="QWL40" s="3327"/>
      <c r="QWM40" s="3327"/>
      <c r="QWN40" s="3327"/>
      <c r="QWO40" s="3327"/>
      <c r="QWP40" s="3327"/>
      <c r="QWQ40" s="3327"/>
      <c r="QWR40" s="3327"/>
      <c r="QWS40" s="3327"/>
      <c r="QWT40" s="3327"/>
      <c r="QWU40" s="3327"/>
      <c r="QWV40" s="3327"/>
      <c r="QWW40" s="3327"/>
      <c r="QWX40" s="3327"/>
      <c r="QWY40" s="3327"/>
      <c r="QWZ40" s="3327"/>
      <c r="QXA40" s="3327"/>
      <c r="QXB40" s="3327"/>
      <c r="QXC40" s="3327"/>
      <c r="QXD40" s="3327"/>
      <c r="QXE40" s="3327"/>
      <c r="QXF40" s="3327"/>
      <c r="QXG40" s="3327"/>
      <c r="QXH40" s="3327"/>
      <c r="QXI40" s="3327"/>
      <c r="QXJ40" s="3327"/>
      <c r="QXK40" s="3327"/>
      <c r="QXL40" s="3327"/>
      <c r="QXM40" s="3327"/>
      <c r="QXN40" s="3327"/>
      <c r="QXO40" s="3327"/>
      <c r="QXP40" s="3327"/>
      <c r="QXQ40" s="3327"/>
      <c r="QXR40" s="3327"/>
      <c r="QXS40" s="3327"/>
      <c r="QXT40" s="3327"/>
      <c r="QXU40" s="3327"/>
      <c r="QXV40" s="3327"/>
      <c r="QXW40" s="3327"/>
      <c r="QXX40" s="3327"/>
      <c r="QXY40" s="3327"/>
      <c r="QXZ40" s="3327"/>
      <c r="QYA40" s="3327"/>
      <c r="QYB40" s="3327"/>
      <c r="QYC40" s="3327"/>
      <c r="QYD40" s="3327"/>
      <c r="QYE40" s="3327"/>
      <c r="QYF40" s="3327"/>
      <c r="QYG40" s="3327"/>
      <c r="QYH40" s="3327"/>
      <c r="QYI40" s="3327"/>
      <c r="QYJ40" s="3327"/>
      <c r="QYK40" s="3327"/>
      <c r="QYL40" s="3327"/>
      <c r="QYM40" s="3327"/>
      <c r="QYN40" s="3327"/>
      <c r="QYO40" s="3327"/>
      <c r="QYP40" s="3327"/>
      <c r="QYQ40" s="3327"/>
      <c r="QYR40" s="3327"/>
      <c r="QYS40" s="3327"/>
      <c r="QYT40" s="3327"/>
      <c r="QYU40" s="3327"/>
      <c r="QYV40" s="3327"/>
      <c r="QYW40" s="3327"/>
      <c r="QYX40" s="3327"/>
      <c r="QYY40" s="3327"/>
      <c r="QYZ40" s="3327"/>
      <c r="QZA40" s="3327"/>
      <c r="QZB40" s="3327"/>
      <c r="QZC40" s="3327"/>
      <c r="QZD40" s="3327"/>
      <c r="QZE40" s="3327"/>
      <c r="QZF40" s="3327"/>
      <c r="QZG40" s="3327"/>
      <c r="QZH40" s="3327"/>
      <c r="QZI40" s="3327"/>
      <c r="QZJ40" s="3327"/>
      <c r="QZK40" s="3327"/>
      <c r="QZL40" s="3327"/>
      <c r="QZM40" s="3327"/>
      <c r="QZN40" s="3327"/>
      <c r="QZO40" s="3327"/>
      <c r="QZP40" s="3327"/>
      <c r="QZQ40" s="3327"/>
      <c r="QZR40" s="3327"/>
      <c r="QZS40" s="3327"/>
      <c r="QZT40" s="3327"/>
      <c r="QZU40" s="3327"/>
      <c r="QZV40" s="3327"/>
      <c r="QZW40" s="3327"/>
      <c r="QZX40" s="3327"/>
      <c r="QZY40" s="3327"/>
      <c r="QZZ40" s="3327"/>
      <c r="RAA40" s="3327"/>
      <c r="RAB40" s="3327"/>
      <c r="RAC40" s="3327"/>
      <c r="RAD40" s="3327"/>
      <c r="RAE40" s="3327"/>
      <c r="RAF40" s="3327"/>
      <c r="RAG40" s="3327"/>
      <c r="RAH40" s="3327"/>
      <c r="RAI40" s="3327"/>
      <c r="RAJ40" s="3327"/>
      <c r="RAK40" s="3327"/>
      <c r="RAL40" s="3327"/>
      <c r="RAM40" s="3327"/>
      <c r="RAN40" s="3327"/>
      <c r="RAO40" s="3327"/>
      <c r="RAP40" s="3327"/>
      <c r="RAQ40" s="3327"/>
      <c r="RAR40" s="3327"/>
      <c r="RAS40" s="3327"/>
      <c r="RAT40" s="3327"/>
      <c r="RAU40" s="3327"/>
      <c r="RAV40" s="3327"/>
      <c r="RAW40" s="3327"/>
      <c r="RAX40" s="3327"/>
      <c r="RAY40" s="3327"/>
      <c r="RAZ40" s="3327"/>
      <c r="RBA40" s="3327"/>
      <c r="RBB40" s="3327"/>
      <c r="RBC40" s="3327"/>
      <c r="RBD40" s="3327"/>
      <c r="RBE40" s="3327"/>
      <c r="RBF40" s="3327"/>
      <c r="RBG40" s="3327"/>
      <c r="RBH40" s="3327"/>
      <c r="RBI40" s="3327"/>
      <c r="RBJ40" s="3327"/>
      <c r="RBK40" s="3327"/>
      <c r="RBL40" s="3327"/>
      <c r="RBM40" s="3327"/>
      <c r="RBN40" s="3327"/>
      <c r="RBO40" s="3327"/>
      <c r="RBP40" s="3327"/>
      <c r="RBQ40" s="3327"/>
      <c r="RBR40" s="3327"/>
      <c r="RBS40" s="3327"/>
      <c r="RBT40" s="3327"/>
      <c r="RBU40" s="3327"/>
      <c r="RBV40" s="3327"/>
      <c r="RBW40" s="3327"/>
      <c r="RBX40" s="3327"/>
      <c r="RBY40" s="3327"/>
      <c r="RBZ40" s="3327"/>
      <c r="RCA40" s="3327"/>
      <c r="RCB40" s="3327"/>
      <c r="RCC40" s="3327"/>
      <c r="RCD40" s="3327"/>
      <c r="RCE40" s="3327"/>
      <c r="RCF40" s="3327"/>
      <c r="RCG40" s="3327"/>
      <c r="RCH40" s="3327"/>
      <c r="RCI40" s="3327"/>
      <c r="RCJ40" s="3327"/>
      <c r="RCK40" s="3327"/>
      <c r="RCL40" s="3327"/>
      <c r="RCM40" s="3327"/>
      <c r="RCN40" s="3327"/>
      <c r="RCO40" s="3327"/>
      <c r="RCP40" s="3327"/>
      <c r="RCQ40" s="3327"/>
      <c r="RCR40" s="3327"/>
      <c r="RCS40" s="3327"/>
      <c r="RCT40" s="3327"/>
      <c r="RCU40" s="3327"/>
      <c r="RCV40" s="3327"/>
      <c r="RCW40" s="3327"/>
      <c r="RCX40" s="3327"/>
      <c r="RCY40" s="3327"/>
      <c r="RCZ40" s="3327"/>
      <c r="RDA40" s="3327"/>
      <c r="RDB40" s="3327"/>
      <c r="RDC40" s="3327"/>
      <c r="RDD40" s="3327"/>
      <c r="RDE40" s="3327"/>
      <c r="RDF40" s="3327"/>
      <c r="RDG40" s="3327"/>
      <c r="RDH40" s="3327"/>
      <c r="RDI40" s="3327"/>
      <c r="RDJ40" s="3327"/>
      <c r="RDK40" s="3327"/>
      <c r="RDL40" s="3327"/>
      <c r="RDM40" s="3327"/>
      <c r="RDN40" s="3327"/>
      <c r="RDO40" s="3327"/>
      <c r="RDP40" s="3327"/>
      <c r="RDQ40" s="3327"/>
      <c r="RDR40" s="3327"/>
      <c r="RDS40" s="3327"/>
      <c r="RDT40" s="3327"/>
      <c r="RDU40" s="3327"/>
      <c r="RDV40" s="3327"/>
      <c r="RDW40" s="3327"/>
      <c r="RDX40" s="3327"/>
      <c r="RDY40" s="3327"/>
      <c r="RDZ40" s="3327"/>
      <c r="REA40" s="3327"/>
      <c r="REB40" s="3327"/>
      <c r="REC40" s="3327"/>
      <c r="RED40" s="3327"/>
      <c r="REE40" s="3327"/>
      <c r="REF40" s="3327"/>
      <c r="REG40" s="3327"/>
      <c r="REH40" s="3327"/>
      <c r="REI40" s="3327"/>
      <c r="REJ40" s="3327"/>
      <c r="REK40" s="3327"/>
      <c r="REL40" s="3327"/>
      <c r="REM40" s="3327"/>
      <c r="REN40" s="3327"/>
      <c r="REO40" s="3327"/>
      <c r="REP40" s="3327"/>
      <c r="REQ40" s="3327"/>
      <c r="RER40" s="3327"/>
      <c r="RES40" s="3327"/>
      <c r="RET40" s="3327"/>
      <c r="REU40" s="3327"/>
      <c r="REV40" s="3327"/>
      <c r="REW40" s="3327"/>
      <c r="REX40" s="3327"/>
      <c r="REY40" s="3327"/>
      <c r="REZ40" s="3327"/>
      <c r="RFA40" s="3327"/>
      <c r="RFB40" s="3327"/>
      <c r="RFC40" s="3327"/>
      <c r="RFD40" s="3327"/>
      <c r="RFE40" s="3327"/>
      <c r="RFF40" s="3327"/>
      <c r="RFG40" s="3327"/>
      <c r="RFH40" s="3327"/>
      <c r="RFI40" s="3327"/>
      <c r="RFJ40" s="3327"/>
      <c r="RFK40" s="3327"/>
      <c r="RFL40" s="3327"/>
      <c r="RFM40" s="3327"/>
      <c r="RFN40" s="3327"/>
      <c r="RFO40" s="3327"/>
      <c r="RFP40" s="3327"/>
      <c r="RFQ40" s="3327"/>
      <c r="RFR40" s="3327"/>
      <c r="RFS40" s="3327"/>
      <c r="RFT40" s="3327"/>
      <c r="RFU40" s="3327"/>
      <c r="RFV40" s="3327"/>
      <c r="RFW40" s="3327"/>
      <c r="RFX40" s="3327"/>
      <c r="RFY40" s="3327"/>
      <c r="RFZ40" s="3327"/>
      <c r="RGA40" s="3327"/>
      <c r="RGB40" s="3327"/>
      <c r="RGC40" s="3327"/>
      <c r="RGD40" s="3327"/>
      <c r="RGE40" s="3327"/>
      <c r="RGF40" s="3327"/>
      <c r="RGG40" s="3327"/>
      <c r="RGH40" s="3327"/>
      <c r="RGI40" s="3327"/>
      <c r="RGJ40" s="3327"/>
      <c r="RGK40" s="3327"/>
      <c r="RGL40" s="3327"/>
      <c r="RGM40" s="3327"/>
      <c r="RGN40" s="3327"/>
      <c r="RGO40" s="3327"/>
      <c r="RGP40" s="3327"/>
      <c r="RGQ40" s="3327"/>
      <c r="RGR40" s="3327"/>
      <c r="RGS40" s="3327"/>
      <c r="RGT40" s="3327"/>
      <c r="RGU40" s="3327"/>
      <c r="RGV40" s="3327"/>
      <c r="RGW40" s="3327"/>
      <c r="RGX40" s="3327"/>
      <c r="RGY40" s="3327"/>
      <c r="RGZ40" s="3327"/>
      <c r="RHA40" s="3327"/>
      <c r="RHB40" s="3327"/>
      <c r="RHC40" s="3327"/>
      <c r="RHD40" s="3327"/>
      <c r="RHE40" s="3327"/>
      <c r="RHF40" s="3327"/>
      <c r="RHG40" s="3327"/>
      <c r="RHH40" s="3327"/>
      <c r="RHI40" s="3327"/>
      <c r="RHJ40" s="3327"/>
      <c r="RHK40" s="3327"/>
      <c r="RHL40" s="3327"/>
      <c r="RHM40" s="3327"/>
      <c r="RHN40" s="3327"/>
      <c r="RHO40" s="3327"/>
      <c r="RHP40" s="3327"/>
      <c r="RHQ40" s="3327"/>
      <c r="RHR40" s="3327"/>
      <c r="RHS40" s="3327"/>
      <c r="RHT40" s="3327"/>
      <c r="RHU40" s="3327"/>
      <c r="RHV40" s="3327"/>
      <c r="RHW40" s="3327"/>
      <c r="RHX40" s="3327"/>
      <c r="RHY40" s="3327"/>
      <c r="RHZ40" s="3327"/>
      <c r="RIA40" s="3327"/>
      <c r="RIB40" s="3327"/>
      <c r="RIC40" s="3327"/>
      <c r="RID40" s="3327"/>
      <c r="RIE40" s="3327"/>
      <c r="RIF40" s="3327"/>
      <c r="RIG40" s="3327"/>
      <c r="RIH40" s="3327"/>
      <c r="RII40" s="3327"/>
      <c r="RIJ40" s="3327"/>
      <c r="RIK40" s="3327"/>
      <c r="RIL40" s="3327"/>
      <c r="RIM40" s="3327"/>
      <c r="RIN40" s="3327"/>
      <c r="RIO40" s="3327"/>
      <c r="RIP40" s="3327"/>
      <c r="RIQ40" s="3327"/>
      <c r="RIR40" s="3327"/>
      <c r="RIS40" s="3327"/>
      <c r="RIT40" s="3327"/>
      <c r="RIU40" s="3327"/>
      <c r="RIV40" s="3327"/>
      <c r="RIW40" s="3327"/>
      <c r="RIX40" s="3327"/>
      <c r="RIY40" s="3327"/>
      <c r="RIZ40" s="3327"/>
      <c r="RJA40" s="3327"/>
      <c r="RJB40" s="3327"/>
      <c r="RJC40" s="3327"/>
      <c r="RJD40" s="3327"/>
      <c r="RJE40" s="3327"/>
      <c r="RJF40" s="3327"/>
      <c r="RJG40" s="3327"/>
      <c r="RJH40" s="3327"/>
      <c r="RJI40" s="3327"/>
      <c r="RJJ40" s="3327"/>
      <c r="RJK40" s="3327"/>
      <c r="RJL40" s="3327"/>
      <c r="RJM40" s="3327"/>
      <c r="RJN40" s="3327"/>
      <c r="RJO40" s="3327"/>
      <c r="RJP40" s="3327"/>
      <c r="RJQ40" s="3327"/>
      <c r="RJR40" s="3327"/>
      <c r="RJS40" s="3327"/>
      <c r="RJT40" s="3327"/>
      <c r="RJU40" s="3327"/>
      <c r="RJV40" s="3327"/>
      <c r="RJW40" s="3327"/>
      <c r="RJX40" s="3327"/>
      <c r="RJY40" s="3327"/>
      <c r="RJZ40" s="3327"/>
      <c r="RKA40" s="3327"/>
      <c r="RKB40" s="3327"/>
      <c r="RKC40" s="3327"/>
      <c r="RKD40" s="3327"/>
      <c r="RKE40" s="3327"/>
      <c r="RKF40" s="3327"/>
      <c r="RKG40" s="3327"/>
      <c r="RKH40" s="3327"/>
      <c r="RKI40" s="3327"/>
      <c r="RKJ40" s="3327"/>
      <c r="RKK40" s="3327"/>
      <c r="RKL40" s="3327"/>
      <c r="RKM40" s="3327"/>
      <c r="RKN40" s="3327"/>
      <c r="RKO40" s="3327"/>
      <c r="RKP40" s="3327"/>
      <c r="RKQ40" s="3327"/>
      <c r="RKR40" s="3327"/>
      <c r="RKS40" s="3327"/>
      <c r="RKT40" s="3327"/>
      <c r="RKU40" s="3327"/>
      <c r="RKV40" s="3327"/>
      <c r="RKW40" s="3327"/>
      <c r="RKX40" s="3327"/>
      <c r="RKY40" s="3327"/>
      <c r="RKZ40" s="3327"/>
      <c r="RLA40" s="3327"/>
      <c r="RLB40" s="3327"/>
      <c r="RLC40" s="3327"/>
      <c r="RLD40" s="3327"/>
      <c r="RLE40" s="3327"/>
      <c r="RLF40" s="3327"/>
      <c r="RLG40" s="3327"/>
      <c r="RLH40" s="3327"/>
      <c r="RLI40" s="3327"/>
      <c r="RLJ40" s="3327"/>
      <c r="RLK40" s="3327"/>
      <c r="RLL40" s="3327"/>
      <c r="RLM40" s="3327"/>
      <c r="RLN40" s="3327"/>
      <c r="RLO40" s="3327"/>
      <c r="RLP40" s="3327"/>
      <c r="RLQ40" s="3327"/>
      <c r="RLR40" s="3327"/>
      <c r="RLS40" s="3327"/>
      <c r="RLT40" s="3327"/>
      <c r="RLU40" s="3327"/>
      <c r="RLV40" s="3327"/>
      <c r="RLW40" s="3327"/>
      <c r="RLX40" s="3327"/>
      <c r="RLY40" s="3327"/>
      <c r="RLZ40" s="3327"/>
      <c r="RMA40" s="3327"/>
      <c r="RMB40" s="3327"/>
      <c r="RMC40" s="3327"/>
      <c r="RMD40" s="3327"/>
      <c r="RME40" s="3327"/>
      <c r="RMF40" s="3327"/>
      <c r="RMG40" s="3327"/>
      <c r="RMH40" s="3327"/>
      <c r="RMI40" s="3327"/>
      <c r="RMJ40" s="3327"/>
      <c r="RMK40" s="3327"/>
      <c r="RML40" s="3327"/>
      <c r="RMM40" s="3327"/>
      <c r="RMN40" s="3327"/>
      <c r="RMO40" s="3327"/>
      <c r="RMP40" s="3327"/>
      <c r="RMQ40" s="3327"/>
      <c r="RMR40" s="3327"/>
      <c r="RMS40" s="3327"/>
      <c r="RMT40" s="3327"/>
      <c r="RMU40" s="3327"/>
      <c r="RMV40" s="3327"/>
      <c r="RMW40" s="3327"/>
      <c r="RMX40" s="3327"/>
      <c r="RMY40" s="3327"/>
      <c r="RMZ40" s="3327"/>
      <c r="RNA40" s="3327"/>
      <c r="RNB40" s="3327"/>
      <c r="RNC40" s="3327"/>
      <c r="RND40" s="3327"/>
      <c r="RNE40" s="3327"/>
      <c r="RNF40" s="3327"/>
      <c r="RNG40" s="3327"/>
      <c r="RNH40" s="3327"/>
      <c r="RNI40" s="3327"/>
      <c r="RNJ40" s="3327"/>
      <c r="RNK40" s="3327"/>
      <c r="RNL40" s="3327"/>
      <c r="RNM40" s="3327"/>
      <c r="RNN40" s="3327"/>
      <c r="RNO40" s="3327"/>
      <c r="RNP40" s="3327"/>
      <c r="RNQ40" s="3327"/>
      <c r="RNR40" s="3327"/>
      <c r="RNS40" s="3327"/>
      <c r="RNT40" s="3327"/>
      <c r="RNU40" s="3327"/>
      <c r="RNV40" s="3327"/>
      <c r="RNW40" s="3327"/>
      <c r="RNX40" s="3327"/>
      <c r="RNY40" s="3327"/>
      <c r="RNZ40" s="3327"/>
      <c r="ROA40" s="3327"/>
      <c r="ROB40" s="3327"/>
      <c r="ROC40" s="3327"/>
      <c r="ROD40" s="3327"/>
      <c r="ROE40" s="3327"/>
      <c r="ROF40" s="3327"/>
      <c r="ROG40" s="3327"/>
      <c r="ROH40" s="3327"/>
      <c r="ROI40" s="3327"/>
      <c r="ROJ40" s="3327"/>
      <c r="ROK40" s="3327"/>
      <c r="ROL40" s="3327"/>
      <c r="ROM40" s="3327"/>
      <c r="RON40" s="3327"/>
      <c r="ROO40" s="3327"/>
      <c r="ROP40" s="3327"/>
      <c r="ROQ40" s="3327"/>
      <c r="ROR40" s="3327"/>
      <c r="ROS40" s="3327"/>
      <c r="ROT40" s="3327"/>
      <c r="ROU40" s="3327"/>
      <c r="ROV40" s="3327"/>
      <c r="ROW40" s="3327"/>
      <c r="ROX40" s="3327"/>
      <c r="ROY40" s="3327"/>
      <c r="ROZ40" s="3327"/>
      <c r="RPA40" s="3327"/>
      <c r="RPB40" s="3327"/>
      <c r="RPC40" s="3327"/>
      <c r="RPD40" s="3327"/>
      <c r="RPE40" s="3327"/>
      <c r="RPF40" s="3327"/>
      <c r="RPG40" s="3327"/>
      <c r="RPH40" s="3327"/>
      <c r="RPI40" s="3327"/>
      <c r="RPJ40" s="3327"/>
      <c r="RPK40" s="3327"/>
      <c r="RPL40" s="3327"/>
      <c r="RPM40" s="3327"/>
      <c r="RPN40" s="3327"/>
      <c r="RPO40" s="3327"/>
      <c r="RPP40" s="3327"/>
      <c r="RPQ40" s="3327"/>
      <c r="RPR40" s="3327"/>
      <c r="RPS40" s="3327"/>
      <c r="RPT40" s="3327"/>
      <c r="RPU40" s="3327"/>
      <c r="RPV40" s="3327"/>
      <c r="RPW40" s="3327"/>
      <c r="RPX40" s="3327"/>
      <c r="RPY40" s="3327"/>
      <c r="RPZ40" s="3327"/>
      <c r="RQA40" s="3327"/>
      <c r="RQB40" s="3327"/>
      <c r="RQC40" s="3327"/>
      <c r="RQD40" s="3327"/>
      <c r="RQE40" s="3327"/>
      <c r="RQF40" s="3327"/>
      <c r="RQG40" s="3327"/>
      <c r="RQH40" s="3327"/>
      <c r="RQI40" s="3327"/>
      <c r="RQJ40" s="3327"/>
      <c r="RQK40" s="3327"/>
      <c r="RQL40" s="3327"/>
      <c r="RQM40" s="3327"/>
      <c r="RQN40" s="3327"/>
      <c r="RQO40" s="3327"/>
      <c r="RQP40" s="3327"/>
      <c r="RQQ40" s="3327"/>
      <c r="RQR40" s="3327"/>
      <c r="RQS40" s="3327"/>
      <c r="RQT40" s="3327"/>
      <c r="RQU40" s="3327"/>
      <c r="RQV40" s="3327"/>
      <c r="RQW40" s="3327"/>
      <c r="RQX40" s="3327"/>
      <c r="RQY40" s="3327"/>
      <c r="RQZ40" s="3327"/>
      <c r="RRA40" s="3327"/>
      <c r="RRB40" s="3327"/>
      <c r="RRC40" s="3327"/>
      <c r="RRD40" s="3327"/>
      <c r="RRE40" s="3327"/>
      <c r="RRF40" s="3327"/>
      <c r="RRG40" s="3327"/>
      <c r="RRH40" s="3327"/>
      <c r="RRI40" s="3327"/>
      <c r="RRJ40" s="3327"/>
      <c r="RRK40" s="3327"/>
      <c r="RRL40" s="3327"/>
      <c r="RRM40" s="3327"/>
      <c r="RRN40" s="3327"/>
      <c r="RRO40" s="3327"/>
      <c r="RRP40" s="3327"/>
      <c r="RRQ40" s="3327"/>
      <c r="RRR40" s="3327"/>
      <c r="RRS40" s="3327"/>
      <c r="RRT40" s="3327"/>
      <c r="RRU40" s="3327"/>
      <c r="RRV40" s="3327"/>
      <c r="RRW40" s="3327"/>
      <c r="RRX40" s="3327"/>
      <c r="RRY40" s="3327"/>
      <c r="RRZ40" s="3327"/>
      <c r="RSA40" s="3327"/>
      <c r="RSB40" s="3327"/>
      <c r="RSC40" s="3327"/>
      <c r="RSD40" s="3327"/>
      <c r="RSE40" s="3327"/>
      <c r="RSF40" s="3327"/>
      <c r="RSG40" s="3327"/>
      <c r="RSH40" s="3327"/>
      <c r="RSI40" s="3327"/>
      <c r="RSJ40" s="3327"/>
      <c r="RSK40" s="3327"/>
      <c r="RSL40" s="3327"/>
      <c r="RSM40" s="3327"/>
      <c r="RSN40" s="3327"/>
      <c r="RSO40" s="3327"/>
      <c r="RSP40" s="3327"/>
      <c r="RSQ40" s="3327"/>
      <c r="RSR40" s="3327"/>
      <c r="RSS40" s="3327"/>
      <c r="RST40" s="3327"/>
      <c r="RSU40" s="3327"/>
      <c r="RSV40" s="3327"/>
      <c r="RSW40" s="3327"/>
      <c r="RSX40" s="3327"/>
      <c r="RSY40" s="3327"/>
      <c r="RSZ40" s="3327"/>
      <c r="RTA40" s="3327"/>
      <c r="RTB40" s="3327"/>
      <c r="RTC40" s="3327"/>
      <c r="RTD40" s="3327"/>
      <c r="RTE40" s="3327"/>
      <c r="RTF40" s="3327"/>
      <c r="RTG40" s="3327"/>
      <c r="RTH40" s="3327"/>
      <c r="RTI40" s="3327"/>
      <c r="RTJ40" s="3327"/>
      <c r="RTK40" s="3327"/>
      <c r="RTL40" s="3327"/>
      <c r="RTM40" s="3327"/>
      <c r="RTN40" s="3327"/>
      <c r="RTO40" s="3327"/>
      <c r="RTP40" s="3327"/>
      <c r="RTQ40" s="3327"/>
      <c r="RTR40" s="3327"/>
      <c r="RTS40" s="3327"/>
      <c r="RTT40" s="3327"/>
      <c r="RTU40" s="3327"/>
      <c r="RTV40" s="3327"/>
      <c r="RTW40" s="3327"/>
      <c r="RTX40" s="3327"/>
      <c r="RTY40" s="3327"/>
      <c r="RTZ40" s="3327"/>
      <c r="RUA40" s="3327"/>
      <c r="RUB40" s="3327"/>
      <c r="RUC40" s="3327"/>
      <c r="RUD40" s="3327"/>
      <c r="RUE40" s="3327"/>
      <c r="RUF40" s="3327"/>
      <c r="RUG40" s="3327"/>
      <c r="RUH40" s="3327"/>
      <c r="RUI40" s="3327"/>
      <c r="RUJ40" s="3327"/>
      <c r="RUK40" s="3327"/>
      <c r="RUL40" s="3327"/>
      <c r="RUM40" s="3327"/>
      <c r="RUN40" s="3327"/>
      <c r="RUO40" s="3327"/>
      <c r="RUP40" s="3327"/>
      <c r="RUQ40" s="3327"/>
      <c r="RUR40" s="3327"/>
      <c r="RUS40" s="3327"/>
      <c r="RUT40" s="3327"/>
      <c r="RUU40" s="3327"/>
      <c r="RUV40" s="3327"/>
      <c r="RUW40" s="3327"/>
      <c r="RUX40" s="3327"/>
      <c r="RUY40" s="3327"/>
      <c r="RUZ40" s="3327"/>
      <c r="RVA40" s="3327"/>
      <c r="RVB40" s="3327"/>
      <c r="RVC40" s="3327"/>
      <c r="RVD40" s="3327"/>
      <c r="RVE40" s="3327"/>
      <c r="RVF40" s="3327"/>
      <c r="RVG40" s="3327"/>
      <c r="RVH40" s="3327"/>
      <c r="RVI40" s="3327"/>
      <c r="RVJ40" s="3327"/>
      <c r="RVK40" s="3327"/>
      <c r="RVL40" s="3327"/>
      <c r="RVM40" s="3327"/>
      <c r="RVN40" s="3327"/>
      <c r="RVO40" s="3327"/>
      <c r="RVP40" s="3327"/>
      <c r="RVQ40" s="3327"/>
      <c r="RVR40" s="3327"/>
      <c r="RVS40" s="3327"/>
      <c r="RVT40" s="3327"/>
      <c r="RVU40" s="3327"/>
      <c r="RVV40" s="3327"/>
      <c r="RVW40" s="3327"/>
      <c r="RVX40" s="3327"/>
      <c r="RVY40" s="3327"/>
      <c r="RVZ40" s="3327"/>
      <c r="RWA40" s="3327"/>
      <c r="RWB40" s="3327"/>
      <c r="RWC40" s="3327"/>
      <c r="RWD40" s="3327"/>
      <c r="RWE40" s="3327"/>
      <c r="RWF40" s="3327"/>
      <c r="RWG40" s="3327"/>
      <c r="RWH40" s="3327"/>
      <c r="RWI40" s="3327"/>
      <c r="RWJ40" s="3327"/>
      <c r="RWK40" s="3327"/>
      <c r="RWL40" s="3327"/>
      <c r="RWM40" s="3327"/>
      <c r="RWN40" s="3327"/>
      <c r="RWO40" s="3327"/>
      <c r="RWP40" s="3327"/>
      <c r="RWQ40" s="3327"/>
      <c r="RWR40" s="3327"/>
      <c r="RWS40" s="3327"/>
      <c r="RWT40" s="3327"/>
      <c r="RWU40" s="3327"/>
      <c r="RWV40" s="3327"/>
      <c r="RWW40" s="3327"/>
      <c r="RWX40" s="3327"/>
      <c r="RWY40" s="3327"/>
      <c r="RWZ40" s="3327"/>
      <c r="RXA40" s="3327"/>
      <c r="RXB40" s="3327"/>
      <c r="RXC40" s="3327"/>
      <c r="RXD40" s="3327"/>
      <c r="RXE40" s="3327"/>
      <c r="RXF40" s="3327"/>
      <c r="RXG40" s="3327"/>
      <c r="RXH40" s="3327"/>
      <c r="RXI40" s="3327"/>
      <c r="RXJ40" s="3327"/>
      <c r="RXK40" s="3327"/>
      <c r="RXL40" s="3327"/>
      <c r="RXM40" s="3327"/>
      <c r="RXN40" s="3327"/>
      <c r="RXO40" s="3327"/>
      <c r="RXP40" s="3327"/>
      <c r="RXQ40" s="3327"/>
      <c r="RXR40" s="3327"/>
      <c r="RXS40" s="3327"/>
      <c r="RXT40" s="3327"/>
      <c r="RXU40" s="3327"/>
      <c r="RXV40" s="3327"/>
      <c r="RXW40" s="3327"/>
      <c r="RXX40" s="3327"/>
      <c r="RXY40" s="3327"/>
      <c r="RXZ40" s="3327"/>
      <c r="RYA40" s="3327"/>
      <c r="RYB40" s="3327"/>
      <c r="RYC40" s="3327"/>
      <c r="RYD40" s="3327"/>
      <c r="RYE40" s="3327"/>
      <c r="RYF40" s="3327"/>
      <c r="RYG40" s="3327"/>
      <c r="RYH40" s="3327"/>
      <c r="RYI40" s="3327"/>
      <c r="RYJ40" s="3327"/>
      <c r="RYK40" s="3327"/>
      <c r="RYL40" s="3327"/>
      <c r="RYM40" s="3327"/>
      <c r="RYN40" s="3327"/>
      <c r="RYO40" s="3327"/>
      <c r="RYP40" s="3327"/>
      <c r="RYQ40" s="3327"/>
      <c r="RYR40" s="3327"/>
      <c r="RYS40" s="3327"/>
      <c r="RYT40" s="3327"/>
      <c r="RYU40" s="3327"/>
      <c r="RYV40" s="3327"/>
      <c r="RYW40" s="3327"/>
      <c r="RYX40" s="3327"/>
      <c r="RYY40" s="3327"/>
      <c r="RYZ40" s="3327"/>
      <c r="RZA40" s="3327"/>
      <c r="RZB40" s="3327"/>
      <c r="RZC40" s="3327"/>
      <c r="RZD40" s="3327"/>
      <c r="RZE40" s="3327"/>
      <c r="RZF40" s="3327"/>
      <c r="RZG40" s="3327"/>
      <c r="RZH40" s="3327"/>
      <c r="RZI40" s="3327"/>
      <c r="RZJ40" s="3327"/>
      <c r="RZK40" s="3327"/>
      <c r="RZL40" s="3327"/>
      <c r="RZM40" s="3327"/>
      <c r="RZN40" s="3327"/>
      <c r="RZO40" s="3327"/>
      <c r="RZP40" s="3327"/>
      <c r="RZQ40" s="3327"/>
      <c r="RZR40" s="3327"/>
      <c r="RZS40" s="3327"/>
      <c r="RZT40" s="3327"/>
      <c r="RZU40" s="3327"/>
      <c r="RZV40" s="3327"/>
      <c r="RZW40" s="3327"/>
      <c r="RZX40" s="3327"/>
      <c r="RZY40" s="3327"/>
      <c r="RZZ40" s="3327"/>
      <c r="SAA40" s="3327"/>
      <c r="SAB40" s="3327"/>
      <c r="SAC40" s="3327"/>
      <c r="SAD40" s="3327"/>
      <c r="SAE40" s="3327"/>
      <c r="SAF40" s="3327"/>
      <c r="SAG40" s="3327"/>
      <c r="SAH40" s="3327"/>
      <c r="SAI40" s="3327"/>
      <c r="SAJ40" s="3327"/>
      <c r="SAK40" s="3327"/>
      <c r="SAL40" s="3327"/>
      <c r="SAM40" s="3327"/>
      <c r="SAN40" s="3327"/>
      <c r="SAO40" s="3327"/>
      <c r="SAP40" s="3327"/>
      <c r="SAQ40" s="3327"/>
      <c r="SAR40" s="3327"/>
      <c r="SAS40" s="3327"/>
      <c r="SAT40" s="3327"/>
      <c r="SAU40" s="3327"/>
      <c r="SAV40" s="3327"/>
      <c r="SAW40" s="3327"/>
      <c r="SAX40" s="3327"/>
      <c r="SAY40" s="3327"/>
      <c r="SAZ40" s="3327"/>
      <c r="SBA40" s="3327"/>
      <c r="SBB40" s="3327"/>
      <c r="SBC40" s="3327"/>
      <c r="SBD40" s="3327"/>
      <c r="SBE40" s="3327"/>
      <c r="SBF40" s="3327"/>
      <c r="SBG40" s="3327"/>
      <c r="SBH40" s="3327"/>
      <c r="SBI40" s="3327"/>
      <c r="SBJ40" s="3327"/>
      <c r="SBK40" s="3327"/>
      <c r="SBL40" s="3327"/>
      <c r="SBM40" s="3327"/>
      <c r="SBN40" s="3327"/>
      <c r="SBO40" s="3327"/>
      <c r="SBP40" s="3327"/>
      <c r="SBQ40" s="3327"/>
      <c r="SBR40" s="3327"/>
      <c r="SBS40" s="3327"/>
      <c r="SBT40" s="3327"/>
      <c r="SBU40" s="3327"/>
      <c r="SBV40" s="3327"/>
      <c r="SBW40" s="3327"/>
      <c r="SBX40" s="3327"/>
      <c r="SBY40" s="3327"/>
      <c r="SBZ40" s="3327"/>
      <c r="SCA40" s="3327"/>
      <c r="SCB40" s="3327"/>
      <c r="SCC40" s="3327"/>
      <c r="SCD40" s="3327"/>
      <c r="SCE40" s="3327"/>
      <c r="SCF40" s="3327"/>
      <c r="SCG40" s="3327"/>
      <c r="SCH40" s="3327"/>
      <c r="SCI40" s="3327"/>
      <c r="SCJ40" s="3327"/>
      <c r="SCK40" s="3327"/>
      <c r="SCL40" s="3327"/>
      <c r="SCM40" s="3327"/>
      <c r="SCN40" s="3327"/>
      <c r="SCO40" s="3327"/>
      <c r="SCP40" s="3327"/>
      <c r="SCQ40" s="3327"/>
      <c r="SCR40" s="3327"/>
      <c r="SCS40" s="3327"/>
      <c r="SCT40" s="3327"/>
      <c r="SCU40" s="3327"/>
      <c r="SCV40" s="3327"/>
      <c r="SCW40" s="3327"/>
      <c r="SCX40" s="3327"/>
      <c r="SCY40" s="3327"/>
      <c r="SCZ40" s="3327"/>
      <c r="SDA40" s="3327"/>
      <c r="SDB40" s="3327"/>
      <c r="SDC40" s="3327"/>
      <c r="SDD40" s="3327"/>
      <c r="SDE40" s="3327"/>
      <c r="SDF40" s="3327"/>
      <c r="SDG40" s="3327"/>
      <c r="SDH40" s="3327"/>
      <c r="SDI40" s="3327"/>
      <c r="SDJ40" s="3327"/>
      <c r="SDK40" s="3327"/>
      <c r="SDL40" s="3327"/>
      <c r="SDM40" s="3327"/>
      <c r="SDN40" s="3327"/>
      <c r="SDO40" s="3327"/>
      <c r="SDP40" s="3327"/>
      <c r="SDQ40" s="3327"/>
      <c r="SDR40" s="3327"/>
      <c r="SDS40" s="3327"/>
      <c r="SDT40" s="3327"/>
      <c r="SDU40" s="3327"/>
      <c r="SDV40" s="3327"/>
      <c r="SDW40" s="3327"/>
      <c r="SDX40" s="3327"/>
      <c r="SDY40" s="3327"/>
      <c r="SDZ40" s="3327"/>
      <c r="SEA40" s="3327"/>
      <c r="SEB40" s="3327"/>
      <c r="SEC40" s="3327"/>
      <c r="SED40" s="3327"/>
      <c r="SEE40" s="3327"/>
      <c r="SEF40" s="3327"/>
      <c r="SEG40" s="3327"/>
      <c r="SEH40" s="3327"/>
      <c r="SEI40" s="3327"/>
      <c r="SEJ40" s="3327"/>
      <c r="SEK40" s="3327"/>
      <c r="SEL40" s="3327"/>
      <c r="SEM40" s="3327"/>
      <c r="SEN40" s="3327"/>
      <c r="SEO40" s="3327"/>
      <c r="SEP40" s="3327"/>
      <c r="SEQ40" s="3327"/>
      <c r="SER40" s="3327"/>
      <c r="SES40" s="3327"/>
      <c r="SET40" s="3327"/>
      <c r="SEU40" s="3327"/>
      <c r="SEV40" s="3327"/>
      <c r="SEW40" s="3327"/>
      <c r="SEX40" s="3327"/>
      <c r="SEY40" s="3327"/>
      <c r="SEZ40" s="3327"/>
      <c r="SFA40" s="3327"/>
      <c r="SFB40" s="3327"/>
      <c r="SFC40" s="3327"/>
      <c r="SFD40" s="3327"/>
      <c r="SFE40" s="3327"/>
      <c r="SFF40" s="3327"/>
      <c r="SFG40" s="3327"/>
      <c r="SFH40" s="3327"/>
      <c r="SFI40" s="3327"/>
      <c r="SFJ40" s="3327"/>
      <c r="SFK40" s="3327"/>
      <c r="SFL40" s="3327"/>
      <c r="SFM40" s="3327"/>
      <c r="SFN40" s="3327"/>
      <c r="SFO40" s="3327"/>
      <c r="SFP40" s="3327"/>
      <c r="SFQ40" s="3327"/>
      <c r="SFR40" s="3327"/>
      <c r="SFS40" s="3327"/>
      <c r="SFT40" s="3327"/>
      <c r="SFU40" s="3327"/>
      <c r="SFV40" s="3327"/>
      <c r="SFW40" s="3327"/>
      <c r="SFX40" s="3327"/>
      <c r="SFY40" s="3327"/>
      <c r="SFZ40" s="3327"/>
      <c r="SGA40" s="3327"/>
      <c r="SGB40" s="3327"/>
      <c r="SGC40" s="3327"/>
      <c r="SGD40" s="3327"/>
      <c r="SGE40" s="3327"/>
      <c r="SGF40" s="3327"/>
      <c r="SGG40" s="3327"/>
      <c r="SGH40" s="3327"/>
      <c r="SGI40" s="3327"/>
      <c r="SGJ40" s="3327"/>
      <c r="SGK40" s="3327"/>
      <c r="SGL40" s="3327"/>
      <c r="SGM40" s="3327"/>
      <c r="SGN40" s="3327"/>
      <c r="SGO40" s="3327"/>
      <c r="SGP40" s="3327"/>
      <c r="SGQ40" s="3327"/>
      <c r="SGR40" s="3327"/>
      <c r="SGS40" s="3327"/>
      <c r="SGT40" s="3327"/>
      <c r="SGU40" s="3327"/>
      <c r="SGV40" s="3327"/>
      <c r="SGW40" s="3327"/>
      <c r="SGX40" s="3327"/>
      <c r="SGY40" s="3327"/>
      <c r="SGZ40" s="3327"/>
      <c r="SHA40" s="3327"/>
      <c r="SHB40" s="3327"/>
      <c r="SHC40" s="3327"/>
      <c r="SHD40" s="3327"/>
      <c r="SHE40" s="3327"/>
      <c r="SHF40" s="3327"/>
      <c r="SHG40" s="3327"/>
      <c r="SHH40" s="3327"/>
      <c r="SHI40" s="3327"/>
      <c r="SHJ40" s="3327"/>
      <c r="SHK40" s="3327"/>
      <c r="SHL40" s="3327"/>
      <c r="SHM40" s="3327"/>
      <c r="SHN40" s="3327"/>
      <c r="SHO40" s="3327"/>
      <c r="SHP40" s="3327"/>
      <c r="SHQ40" s="3327"/>
      <c r="SHR40" s="3327"/>
      <c r="SHS40" s="3327"/>
      <c r="SHT40" s="3327"/>
      <c r="SHU40" s="3327"/>
      <c r="SHV40" s="3327"/>
      <c r="SHW40" s="3327"/>
      <c r="SHX40" s="3327"/>
      <c r="SHY40" s="3327"/>
      <c r="SHZ40" s="3327"/>
      <c r="SIA40" s="3327"/>
      <c r="SIB40" s="3327"/>
      <c r="SIC40" s="3327"/>
      <c r="SID40" s="3327"/>
      <c r="SIE40" s="3327"/>
      <c r="SIF40" s="3327"/>
      <c r="SIG40" s="3327"/>
      <c r="SIH40" s="3327"/>
      <c r="SII40" s="3327"/>
      <c r="SIJ40" s="3327"/>
      <c r="SIK40" s="3327"/>
      <c r="SIL40" s="3327"/>
      <c r="SIM40" s="3327"/>
      <c r="SIN40" s="3327"/>
      <c r="SIO40" s="3327"/>
      <c r="SIP40" s="3327"/>
      <c r="SIQ40" s="3327"/>
      <c r="SIR40" s="3327"/>
      <c r="SIS40" s="3327"/>
      <c r="SIT40" s="3327"/>
      <c r="SIU40" s="3327"/>
      <c r="SIV40" s="3327"/>
      <c r="SIW40" s="3327"/>
      <c r="SIX40" s="3327"/>
      <c r="SIY40" s="3327"/>
      <c r="SIZ40" s="3327"/>
      <c r="SJA40" s="3327"/>
      <c r="SJB40" s="3327"/>
      <c r="SJC40" s="3327"/>
      <c r="SJD40" s="3327"/>
      <c r="SJE40" s="3327"/>
      <c r="SJF40" s="3327"/>
      <c r="SJG40" s="3327"/>
      <c r="SJH40" s="3327"/>
      <c r="SJI40" s="3327"/>
      <c r="SJJ40" s="3327"/>
      <c r="SJK40" s="3327"/>
      <c r="SJL40" s="3327"/>
      <c r="SJM40" s="3327"/>
      <c r="SJN40" s="3327"/>
      <c r="SJO40" s="3327"/>
      <c r="SJP40" s="3327"/>
      <c r="SJQ40" s="3327"/>
      <c r="SJR40" s="3327"/>
      <c r="SJS40" s="3327"/>
      <c r="SJT40" s="3327"/>
      <c r="SJU40" s="3327"/>
      <c r="SJV40" s="3327"/>
      <c r="SJW40" s="3327"/>
      <c r="SJX40" s="3327"/>
      <c r="SJY40" s="3327"/>
      <c r="SJZ40" s="3327"/>
      <c r="SKA40" s="3327"/>
      <c r="SKB40" s="3327"/>
      <c r="SKC40" s="3327"/>
      <c r="SKD40" s="3327"/>
      <c r="SKE40" s="3327"/>
      <c r="SKF40" s="3327"/>
      <c r="SKG40" s="3327"/>
      <c r="SKH40" s="3327"/>
      <c r="SKI40" s="3327"/>
      <c r="SKJ40" s="3327"/>
      <c r="SKK40" s="3327"/>
      <c r="SKL40" s="3327"/>
      <c r="SKM40" s="3327"/>
      <c r="SKN40" s="3327"/>
      <c r="SKO40" s="3327"/>
      <c r="SKP40" s="3327"/>
      <c r="SKQ40" s="3327"/>
      <c r="SKR40" s="3327"/>
      <c r="SKS40" s="3327"/>
      <c r="SKT40" s="3327"/>
      <c r="SKU40" s="3327"/>
      <c r="SKV40" s="3327"/>
      <c r="SKW40" s="3327"/>
      <c r="SKX40" s="3327"/>
      <c r="SKY40" s="3327"/>
      <c r="SKZ40" s="3327"/>
      <c r="SLA40" s="3327"/>
      <c r="SLB40" s="3327"/>
      <c r="SLC40" s="3327"/>
      <c r="SLD40" s="3327"/>
      <c r="SLE40" s="3327"/>
      <c r="SLF40" s="3327"/>
      <c r="SLG40" s="3327"/>
      <c r="SLH40" s="3327"/>
      <c r="SLI40" s="3327"/>
      <c r="SLJ40" s="3327"/>
      <c r="SLK40" s="3327"/>
      <c r="SLL40" s="3327"/>
      <c r="SLM40" s="3327"/>
      <c r="SLN40" s="3327"/>
      <c r="SLO40" s="3327"/>
      <c r="SLP40" s="3327"/>
      <c r="SLQ40" s="3327"/>
      <c r="SLR40" s="3327"/>
      <c r="SLS40" s="3327"/>
      <c r="SLT40" s="3327"/>
      <c r="SLU40" s="3327"/>
      <c r="SLV40" s="3327"/>
      <c r="SLW40" s="3327"/>
      <c r="SLX40" s="3327"/>
      <c r="SLY40" s="3327"/>
      <c r="SLZ40" s="3327"/>
      <c r="SMA40" s="3327"/>
      <c r="SMB40" s="3327"/>
      <c r="SMC40" s="3327"/>
      <c r="SMD40" s="3327"/>
      <c r="SME40" s="3327"/>
      <c r="SMF40" s="3327"/>
      <c r="SMG40" s="3327"/>
      <c r="SMH40" s="3327"/>
      <c r="SMI40" s="3327"/>
      <c r="SMJ40" s="3327"/>
      <c r="SMK40" s="3327"/>
      <c r="SML40" s="3327"/>
      <c r="SMM40" s="3327"/>
      <c r="SMN40" s="3327"/>
      <c r="SMO40" s="3327"/>
      <c r="SMP40" s="3327"/>
      <c r="SMQ40" s="3327"/>
      <c r="SMR40" s="3327"/>
      <c r="SMS40" s="3327"/>
      <c r="SMT40" s="3327"/>
      <c r="SMU40" s="3327"/>
      <c r="SMV40" s="3327"/>
      <c r="SMW40" s="3327"/>
      <c r="SMX40" s="3327"/>
      <c r="SMY40" s="3327"/>
      <c r="SMZ40" s="3327"/>
      <c r="SNA40" s="3327"/>
      <c r="SNB40" s="3327"/>
      <c r="SNC40" s="3327"/>
      <c r="SND40" s="3327"/>
      <c r="SNE40" s="3327"/>
      <c r="SNF40" s="3327"/>
      <c r="SNG40" s="3327"/>
      <c r="SNH40" s="3327"/>
      <c r="SNI40" s="3327"/>
      <c r="SNJ40" s="3327"/>
      <c r="SNK40" s="3327"/>
      <c r="SNL40" s="3327"/>
      <c r="SNM40" s="3327"/>
      <c r="SNN40" s="3327"/>
      <c r="SNO40" s="3327"/>
      <c r="SNP40" s="3327"/>
      <c r="SNQ40" s="3327"/>
      <c r="SNR40" s="3327"/>
      <c r="SNS40" s="3327"/>
      <c r="SNT40" s="3327"/>
      <c r="SNU40" s="3327"/>
      <c r="SNV40" s="3327"/>
      <c r="SNW40" s="3327"/>
      <c r="SNX40" s="3327"/>
      <c r="SNY40" s="3327"/>
      <c r="SNZ40" s="3327"/>
      <c r="SOA40" s="3327"/>
      <c r="SOB40" s="3327"/>
      <c r="SOC40" s="3327"/>
      <c r="SOD40" s="3327"/>
      <c r="SOE40" s="3327"/>
      <c r="SOF40" s="3327"/>
      <c r="SOG40" s="3327"/>
      <c r="SOH40" s="3327"/>
      <c r="SOI40" s="3327"/>
      <c r="SOJ40" s="3327"/>
      <c r="SOK40" s="3327"/>
      <c r="SOL40" s="3327"/>
      <c r="SOM40" s="3327"/>
      <c r="SON40" s="3327"/>
      <c r="SOO40" s="3327"/>
      <c r="SOP40" s="3327"/>
      <c r="SOQ40" s="3327"/>
      <c r="SOR40" s="3327"/>
      <c r="SOS40" s="3327"/>
      <c r="SOT40" s="3327"/>
      <c r="SOU40" s="3327"/>
      <c r="SOV40" s="3327"/>
      <c r="SOW40" s="3327"/>
      <c r="SOX40" s="3327"/>
      <c r="SOY40" s="3327"/>
      <c r="SOZ40" s="3327"/>
      <c r="SPA40" s="3327"/>
      <c r="SPB40" s="3327"/>
      <c r="SPC40" s="3327"/>
      <c r="SPD40" s="3327"/>
      <c r="SPE40" s="3327"/>
      <c r="SPF40" s="3327"/>
      <c r="SPG40" s="3327"/>
      <c r="SPH40" s="3327"/>
      <c r="SPI40" s="3327"/>
      <c r="SPJ40" s="3327"/>
      <c r="SPK40" s="3327"/>
      <c r="SPL40" s="3327"/>
      <c r="SPM40" s="3327"/>
      <c r="SPN40" s="3327"/>
      <c r="SPO40" s="3327"/>
      <c r="SPP40" s="3327"/>
      <c r="SPQ40" s="3327"/>
      <c r="SPR40" s="3327"/>
      <c r="SPS40" s="3327"/>
      <c r="SPT40" s="3327"/>
      <c r="SPU40" s="3327"/>
      <c r="SPV40" s="3327"/>
      <c r="SPW40" s="3327"/>
      <c r="SPX40" s="3327"/>
      <c r="SPY40" s="3327"/>
      <c r="SPZ40" s="3327"/>
      <c r="SQA40" s="3327"/>
      <c r="SQB40" s="3327"/>
      <c r="SQC40" s="3327"/>
      <c r="SQD40" s="3327"/>
      <c r="SQE40" s="3327"/>
      <c r="SQF40" s="3327"/>
      <c r="SQG40" s="3327"/>
      <c r="SQH40" s="3327"/>
      <c r="SQI40" s="3327"/>
      <c r="SQJ40" s="3327"/>
      <c r="SQK40" s="3327"/>
      <c r="SQL40" s="3327"/>
      <c r="SQM40" s="3327"/>
      <c r="SQN40" s="3327"/>
      <c r="SQO40" s="3327"/>
      <c r="SQP40" s="3327"/>
      <c r="SQQ40" s="3327"/>
      <c r="SQR40" s="3327"/>
      <c r="SQS40" s="3327"/>
      <c r="SQT40" s="3327"/>
      <c r="SQU40" s="3327"/>
      <c r="SQV40" s="3327"/>
      <c r="SQW40" s="3327"/>
      <c r="SQX40" s="3327"/>
      <c r="SQY40" s="3327"/>
      <c r="SQZ40" s="3327"/>
      <c r="SRA40" s="3327"/>
      <c r="SRB40" s="3327"/>
      <c r="SRC40" s="3327"/>
      <c r="SRD40" s="3327"/>
      <c r="SRE40" s="3327"/>
      <c r="SRF40" s="3327"/>
      <c r="SRG40" s="3327"/>
      <c r="SRH40" s="3327"/>
      <c r="SRI40" s="3327"/>
      <c r="SRJ40" s="3327"/>
      <c r="SRK40" s="3327"/>
      <c r="SRL40" s="3327"/>
      <c r="SRM40" s="3327"/>
      <c r="SRN40" s="3327"/>
      <c r="SRO40" s="3327"/>
      <c r="SRP40" s="3327"/>
      <c r="SRQ40" s="3327"/>
      <c r="SRR40" s="3327"/>
      <c r="SRS40" s="3327"/>
      <c r="SRT40" s="3327"/>
      <c r="SRU40" s="3327"/>
      <c r="SRV40" s="3327"/>
      <c r="SRW40" s="3327"/>
      <c r="SRX40" s="3327"/>
      <c r="SRY40" s="3327"/>
      <c r="SRZ40" s="3327"/>
      <c r="SSA40" s="3327"/>
      <c r="SSB40" s="3327"/>
      <c r="SSC40" s="3327"/>
      <c r="SSD40" s="3327"/>
      <c r="SSE40" s="3327"/>
      <c r="SSF40" s="3327"/>
      <c r="SSG40" s="3327"/>
      <c r="SSH40" s="3327"/>
      <c r="SSI40" s="3327"/>
      <c r="SSJ40" s="3327"/>
      <c r="SSK40" s="3327"/>
      <c r="SSL40" s="3327"/>
      <c r="SSM40" s="3327"/>
      <c r="SSN40" s="3327"/>
      <c r="SSO40" s="3327"/>
      <c r="SSP40" s="3327"/>
      <c r="SSQ40" s="3327"/>
      <c r="SSR40" s="3327"/>
      <c r="SSS40" s="3327"/>
      <c r="SST40" s="3327"/>
      <c r="SSU40" s="3327"/>
      <c r="SSV40" s="3327"/>
      <c r="SSW40" s="3327"/>
      <c r="SSX40" s="3327"/>
      <c r="SSY40" s="3327"/>
      <c r="SSZ40" s="3327"/>
      <c r="STA40" s="3327"/>
      <c r="STB40" s="3327"/>
      <c r="STC40" s="3327"/>
      <c r="STD40" s="3327"/>
      <c r="STE40" s="3327"/>
      <c r="STF40" s="3327"/>
      <c r="STG40" s="3327"/>
      <c r="STH40" s="3327"/>
      <c r="STI40" s="3327"/>
      <c r="STJ40" s="3327"/>
      <c r="STK40" s="3327"/>
      <c r="STL40" s="3327"/>
      <c r="STM40" s="3327"/>
      <c r="STN40" s="3327"/>
      <c r="STO40" s="3327"/>
      <c r="STP40" s="3327"/>
      <c r="STQ40" s="3327"/>
      <c r="STR40" s="3327"/>
      <c r="STS40" s="3327"/>
      <c r="STT40" s="3327"/>
      <c r="STU40" s="3327"/>
      <c r="STV40" s="3327"/>
      <c r="STW40" s="3327"/>
      <c r="STX40" s="3327"/>
      <c r="STY40" s="3327"/>
      <c r="STZ40" s="3327"/>
      <c r="SUA40" s="3327"/>
      <c r="SUB40" s="3327"/>
      <c r="SUC40" s="3327"/>
      <c r="SUD40" s="3327"/>
      <c r="SUE40" s="3327"/>
      <c r="SUF40" s="3327"/>
      <c r="SUG40" s="3327"/>
      <c r="SUH40" s="3327"/>
      <c r="SUI40" s="3327"/>
      <c r="SUJ40" s="3327"/>
      <c r="SUK40" s="3327"/>
      <c r="SUL40" s="3327"/>
      <c r="SUM40" s="3327"/>
      <c r="SUN40" s="3327"/>
      <c r="SUO40" s="3327"/>
      <c r="SUP40" s="3327"/>
      <c r="SUQ40" s="3327"/>
      <c r="SUR40" s="3327"/>
      <c r="SUS40" s="3327"/>
      <c r="SUT40" s="3327"/>
      <c r="SUU40" s="3327"/>
      <c r="SUV40" s="3327"/>
      <c r="SUW40" s="3327"/>
      <c r="SUX40" s="3327"/>
      <c r="SUY40" s="3327"/>
      <c r="SUZ40" s="3327"/>
      <c r="SVA40" s="3327"/>
      <c r="SVB40" s="3327"/>
      <c r="SVC40" s="3327"/>
      <c r="SVD40" s="3327"/>
      <c r="SVE40" s="3327"/>
      <c r="SVF40" s="3327"/>
      <c r="SVG40" s="3327"/>
      <c r="SVH40" s="3327"/>
      <c r="SVI40" s="3327"/>
      <c r="SVJ40" s="3327"/>
      <c r="SVK40" s="3327"/>
      <c r="SVL40" s="3327"/>
      <c r="SVM40" s="3327"/>
      <c r="SVN40" s="3327"/>
      <c r="SVO40" s="3327"/>
      <c r="SVP40" s="3327"/>
      <c r="SVQ40" s="3327"/>
      <c r="SVR40" s="3327"/>
      <c r="SVS40" s="3327"/>
      <c r="SVT40" s="3327"/>
      <c r="SVU40" s="3327"/>
      <c r="SVV40" s="3327"/>
      <c r="SVW40" s="3327"/>
      <c r="SVX40" s="3327"/>
      <c r="SVY40" s="3327"/>
      <c r="SVZ40" s="3327"/>
      <c r="SWA40" s="3327"/>
      <c r="SWB40" s="3327"/>
      <c r="SWC40" s="3327"/>
      <c r="SWD40" s="3327"/>
      <c r="SWE40" s="3327"/>
      <c r="SWF40" s="3327"/>
      <c r="SWG40" s="3327"/>
      <c r="SWH40" s="3327"/>
      <c r="SWI40" s="3327"/>
      <c r="SWJ40" s="3327"/>
      <c r="SWK40" s="3327"/>
      <c r="SWL40" s="3327"/>
      <c r="SWM40" s="3327"/>
      <c r="SWN40" s="3327"/>
      <c r="SWO40" s="3327"/>
      <c r="SWP40" s="3327"/>
      <c r="SWQ40" s="3327"/>
      <c r="SWR40" s="3327"/>
      <c r="SWS40" s="3327"/>
      <c r="SWT40" s="3327"/>
      <c r="SWU40" s="3327"/>
      <c r="SWV40" s="3327"/>
      <c r="SWW40" s="3327"/>
      <c r="SWX40" s="3327"/>
      <c r="SWY40" s="3327"/>
      <c r="SWZ40" s="3327"/>
      <c r="SXA40" s="3327"/>
      <c r="SXB40" s="3327"/>
      <c r="SXC40" s="3327"/>
      <c r="SXD40" s="3327"/>
      <c r="SXE40" s="3327"/>
      <c r="SXF40" s="3327"/>
      <c r="SXG40" s="3327"/>
      <c r="SXH40" s="3327"/>
      <c r="SXI40" s="3327"/>
      <c r="SXJ40" s="3327"/>
      <c r="SXK40" s="3327"/>
      <c r="SXL40" s="3327"/>
      <c r="SXM40" s="3327"/>
      <c r="SXN40" s="3327"/>
      <c r="SXO40" s="3327"/>
      <c r="SXP40" s="3327"/>
      <c r="SXQ40" s="3327"/>
      <c r="SXR40" s="3327"/>
      <c r="SXS40" s="3327"/>
      <c r="SXT40" s="3327"/>
      <c r="SXU40" s="3327"/>
      <c r="SXV40" s="3327"/>
      <c r="SXW40" s="3327"/>
      <c r="SXX40" s="3327"/>
      <c r="SXY40" s="3327"/>
      <c r="SXZ40" s="3327"/>
      <c r="SYA40" s="3327"/>
      <c r="SYB40" s="3327"/>
      <c r="SYC40" s="3327"/>
      <c r="SYD40" s="3327"/>
      <c r="SYE40" s="3327"/>
      <c r="SYF40" s="3327"/>
      <c r="SYG40" s="3327"/>
      <c r="SYH40" s="3327"/>
      <c r="SYI40" s="3327"/>
      <c r="SYJ40" s="3327"/>
      <c r="SYK40" s="3327"/>
      <c r="SYL40" s="3327"/>
      <c r="SYM40" s="3327"/>
      <c r="SYN40" s="3327"/>
      <c r="SYO40" s="3327"/>
      <c r="SYP40" s="3327"/>
      <c r="SYQ40" s="3327"/>
      <c r="SYR40" s="3327"/>
      <c r="SYS40" s="3327"/>
      <c r="SYT40" s="3327"/>
      <c r="SYU40" s="3327"/>
      <c r="SYV40" s="3327"/>
      <c r="SYW40" s="3327"/>
      <c r="SYX40" s="3327"/>
      <c r="SYY40" s="3327"/>
      <c r="SYZ40" s="3327"/>
      <c r="SZA40" s="3327"/>
      <c r="SZB40" s="3327"/>
      <c r="SZC40" s="3327"/>
      <c r="SZD40" s="3327"/>
      <c r="SZE40" s="3327"/>
      <c r="SZF40" s="3327"/>
      <c r="SZG40" s="3327"/>
      <c r="SZH40" s="3327"/>
      <c r="SZI40" s="3327"/>
      <c r="SZJ40" s="3327"/>
      <c r="SZK40" s="3327"/>
      <c r="SZL40" s="3327"/>
      <c r="SZM40" s="3327"/>
      <c r="SZN40" s="3327"/>
      <c r="SZO40" s="3327"/>
      <c r="SZP40" s="3327"/>
      <c r="SZQ40" s="3327"/>
      <c r="SZR40" s="3327"/>
      <c r="SZS40" s="3327"/>
      <c r="SZT40" s="3327"/>
      <c r="SZU40" s="3327"/>
      <c r="SZV40" s="3327"/>
      <c r="SZW40" s="3327"/>
      <c r="SZX40" s="3327"/>
      <c r="SZY40" s="3327"/>
      <c r="SZZ40" s="3327"/>
      <c r="TAA40" s="3327"/>
      <c r="TAB40" s="3327"/>
      <c r="TAC40" s="3327"/>
      <c r="TAD40" s="3327"/>
      <c r="TAE40" s="3327"/>
      <c r="TAF40" s="3327"/>
      <c r="TAG40" s="3327"/>
      <c r="TAH40" s="3327"/>
      <c r="TAI40" s="3327"/>
      <c r="TAJ40" s="3327"/>
      <c r="TAK40" s="3327"/>
      <c r="TAL40" s="3327"/>
      <c r="TAM40" s="3327"/>
      <c r="TAN40" s="3327"/>
      <c r="TAO40" s="3327"/>
      <c r="TAP40" s="3327"/>
      <c r="TAQ40" s="3327"/>
      <c r="TAR40" s="3327"/>
      <c r="TAS40" s="3327"/>
      <c r="TAT40" s="3327"/>
      <c r="TAU40" s="3327"/>
      <c r="TAV40" s="3327"/>
      <c r="TAW40" s="3327"/>
      <c r="TAX40" s="3327"/>
      <c r="TAY40" s="3327"/>
      <c r="TAZ40" s="3327"/>
      <c r="TBA40" s="3327"/>
      <c r="TBB40" s="3327"/>
      <c r="TBC40" s="3327"/>
      <c r="TBD40" s="3327"/>
      <c r="TBE40" s="3327"/>
      <c r="TBF40" s="3327"/>
      <c r="TBG40" s="3327"/>
      <c r="TBH40" s="3327"/>
      <c r="TBI40" s="3327"/>
      <c r="TBJ40" s="3327"/>
      <c r="TBK40" s="3327"/>
      <c r="TBL40" s="3327"/>
      <c r="TBM40" s="3327"/>
      <c r="TBN40" s="3327"/>
      <c r="TBO40" s="3327"/>
      <c r="TBP40" s="3327"/>
      <c r="TBQ40" s="3327"/>
      <c r="TBR40" s="3327"/>
      <c r="TBS40" s="3327"/>
      <c r="TBT40" s="3327"/>
      <c r="TBU40" s="3327"/>
      <c r="TBV40" s="3327"/>
      <c r="TBW40" s="3327"/>
      <c r="TBX40" s="3327"/>
      <c r="TBY40" s="3327"/>
      <c r="TBZ40" s="3327"/>
      <c r="TCA40" s="3327"/>
      <c r="TCB40" s="3327"/>
      <c r="TCC40" s="3327"/>
      <c r="TCD40" s="3327"/>
      <c r="TCE40" s="3327"/>
      <c r="TCF40" s="3327"/>
      <c r="TCG40" s="3327"/>
      <c r="TCH40" s="3327"/>
      <c r="TCI40" s="3327"/>
      <c r="TCJ40" s="3327"/>
      <c r="TCK40" s="3327"/>
      <c r="TCL40" s="3327"/>
      <c r="TCM40" s="3327"/>
      <c r="TCN40" s="3327"/>
      <c r="TCO40" s="3327"/>
      <c r="TCP40" s="3327"/>
      <c r="TCQ40" s="3327"/>
      <c r="TCR40" s="3327"/>
      <c r="TCS40" s="3327"/>
      <c r="TCT40" s="3327"/>
      <c r="TCU40" s="3327"/>
      <c r="TCV40" s="3327"/>
      <c r="TCW40" s="3327"/>
      <c r="TCX40" s="3327"/>
      <c r="TCY40" s="3327"/>
      <c r="TCZ40" s="3327"/>
      <c r="TDA40" s="3327"/>
      <c r="TDB40" s="3327"/>
      <c r="TDC40" s="3327"/>
      <c r="TDD40" s="3327"/>
      <c r="TDE40" s="3327"/>
      <c r="TDF40" s="3327"/>
      <c r="TDG40" s="3327"/>
      <c r="TDH40" s="3327"/>
      <c r="TDI40" s="3327"/>
      <c r="TDJ40" s="3327"/>
      <c r="TDK40" s="3327"/>
      <c r="TDL40" s="3327"/>
      <c r="TDM40" s="3327"/>
      <c r="TDN40" s="3327"/>
      <c r="TDO40" s="3327"/>
      <c r="TDP40" s="3327"/>
      <c r="TDQ40" s="3327"/>
      <c r="TDR40" s="3327"/>
      <c r="TDS40" s="3327"/>
      <c r="TDT40" s="3327"/>
      <c r="TDU40" s="3327"/>
      <c r="TDV40" s="3327"/>
      <c r="TDW40" s="3327"/>
      <c r="TDX40" s="3327"/>
      <c r="TDY40" s="3327"/>
      <c r="TDZ40" s="3327"/>
      <c r="TEA40" s="3327"/>
      <c r="TEB40" s="3327"/>
      <c r="TEC40" s="3327"/>
      <c r="TED40" s="3327"/>
      <c r="TEE40" s="3327"/>
      <c r="TEF40" s="3327"/>
      <c r="TEG40" s="3327"/>
      <c r="TEH40" s="3327"/>
      <c r="TEI40" s="3327"/>
      <c r="TEJ40" s="3327"/>
      <c r="TEK40" s="3327"/>
      <c r="TEL40" s="3327"/>
      <c r="TEM40" s="3327"/>
      <c r="TEN40" s="3327"/>
      <c r="TEO40" s="3327"/>
      <c r="TEP40" s="3327"/>
      <c r="TEQ40" s="3327"/>
      <c r="TER40" s="3327"/>
      <c r="TES40" s="3327"/>
      <c r="TET40" s="3327"/>
      <c r="TEU40" s="3327"/>
      <c r="TEV40" s="3327"/>
      <c r="TEW40" s="3327"/>
      <c r="TEX40" s="3327"/>
      <c r="TEY40" s="3327"/>
      <c r="TEZ40" s="3327"/>
      <c r="TFA40" s="3327"/>
      <c r="TFB40" s="3327"/>
      <c r="TFC40" s="3327"/>
      <c r="TFD40" s="3327"/>
      <c r="TFE40" s="3327"/>
      <c r="TFF40" s="3327"/>
      <c r="TFG40" s="3327"/>
      <c r="TFH40" s="3327"/>
      <c r="TFI40" s="3327"/>
      <c r="TFJ40" s="3327"/>
      <c r="TFK40" s="3327"/>
      <c r="TFL40" s="3327"/>
      <c r="TFM40" s="3327"/>
      <c r="TFN40" s="3327"/>
      <c r="TFO40" s="3327"/>
      <c r="TFP40" s="3327"/>
      <c r="TFQ40" s="3327"/>
      <c r="TFR40" s="3327"/>
      <c r="TFS40" s="3327"/>
      <c r="TFT40" s="3327"/>
      <c r="TFU40" s="3327"/>
      <c r="TFV40" s="3327"/>
      <c r="TFW40" s="3327"/>
      <c r="TFX40" s="3327"/>
      <c r="TFY40" s="3327"/>
      <c r="TFZ40" s="3327"/>
      <c r="TGA40" s="3327"/>
      <c r="TGB40" s="3327"/>
      <c r="TGC40" s="3327"/>
      <c r="TGD40" s="3327"/>
      <c r="TGE40" s="3327"/>
      <c r="TGF40" s="3327"/>
      <c r="TGG40" s="3327"/>
      <c r="TGH40" s="3327"/>
      <c r="TGI40" s="3327"/>
      <c r="TGJ40" s="3327"/>
      <c r="TGK40" s="3327"/>
      <c r="TGL40" s="3327"/>
      <c r="TGM40" s="3327"/>
      <c r="TGN40" s="3327"/>
      <c r="TGO40" s="3327"/>
      <c r="TGP40" s="3327"/>
      <c r="TGQ40" s="3327"/>
      <c r="TGR40" s="3327"/>
      <c r="TGS40" s="3327"/>
      <c r="TGT40" s="3327"/>
      <c r="TGU40" s="3327"/>
      <c r="TGV40" s="3327"/>
      <c r="TGW40" s="3327"/>
      <c r="TGX40" s="3327"/>
      <c r="TGY40" s="3327"/>
      <c r="TGZ40" s="3327"/>
      <c r="THA40" s="3327"/>
      <c r="THB40" s="3327"/>
      <c r="THC40" s="3327"/>
      <c r="THD40" s="3327"/>
      <c r="THE40" s="3327"/>
      <c r="THF40" s="3327"/>
      <c r="THG40" s="3327"/>
      <c r="THH40" s="3327"/>
      <c r="THI40" s="3327"/>
      <c r="THJ40" s="3327"/>
      <c r="THK40" s="3327"/>
      <c r="THL40" s="3327"/>
      <c r="THM40" s="3327"/>
      <c r="THN40" s="3327"/>
      <c r="THO40" s="3327"/>
      <c r="THP40" s="3327"/>
      <c r="THQ40" s="3327"/>
      <c r="THR40" s="3327"/>
      <c r="THS40" s="3327"/>
      <c r="THT40" s="3327"/>
      <c r="THU40" s="3327"/>
      <c r="THV40" s="3327"/>
      <c r="THW40" s="3327"/>
      <c r="THX40" s="3327"/>
      <c r="THY40" s="3327"/>
      <c r="THZ40" s="3327"/>
      <c r="TIA40" s="3327"/>
      <c r="TIB40" s="3327"/>
      <c r="TIC40" s="3327"/>
      <c r="TID40" s="3327"/>
      <c r="TIE40" s="3327"/>
      <c r="TIF40" s="3327"/>
      <c r="TIG40" s="3327"/>
      <c r="TIH40" s="3327"/>
      <c r="TII40" s="3327"/>
      <c r="TIJ40" s="3327"/>
      <c r="TIK40" s="3327"/>
      <c r="TIL40" s="3327"/>
      <c r="TIM40" s="3327"/>
      <c r="TIN40" s="3327"/>
      <c r="TIO40" s="3327"/>
      <c r="TIP40" s="3327"/>
      <c r="TIQ40" s="3327"/>
      <c r="TIR40" s="3327"/>
      <c r="TIS40" s="3327"/>
      <c r="TIT40" s="3327"/>
      <c r="TIU40" s="3327"/>
      <c r="TIV40" s="3327"/>
      <c r="TIW40" s="3327"/>
      <c r="TIX40" s="3327"/>
      <c r="TIY40" s="3327"/>
      <c r="TIZ40" s="3327"/>
      <c r="TJA40" s="3327"/>
      <c r="TJB40" s="3327"/>
      <c r="TJC40" s="3327"/>
      <c r="TJD40" s="3327"/>
      <c r="TJE40" s="3327"/>
      <c r="TJF40" s="3327"/>
      <c r="TJG40" s="3327"/>
      <c r="TJH40" s="3327"/>
      <c r="TJI40" s="3327"/>
      <c r="TJJ40" s="3327"/>
      <c r="TJK40" s="3327"/>
      <c r="TJL40" s="3327"/>
      <c r="TJM40" s="3327"/>
      <c r="TJN40" s="3327"/>
      <c r="TJO40" s="3327"/>
      <c r="TJP40" s="3327"/>
      <c r="TJQ40" s="3327"/>
      <c r="TJR40" s="3327"/>
      <c r="TJS40" s="3327"/>
      <c r="TJT40" s="3327"/>
      <c r="TJU40" s="3327"/>
      <c r="TJV40" s="3327"/>
      <c r="TJW40" s="3327"/>
      <c r="TJX40" s="3327"/>
      <c r="TJY40" s="3327"/>
      <c r="TJZ40" s="3327"/>
      <c r="TKA40" s="3327"/>
      <c r="TKB40" s="3327"/>
      <c r="TKC40" s="3327"/>
      <c r="TKD40" s="3327"/>
      <c r="TKE40" s="3327"/>
      <c r="TKF40" s="3327"/>
      <c r="TKG40" s="3327"/>
      <c r="TKH40" s="3327"/>
      <c r="TKI40" s="3327"/>
      <c r="TKJ40" s="3327"/>
      <c r="TKK40" s="3327"/>
      <c r="TKL40" s="3327"/>
      <c r="TKM40" s="3327"/>
      <c r="TKN40" s="3327"/>
      <c r="TKO40" s="3327"/>
      <c r="TKP40" s="3327"/>
      <c r="TKQ40" s="3327"/>
      <c r="TKR40" s="3327"/>
      <c r="TKS40" s="3327"/>
      <c r="TKT40" s="3327"/>
      <c r="TKU40" s="3327"/>
      <c r="TKV40" s="3327"/>
      <c r="TKW40" s="3327"/>
      <c r="TKX40" s="3327"/>
      <c r="TKY40" s="3327"/>
      <c r="TKZ40" s="3327"/>
      <c r="TLA40" s="3327"/>
      <c r="TLB40" s="3327"/>
      <c r="TLC40" s="3327"/>
      <c r="TLD40" s="3327"/>
      <c r="TLE40" s="3327"/>
      <c r="TLF40" s="3327"/>
      <c r="TLG40" s="3327"/>
      <c r="TLH40" s="3327"/>
      <c r="TLI40" s="3327"/>
      <c r="TLJ40" s="3327"/>
      <c r="TLK40" s="3327"/>
      <c r="TLL40" s="3327"/>
      <c r="TLM40" s="3327"/>
      <c r="TLN40" s="3327"/>
      <c r="TLO40" s="3327"/>
      <c r="TLP40" s="3327"/>
      <c r="TLQ40" s="3327"/>
      <c r="TLR40" s="3327"/>
      <c r="TLS40" s="3327"/>
      <c r="TLT40" s="3327"/>
      <c r="TLU40" s="3327"/>
      <c r="TLV40" s="3327"/>
      <c r="TLW40" s="3327"/>
      <c r="TLX40" s="3327"/>
      <c r="TLY40" s="3327"/>
      <c r="TLZ40" s="3327"/>
      <c r="TMA40" s="3327"/>
      <c r="TMB40" s="3327"/>
      <c r="TMC40" s="3327"/>
      <c r="TMD40" s="3327"/>
      <c r="TME40" s="3327"/>
      <c r="TMF40" s="3327"/>
      <c r="TMG40" s="3327"/>
      <c r="TMH40" s="3327"/>
      <c r="TMI40" s="3327"/>
      <c r="TMJ40" s="3327"/>
      <c r="TMK40" s="3327"/>
      <c r="TML40" s="3327"/>
      <c r="TMM40" s="3327"/>
      <c r="TMN40" s="3327"/>
      <c r="TMO40" s="3327"/>
      <c r="TMP40" s="3327"/>
      <c r="TMQ40" s="3327"/>
      <c r="TMR40" s="3327"/>
      <c r="TMS40" s="3327"/>
      <c r="TMT40" s="3327"/>
      <c r="TMU40" s="3327"/>
      <c r="TMV40" s="3327"/>
      <c r="TMW40" s="3327"/>
      <c r="TMX40" s="3327"/>
      <c r="TMY40" s="3327"/>
      <c r="TMZ40" s="3327"/>
      <c r="TNA40" s="3327"/>
      <c r="TNB40" s="3327"/>
      <c r="TNC40" s="3327"/>
      <c r="TND40" s="3327"/>
      <c r="TNE40" s="3327"/>
      <c r="TNF40" s="3327"/>
      <c r="TNG40" s="3327"/>
      <c r="TNH40" s="3327"/>
      <c r="TNI40" s="3327"/>
      <c r="TNJ40" s="3327"/>
      <c r="TNK40" s="3327"/>
      <c r="TNL40" s="3327"/>
      <c r="TNM40" s="3327"/>
      <c r="TNN40" s="3327"/>
      <c r="TNO40" s="3327"/>
      <c r="TNP40" s="3327"/>
      <c r="TNQ40" s="3327"/>
      <c r="TNR40" s="3327"/>
      <c r="TNS40" s="3327"/>
      <c r="TNT40" s="3327"/>
      <c r="TNU40" s="3327"/>
      <c r="TNV40" s="3327"/>
      <c r="TNW40" s="3327"/>
      <c r="TNX40" s="3327"/>
      <c r="TNY40" s="3327"/>
      <c r="TNZ40" s="3327"/>
      <c r="TOA40" s="3327"/>
      <c r="TOB40" s="3327"/>
      <c r="TOC40" s="3327"/>
      <c r="TOD40" s="3327"/>
      <c r="TOE40" s="3327"/>
      <c r="TOF40" s="3327"/>
      <c r="TOG40" s="3327"/>
      <c r="TOH40" s="3327"/>
      <c r="TOI40" s="3327"/>
      <c r="TOJ40" s="3327"/>
      <c r="TOK40" s="3327"/>
      <c r="TOL40" s="3327"/>
      <c r="TOM40" s="3327"/>
      <c r="TON40" s="3327"/>
      <c r="TOO40" s="3327"/>
      <c r="TOP40" s="3327"/>
      <c r="TOQ40" s="3327"/>
      <c r="TOR40" s="3327"/>
      <c r="TOS40" s="3327"/>
      <c r="TOT40" s="3327"/>
      <c r="TOU40" s="3327"/>
      <c r="TOV40" s="3327"/>
      <c r="TOW40" s="3327"/>
      <c r="TOX40" s="3327"/>
      <c r="TOY40" s="3327"/>
      <c r="TOZ40" s="3327"/>
      <c r="TPA40" s="3327"/>
      <c r="TPB40" s="3327"/>
      <c r="TPC40" s="3327"/>
      <c r="TPD40" s="3327"/>
      <c r="TPE40" s="3327"/>
      <c r="TPF40" s="3327"/>
      <c r="TPG40" s="3327"/>
      <c r="TPH40" s="3327"/>
      <c r="TPI40" s="3327"/>
      <c r="TPJ40" s="3327"/>
      <c r="TPK40" s="3327"/>
      <c r="TPL40" s="3327"/>
      <c r="TPM40" s="3327"/>
      <c r="TPN40" s="3327"/>
      <c r="TPO40" s="3327"/>
      <c r="TPP40" s="3327"/>
      <c r="TPQ40" s="3327"/>
      <c r="TPR40" s="3327"/>
      <c r="TPS40" s="3327"/>
      <c r="TPT40" s="3327"/>
      <c r="TPU40" s="3327"/>
      <c r="TPV40" s="3327"/>
      <c r="TPW40" s="3327"/>
      <c r="TPX40" s="3327"/>
      <c r="TPY40" s="3327"/>
      <c r="TPZ40" s="3327"/>
      <c r="TQA40" s="3327"/>
      <c r="TQB40" s="3327"/>
      <c r="TQC40" s="3327"/>
      <c r="TQD40" s="3327"/>
      <c r="TQE40" s="3327"/>
      <c r="TQF40" s="3327"/>
      <c r="TQG40" s="3327"/>
      <c r="TQH40" s="3327"/>
      <c r="TQI40" s="3327"/>
      <c r="TQJ40" s="3327"/>
      <c r="TQK40" s="3327"/>
      <c r="TQL40" s="3327"/>
      <c r="TQM40" s="3327"/>
      <c r="TQN40" s="3327"/>
      <c r="TQO40" s="3327"/>
      <c r="TQP40" s="3327"/>
      <c r="TQQ40" s="3327"/>
      <c r="TQR40" s="3327"/>
      <c r="TQS40" s="3327"/>
      <c r="TQT40" s="3327"/>
      <c r="TQU40" s="3327"/>
      <c r="TQV40" s="3327"/>
      <c r="TQW40" s="3327"/>
      <c r="TQX40" s="3327"/>
      <c r="TQY40" s="3327"/>
      <c r="TQZ40" s="3327"/>
      <c r="TRA40" s="3327"/>
      <c r="TRB40" s="3327"/>
      <c r="TRC40" s="3327"/>
      <c r="TRD40" s="3327"/>
      <c r="TRE40" s="3327"/>
      <c r="TRF40" s="3327"/>
      <c r="TRG40" s="3327"/>
      <c r="TRH40" s="3327"/>
      <c r="TRI40" s="3327"/>
      <c r="TRJ40" s="3327"/>
      <c r="TRK40" s="3327"/>
      <c r="TRL40" s="3327"/>
      <c r="TRM40" s="3327"/>
      <c r="TRN40" s="3327"/>
      <c r="TRO40" s="3327"/>
      <c r="TRP40" s="3327"/>
      <c r="TRQ40" s="3327"/>
      <c r="TRR40" s="3327"/>
      <c r="TRS40" s="3327"/>
      <c r="TRT40" s="3327"/>
      <c r="TRU40" s="3327"/>
      <c r="TRV40" s="3327"/>
      <c r="TRW40" s="3327"/>
      <c r="TRX40" s="3327"/>
      <c r="TRY40" s="3327"/>
      <c r="TRZ40" s="3327"/>
      <c r="TSA40" s="3327"/>
      <c r="TSB40" s="3327"/>
      <c r="TSC40" s="3327"/>
      <c r="TSD40" s="3327"/>
      <c r="TSE40" s="3327"/>
      <c r="TSF40" s="3327"/>
      <c r="TSG40" s="3327"/>
      <c r="TSH40" s="3327"/>
      <c r="TSI40" s="3327"/>
      <c r="TSJ40" s="3327"/>
      <c r="TSK40" s="3327"/>
      <c r="TSL40" s="3327"/>
      <c r="TSM40" s="3327"/>
      <c r="TSN40" s="3327"/>
      <c r="TSO40" s="3327"/>
      <c r="TSP40" s="3327"/>
      <c r="TSQ40" s="3327"/>
      <c r="TSR40" s="3327"/>
      <c r="TSS40" s="3327"/>
      <c r="TST40" s="3327"/>
      <c r="TSU40" s="3327"/>
      <c r="TSV40" s="3327"/>
      <c r="TSW40" s="3327"/>
      <c r="TSX40" s="3327"/>
      <c r="TSY40" s="3327"/>
      <c r="TSZ40" s="3327"/>
      <c r="TTA40" s="3327"/>
      <c r="TTB40" s="3327"/>
      <c r="TTC40" s="3327"/>
      <c r="TTD40" s="3327"/>
      <c r="TTE40" s="3327"/>
      <c r="TTF40" s="3327"/>
      <c r="TTG40" s="3327"/>
      <c r="TTH40" s="3327"/>
      <c r="TTI40" s="3327"/>
      <c r="TTJ40" s="3327"/>
      <c r="TTK40" s="3327"/>
      <c r="TTL40" s="3327"/>
      <c r="TTM40" s="3327"/>
      <c r="TTN40" s="3327"/>
      <c r="TTO40" s="3327"/>
      <c r="TTP40" s="3327"/>
      <c r="TTQ40" s="3327"/>
      <c r="TTR40" s="3327"/>
      <c r="TTS40" s="3327"/>
      <c r="TTT40" s="3327"/>
      <c r="TTU40" s="3327"/>
      <c r="TTV40" s="3327"/>
      <c r="TTW40" s="3327"/>
      <c r="TTX40" s="3327"/>
      <c r="TTY40" s="3327"/>
      <c r="TTZ40" s="3327"/>
      <c r="TUA40" s="3327"/>
      <c r="TUB40" s="3327"/>
      <c r="TUC40" s="3327"/>
      <c r="TUD40" s="3327"/>
      <c r="TUE40" s="3327"/>
      <c r="TUF40" s="3327"/>
      <c r="TUG40" s="3327"/>
      <c r="TUH40" s="3327"/>
      <c r="TUI40" s="3327"/>
      <c r="TUJ40" s="3327"/>
      <c r="TUK40" s="3327"/>
      <c r="TUL40" s="3327"/>
      <c r="TUM40" s="3327"/>
      <c r="TUN40" s="3327"/>
      <c r="TUO40" s="3327"/>
      <c r="TUP40" s="3327"/>
      <c r="TUQ40" s="3327"/>
      <c r="TUR40" s="3327"/>
      <c r="TUS40" s="3327"/>
      <c r="TUT40" s="3327"/>
      <c r="TUU40" s="3327"/>
      <c r="TUV40" s="3327"/>
      <c r="TUW40" s="3327"/>
      <c r="TUX40" s="3327"/>
      <c r="TUY40" s="3327"/>
      <c r="TUZ40" s="3327"/>
      <c r="TVA40" s="3327"/>
      <c r="TVB40" s="3327"/>
      <c r="TVC40" s="3327"/>
      <c r="TVD40" s="3327"/>
      <c r="TVE40" s="3327"/>
      <c r="TVF40" s="3327"/>
      <c r="TVG40" s="3327"/>
      <c r="TVH40" s="3327"/>
      <c r="TVI40" s="3327"/>
      <c r="TVJ40" s="3327"/>
      <c r="TVK40" s="3327"/>
      <c r="TVL40" s="3327"/>
      <c r="TVM40" s="3327"/>
      <c r="TVN40" s="3327"/>
      <c r="TVO40" s="3327"/>
      <c r="TVP40" s="3327"/>
      <c r="TVQ40" s="3327"/>
      <c r="TVR40" s="3327"/>
      <c r="TVS40" s="3327"/>
      <c r="TVT40" s="3327"/>
      <c r="TVU40" s="3327"/>
      <c r="TVV40" s="3327"/>
      <c r="TVW40" s="3327"/>
      <c r="TVX40" s="3327"/>
      <c r="TVY40" s="3327"/>
      <c r="TVZ40" s="3327"/>
      <c r="TWA40" s="3327"/>
      <c r="TWB40" s="3327"/>
      <c r="TWC40" s="3327"/>
      <c r="TWD40" s="3327"/>
      <c r="TWE40" s="3327"/>
      <c r="TWF40" s="3327"/>
      <c r="TWG40" s="3327"/>
      <c r="TWH40" s="3327"/>
      <c r="TWI40" s="3327"/>
      <c r="TWJ40" s="3327"/>
      <c r="TWK40" s="3327"/>
      <c r="TWL40" s="3327"/>
      <c r="TWM40" s="3327"/>
      <c r="TWN40" s="3327"/>
      <c r="TWO40" s="3327"/>
      <c r="TWP40" s="3327"/>
      <c r="TWQ40" s="3327"/>
      <c r="TWR40" s="3327"/>
      <c r="TWS40" s="3327"/>
      <c r="TWT40" s="3327"/>
      <c r="TWU40" s="3327"/>
      <c r="TWV40" s="3327"/>
      <c r="TWW40" s="3327"/>
      <c r="TWX40" s="3327"/>
      <c r="TWY40" s="3327"/>
      <c r="TWZ40" s="3327"/>
      <c r="TXA40" s="3327"/>
      <c r="TXB40" s="3327"/>
      <c r="TXC40" s="3327"/>
      <c r="TXD40" s="3327"/>
      <c r="TXE40" s="3327"/>
      <c r="TXF40" s="3327"/>
      <c r="TXG40" s="3327"/>
      <c r="TXH40" s="3327"/>
      <c r="TXI40" s="3327"/>
      <c r="TXJ40" s="3327"/>
      <c r="TXK40" s="3327"/>
      <c r="TXL40" s="3327"/>
      <c r="TXM40" s="3327"/>
      <c r="TXN40" s="3327"/>
      <c r="TXO40" s="3327"/>
      <c r="TXP40" s="3327"/>
      <c r="TXQ40" s="3327"/>
      <c r="TXR40" s="3327"/>
      <c r="TXS40" s="3327"/>
      <c r="TXT40" s="3327"/>
      <c r="TXU40" s="3327"/>
      <c r="TXV40" s="3327"/>
      <c r="TXW40" s="3327"/>
      <c r="TXX40" s="3327"/>
      <c r="TXY40" s="3327"/>
      <c r="TXZ40" s="3327"/>
      <c r="TYA40" s="3327"/>
      <c r="TYB40" s="3327"/>
      <c r="TYC40" s="3327"/>
      <c r="TYD40" s="3327"/>
      <c r="TYE40" s="3327"/>
      <c r="TYF40" s="3327"/>
      <c r="TYG40" s="3327"/>
      <c r="TYH40" s="3327"/>
      <c r="TYI40" s="3327"/>
      <c r="TYJ40" s="3327"/>
      <c r="TYK40" s="3327"/>
      <c r="TYL40" s="3327"/>
      <c r="TYM40" s="3327"/>
      <c r="TYN40" s="3327"/>
      <c r="TYO40" s="3327"/>
      <c r="TYP40" s="3327"/>
      <c r="TYQ40" s="3327"/>
      <c r="TYR40" s="3327"/>
      <c r="TYS40" s="3327"/>
      <c r="TYT40" s="3327"/>
      <c r="TYU40" s="3327"/>
      <c r="TYV40" s="3327"/>
      <c r="TYW40" s="3327"/>
      <c r="TYX40" s="3327"/>
      <c r="TYY40" s="3327"/>
      <c r="TYZ40" s="3327"/>
      <c r="TZA40" s="3327"/>
      <c r="TZB40" s="3327"/>
      <c r="TZC40" s="3327"/>
      <c r="TZD40" s="3327"/>
      <c r="TZE40" s="3327"/>
      <c r="TZF40" s="3327"/>
      <c r="TZG40" s="3327"/>
      <c r="TZH40" s="3327"/>
      <c r="TZI40" s="3327"/>
      <c r="TZJ40" s="3327"/>
      <c r="TZK40" s="3327"/>
      <c r="TZL40" s="3327"/>
      <c r="TZM40" s="3327"/>
      <c r="TZN40" s="3327"/>
      <c r="TZO40" s="3327"/>
      <c r="TZP40" s="3327"/>
      <c r="TZQ40" s="3327"/>
      <c r="TZR40" s="3327"/>
      <c r="TZS40" s="3327"/>
      <c r="TZT40" s="3327"/>
      <c r="TZU40" s="3327"/>
      <c r="TZV40" s="3327"/>
      <c r="TZW40" s="3327"/>
      <c r="TZX40" s="3327"/>
      <c r="TZY40" s="3327"/>
      <c r="TZZ40" s="3327"/>
      <c r="UAA40" s="3327"/>
      <c r="UAB40" s="3327"/>
      <c r="UAC40" s="3327"/>
      <c r="UAD40" s="3327"/>
      <c r="UAE40" s="3327"/>
      <c r="UAF40" s="3327"/>
      <c r="UAG40" s="3327"/>
      <c r="UAH40" s="3327"/>
      <c r="UAI40" s="3327"/>
      <c r="UAJ40" s="3327"/>
      <c r="UAK40" s="3327"/>
      <c r="UAL40" s="3327"/>
      <c r="UAM40" s="3327"/>
      <c r="UAN40" s="3327"/>
      <c r="UAO40" s="3327"/>
      <c r="UAP40" s="3327"/>
      <c r="UAQ40" s="3327"/>
      <c r="UAR40" s="3327"/>
      <c r="UAS40" s="3327"/>
      <c r="UAT40" s="3327"/>
      <c r="UAU40" s="3327"/>
      <c r="UAV40" s="3327"/>
      <c r="UAW40" s="3327"/>
      <c r="UAX40" s="3327"/>
      <c r="UAY40" s="3327"/>
      <c r="UAZ40" s="3327"/>
      <c r="UBA40" s="3327"/>
      <c r="UBB40" s="3327"/>
      <c r="UBC40" s="3327"/>
      <c r="UBD40" s="3327"/>
      <c r="UBE40" s="3327"/>
      <c r="UBF40" s="3327"/>
      <c r="UBG40" s="3327"/>
      <c r="UBH40" s="3327"/>
      <c r="UBI40" s="3327"/>
      <c r="UBJ40" s="3327"/>
      <c r="UBK40" s="3327"/>
      <c r="UBL40" s="3327"/>
      <c r="UBM40" s="3327"/>
      <c r="UBN40" s="3327"/>
      <c r="UBO40" s="3327"/>
      <c r="UBP40" s="3327"/>
      <c r="UBQ40" s="3327"/>
      <c r="UBR40" s="3327"/>
      <c r="UBS40" s="3327"/>
      <c r="UBT40" s="3327"/>
      <c r="UBU40" s="3327"/>
      <c r="UBV40" s="3327"/>
      <c r="UBW40" s="3327"/>
      <c r="UBX40" s="3327"/>
      <c r="UBY40" s="3327"/>
      <c r="UBZ40" s="3327"/>
      <c r="UCA40" s="3327"/>
      <c r="UCB40" s="3327"/>
      <c r="UCC40" s="3327"/>
      <c r="UCD40" s="3327"/>
      <c r="UCE40" s="3327"/>
      <c r="UCF40" s="3327"/>
      <c r="UCG40" s="3327"/>
      <c r="UCH40" s="3327"/>
      <c r="UCI40" s="3327"/>
      <c r="UCJ40" s="3327"/>
      <c r="UCK40" s="3327"/>
      <c r="UCL40" s="3327"/>
      <c r="UCM40" s="3327"/>
      <c r="UCN40" s="3327"/>
      <c r="UCO40" s="3327"/>
      <c r="UCP40" s="3327"/>
      <c r="UCQ40" s="3327"/>
      <c r="UCR40" s="3327"/>
      <c r="UCS40" s="3327"/>
      <c r="UCT40" s="3327"/>
      <c r="UCU40" s="3327"/>
      <c r="UCV40" s="3327"/>
      <c r="UCW40" s="3327"/>
      <c r="UCX40" s="3327"/>
      <c r="UCY40" s="3327"/>
      <c r="UCZ40" s="3327"/>
      <c r="UDA40" s="3327"/>
      <c r="UDB40" s="3327"/>
      <c r="UDC40" s="3327"/>
      <c r="UDD40" s="3327"/>
      <c r="UDE40" s="3327"/>
      <c r="UDF40" s="3327"/>
      <c r="UDG40" s="3327"/>
      <c r="UDH40" s="3327"/>
      <c r="UDI40" s="3327"/>
      <c r="UDJ40" s="3327"/>
      <c r="UDK40" s="3327"/>
      <c r="UDL40" s="3327"/>
      <c r="UDM40" s="3327"/>
      <c r="UDN40" s="3327"/>
      <c r="UDO40" s="3327"/>
      <c r="UDP40" s="3327"/>
      <c r="UDQ40" s="3327"/>
      <c r="UDR40" s="3327"/>
      <c r="UDS40" s="3327"/>
      <c r="UDT40" s="3327"/>
      <c r="UDU40" s="3327"/>
      <c r="UDV40" s="3327"/>
      <c r="UDW40" s="3327"/>
      <c r="UDX40" s="3327"/>
      <c r="UDY40" s="3327"/>
      <c r="UDZ40" s="3327"/>
      <c r="UEA40" s="3327"/>
      <c r="UEB40" s="3327"/>
      <c r="UEC40" s="3327"/>
      <c r="UED40" s="3327"/>
      <c r="UEE40" s="3327"/>
      <c r="UEF40" s="3327"/>
      <c r="UEG40" s="3327"/>
      <c r="UEH40" s="3327"/>
      <c r="UEI40" s="3327"/>
      <c r="UEJ40" s="3327"/>
      <c r="UEK40" s="3327"/>
      <c r="UEL40" s="3327"/>
      <c r="UEM40" s="3327"/>
      <c r="UEN40" s="3327"/>
      <c r="UEO40" s="3327"/>
      <c r="UEP40" s="3327"/>
      <c r="UEQ40" s="3327"/>
      <c r="UER40" s="3327"/>
      <c r="UES40" s="3327"/>
      <c r="UET40" s="3327"/>
      <c r="UEU40" s="3327"/>
      <c r="UEV40" s="3327"/>
      <c r="UEW40" s="3327"/>
      <c r="UEX40" s="3327"/>
      <c r="UEY40" s="3327"/>
      <c r="UEZ40" s="3327"/>
      <c r="UFA40" s="3327"/>
      <c r="UFB40" s="3327"/>
      <c r="UFC40" s="3327"/>
      <c r="UFD40" s="3327"/>
      <c r="UFE40" s="3327"/>
      <c r="UFF40" s="3327"/>
      <c r="UFG40" s="3327"/>
      <c r="UFH40" s="3327"/>
      <c r="UFI40" s="3327"/>
      <c r="UFJ40" s="3327"/>
      <c r="UFK40" s="3327"/>
      <c r="UFL40" s="3327"/>
      <c r="UFM40" s="3327"/>
      <c r="UFN40" s="3327"/>
      <c r="UFO40" s="3327"/>
      <c r="UFP40" s="3327"/>
      <c r="UFQ40" s="3327"/>
      <c r="UFR40" s="3327"/>
      <c r="UFS40" s="3327"/>
      <c r="UFT40" s="3327"/>
      <c r="UFU40" s="3327"/>
      <c r="UFV40" s="3327"/>
      <c r="UFW40" s="3327"/>
      <c r="UFX40" s="3327"/>
      <c r="UFY40" s="3327"/>
      <c r="UFZ40" s="3327"/>
      <c r="UGA40" s="3327"/>
      <c r="UGB40" s="3327"/>
      <c r="UGC40" s="3327"/>
      <c r="UGD40" s="3327"/>
      <c r="UGE40" s="3327"/>
      <c r="UGF40" s="3327"/>
      <c r="UGG40" s="3327"/>
      <c r="UGH40" s="3327"/>
      <c r="UGI40" s="3327"/>
      <c r="UGJ40" s="3327"/>
      <c r="UGK40" s="3327"/>
      <c r="UGL40" s="3327"/>
      <c r="UGM40" s="3327"/>
      <c r="UGN40" s="3327"/>
      <c r="UGO40" s="3327"/>
      <c r="UGP40" s="3327"/>
      <c r="UGQ40" s="3327"/>
      <c r="UGR40" s="3327"/>
      <c r="UGS40" s="3327"/>
      <c r="UGT40" s="3327"/>
      <c r="UGU40" s="3327"/>
      <c r="UGV40" s="3327"/>
      <c r="UGW40" s="3327"/>
      <c r="UGX40" s="3327"/>
      <c r="UGY40" s="3327"/>
      <c r="UGZ40" s="3327"/>
      <c r="UHA40" s="3327"/>
      <c r="UHB40" s="3327"/>
      <c r="UHC40" s="3327"/>
      <c r="UHD40" s="3327"/>
      <c r="UHE40" s="3327"/>
      <c r="UHF40" s="3327"/>
      <c r="UHG40" s="3327"/>
      <c r="UHH40" s="3327"/>
      <c r="UHI40" s="3327"/>
      <c r="UHJ40" s="3327"/>
      <c r="UHK40" s="3327"/>
      <c r="UHL40" s="3327"/>
      <c r="UHM40" s="3327"/>
      <c r="UHN40" s="3327"/>
      <c r="UHO40" s="3327"/>
      <c r="UHP40" s="3327"/>
      <c r="UHQ40" s="3327"/>
      <c r="UHR40" s="3327"/>
      <c r="UHS40" s="3327"/>
      <c r="UHT40" s="3327"/>
      <c r="UHU40" s="3327"/>
      <c r="UHV40" s="3327"/>
      <c r="UHW40" s="3327"/>
      <c r="UHX40" s="3327"/>
      <c r="UHY40" s="3327"/>
      <c r="UHZ40" s="3327"/>
      <c r="UIA40" s="3327"/>
      <c r="UIB40" s="3327"/>
      <c r="UIC40" s="3327"/>
      <c r="UID40" s="3327"/>
      <c r="UIE40" s="3327"/>
      <c r="UIF40" s="3327"/>
      <c r="UIG40" s="3327"/>
      <c r="UIH40" s="3327"/>
      <c r="UII40" s="3327"/>
      <c r="UIJ40" s="3327"/>
      <c r="UIK40" s="3327"/>
      <c r="UIL40" s="3327"/>
      <c r="UIM40" s="3327"/>
      <c r="UIN40" s="3327"/>
      <c r="UIO40" s="3327"/>
      <c r="UIP40" s="3327"/>
      <c r="UIQ40" s="3327"/>
      <c r="UIR40" s="3327"/>
      <c r="UIS40" s="3327"/>
      <c r="UIT40" s="3327"/>
      <c r="UIU40" s="3327"/>
      <c r="UIV40" s="3327"/>
      <c r="UIW40" s="3327"/>
      <c r="UIX40" s="3327"/>
      <c r="UIY40" s="3327"/>
      <c r="UIZ40" s="3327"/>
      <c r="UJA40" s="3327"/>
      <c r="UJB40" s="3327"/>
      <c r="UJC40" s="3327"/>
      <c r="UJD40" s="3327"/>
      <c r="UJE40" s="3327"/>
      <c r="UJF40" s="3327"/>
      <c r="UJG40" s="3327"/>
      <c r="UJH40" s="3327"/>
      <c r="UJI40" s="3327"/>
      <c r="UJJ40" s="3327"/>
      <c r="UJK40" s="3327"/>
      <c r="UJL40" s="3327"/>
      <c r="UJM40" s="3327"/>
      <c r="UJN40" s="3327"/>
      <c r="UJO40" s="3327"/>
      <c r="UJP40" s="3327"/>
      <c r="UJQ40" s="3327"/>
      <c r="UJR40" s="3327"/>
      <c r="UJS40" s="3327"/>
      <c r="UJT40" s="3327"/>
      <c r="UJU40" s="3327"/>
      <c r="UJV40" s="3327"/>
      <c r="UJW40" s="3327"/>
      <c r="UJX40" s="3327"/>
      <c r="UJY40" s="3327"/>
      <c r="UJZ40" s="3327"/>
      <c r="UKA40" s="3327"/>
      <c r="UKB40" s="3327"/>
      <c r="UKC40" s="3327"/>
      <c r="UKD40" s="3327"/>
      <c r="UKE40" s="3327"/>
      <c r="UKF40" s="3327"/>
      <c r="UKG40" s="3327"/>
      <c r="UKH40" s="3327"/>
      <c r="UKI40" s="3327"/>
      <c r="UKJ40" s="3327"/>
      <c r="UKK40" s="3327"/>
      <c r="UKL40" s="3327"/>
      <c r="UKM40" s="3327"/>
      <c r="UKN40" s="3327"/>
      <c r="UKO40" s="3327"/>
      <c r="UKP40" s="3327"/>
      <c r="UKQ40" s="3327"/>
      <c r="UKR40" s="3327"/>
      <c r="UKS40" s="3327"/>
      <c r="UKT40" s="3327"/>
      <c r="UKU40" s="3327"/>
      <c r="UKV40" s="3327"/>
      <c r="UKW40" s="3327"/>
      <c r="UKX40" s="3327"/>
      <c r="UKY40" s="3327"/>
      <c r="UKZ40" s="3327"/>
      <c r="ULA40" s="3327"/>
      <c r="ULB40" s="3327"/>
      <c r="ULC40" s="3327"/>
      <c r="ULD40" s="3327"/>
      <c r="ULE40" s="3327"/>
      <c r="ULF40" s="3327"/>
      <c r="ULG40" s="3327"/>
      <c r="ULH40" s="3327"/>
      <c r="ULI40" s="3327"/>
      <c r="ULJ40" s="3327"/>
      <c r="ULK40" s="3327"/>
      <c r="ULL40" s="3327"/>
      <c r="ULM40" s="3327"/>
      <c r="ULN40" s="3327"/>
      <c r="ULO40" s="3327"/>
      <c r="ULP40" s="3327"/>
      <c r="ULQ40" s="3327"/>
      <c r="ULR40" s="3327"/>
      <c r="ULS40" s="3327"/>
      <c r="ULT40" s="3327"/>
      <c r="ULU40" s="3327"/>
      <c r="ULV40" s="3327"/>
      <c r="ULW40" s="3327"/>
      <c r="ULX40" s="3327"/>
      <c r="ULY40" s="3327"/>
      <c r="ULZ40" s="3327"/>
      <c r="UMA40" s="3327"/>
      <c r="UMB40" s="3327"/>
      <c r="UMC40" s="3327"/>
      <c r="UMD40" s="3327"/>
      <c r="UME40" s="3327"/>
      <c r="UMF40" s="3327"/>
      <c r="UMG40" s="3327"/>
      <c r="UMH40" s="3327"/>
      <c r="UMI40" s="3327"/>
      <c r="UMJ40" s="3327"/>
      <c r="UMK40" s="3327"/>
      <c r="UML40" s="3327"/>
      <c r="UMM40" s="3327"/>
      <c r="UMN40" s="3327"/>
      <c r="UMO40" s="3327"/>
      <c r="UMP40" s="3327"/>
      <c r="UMQ40" s="3327"/>
      <c r="UMR40" s="3327"/>
      <c r="UMS40" s="3327"/>
      <c r="UMT40" s="3327"/>
      <c r="UMU40" s="3327"/>
      <c r="UMV40" s="3327"/>
      <c r="UMW40" s="3327"/>
      <c r="UMX40" s="3327"/>
      <c r="UMY40" s="3327"/>
      <c r="UMZ40" s="3327"/>
      <c r="UNA40" s="3327"/>
      <c r="UNB40" s="3327"/>
      <c r="UNC40" s="3327"/>
      <c r="UND40" s="3327"/>
      <c r="UNE40" s="3327"/>
      <c r="UNF40" s="3327"/>
      <c r="UNG40" s="3327"/>
      <c r="UNH40" s="3327"/>
      <c r="UNI40" s="3327"/>
      <c r="UNJ40" s="3327"/>
      <c r="UNK40" s="3327"/>
      <c r="UNL40" s="3327"/>
      <c r="UNM40" s="3327"/>
      <c r="UNN40" s="3327"/>
      <c r="UNO40" s="3327"/>
      <c r="UNP40" s="3327"/>
      <c r="UNQ40" s="3327"/>
      <c r="UNR40" s="3327"/>
      <c r="UNS40" s="3327"/>
      <c r="UNT40" s="3327"/>
      <c r="UNU40" s="3327"/>
      <c r="UNV40" s="3327"/>
      <c r="UNW40" s="3327"/>
      <c r="UNX40" s="3327"/>
      <c r="UNY40" s="3327"/>
      <c r="UNZ40" s="3327"/>
      <c r="UOA40" s="3327"/>
      <c r="UOB40" s="3327"/>
      <c r="UOC40" s="3327"/>
      <c r="UOD40" s="3327"/>
      <c r="UOE40" s="3327"/>
      <c r="UOF40" s="3327"/>
      <c r="UOG40" s="3327"/>
      <c r="UOH40" s="3327"/>
      <c r="UOI40" s="3327"/>
      <c r="UOJ40" s="3327"/>
      <c r="UOK40" s="3327"/>
      <c r="UOL40" s="3327"/>
      <c r="UOM40" s="3327"/>
      <c r="UON40" s="3327"/>
      <c r="UOO40" s="3327"/>
      <c r="UOP40" s="3327"/>
      <c r="UOQ40" s="3327"/>
      <c r="UOR40" s="3327"/>
      <c r="UOS40" s="3327"/>
      <c r="UOT40" s="3327"/>
      <c r="UOU40" s="3327"/>
      <c r="UOV40" s="3327"/>
      <c r="UOW40" s="3327"/>
      <c r="UOX40" s="3327"/>
      <c r="UOY40" s="3327"/>
      <c r="UOZ40" s="3327"/>
      <c r="UPA40" s="3327"/>
      <c r="UPB40" s="3327"/>
      <c r="UPC40" s="3327"/>
      <c r="UPD40" s="3327"/>
      <c r="UPE40" s="3327"/>
      <c r="UPF40" s="3327"/>
      <c r="UPG40" s="3327"/>
      <c r="UPH40" s="3327"/>
      <c r="UPI40" s="3327"/>
      <c r="UPJ40" s="3327"/>
      <c r="UPK40" s="3327"/>
      <c r="UPL40" s="3327"/>
      <c r="UPM40" s="3327"/>
      <c r="UPN40" s="3327"/>
      <c r="UPO40" s="3327"/>
      <c r="UPP40" s="3327"/>
      <c r="UPQ40" s="3327"/>
      <c r="UPR40" s="3327"/>
      <c r="UPS40" s="3327"/>
      <c r="UPT40" s="3327"/>
      <c r="UPU40" s="3327"/>
      <c r="UPV40" s="3327"/>
      <c r="UPW40" s="3327"/>
      <c r="UPX40" s="3327"/>
      <c r="UPY40" s="3327"/>
      <c r="UPZ40" s="3327"/>
      <c r="UQA40" s="3327"/>
      <c r="UQB40" s="3327"/>
      <c r="UQC40" s="3327"/>
      <c r="UQD40" s="3327"/>
      <c r="UQE40" s="3327"/>
      <c r="UQF40" s="3327"/>
      <c r="UQG40" s="3327"/>
      <c r="UQH40" s="3327"/>
      <c r="UQI40" s="3327"/>
      <c r="UQJ40" s="3327"/>
      <c r="UQK40" s="3327"/>
      <c r="UQL40" s="3327"/>
      <c r="UQM40" s="3327"/>
      <c r="UQN40" s="3327"/>
      <c r="UQO40" s="3327"/>
      <c r="UQP40" s="3327"/>
      <c r="UQQ40" s="3327"/>
      <c r="UQR40" s="3327"/>
      <c r="UQS40" s="3327"/>
      <c r="UQT40" s="3327"/>
      <c r="UQU40" s="3327"/>
      <c r="UQV40" s="3327"/>
      <c r="UQW40" s="3327"/>
      <c r="UQX40" s="3327"/>
      <c r="UQY40" s="3327"/>
      <c r="UQZ40" s="3327"/>
      <c r="URA40" s="3327"/>
      <c r="URB40" s="3327"/>
      <c r="URC40" s="3327"/>
      <c r="URD40" s="3327"/>
      <c r="URE40" s="3327"/>
      <c r="URF40" s="3327"/>
      <c r="URG40" s="3327"/>
      <c r="URH40" s="3327"/>
      <c r="URI40" s="3327"/>
      <c r="URJ40" s="3327"/>
      <c r="URK40" s="3327"/>
      <c r="URL40" s="3327"/>
      <c r="URM40" s="3327"/>
      <c r="URN40" s="3327"/>
      <c r="URO40" s="3327"/>
      <c r="URP40" s="3327"/>
      <c r="URQ40" s="3327"/>
      <c r="URR40" s="3327"/>
      <c r="URS40" s="3327"/>
      <c r="URT40" s="3327"/>
      <c r="URU40" s="3327"/>
      <c r="URV40" s="3327"/>
      <c r="URW40" s="3327"/>
      <c r="URX40" s="3327"/>
      <c r="URY40" s="3327"/>
      <c r="URZ40" s="3327"/>
      <c r="USA40" s="3327"/>
      <c r="USB40" s="3327"/>
      <c r="USC40" s="3327"/>
      <c r="USD40" s="3327"/>
      <c r="USE40" s="3327"/>
      <c r="USF40" s="3327"/>
      <c r="USG40" s="3327"/>
      <c r="USH40" s="3327"/>
      <c r="USI40" s="3327"/>
      <c r="USJ40" s="3327"/>
      <c r="USK40" s="3327"/>
      <c r="USL40" s="3327"/>
      <c r="USM40" s="3327"/>
      <c r="USN40" s="3327"/>
      <c r="USO40" s="3327"/>
      <c r="USP40" s="3327"/>
      <c r="USQ40" s="3327"/>
      <c r="USR40" s="3327"/>
      <c r="USS40" s="3327"/>
      <c r="UST40" s="3327"/>
      <c r="USU40" s="3327"/>
      <c r="USV40" s="3327"/>
      <c r="USW40" s="3327"/>
      <c r="USX40" s="3327"/>
      <c r="USY40" s="3327"/>
      <c r="USZ40" s="3327"/>
      <c r="UTA40" s="3327"/>
      <c r="UTB40" s="3327"/>
      <c r="UTC40" s="3327"/>
      <c r="UTD40" s="3327"/>
      <c r="UTE40" s="3327"/>
      <c r="UTF40" s="3327"/>
      <c r="UTG40" s="3327"/>
      <c r="UTH40" s="3327"/>
      <c r="UTI40" s="3327"/>
      <c r="UTJ40" s="3327"/>
      <c r="UTK40" s="3327"/>
      <c r="UTL40" s="3327"/>
      <c r="UTM40" s="3327"/>
      <c r="UTN40" s="3327"/>
      <c r="UTO40" s="3327"/>
      <c r="UTP40" s="3327"/>
      <c r="UTQ40" s="3327"/>
      <c r="UTR40" s="3327"/>
      <c r="UTS40" s="3327"/>
      <c r="UTT40" s="3327"/>
      <c r="UTU40" s="3327"/>
      <c r="UTV40" s="3327"/>
      <c r="UTW40" s="3327"/>
      <c r="UTX40" s="3327"/>
      <c r="UTY40" s="3327"/>
      <c r="UTZ40" s="3327"/>
      <c r="UUA40" s="3327"/>
      <c r="UUB40" s="3327"/>
      <c r="UUC40" s="3327"/>
      <c r="UUD40" s="3327"/>
      <c r="UUE40" s="3327"/>
      <c r="UUF40" s="3327"/>
      <c r="UUG40" s="3327"/>
      <c r="UUH40" s="3327"/>
      <c r="UUI40" s="3327"/>
      <c r="UUJ40" s="3327"/>
      <c r="UUK40" s="3327"/>
      <c r="UUL40" s="3327"/>
      <c r="UUM40" s="3327"/>
      <c r="UUN40" s="3327"/>
      <c r="UUO40" s="3327"/>
      <c r="UUP40" s="3327"/>
      <c r="UUQ40" s="3327"/>
      <c r="UUR40" s="3327"/>
      <c r="UUS40" s="3327"/>
      <c r="UUT40" s="3327"/>
      <c r="UUU40" s="3327"/>
      <c r="UUV40" s="3327"/>
      <c r="UUW40" s="3327"/>
      <c r="UUX40" s="3327"/>
      <c r="UUY40" s="3327"/>
      <c r="UUZ40" s="3327"/>
      <c r="UVA40" s="3327"/>
      <c r="UVB40" s="3327"/>
      <c r="UVC40" s="3327"/>
      <c r="UVD40" s="3327"/>
      <c r="UVE40" s="3327"/>
      <c r="UVF40" s="3327"/>
      <c r="UVG40" s="3327"/>
      <c r="UVH40" s="3327"/>
      <c r="UVI40" s="3327"/>
      <c r="UVJ40" s="3327"/>
      <c r="UVK40" s="3327"/>
      <c r="UVL40" s="3327"/>
      <c r="UVM40" s="3327"/>
      <c r="UVN40" s="3327"/>
      <c r="UVO40" s="3327"/>
      <c r="UVP40" s="3327"/>
      <c r="UVQ40" s="3327"/>
      <c r="UVR40" s="3327"/>
      <c r="UVS40" s="3327"/>
      <c r="UVT40" s="3327"/>
      <c r="UVU40" s="3327"/>
      <c r="UVV40" s="3327"/>
      <c r="UVW40" s="3327"/>
      <c r="UVX40" s="3327"/>
      <c r="UVY40" s="3327"/>
      <c r="UVZ40" s="3327"/>
      <c r="UWA40" s="3327"/>
      <c r="UWB40" s="3327"/>
      <c r="UWC40" s="3327"/>
      <c r="UWD40" s="3327"/>
      <c r="UWE40" s="3327"/>
      <c r="UWF40" s="3327"/>
      <c r="UWG40" s="3327"/>
      <c r="UWH40" s="3327"/>
      <c r="UWI40" s="3327"/>
      <c r="UWJ40" s="3327"/>
      <c r="UWK40" s="3327"/>
      <c r="UWL40" s="3327"/>
      <c r="UWM40" s="3327"/>
      <c r="UWN40" s="3327"/>
      <c r="UWO40" s="3327"/>
      <c r="UWP40" s="3327"/>
      <c r="UWQ40" s="3327"/>
      <c r="UWR40" s="3327"/>
      <c r="UWS40" s="3327"/>
      <c r="UWT40" s="3327"/>
      <c r="UWU40" s="3327"/>
      <c r="UWV40" s="3327"/>
      <c r="UWW40" s="3327"/>
      <c r="UWX40" s="3327"/>
      <c r="UWY40" s="3327"/>
      <c r="UWZ40" s="3327"/>
      <c r="UXA40" s="3327"/>
      <c r="UXB40" s="3327"/>
      <c r="UXC40" s="3327"/>
      <c r="UXD40" s="3327"/>
      <c r="UXE40" s="3327"/>
      <c r="UXF40" s="3327"/>
      <c r="UXG40" s="3327"/>
      <c r="UXH40" s="3327"/>
      <c r="UXI40" s="3327"/>
      <c r="UXJ40" s="3327"/>
      <c r="UXK40" s="3327"/>
      <c r="UXL40" s="3327"/>
      <c r="UXM40" s="3327"/>
      <c r="UXN40" s="3327"/>
      <c r="UXO40" s="3327"/>
      <c r="UXP40" s="3327"/>
      <c r="UXQ40" s="3327"/>
      <c r="UXR40" s="3327"/>
      <c r="UXS40" s="3327"/>
      <c r="UXT40" s="3327"/>
      <c r="UXU40" s="3327"/>
      <c r="UXV40" s="3327"/>
      <c r="UXW40" s="3327"/>
      <c r="UXX40" s="3327"/>
      <c r="UXY40" s="3327"/>
      <c r="UXZ40" s="3327"/>
      <c r="UYA40" s="3327"/>
      <c r="UYB40" s="3327"/>
      <c r="UYC40" s="3327"/>
      <c r="UYD40" s="3327"/>
      <c r="UYE40" s="3327"/>
      <c r="UYF40" s="3327"/>
      <c r="UYG40" s="3327"/>
      <c r="UYH40" s="3327"/>
      <c r="UYI40" s="3327"/>
      <c r="UYJ40" s="3327"/>
      <c r="UYK40" s="3327"/>
      <c r="UYL40" s="3327"/>
      <c r="UYM40" s="3327"/>
      <c r="UYN40" s="3327"/>
      <c r="UYO40" s="3327"/>
      <c r="UYP40" s="3327"/>
      <c r="UYQ40" s="3327"/>
      <c r="UYR40" s="3327"/>
      <c r="UYS40" s="3327"/>
      <c r="UYT40" s="3327"/>
      <c r="UYU40" s="3327"/>
      <c r="UYV40" s="3327"/>
      <c r="UYW40" s="3327"/>
      <c r="UYX40" s="3327"/>
      <c r="UYY40" s="3327"/>
      <c r="UYZ40" s="3327"/>
      <c r="UZA40" s="3327"/>
      <c r="UZB40" s="3327"/>
      <c r="UZC40" s="3327"/>
      <c r="UZD40" s="3327"/>
      <c r="UZE40" s="3327"/>
      <c r="UZF40" s="3327"/>
      <c r="UZG40" s="3327"/>
      <c r="UZH40" s="3327"/>
      <c r="UZI40" s="3327"/>
      <c r="UZJ40" s="3327"/>
      <c r="UZK40" s="3327"/>
      <c r="UZL40" s="3327"/>
      <c r="UZM40" s="3327"/>
      <c r="UZN40" s="3327"/>
      <c r="UZO40" s="3327"/>
      <c r="UZP40" s="3327"/>
      <c r="UZQ40" s="3327"/>
      <c r="UZR40" s="3327"/>
      <c r="UZS40" s="3327"/>
      <c r="UZT40" s="3327"/>
      <c r="UZU40" s="3327"/>
      <c r="UZV40" s="3327"/>
      <c r="UZW40" s="3327"/>
      <c r="UZX40" s="3327"/>
      <c r="UZY40" s="3327"/>
      <c r="UZZ40" s="3327"/>
      <c r="VAA40" s="3327"/>
      <c r="VAB40" s="3327"/>
      <c r="VAC40" s="3327"/>
      <c r="VAD40" s="3327"/>
      <c r="VAE40" s="3327"/>
      <c r="VAF40" s="3327"/>
      <c r="VAG40" s="3327"/>
      <c r="VAH40" s="3327"/>
      <c r="VAI40" s="3327"/>
      <c r="VAJ40" s="3327"/>
      <c r="VAK40" s="3327"/>
      <c r="VAL40" s="3327"/>
      <c r="VAM40" s="3327"/>
      <c r="VAN40" s="3327"/>
      <c r="VAO40" s="3327"/>
      <c r="VAP40" s="3327"/>
      <c r="VAQ40" s="3327"/>
      <c r="VAR40" s="3327"/>
      <c r="VAS40" s="3327"/>
      <c r="VAT40" s="3327"/>
      <c r="VAU40" s="3327"/>
      <c r="VAV40" s="3327"/>
      <c r="VAW40" s="3327"/>
      <c r="VAX40" s="3327"/>
      <c r="VAY40" s="3327"/>
      <c r="VAZ40" s="3327"/>
      <c r="VBA40" s="3327"/>
      <c r="VBB40" s="3327"/>
      <c r="VBC40" s="3327"/>
      <c r="VBD40" s="3327"/>
      <c r="VBE40" s="3327"/>
      <c r="VBF40" s="3327"/>
      <c r="VBG40" s="3327"/>
      <c r="VBH40" s="3327"/>
      <c r="VBI40" s="3327"/>
      <c r="VBJ40" s="3327"/>
      <c r="VBK40" s="3327"/>
      <c r="VBL40" s="3327"/>
      <c r="VBM40" s="3327"/>
      <c r="VBN40" s="3327"/>
      <c r="VBO40" s="3327"/>
      <c r="VBP40" s="3327"/>
      <c r="VBQ40" s="3327"/>
      <c r="VBR40" s="3327"/>
      <c r="VBS40" s="3327"/>
      <c r="VBT40" s="3327"/>
      <c r="VBU40" s="3327"/>
      <c r="VBV40" s="3327"/>
      <c r="VBW40" s="3327"/>
      <c r="VBX40" s="3327"/>
      <c r="VBY40" s="3327"/>
      <c r="VBZ40" s="3327"/>
      <c r="VCA40" s="3327"/>
      <c r="VCB40" s="3327"/>
      <c r="VCC40" s="3327"/>
      <c r="VCD40" s="3327"/>
      <c r="VCE40" s="3327"/>
      <c r="VCF40" s="3327"/>
      <c r="VCG40" s="3327"/>
      <c r="VCH40" s="3327"/>
      <c r="VCI40" s="3327"/>
      <c r="VCJ40" s="3327"/>
      <c r="VCK40" s="3327"/>
      <c r="VCL40" s="3327"/>
      <c r="VCM40" s="3327"/>
      <c r="VCN40" s="3327"/>
      <c r="VCO40" s="3327"/>
      <c r="VCP40" s="3327"/>
      <c r="VCQ40" s="3327"/>
      <c r="VCR40" s="3327"/>
      <c r="VCS40" s="3327"/>
      <c r="VCT40" s="3327"/>
      <c r="VCU40" s="3327"/>
      <c r="VCV40" s="3327"/>
      <c r="VCW40" s="3327"/>
      <c r="VCX40" s="3327"/>
      <c r="VCY40" s="3327"/>
      <c r="VCZ40" s="3327"/>
      <c r="VDA40" s="3327"/>
      <c r="VDB40" s="3327"/>
      <c r="VDC40" s="3327"/>
      <c r="VDD40" s="3327"/>
      <c r="VDE40" s="3327"/>
      <c r="VDF40" s="3327"/>
      <c r="VDG40" s="3327"/>
      <c r="VDH40" s="3327"/>
      <c r="VDI40" s="3327"/>
      <c r="VDJ40" s="3327"/>
      <c r="VDK40" s="3327"/>
      <c r="VDL40" s="3327"/>
      <c r="VDM40" s="3327"/>
      <c r="VDN40" s="3327"/>
      <c r="VDO40" s="3327"/>
      <c r="VDP40" s="3327"/>
      <c r="VDQ40" s="3327"/>
      <c r="VDR40" s="3327"/>
      <c r="VDS40" s="3327"/>
      <c r="VDT40" s="3327"/>
      <c r="VDU40" s="3327"/>
      <c r="VDV40" s="3327"/>
      <c r="VDW40" s="3327"/>
      <c r="VDX40" s="3327"/>
      <c r="VDY40" s="3327"/>
      <c r="VDZ40" s="3327"/>
      <c r="VEA40" s="3327"/>
      <c r="VEB40" s="3327"/>
      <c r="VEC40" s="3327"/>
      <c r="VED40" s="3327"/>
      <c r="VEE40" s="3327"/>
      <c r="VEF40" s="3327"/>
      <c r="VEG40" s="3327"/>
      <c r="VEH40" s="3327"/>
      <c r="VEI40" s="3327"/>
      <c r="VEJ40" s="3327"/>
      <c r="VEK40" s="3327"/>
      <c r="VEL40" s="3327"/>
      <c r="VEM40" s="3327"/>
      <c r="VEN40" s="3327"/>
      <c r="VEO40" s="3327"/>
      <c r="VEP40" s="3327"/>
      <c r="VEQ40" s="3327"/>
      <c r="VER40" s="3327"/>
      <c r="VES40" s="3327"/>
      <c r="VET40" s="3327"/>
      <c r="VEU40" s="3327"/>
      <c r="VEV40" s="3327"/>
      <c r="VEW40" s="3327"/>
      <c r="VEX40" s="3327"/>
      <c r="VEY40" s="3327"/>
      <c r="VEZ40" s="3327"/>
      <c r="VFA40" s="3327"/>
      <c r="VFB40" s="3327"/>
      <c r="VFC40" s="3327"/>
      <c r="VFD40" s="3327"/>
      <c r="VFE40" s="3327"/>
      <c r="VFF40" s="3327"/>
      <c r="VFG40" s="3327"/>
      <c r="VFH40" s="3327"/>
      <c r="VFI40" s="3327"/>
      <c r="VFJ40" s="3327"/>
      <c r="VFK40" s="3327"/>
      <c r="VFL40" s="3327"/>
      <c r="VFM40" s="3327"/>
      <c r="VFN40" s="3327"/>
      <c r="VFO40" s="3327"/>
      <c r="VFP40" s="3327"/>
      <c r="VFQ40" s="3327"/>
      <c r="VFR40" s="3327"/>
      <c r="VFS40" s="3327"/>
      <c r="VFT40" s="3327"/>
      <c r="VFU40" s="3327"/>
      <c r="VFV40" s="3327"/>
      <c r="VFW40" s="3327"/>
      <c r="VFX40" s="3327"/>
      <c r="VFY40" s="3327"/>
      <c r="VFZ40" s="3327"/>
      <c r="VGA40" s="3327"/>
      <c r="VGB40" s="3327"/>
      <c r="VGC40" s="3327"/>
      <c r="VGD40" s="3327"/>
      <c r="VGE40" s="3327"/>
      <c r="VGF40" s="3327"/>
      <c r="VGG40" s="3327"/>
      <c r="VGH40" s="3327"/>
      <c r="VGI40" s="3327"/>
      <c r="VGJ40" s="3327"/>
      <c r="VGK40" s="3327"/>
      <c r="VGL40" s="3327"/>
      <c r="VGM40" s="3327"/>
      <c r="VGN40" s="3327"/>
      <c r="VGO40" s="3327"/>
      <c r="VGP40" s="3327"/>
      <c r="VGQ40" s="3327"/>
      <c r="VGR40" s="3327"/>
      <c r="VGS40" s="3327"/>
      <c r="VGT40" s="3327"/>
      <c r="VGU40" s="3327"/>
      <c r="VGV40" s="3327"/>
      <c r="VGW40" s="3327"/>
      <c r="VGX40" s="3327"/>
      <c r="VGY40" s="3327"/>
      <c r="VGZ40" s="3327"/>
      <c r="VHA40" s="3327"/>
      <c r="VHB40" s="3327"/>
      <c r="VHC40" s="3327"/>
      <c r="VHD40" s="3327"/>
      <c r="VHE40" s="3327"/>
      <c r="VHF40" s="3327"/>
      <c r="VHG40" s="3327"/>
      <c r="VHH40" s="3327"/>
      <c r="VHI40" s="3327"/>
      <c r="VHJ40" s="3327"/>
      <c r="VHK40" s="3327"/>
      <c r="VHL40" s="3327"/>
      <c r="VHM40" s="3327"/>
      <c r="VHN40" s="3327"/>
      <c r="VHO40" s="3327"/>
      <c r="VHP40" s="3327"/>
      <c r="VHQ40" s="3327"/>
      <c r="VHR40" s="3327"/>
      <c r="VHS40" s="3327"/>
      <c r="VHT40" s="3327"/>
      <c r="VHU40" s="3327"/>
      <c r="VHV40" s="3327"/>
      <c r="VHW40" s="3327"/>
      <c r="VHX40" s="3327"/>
      <c r="VHY40" s="3327"/>
      <c r="VHZ40" s="3327"/>
      <c r="VIA40" s="3327"/>
      <c r="VIB40" s="3327"/>
      <c r="VIC40" s="3327"/>
      <c r="VID40" s="3327"/>
      <c r="VIE40" s="3327"/>
      <c r="VIF40" s="3327"/>
      <c r="VIG40" s="3327"/>
      <c r="VIH40" s="3327"/>
      <c r="VII40" s="3327"/>
      <c r="VIJ40" s="3327"/>
      <c r="VIK40" s="3327"/>
      <c r="VIL40" s="3327"/>
      <c r="VIM40" s="3327"/>
      <c r="VIN40" s="3327"/>
      <c r="VIO40" s="3327"/>
      <c r="VIP40" s="3327"/>
      <c r="VIQ40" s="3327"/>
      <c r="VIR40" s="3327"/>
      <c r="VIS40" s="3327"/>
      <c r="VIT40" s="3327"/>
      <c r="VIU40" s="3327"/>
      <c r="VIV40" s="3327"/>
      <c r="VIW40" s="3327"/>
      <c r="VIX40" s="3327"/>
      <c r="VIY40" s="3327"/>
      <c r="VIZ40" s="3327"/>
      <c r="VJA40" s="3327"/>
      <c r="VJB40" s="3327"/>
      <c r="VJC40" s="3327"/>
      <c r="VJD40" s="3327"/>
      <c r="VJE40" s="3327"/>
      <c r="VJF40" s="3327"/>
      <c r="VJG40" s="3327"/>
      <c r="VJH40" s="3327"/>
      <c r="VJI40" s="3327"/>
      <c r="VJJ40" s="3327"/>
      <c r="VJK40" s="3327"/>
      <c r="VJL40" s="3327"/>
      <c r="VJM40" s="3327"/>
      <c r="VJN40" s="3327"/>
      <c r="VJO40" s="3327"/>
      <c r="VJP40" s="3327"/>
      <c r="VJQ40" s="3327"/>
      <c r="VJR40" s="3327"/>
      <c r="VJS40" s="3327"/>
      <c r="VJT40" s="3327"/>
      <c r="VJU40" s="3327"/>
      <c r="VJV40" s="3327"/>
      <c r="VJW40" s="3327"/>
      <c r="VJX40" s="3327"/>
      <c r="VJY40" s="3327"/>
      <c r="VJZ40" s="3327"/>
      <c r="VKA40" s="3327"/>
      <c r="VKB40" s="3327"/>
      <c r="VKC40" s="3327"/>
      <c r="VKD40" s="3327"/>
      <c r="VKE40" s="3327"/>
      <c r="VKF40" s="3327"/>
      <c r="VKG40" s="3327"/>
      <c r="VKH40" s="3327"/>
      <c r="VKI40" s="3327"/>
      <c r="VKJ40" s="3327"/>
      <c r="VKK40" s="3327"/>
      <c r="VKL40" s="3327"/>
      <c r="VKM40" s="3327"/>
      <c r="VKN40" s="3327"/>
      <c r="VKO40" s="3327"/>
      <c r="VKP40" s="3327"/>
      <c r="VKQ40" s="3327"/>
      <c r="VKR40" s="3327"/>
      <c r="VKS40" s="3327"/>
      <c r="VKT40" s="3327"/>
      <c r="VKU40" s="3327"/>
      <c r="VKV40" s="3327"/>
      <c r="VKW40" s="3327"/>
      <c r="VKX40" s="3327"/>
      <c r="VKY40" s="3327"/>
      <c r="VKZ40" s="3327"/>
      <c r="VLA40" s="3327"/>
      <c r="VLB40" s="3327"/>
      <c r="VLC40" s="3327"/>
      <c r="VLD40" s="3327"/>
      <c r="VLE40" s="3327"/>
      <c r="VLF40" s="3327"/>
      <c r="VLG40" s="3327"/>
      <c r="VLH40" s="3327"/>
      <c r="VLI40" s="3327"/>
      <c r="VLJ40" s="3327"/>
      <c r="VLK40" s="3327"/>
      <c r="VLL40" s="3327"/>
      <c r="VLM40" s="3327"/>
      <c r="VLN40" s="3327"/>
      <c r="VLO40" s="3327"/>
      <c r="VLP40" s="3327"/>
      <c r="VLQ40" s="3327"/>
      <c r="VLR40" s="3327"/>
      <c r="VLS40" s="3327"/>
      <c r="VLT40" s="3327"/>
      <c r="VLU40" s="3327"/>
      <c r="VLV40" s="3327"/>
      <c r="VLW40" s="3327"/>
      <c r="VLX40" s="3327"/>
      <c r="VLY40" s="3327"/>
      <c r="VLZ40" s="3327"/>
      <c r="VMA40" s="3327"/>
      <c r="VMB40" s="3327"/>
      <c r="VMC40" s="3327"/>
      <c r="VMD40" s="3327"/>
      <c r="VME40" s="3327"/>
      <c r="VMF40" s="3327"/>
      <c r="VMG40" s="3327"/>
      <c r="VMH40" s="3327"/>
      <c r="VMI40" s="3327"/>
      <c r="VMJ40" s="3327"/>
      <c r="VMK40" s="3327"/>
      <c r="VML40" s="3327"/>
      <c r="VMM40" s="3327"/>
      <c r="VMN40" s="3327"/>
      <c r="VMO40" s="3327"/>
      <c r="VMP40" s="3327"/>
      <c r="VMQ40" s="3327"/>
      <c r="VMR40" s="3327"/>
      <c r="VMS40" s="3327"/>
      <c r="VMT40" s="3327"/>
      <c r="VMU40" s="3327"/>
      <c r="VMV40" s="3327"/>
      <c r="VMW40" s="3327"/>
      <c r="VMX40" s="3327"/>
      <c r="VMY40" s="3327"/>
      <c r="VMZ40" s="3327"/>
      <c r="VNA40" s="3327"/>
      <c r="VNB40" s="3327"/>
      <c r="VNC40" s="3327"/>
      <c r="VND40" s="3327"/>
      <c r="VNE40" s="3327"/>
      <c r="VNF40" s="3327"/>
      <c r="VNG40" s="3327"/>
      <c r="VNH40" s="3327"/>
      <c r="VNI40" s="3327"/>
      <c r="VNJ40" s="3327"/>
      <c r="VNK40" s="3327"/>
      <c r="VNL40" s="3327"/>
      <c r="VNM40" s="3327"/>
      <c r="VNN40" s="3327"/>
      <c r="VNO40" s="3327"/>
      <c r="VNP40" s="3327"/>
      <c r="VNQ40" s="3327"/>
      <c r="VNR40" s="3327"/>
      <c r="VNS40" s="3327"/>
      <c r="VNT40" s="3327"/>
      <c r="VNU40" s="3327"/>
      <c r="VNV40" s="3327"/>
      <c r="VNW40" s="3327"/>
      <c r="VNX40" s="3327"/>
      <c r="VNY40" s="3327"/>
      <c r="VNZ40" s="3327"/>
      <c r="VOA40" s="3327"/>
      <c r="VOB40" s="3327"/>
      <c r="VOC40" s="3327"/>
      <c r="VOD40" s="3327"/>
      <c r="VOE40" s="3327"/>
      <c r="VOF40" s="3327"/>
      <c r="VOG40" s="3327"/>
      <c r="VOH40" s="3327"/>
      <c r="VOI40" s="3327"/>
      <c r="VOJ40" s="3327"/>
      <c r="VOK40" s="3327"/>
      <c r="VOL40" s="3327"/>
      <c r="VOM40" s="3327"/>
      <c r="VON40" s="3327"/>
      <c r="VOO40" s="3327"/>
      <c r="VOP40" s="3327"/>
      <c r="VOQ40" s="3327"/>
      <c r="VOR40" s="3327"/>
      <c r="VOS40" s="3327"/>
      <c r="VOT40" s="3327"/>
      <c r="VOU40" s="3327"/>
      <c r="VOV40" s="3327"/>
      <c r="VOW40" s="3327"/>
      <c r="VOX40" s="3327"/>
      <c r="VOY40" s="3327"/>
      <c r="VOZ40" s="3327"/>
      <c r="VPA40" s="3327"/>
      <c r="VPB40" s="3327"/>
      <c r="VPC40" s="3327"/>
      <c r="VPD40" s="3327"/>
      <c r="VPE40" s="3327"/>
      <c r="VPF40" s="3327"/>
      <c r="VPG40" s="3327"/>
      <c r="VPH40" s="3327"/>
      <c r="VPI40" s="3327"/>
      <c r="VPJ40" s="3327"/>
      <c r="VPK40" s="3327"/>
      <c r="VPL40" s="3327"/>
      <c r="VPM40" s="3327"/>
      <c r="VPN40" s="3327"/>
      <c r="VPO40" s="3327"/>
      <c r="VPP40" s="3327"/>
      <c r="VPQ40" s="3327"/>
      <c r="VPR40" s="3327"/>
      <c r="VPS40" s="3327"/>
      <c r="VPT40" s="3327"/>
      <c r="VPU40" s="3327"/>
      <c r="VPV40" s="3327"/>
      <c r="VPW40" s="3327"/>
      <c r="VPX40" s="3327"/>
      <c r="VPY40" s="3327"/>
      <c r="VPZ40" s="3327"/>
      <c r="VQA40" s="3327"/>
      <c r="VQB40" s="3327"/>
      <c r="VQC40" s="3327"/>
      <c r="VQD40" s="3327"/>
      <c r="VQE40" s="3327"/>
      <c r="VQF40" s="3327"/>
      <c r="VQG40" s="3327"/>
      <c r="VQH40" s="3327"/>
      <c r="VQI40" s="3327"/>
      <c r="VQJ40" s="3327"/>
      <c r="VQK40" s="3327"/>
      <c r="VQL40" s="3327"/>
      <c r="VQM40" s="3327"/>
      <c r="VQN40" s="3327"/>
      <c r="VQO40" s="3327"/>
      <c r="VQP40" s="3327"/>
      <c r="VQQ40" s="3327"/>
      <c r="VQR40" s="3327"/>
      <c r="VQS40" s="3327"/>
      <c r="VQT40" s="3327"/>
      <c r="VQU40" s="3327"/>
      <c r="VQV40" s="3327"/>
      <c r="VQW40" s="3327"/>
      <c r="VQX40" s="3327"/>
      <c r="VQY40" s="3327"/>
      <c r="VQZ40" s="3327"/>
      <c r="VRA40" s="3327"/>
      <c r="VRB40" s="3327"/>
      <c r="VRC40" s="3327"/>
      <c r="VRD40" s="3327"/>
      <c r="VRE40" s="3327"/>
      <c r="VRF40" s="3327"/>
      <c r="VRG40" s="3327"/>
      <c r="VRH40" s="3327"/>
      <c r="VRI40" s="3327"/>
      <c r="VRJ40" s="3327"/>
      <c r="VRK40" s="3327"/>
      <c r="VRL40" s="3327"/>
      <c r="VRM40" s="3327"/>
      <c r="VRN40" s="3327"/>
      <c r="VRO40" s="3327"/>
      <c r="VRP40" s="3327"/>
      <c r="VRQ40" s="3327"/>
      <c r="VRR40" s="3327"/>
      <c r="VRS40" s="3327"/>
      <c r="VRT40" s="3327"/>
      <c r="VRU40" s="3327"/>
      <c r="VRV40" s="3327"/>
      <c r="VRW40" s="3327"/>
      <c r="VRX40" s="3327"/>
      <c r="VRY40" s="3327"/>
      <c r="VRZ40" s="3327"/>
      <c r="VSA40" s="3327"/>
      <c r="VSB40" s="3327"/>
      <c r="VSC40" s="3327"/>
      <c r="VSD40" s="3327"/>
      <c r="VSE40" s="3327"/>
      <c r="VSF40" s="3327"/>
      <c r="VSG40" s="3327"/>
      <c r="VSH40" s="3327"/>
      <c r="VSI40" s="3327"/>
      <c r="VSJ40" s="3327"/>
      <c r="VSK40" s="3327"/>
      <c r="VSL40" s="3327"/>
      <c r="VSM40" s="3327"/>
      <c r="VSN40" s="3327"/>
      <c r="VSO40" s="3327"/>
      <c r="VSP40" s="3327"/>
      <c r="VSQ40" s="3327"/>
      <c r="VSR40" s="3327"/>
      <c r="VSS40" s="3327"/>
      <c r="VST40" s="3327"/>
      <c r="VSU40" s="3327"/>
      <c r="VSV40" s="3327"/>
      <c r="VSW40" s="3327"/>
      <c r="VSX40" s="3327"/>
      <c r="VSY40" s="3327"/>
      <c r="VSZ40" s="3327"/>
      <c r="VTA40" s="3327"/>
      <c r="VTB40" s="3327"/>
      <c r="VTC40" s="3327"/>
      <c r="VTD40" s="3327"/>
      <c r="VTE40" s="3327"/>
      <c r="VTF40" s="3327"/>
      <c r="VTG40" s="3327"/>
      <c r="VTH40" s="3327"/>
      <c r="VTI40" s="3327"/>
      <c r="VTJ40" s="3327"/>
      <c r="VTK40" s="3327"/>
      <c r="VTL40" s="3327"/>
      <c r="VTM40" s="3327"/>
      <c r="VTN40" s="3327"/>
      <c r="VTO40" s="3327"/>
      <c r="VTP40" s="3327"/>
      <c r="VTQ40" s="3327"/>
      <c r="VTR40" s="3327"/>
      <c r="VTS40" s="3327"/>
      <c r="VTT40" s="3327"/>
      <c r="VTU40" s="3327"/>
      <c r="VTV40" s="3327"/>
      <c r="VTW40" s="3327"/>
      <c r="VTX40" s="3327"/>
      <c r="VTY40" s="3327"/>
      <c r="VTZ40" s="3327"/>
      <c r="VUA40" s="3327"/>
      <c r="VUB40" s="3327"/>
      <c r="VUC40" s="3327"/>
      <c r="VUD40" s="3327"/>
      <c r="VUE40" s="3327"/>
      <c r="VUF40" s="3327"/>
      <c r="VUG40" s="3327"/>
      <c r="VUH40" s="3327"/>
      <c r="VUI40" s="3327"/>
      <c r="VUJ40" s="3327"/>
      <c r="VUK40" s="3327"/>
      <c r="VUL40" s="3327"/>
      <c r="VUM40" s="3327"/>
      <c r="VUN40" s="3327"/>
      <c r="VUO40" s="3327"/>
      <c r="VUP40" s="3327"/>
      <c r="VUQ40" s="3327"/>
      <c r="VUR40" s="3327"/>
      <c r="VUS40" s="3327"/>
      <c r="VUT40" s="3327"/>
      <c r="VUU40" s="3327"/>
      <c r="VUV40" s="3327"/>
      <c r="VUW40" s="3327"/>
      <c r="VUX40" s="3327"/>
      <c r="VUY40" s="3327"/>
      <c r="VUZ40" s="3327"/>
      <c r="VVA40" s="3327"/>
      <c r="VVB40" s="3327"/>
      <c r="VVC40" s="3327"/>
      <c r="VVD40" s="3327"/>
      <c r="VVE40" s="3327"/>
      <c r="VVF40" s="3327"/>
      <c r="VVG40" s="3327"/>
      <c r="VVH40" s="3327"/>
      <c r="VVI40" s="3327"/>
      <c r="VVJ40" s="3327"/>
      <c r="VVK40" s="3327"/>
      <c r="VVL40" s="3327"/>
      <c r="VVM40" s="3327"/>
      <c r="VVN40" s="3327"/>
      <c r="VVO40" s="3327"/>
      <c r="VVP40" s="3327"/>
      <c r="VVQ40" s="3327"/>
      <c r="VVR40" s="3327"/>
      <c r="VVS40" s="3327"/>
      <c r="VVT40" s="3327"/>
      <c r="VVU40" s="3327"/>
      <c r="VVV40" s="3327"/>
      <c r="VVW40" s="3327"/>
      <c r="VVX40" s="3327"/>
      <c r="VVY40" s="3327"/>
      <c r="VVZ40" s="3327"/>
      <c r="VWA40" s="3327"/>
      <c r="VWB40" s="3327"/>
      <c r="VWC40" s="3327"/>
      <c r="VWD40" s="3327"/>
      <c r="VWE40" s="3327"/>
      <c r="VWF40" s="3327"/>
      <c r="VWG40" s="3327"/>
      <c r="VWH40" s="3327"/>
      <c r="VWI40" s="3327"/>
      <c r="VWJ40" s="3327"/>
      <c r="VWK40" s="3327"/>
      <c r="VWL40" s="3327"/>
      <c r="VWM40" s="3327"/>
      <c r="VWN40" s="3327"/>
      <c r="VWO40" s="3327"/>
      <c r="VWP40" s="3327"/>
      <c r="VWQ40" s="3327"/>
      <c r="VWR40" s="3327"/>
      <c r="VWS40" s="3327"/>
      <c r="VWT40" s="3327"/>
      <c r="VWU40" s="3327"/>
      <c r="VWV40" s="3327"/>
      <c r="VWW40" s="3327"/>
      <c r="VWX40" s="3327"/>
      <c r="VWY40" s="3327"/>
      <c r="VWZ40" s="3327"/>
      <c r="VXA40" s="3327"/>
      <c r="VXB40" s="3327"/>
      <c r="VXC40" s="3327"/>
      <c r="VXD40" s="3327"/>
      <c r="VXE40" s="3327"/>
      <c r="VXF40" s="3327"/>
      <c r="VXG40" s="3327"/>
      <c r="VXH40" s="3327"/>
      <c r="VXI40" s="3327"/>
      <c r="VXJ40" s="3327"/>
      <c r="VXK40" s="3327"/>
      <c r="VXL40" s="3327"/>
      <c r="VXM40" s="3327"/>
      <c r="VXN40" s="3327"/>
      <c r="VXO40" s="3327"/>
      <c r="VXP40" s="3327"/>
      <c r="VXQ40" s="3327"/>
      <c r="VXR40" s="3327"/>
      <c r="VXS40" s="3327"/>
      <c r="VXT40" s="3327"/>
      <c r="VXU40" s="3327"/>
      <c r="VXV40" s="3327"/>
      <c r="VXW40" s="3327"/>
      <c r="VXX40" s="3327"/>
      <c r="VXY40" s="3327"/>
      <c r="VXZ40" s="3327"/>
      <c r="VYA40" s="3327"/>
      <c r="VYB40" s="3327"/>
      <c r="VYC40" s="3327"/>
      <c r="VYD40" s="3327"/>
      <c r="VYE40" s="3327"/>
      <c r="VYF40" s="3327"/>
      <c r="VYG40" s="3327"/>
      <c r="VYH40" s="3327"/>
      <c r="VYI40" s="3327"/>
      <c r="VYJ40" s="3327"/>
      <c r="VYK40" s="3327"/>
      <c r="VYL40" s="3327"/>
      <c r="VYM40" s="3327"/>
      <c r="VYN40" s="3327"/>
      <c r="VYO40" s="3327"/>
      <c r="VYP40" s="3327"/>
      <c r="VYQ40" s="3327"/>
      <c r="VYR40" s="3327"/>
      <c r="VYS40" s="3327"/>
      <c r="VYT40" s="3327"/>
      <c r="VYU40" s="3327"/>
      <c r="VYV40" s="3327"/>
      <c r="VYW40" s="3327"/>
      <c r="VYX40" s="3327"/>
      <c r="VYY40" s="3327"/>
      <c r="VYZ40" s="3327"/>
      <c r="VZA40" s="3327"/>
      <c r="VZB40" s="3327"/>
      <c r="VZC40" s="3327"/>
      <c r="VZD40" s="3327"/>
      <c r="VZE40" s="3327"/>
      <c r="VZF40" s="3327"/>
      <c r="VZG40" s="3327"/>
      <c r="VZH40" s="3327"/>
      <c r="VZI40" s="3327"/>
      <c r="VZJ40" s="3327"/>
      <c r="VZK40" s="3327"/>
      <c r="VZL40" s="3327"/>
      <c r="VZM40" s="3327"/>
      <c r="VZN40" s="3327"/>
      <c r="VZO40" s="3327"/>
      <c r="VZP40" s="3327"/>
      <c r="VZQ40" s="3327"/>
      <c r="VZR40" s="3327"/>
      <c r="VZS40" s="3327"/>
      <c r="VZT40" s="3327"/>
      <c r="VZU40" s="3327"/>
      <c r="VZV40" s="3327"/>
      <c r="VZW40" s="3327"/>
      <c r="VZX40" s="3327"/>
      <c r="VZY40" s="3327"/>
      <c r="VZZ40" s="3327"/>
      <c r="WAA40" s="3327"/>
      <c r="WAB40" s="3327"/>
      <c r="WAC40" s="3327"/>
      <c r="WAD40" s="3327"/>
      <c r="WAE40" s="3327"/>
      <c r="WAF40" s="3327"/>
      <c r="WAG40" s="3327"/>
      <c r="WAH40" s="3327"/>
      <c r="WAI40" s="3327"/>
      <c r="WAJ40" s="3327"/>
      <c r="WAK40" s="3327"/>
      <c r="WAL40" s="3327"/>
      <c r="WAM40" s="3327"/>
      <c r="WAN40" s="3327"/>
      <c r="WAO40" s="3327"/>
      <c r="WAP40" s="3327"/>
      <c r="WAQ40" s="3327"/>
      <c r="WAR40" s="3327"/>
      <c r="WAS40" s="3327"/>
      <c r="WAT40" s="3327"/>
      <c r="WAU40" s="3327"/>
      <c r="WAV40" s="3327"/>
      <c r="WAW40" s="3327"/>
      <c r="WAX40" s="3327"/>
      <c r="WAY40" s="3327"/>
      <c r="WAZ40" s="3327"/>
      <c r="WBA40" s="3327"/>
      <c r="WBB40" s="3327"/>
      <c r="WBC40" s="3327"/>
      <c r="WBD40" s="3327"/>
      <c r="WBE40" s="3327"/>
      <c r="WBF40" s="3327"/>
      <c r="WBG40" s="3327"/>
      <c r="WBH40" s="3327"/>
      <c r="WBI40" s="3327"/>
      <c r="WBJ40" s="3327"/>
      <c r="WBK40" s="3327"/>
      <c r="WBL40" s="3327"/>
      <c r="WBM40" s="3327"/>
      <c r="WBN40" s="3327"/>
      <c r="WBO40" s="3327"/>
      <c r="WBP40" s="3327"/>
      <c r="WBQ40" s="3327"/>
      <c r="WBR40" s="3327"/>
      <c r="WBS40" s="3327"/>
      <c r="WBT40" s="3327"/>
      <c r="WBU40" s="3327"/>
      <c r="WBV40" s="3327"/>
      <c r="WBW40" s="3327"/>
      <c r="WBX40" s="3327"/>
      <c r="WBY40" s="3327"/>
      <c r="WBZ40" s="3327"/>
      <c r="WCA40" s="3327"/>
      <c r="WCB40" s="3327"/>
      <c r="WCC40" s="3327"/>
      <c r="WCD40" s="3327"/>
      <c r="WCE40" s="3327"/>
      <c r="WCF40" s="3327"/>
      <c r="WCG40" s="3327"/>
      <c r="WCH40" s="3327"/>
      <c r="WCI40" s="3327"/>
      <c r="WCJ40" s="3327"/>
      <c r="WCK40" s="3327"/>
      <c r="WCL40" s="3327"/>
      <c r="WCM40" s="3327"/>
      <c r="WCN40" s="3327"/>
      <c r="WCO40" s="3327"/>
      <c r="WCP40" s="3327"/>
      <c r="WCQ40" s="3327"/>
      <c r="WCR40" s="3327"/>
      <c r="WCS40" s="3327"/>
      <c r="WCT40" s="3327"/>
      <c r="WCU40" s="3327"/>
      <c r="WCV40" s="3327"/>
      <c r="WCW40" s="3327"/>
      <c r="WCX40" s="3327"/>
      <c r="WCY40" s="3327"/>
      <c r="WCZ40" s="3327"/>
      <c r="WDA40" s="3327"/>
      <c r="WDB40" s="3327"/>
      <c r="WDC40" s="3327"/>
      <c r="WDD40" s="3327"/>
      <c r="WDE40" s="3327"/>
      <c r="WDF40" s="3327"/>
      <c r="WDG40" s="3327"/>
      <c r="WDH40" s="3327"/>
      <c r="WDI40" s="3327"/>
      <c r="WDJ40" s="3327"/>
      <c r="WDK40" s="3327"/>
      <c r="WDL40" s="3327"/>
      <c r="WDM40" s="3327"/>
      <c r="WDN40" s="3327"/>
      <c r="WDO40" s="3327"/>
      <c r="WDP40" s="3327"/>
      <c r="WDQ40" s="3327"/>
      <c r="WDR40" s="3327"/>
      <c r="WDS40" s="3327"/>
      <c r="WDT40" s="3327"/>
      <c r="WDU40" s="3327"/>
      <c r="WDV40" s="3327"/>
      <c r="WDW40" s="3327"/>
      <c r="WDX40" s="3327"/>
      <c r="WDY40" s="3327"/>
      <c r="WDZ40" s="3327"/>
      <c r="WEA40" s="3327"/>
      <c r="WEB40" s="3327"/>
      <c r="WEC40" s="3327"/>
      <c r="WED40" s="3327"/>
      <c r="WEE40" s="3327"/>
      <c r="WEF40" s="3327"/>
      <c r="WEG40" s="3327"/>
      <c r="WEH40" s="3327"/>
      <c r="WEI40" s="3327"/>
      <c r="WEJ40" s="3327"/>
      <c r="WEK40" s="3327"/>
      <c r="WEL40" s="3327"/>
      <c r="WEM40" s="3327"/>
      <c r="WEN40" s="3327"/>
      <c r="WEO40" s="3327"/>
      <c r="WEP40" s="3327"/>
      <c r="WEQ40" s="3327"/>
      <c r="WER40" s="3327"/>
      <c r="WES40" s="3327"/>
      <c r="WET40" s="3327"/>
      <c r="WEU40" s="3327"/>
      <c r="WEV40" s="3327"/>
      <c r="WEW40" s="3327"/>
      <c r="WEX40" s="3327"/>
      <c r="WEY40" s="3327"/>
      <c r="WEZ40" s="3327"/>
      <c r="WFA40" s="3327"/>
      <c r="WFB40" s="3327"/>
      <c r="WFC40" s="3327"/>
      <c r="WFD40" s="3327"/>
      <c r="WFE40" s="3327"/>
      <c r="WFF40" s="3327"/>
      <c r="WFG40" s="3327"/>
      <c r="WFH40" s="3327"/>
      <c r="WFI40" s="3327"/>
      <c r="WFJ40" s="3327"/>
      <c r="WFK40" s="3327"/>
      <c r="WFL40" s="3327"/>
      <c r="WFM40" s="3327"/>
      <c r="WFN40" s="3327"/>
      <c r="WFO40" s="3327"/>
      <c r="WFP40" s="3327"/>
      <c r="WFQ40" s="3327"/>
      <c r="WFR40" s="3327"/>
      <c r="WFS40" s="3327"/>
      <c r="WFT40" s="3327"/>
      <c r="WFU40" s="3327"/>
      <c r="WFV40" s="3327"/>
      <c r="WFW40" s="3327"/>
      <c r="WFX40" s="3327"/>
      <c r="WFY40" s="3327"/>
      <c r="WFZ40" s="3327"/>
      <c r="WGA40" s="3327"/>
      <c r="WGB40" s="3327"/>
      <c r="WGC40" s="3327"/>
      <c r="WGD40" s="3327"/>
      <c r="WGE40" s="3327"/>
      <c r="WGF40" s="3327"/>
      <c r="WGG40" s="3327"/>
      <c r="WGH40" s="3327"/>
      <c r="WGI40" s="3327"/>
      <c r="WGJ40" s="3327"/>
      <c r="WGK40" s="3327"/>
      <c r="WGL40" s="3327"/>
      <c r="WGM40" s="3327"/>
      <c r="WGN40" s="3327"/>
      <c r="WGO40" s="3327"/>
      <c r="WGP40" s="3327"/>
      <c r="WGQ40" s="3327"/>
      <c r="WGR40" s="3327"/>
      <c r="WGS40" s="3327"/>
      <c r="WGT40" s="3327"/>
      <c r="WGU40" s="3327"/>
      <c r="WGV40" s="3327"/>
      <c r="WGW40" s="3327"/>
      <c r="WGX40" s="3327"/>
      <c r="WGY40" s="3327"/>
      <c r="WGZ40" s="3327"/>
      <c r="WHA40" s="3327"/>
      <c r="WHB40" s="3327"/>
      <c r="WHC40" s="3327"/>
      <c r="WHD40" s="3327"/>
      <c r="WHE40" s="3327"/>
      <c r="WHF40" s="3327"/>
      <c r="WHG40" s="3327"/>
      <c r="WHH40" s="3327"/>
      <c r="WHI40" s="3327"/>
      <c r="WHJ40" s="3327"/>
      <c r="WHK40" s="3327"/>
      <c r="WHL40" s="3327"/>
      <c r="WHM40" s="3327"/>
      <c r="WHN40" s="3327"/>
      <c r="WHO40" s="3327"/>
      <c r="WHP40" s="3327"/>
      <c r="WHQ40" s="3327"/>
      <c r="WHR40" s="3327"/>
      <c r="WHS40" s="3327"/>
      <c r="WHT40" s="3327"/>
      <c r="WHU40" s="3327"/>
      <c r="WHV40" s="3327"/>
      <c r="WHW40" s="3327"/>
      <c r="WHX40" s="3327"/>
      <c r="WHY40" s="3327"/>
      <c r="WHZ40" s="3327"/>
      <c r="WIA40" s="3327"/>
      <c r="WIB40" s="3327"/>
      <c r="WIC40" s="3327"/>
      <c r="WID40" s="3327"/>
      <c r="WIE40" s="3327"/>
      <c r="WIF40" s="3327"/>
      <c r="WIG40" s="3327"/>
      <c r="WIH40" s="3327"/>
      <c r="WII40" s="3327"/>
      <c r="WIJ40" s="3327"/>
      <c r="WIK40" s="3327"/>
      <c r="WIL40" s="3327"/>
      <c r="WIM40" s="3327"/>
      <c r="WIN40" s="3327"/>
      <c r="WIO40" s="3327"/>
      <c r="WIP40" s="3327"/>
      <c r="WIQ40" s="3327"/>
      <c r="WIR40" s="3327"/>
      <c r="WIS40" s="3327"/>
      <c r="WIT40" s="3327"/>
      <c r="WIU40" s="3327"/>
      <c r="WIV40" s="3327"/>
      <c r="WIW40" s="3327"/>
      <c r="WIX40" s="3327"/>
      <c r="WIY40" s="3327"/>
      <c r="WIZ40" s="3327"/>
      <c r="WJA40" s="3327"/>
      <c r="WJB40" s="3327"/>
      <c r="WJC40" s="3327"/>
      <c r="WJD40" s="3327"/>
      <c r="WJE40" s="3327"/>
      <c r="WJF40" s="3327"/>
      <c r="WJG40" s="3327"/>
      <c r="WJH40" s="3327"/>
      <c r="WJI40" s="3327"/>
      <c r="WJJ40" s="3327"/>
      <c r="WJK40" s="3327"/>
      <c r="WJL40" s="3327"/>
      <c r="WJM40" s="3327"/>
      <c r="WJN40" s="3327"/>
      <c r="WJO40" s="3327"/>
      <c r="WJP40" s="3327"/>
      <c r="WJQ40" s="3327"/>
      <c r="WJR40" s="3327"/>
      <c r="WJS40" s="3327"/>
      <c r="WJT40" s="3327"/>
      <c r="WJU40" s="3327"/>
      <c r="WJV40" s="3327"/>
      <c r="WJW40" s="3327"/>
      <c r="WJX40" s="3327"/>
      <c r="WJY40" s="3327"/>
      <c r="WJZ40" s="3327"/>
      <c r="WKA40" s="3327"/>
      <c r="WKB40" s="3327"/>
      <c r="WKC40" s="3327"/>
      <c r="WKD40" s="3327"/>
      <c r="WKE40" s="3327"/>
      <c r="WKF40" s="3327"/>
      <c r="WKG40" s="3327"/>
      <c r="WKH40" s="3327"/>
      <c r="WKI40" s="3327"/>
      <c r="WKJ40" s="3327"/>
      <c r="WKK40" s="3327"/>
      <c r="WKL40" s="3327"/>
      <c r="WKM40" s="3327"/>
      <c r="WKN40" s="3327"/>
      <c r="WKO40" s="3327"/>
      <c r="WKP40" s="3327"/>
      <c r="WKQ40" s="3327"/>
      <c r="WKR40" s="3327"/>
      <c r="WKS40" s="3327"/>
      <c r="WKT40" s="3327"/>
      <c r="WKU40" s="3327"/>
      <c r="WKV40" s="3327"/>
      <c r="WKW40" s="3327"/>
      <c r="WKX40" s="3327"/>
      <c r="WKY40" s="3327"/>
      <c r="WKZ40" s="3327"/>
      <c r="WLA40" s="3327"/>
      <c r="WLB40" s="3327"/>
      <c r="WLC40" s="3327"/>
      <c r="WLD40" s="3327"/>
      <c r="WLE40" s="3327"/>
      <c r="WLF40" s="3327"/>
      <c r="WLG40" s="3327"/>
      <c r="WLH40" s="3327"/>
      <c r="WLI40" s="3327"/>
      <c r="WLJ40" s="3327"/>
      <c r="WLK40" s="3327"/>
      <c r="WLL40" s="3327"/>
      <c r="WLM40" s="3327"/>
      <c r="WLN40" s="3327"/>
      <c r="WLO40" s="3327"/>
      <c r="WLP40" s="3327"/>
      <c r="WLQ40" s="3327"/>
      <c r="WLR40" s="3327"/>
      <c r="WLS40" s="3327"/>
      <c r="WLT40" s="3327"/>
      <c r="WLU40" s="3327"/>
      <c r="WLV40" s="3327"/>
      <c r="WLW40" s="3327"/>
      <c r="WLX40" s="3327"/>
      <c r="WLY40" s="3327"/>
      <c r="WLZ40" s="3327"/>
      <c r="WMA40" s="3327"/>
      <c r="WMB40" s="3327"/>
      <c r="WMC40" s="3327"/>
      <c r="WMD40" s="3327"/>
      <c r="WME40" s="3327"/>
      <c r="WMF40" s="3327"/>
      <c r="WMG40" s="3327"/>
      <c r="WMH40" s="3327"/>
      <c r="WMI40" s="3327"/>
      <c r="WMJ40" s="3327"/>
      <c r="WMK40" s="3327"/>
      <c r="WML40" s="3327"/>
      <c r="WMM40" s="3327"/>
      <c r="WMN40" s="3327"/>
      <c r="WMO40" s="3327"/>
      <c r="WMP40" s="3327"/>
      <c r="WMQ40" s="3327"/>
      <c r="WMR40" s="3327"/>
      <c r="WMS40" s="3327"/>
      <c r="WMT40" s="3327"/>
      <c r="WMU40" s="3327"/>
      <c r="WMV40" s="3327"/>
      <c r="WMW40" s="3327"/>
      <c r="WMX40" s="3327"/>
      <c r="WMY40" s="3327"/>
      <c r="WMZ40" s="3327"/>
      <c r="WNA40" s="3327"/>
      <c r="WNB40" s="3327"/>
      <c r="WNC40" s="3327"/>
      <c r="WND40" s="3327"/>
      <c r="WNE40" s="3327"/>
      <c r="WNF40" s="3327"/>
      <c r="WNG40" s="3327"/>
      <c r="WNH40" s="3327"/>
      <c r="WNI40" s="3327"/>
      <c r="WNJ40" s="3327"/>
      <c r="WNK40" s="3327"/>
      <c r="WNL40" s="3327"/>
      <c r="WNM40" s="3327"/>
      <c r="WNN40" s="3327"/>
      <c r="WNO40" s="3327"/>
      <c r="WNP40" s="3327"/>
      <c r="WNQ40" s="3327"/>
      <c r="WNR40" s="3327"/>
      <c r="WNS40" s="3327"/>
      <c r="WNT40" s="3327"/>
      <c r="WNU40" s="3327"/>
      <c r="WNV40" s="3327"/>
      <c r="WNW40" s="3327"/>
      <c r="WNX40" s="3327"/>
      <c r="WNY40" s="3327"/>
      <c r="WNZ40" s="3327"/>
      <c r="WOA40" s="3327"/>
      <c r="WOB40" s="3327"/>
      <c r="WOC40" s="3327"/>
      <c r="WOD40" s="3327"/>
      <c r="WOE40" s="3327"/>
      <c r="WOF40" s="3327"/>
      <c r="WOG40" s="3327"/>
      <c r="WOH40" s="3327"/>
      <c r="WOI40" s="3327"/>
      <c r="WOJ40" s="3327"/>
      <c r="WOK40" s="3327"/>
      <c r="WOL40" s="3327"/>
      <c r="WOM40" s="3327"/>
      <c r="WON40" s="3327"/>
      <c r="WOO40" s="3327"/>
      <c r="WOP40" s="3327"/>
      <c r="WOQ40" s="3327"/>
      <c r="WOR40" s="3327"/>
      <c r="WOS40" s="3327"/>
      <c r="WOT40" s="3327"/>
      <c r="WOU40" s="3327"/>
      <c r="WOV40" s="3327"/>
      <c r="WOW40" s="3327"/>
      <c r="WOX40" s="3327"/>
      <c r="WOY40" s="3327"/>
      <c r="WOZ40" s="3327"/>
      <c r="WPA40" s="3327"/>
      <c r="WPB40" s="3327"/>
      <c r="WPC40" s="3327"/>
      <c r="WPD40" s="3327"/>
      <c r="WPE40" s="3327"/>
      <c r="WPF40" s="3327"/>
      <c r="WPG40" s="3327"/>
      <c r="WPH40" s="3327"/>
      <c r="WPI40" s="3327"/>
      <c r="WPJ40" s="3327"/>
      <c r="WPK40" s="3327"/>
      <c r="WPL40" s="3327"/>
      <c r="WPM40" s="3327"/>
      <c r="WPN40" s="3327"/>
      <c r="WPO40" s="3327"/>
      <c r="WPP40" s="3327"/>
      <c r="WPQ40" s="3327"/>
      <c r="WPR40" s="3327"/>
      <c r="WPS40" s="3327"/>
      <c r="WPT40" s="3327"/>
      <c r="WPU40" s="3327"/>
      <c r="WPV40" s="3327"/>
      <c r="WPW40" s="3327"/>
      <c r="WPX40" s="3327"/>
      <c r="WPY40" s="3327"/>
      <c r="WPZ40" s="3327"/>
      <c r="WQA40" s="3327"/>
      <c r="WQB40" s="3327"/>
      <c r="WQC40" s="3327"/>
      <c r="WQD40" s="3327"/>
      <c r="WQE40" s="3327"/>
      <c r="WQF40" s="3327"/>
      <c r="WQG40" s="3327"/>
      <c r="WQH40" s="3327"/>
      <c r="WQI40" s="3327"/>
      <c r="WQJ40" s="3327"/>
      <c r="WQK40" s="3327"/>
      <c r="WQL40" s="3327"/>
      <c r="WQM40" s="3327"/>
      <c r="WQN40" s="3327"/>
      <c r="WQO40" s="3327"/>
      <c r="WQP40" s="3327"/>
      <c r="WQQ40" s="3327"/>
      <c r="WQR40" s="3327"/>
      <c r="WQS40" s="3327"/>
      <c r="WQT40" s="3327"/>
      <c r="WQU40" s="3327"/>
      <c r="WQV40" s="3327"/>
      <c r="WQW40" s="3327"/>
      <c r="WQX40" s="3327"/>
      <c r="WQY40" s="3327"/>
      <c r="WQZ40" s="3327"/>
      <c r="WRA40" s="3327"/>
      <c r="WRB40" s="3327"/>
      <c r="WRC40" s="3327"/>
      <c r="WRD40" s="3327"/>
      <c r="WRE40" s="3327"/>
      <c r="WRF40" s="3327"/>
      <c r="WRG40" s="3327"/>
      <c r="WRH40" s="3327"/>
      <c r="WRI40" s="3327"/>
      <c r="WRJ40" s="3327"/>
      <c r="WRK40" s="3327"/>
      <c r="WRL40" s="3327"/>
      <c r="WRM40" s="3327"/>
      <c r="WRN40" s="3327"/>
      <c r="WRO40" s="3327"/>
      <c r="WRP40" s="3327"/>
      <c r="WRQ40" s="3327"/>
      <c r="WRR40" s="3327"/>
      <c r="WRS40" s="3327"/>
      <c r="WRT40" s="3327"/>
      <c r="WRU40" s="3327"/>
      <c r="WRV40" s="3327"/>
      <c r="WRW40" s="3327"/>
      <c r="WRX40" s="3327"/>
      <c r="WRY40" s="3327"/>
      <c r="WRZ40" s="3327"/>
      <c r="WSA40" s="3327"/>
      <c r="WSB40" s="3327"/>
      <c r="WSC40" s="3327"/>
      <c r="WSD40" s="3327"/>
      <c r="WSE40" s="3327"/>
      <c r="WSF40" s="3327"/>
      <c r="WSG40" s="3327"/>
      <c r="WSH40" s="3327"/>
      <c r="WSI40" s="3327"/>
      <c r="WSJ40" s="3327"/>
      <c r="WSK40" s="3327"/>
      <c r="WSL40" s="3327"/>
      <c r="WSM40" s="3327"/>
      <c r="WSN40" s="3327"/>
      <c r="WSO40" s="3327"/>
      <c r="WSP40" s="3327"/>
      <c r="WSQ40" s="3327"/>
      <c r="WSR40" s="3327"/>
      <c r="WSS40" s="3327"/>
      <c r="WST40" s="3327"/>
      <c r="WSU40" s="3327"/>
      <c r="WSV40" s="3327"/>
      <c r="WSW40" s="3327"/>
      <c r="WSX40" s="3327"/>
      <c r="WSY40" s="3327"/>
      <c r="WSZ40" s="3327"/>
      <c r="WTA40" s="3327"/>
      <c r="WTB40" s="3327"/>
      <c r="WTC40" s="3327"/>
      <c r="WTD40" s="3327"/>
      <c r="WTE40" s="3327"/>
      <c r="WTF40" s="3327"/>
      <c r="WTG40" s="3327"/>
      <c r="WTH40" s="3327"/>
      <c r="WTI40" s="3327"/>
      <c r="WTJ40" s="3327"/>
      <c r="WTK40" s="3327"/>
      <c r="WTL40" s="3327"/>
      <c r="WTM40" s="3327"/>
      <c r="WTN40" s="3327"/>
      <c r="WTO40" s="3327"/>
      <c r="WTP40" s="3327"/>
      <c r="WTQ40" s="3327"/>
      <c r="WTR40" s="3327"/>
      <c r="WTS40" s="3327"/>
      <c r="WTT40" s="3327"/>
      <c r="WTU40" s="3327"/>
      <c r="WTV40" s="3327"/>
      <c r="WTW40" s="3327"/>
      <c r="WTX40" s="3327"/>
      <c r="WTY40" s="3327"/>
      <c r="WTZ40" s="3327"/>
      <c r="WUA40" s="3327"/>
      <c r="WUB40" s="3327"/>
      <c r="WUC40" s="3327"/>
      <c r="WUD40" s="3327"/>
      <c r="WUE40" s="3327"/>
      <c r="WUF40" s="3327"/>
      <c r="WUG40" s="3327"/>
      <c r="WUH40" s="3327"/>
      <c r="WUI40" s="3327"/>
      <c r="WUJ40" s="3327"/>
      <c r="WUK40" s="3327"/>
      <c r="WUL40" s="3327"/>
      <c r="WUM40" s="3327"/>
      <c r="WUN40" s="3327"/>
      <c r="WUO40" s="3327"/>
      <c r="WUP40" s="3327"/>
      <c r="WUQ40" s="3327"/>
      <c r="WUR40" s="3327"/>
      <c r="WUS40" s="3327"/>
      <c r="WUT40" s="3327"/>
      <c r="WUU40" s="3327"/>
      <c r="WUV40" s="3327"/>
      <c r="WUW40" s="3327"/>
      <c r="WUX40" s="3327"/>
      <c r="WUY40" s="3327"/>
      <c r="WUZ40" s="3327"/>
      <c r="WVA40" s="3327"/>
      <c r="WVB40" s="3327"/>
      <c r="WVC40" s="3327"/>
      <c r="WVD40" s="3327"/>
      <c r="WVE40" s="3327"/>
      <c r="WVF40" s="3327"/>
      <c r="WVG40" s="3327"/>
      <c r="WVH40" s="3327"/>
      <c r="WVI40" s="3327"/>
      <c r="WVJ40" s="3327"/>
      <c r="WVK40" s="3327"/>
      <c r="WVL40" s="3327"/>
      <c r="WVM40" s="3327"/>
      <c r="WVN40" s="3327"/>
      <c r="WVO40" s="3327"/>
      <c r="WVP40" s="3327"/>
      <c r="WVQ40" s="3327"/>
      <c r="WVR40" s="3327"/>
      <c r="WVS40" s="3327"/>
      <c r="WVT40" s="3327"/>
      <c r="WVU40" s="3327"/>
      <c r="WVV40" s="3327"/>
      <c r="WVW40" s="3327"/>
      <c r="WVX40" s="3327"/>
      <c r="WVY40" s="3327"/>
      <c r="WVZ40" s="3327"/>
      <c r="WWA40" s="3327"/>
      <c r="WWB40" s="3327"/>
      <c r="WWC40" s="3327"/>
      <c r="WWD40" s="3327"/>
      <c r="WWE40" s="3327"/>
      <c r="WWF40" s="3327"/>
      <c r="WWG40" s="3327"/>
      <c r="WWH40" s="3327"/>
      <c r="WWI40" s="3327"/>
      <c r="WWJ40" s="3327"/>
      <c r="WWK40" s="3327"/>
      <c r="WWL40" s="3327"/>
      <c r="WWM40" s="3327"/>
      <c r="WWN40" s="3327"/>
      <c r="WWO40" s="3327"/>
      <c r="WWP40" s="3327"/>
      <c r="WWQ40" s="3327"/>
      <c r="WWR40" s="3327"/>
      <c r="WWS40" s="3327"/>
      <c r="WWT40" s="3327"/>
      <c r="WWU40" s="3327"/>
      <c r="WWV40" s="3327"/>
      <c r="WWW40" s="3327"/>
      <c r="WWX40" s="3327"/>
      <c r="WWY40" s="3327"/>
      <c r="WWZ40" s="3327"/>
      <c r="WXA40" s="3327"/>
      <c r="WXB40" s="3327"/>
      <c r="WXC40" s="3327"/>
      <c r="WXD40" s="3327"/>
      <c r="WXE40" s="3327"/>
      <c r="WXF40" s="3327"/>
      <c r="WXG40" s="3327"/>
      <c r="WXH40" s="3327"/>
      <c r="WXI40" s="3327"/>
      <c r="WXJ40" s="3327"/>
      <c r="WXK40" s="3327"/>
      <c r="WXL40" s="3327"/>
      <c r="WXM40" s="3327"/>
      <c r="WXN40" s="3327"/>
      <c r="WXO40" s="3327"/>
      <c r="WXP40" s="3327"/>
      <c r="WXQ40" s="3327"/>
      <c r="WXR40" s="3327"/>
      <c r="WXS40" s="3327"/>
      <c r="WXT40" s="3327"/>
      <c r="WXU40" s="3327"/>
      <c r="WXV40" s="3327"/>
      <c r="WXW40" s="3327"/>
      <c r="WXX40" s="3327"/>
      <c r="WXY40" s="3327"/>
      <c r="WXZ40" s="3327"/>
      <c r="WYA40" s="3327"/>
      <c r="WYB40" s="3327"/>
      <c r="WYC40" s="3327"/>
      <c r="WYD40" s="3327"/>
      <c r="WYE40" s="3327"/>
      <c r="WYF40" s="3327"/>
      <c r="WYG40" s="3327"/>
      <c r="WYH40" s="3327"/>
      <c r="WYI40" s="3327"/>
      <c r="WYJ40" s="3327"/>
      <c r="WYK40" s="3327"/>
      <c r="WYL40" s="3327"/>
      <c r="WYM40" s="3327"/>
      <c r="WYN40" s="3327"/>
      <c r="WYO40" s="3327"/>
      <c r="WYP40" s="3327"/>
      <c r="WYQ40" s="3327"/>
      <c r="WYR40" s="3327"/>
      <c r="WYS40" s="3327"/>
      <c r="WYT40" s="3327"/>
      <c r="WYU40" s="3327"/>
      <c r="WYV40" s="3327"/>
      <c r="WYW40" s="3327"/>
      <c r="WYX40" s="3327"/>
      <c r="WYY40" s="3327"/>
      <c r="WYZ40" s="3327"/>
      <c r="WZA40" s="3327"/>
      <c r="WZB40" s="3327"/>
      <c r="WZC40" s="3327"/>
      <c r="WZD40" s="3327"/>
      <c r="WZE40" s="3327"/>
      <c r="WZF40" s="3327"/>
      <c r="WZG40" s="3327"/>
      <c r="WZH40" s="3327"/>
      <c r="WZI40" s="3327"/>
      <c r="WZJ40" s="3327"/>
      <c r="WZK40" s="3327"/>
      <c r="WZL40" s="3327"/>
      <c r="WZM40" s="3327"/>
      <c r="WZN40" s="3327"/>
      <c r="WZO40" s="3327"/>
      <c r="WZP40" s="3327"/>
      <c r="WZQ40" s="3327"/>
      <c r="WZR40" s="3327"/>
      <c r="WZS40" s="3327"/>
      <c r="WZT40" s="3327"/>
      <c r="WZU40" s="3327"/>
      <c r="WZV40" s="3327"/>
      <c r="WZW40" s="3327"/>
      <c r="WZX40" s="3327"/>
      <c r="WZY40" s="3327"/>
      <c r="WZZ40" s="3327"/>
      <c r="XAA40" s="3327"/>
      <c r="XAB40" s="3327"/>
      <c r="XAC40" s="3327"/>
      <c r="XAD40" s="3327"/>
      <c r="XAE40" s="3327"/>
      <c r="XAF40" s="3327"/>
      <c r="XAG40" s="3327"/>
      <c r="XAH40" s="3327"/>
      <c r="XAI40" s="3327"/>
      <c r="XAJ40" s="3327"/>
      <c r="XAK40" s="3327"/>
      <c r="XAL40" s="3327"/>
      <c r="XAM40" s="3327"/>
      <c r="XAN40" s="3327"/>
      <c r="XAO40" s="3327"/>
      <c r="XAP40" s="3327"/>
      <c r="XAQ40" s="3327"/>
      <c r="XAR40" s="3327"/>
      <c r="XAS40" s="3327"/>
      <c r="XAT40" s="3327"/>
      <c r="XAU40" s="3327"/>
      <c r="XAV40" s="3327"/>
      <c r="XAW40" s="3327"/>
      <c r="XAX40" s="3327"/>
      <c r="XAY40" s="3327"/>
      <c r="XAZ40" s="3327"/>
      <c r="XBA40" s="3327"/>
      <c r="XBB40" s="3327"/>
      <c r="XBC40" s="3327"/>
      <c r="XBD40" s="3327"/>
      <c r="XBE40" s="3327"/>
      <c r="XBF40" s="3327"/>
      <c r="XBG40" s="3327"/>
      <c r="XBH40" s="3327"/>
      <c r="XBI40" s="3327"/>
      <c r="XBJ40" s="3327"/>
      <c r="XBK40" s="3327"/>
      <c r="XBL40" s="3327"/>
      <c r="XBM40" s="3327"/>
      <c r="XBN40" s="3327"/>
      <c r="XBO40" s="3327"/>
      <c r="XBP40" s="3327"/>
      <c r="XBQ40" s="3327"/>
      <c r="XBR40" s="3327"/>
      <c r="XBS40" s="3327"/>
      <c r="XBT40" s="3327"/>
      <c r="XBU40" s="3327"/>
      <c r="XBV40" s="3327"/>
      <c r="XBW40" s="3327"/>
      <c r="XBX40" s="3327"/>
      <c r="XBY40" s="3327"/>
      <c r="XBZ40" s="3327"/>
      <c r="XCA40" s="3327"/>
      <c r="XCB40" s="3327"/>
      <c r="XCC40" s="3327"/>
      <c r="XCD40" s="3327"/>
      <c r="XCE40" s="3327"/>
      <c r="XCF40" s="3327"/>
      <c r="XCG40" s="3327"/>
      <c r="XCH40" s="3327"/>
      <c r="XCI40" s="3327"/>
      <c r="XCJ40" s="3327"/>
      <c r="XCK40" s="3327"/>
      <c r="XCL40" s="3327"/>
      <c r="XCM40" s="3327"/>
      <c r="XCN40" s="3327"/>
      <c r="XCO40" s="3327"/>
      <c r="XCP40" s="3327"/>
      <c r="XCQ40" s="3327"/>
      <c r="XCR40" s="3327"/>
      <c r="XCS40" s="3327"/>
      <c r="XCT40" s="3327"/>
      <c r="XCU40" s="3327"/>
      <c r="XCV40" s="3327"/>
      <c r="XCW40" s="3327"/>
      <c r="XCX40" s="3327"/>
      <c r="XCY40" s="3327"/>
      <c r="XCZ40" s="3327"/>
      <c r="XDA40" s="3327"/>
      <c r="XDB40" s="3327"/>
      <c r="XDC40" s="3327"/>
      <c r="XDD40" s="3327"/>
      <c r="XDE40" s="3327"/>
      <c r="XDF40" s="3327"/>
      <c r="XDG40" s="3327"/>
      <c r="XDH40" s="3327"/>
      <c r="XDI40" s="3327"/>
      <c r="XDJ40" s="3327"/>
      <c r="XDK40" s="3327"/>
      <c r="XDL40" s="3327"/>
      <c r="XDM40" s="3327"/>
      <c r="XDN40" s="3327"/>
      <c r="XDO40" s="3327"/>
      <c r="XDP40" s="3327"/>
      <c r="XDQ40" s="3327"/>
      <c r="XDR40" s="3327"/>
      <c r="XDS40" s="3327"/>
      <c r="XDT40" s="3327"/>
      <c r="XDU40" s="3327"/>
      <c r="XDV40" s="3327"/>
      <c r="XDW40" s="3327"/>
      <c r="XDX40" s="3327"/>
      <c r="XDY40" s="3327"/>
      <c r="XDZ40" s="3327"/>
      <c r="XEA40" s="3327"/>
      <c r="XEB40" s="3327"/>
      <c r="XEC40" s="3327"/>
      <c r="XED40" s="3327"/>
      <c r="XEE40" s="3327"/>
      <c r="XEF40" s="3327"/>
      <c r="XEG40" s="3327"/>
      <c r="XEH40" s="3327"/>
      <c r="XEI40" s="3327"/>
      <c r="XEJ40" s="3327"/>
      <c r="XEK40" s="3327"/>
      <c r="XEL40" s="3327"/>
      <c r="XEM40" s="3327"/>
      <c r="XEN40" s="3327"/>
      <c r="XEO40" s="3327"/>
      <c r="XEP40" s="3327"/>
      <c r="XEQ40" s="3327"/>
      <c r="XER40" s="3327"/>
      <c r="XES40" s="3327"/>
      <c r="XET40" s="3327"/>
      <c r="XEU40" s="3327"/>
      <c r="XEV40" s="3327"/>
      <c r="XEW40" s="3327"/>
      <c r="XEX40" s="3327"/>
      <c r="XEY40" s="3327"/>
      <c r="XEZ40" s="3327"/>
      <c r="XFA40" s="3327"/>
      <c r="XFB40" s="3327"/>
      <c r="XFC40" s="3327"/>
      <c r="XFD40" s="1222"/>
    </row>
    <row r="41" spans="1:16384" ht="17.25" customHeight="1" x14ac:dyDescent="0.3">
      <c r="A41" s="3354" t="s">
        <v>819</v>
      </c>
      <c r="B41" s="3354"/>
      <c r="C41" s="1226"/>
      <c r="E41" s="1224"/>
    </row>
    <row r="42" spans="1:16384" ht="21" customHeight="1" x14ac:dyDescent="0.3">
      <c r="A42" s="1202" t="s">
        <v>680</v>
      </c>
      <c r="B42" s="1225"/>
      <c r="C42" s="1225"/>
    </row>
  </sheetData>
  <mergeCells count="10977">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V50"/>
  <sheetViews>
    <sheetView topLeftCell="A16" workbookViewId="0">
      <selection activeCell="E35" sqref="E35"/>
    </sheetView>
  </sheetViews>
  <sheetFormatPr defaultRowHeight="12.75" x14ac:dyDescent="0.2"/>
  <cols>
    <col min="1" max="1" width="15.7109375" style="1230" customWidth="1"/>
    <col min="2" max="6" width="15.7109375" style="1229" customWidth="1"/>
    <col min="7" max="7" width="2" style="1229" customWidth="1"/>
    <col min="8" max="8" width="8.140625" style="1229" customWidth="1"/>
    <col min="9" max="9" width="10.85546875" style="1229" customWidth="1"/>
    <col min="10" max="11" width="9.140625" style="1229"/>
    <col min="12" max="12" width="11.28515625" style="1229" bestFit="1" customWidth="1"/>
    <col min="13" max="256" width="9.140625" style="1229"/>
    <col min="257" max="262" width="15.7109375" style="1229" customWidth="1"/>
    <col min="263" max="263" width="2" style="1229" customWidth="1"/>
    <col min="264" max="264" width="8.140625" style="1229" customWidth="1"/>
    <col min="265" max="265" width="10.85546875" style="1229" customWidth="1"/>
    <col min="266" max="267" width="9.140625" style="1229"/>
    <col min="268" max="268" width="11.28515625" style="1229" bestFit="1" customWidth="1"/>
    <col min="269" max="512" width="9.140625" style="1229"/>
    <col min="513" max="518" width="15.7109375" style="1229" customWidth="1"/>
    <col min="519" max="519" width="2" style="1229" customWidth="1"/>
    <col min="520" max="520" width="8.140625" style="1229" customWidth="1"/>
    <col min="521" max="521" width="10.85546875" style="1229" customWidth="1"/>
    <col min="522" max="523" width="9.140625" style="1229"/>
    <col min="524" max="524" width="11.28515625" style="1229" bestFit="1" customWidth="1"/>
    <col min="525" max="768" width="9.140625" style="1229"/>
    <col min="769" max="774" width="15.7109375" style="1229" customWidth="1"/>
    <col min="775" max="775" width="2" style="1229" customWidth="1"/>
    <col min="776" max="776" width="8.140625" style="1229" customWidth="1"/>
    <col min="777" max="777" width="10.85546875" style="1229" customWidth="1"/>
    <col min="778" max="779" width="9.140625" style="1229"/>
    <col min="780" max="780" width="11.28515625" style="1229" bestFit="1" customWidth="1"/>
    <col min="781" max="1024" width="9.140625" style="1229"/>
    <col min="1025" max="1030" width="15.7109375" style="1229" customWidth="1"/>
    <col min="1031" max="1031" width="2" style="1229" customWidth="1"/>
    <col min="1032" max="1032" width="8.140625" style="1229" customWidth="1"/>
    <col min="1033" max="1033" width="10.85546875" style="1229" customWidth="1"/>
    <col min="1034" max="1035" width="9.140625" style="1229"/>
    <col min="1036" max="1036" width="11.28515625" style="1229" bestFit="1" customWidth="1"/>
    <col min="1037" max="1280" width="9.140625" style="1229"/>
    <col min="1281" max="1286" width="15.7109375" style="1229" customWidth="1"/>
    <col min="1287" max="1287" width="2" style="1229" customWidth="1"/>
    <col min="1288" max="1288" width="8.140625" style="1229" customWidth="1"/>
    <col min="1289" max="1289" width="10.85546875" style="1229" customWidth="1"/>
    <col min="1290" max="1291" width="9.140625" style="1229"/>
    <col min="1292" max="1292" width="11.28515625" style="1229" bestFit="1" customWidth="1"/>
    <col min="1293" max="1536" width="9.140625" style="1229"/>
    <col min="1537" max="1542" width="15.7109375" style="1229" customWidth="1"/>
    <col min="1543" max="1543" width="2" style="1229" customWidth="1"/>
    <col min="1544" max="1544" width="8.140625" style="1229" customWidth="1"/>
    <col min="1545" max="1545" width="10.85546875" style="1229" customWidth="1"/>
    <col min="1546" max="1547" width="9.140625" style="1229"/>
    <col min="1548" max="1548" width="11.28515625" style="1229" bestFit="1" customWidth="1"/>
    <col min="1549" max="1792" width="9.140625" style="1229"/>
    <col min="1793" max="1798" width="15.7109375" style="1229" customWidth="1"/>
    <col min="1799" max="1799" width="2" style="1229" customWidth="1"/>
    <col min="1800" max="1800" width="8.140625" style="1229" customWidth="1"/>
    <col min="1801" max="1801" width="10.85546875" style="1229" customWidth="1"/>
    <col min="1802" max="1803" width="9.140625" style="1229"/>
    <col min="1804" max="1804" width="11.28515625" style="1229" bestFit="1" customWidth="1"/>
    <col min="1805" max="2048" width="9.140625" style="1229"/>
    <col min="2049" max="2054" width="15.7109375" style="1229" customWidth="1"/>
    <col min="2055" max="2055" width="2" style="1229" customWidth="1"/>
    <col min="2056" max="2056" width="8.140625" style="1229" customWidth="1"/>
    <col min="2057" max="2057" width="10.85546875" style="1229" customWidth="1"/>
    <col min="2058" max="2059" width="9.140625" style="1229"/>
    <col min="2060" max="2060" width="11.28515625" style="1229" bestFit="1" customWidth="1"/>
    <col min="2061" max="2304" width="9.140625" style="1229"/>
    <col min="2305" max="2310" width="15.7109375" style="1229" customWidth="1"/>
    <col min="2311" max="2311" width="2" style="1229" customWidth="1"/>
    <col min="2312" max="2312" width="8.140625" style="1229" customWidth="1"/>
    <col min="2313" max="2313" width="10.85546875" style="1229" customWidth="1"/>
    <col min="2314" max="2315" width="9.140625" style="1229"/>
    <col min="2316" max="2316" width="11.28515625" style="1229" bestFit="1" customWidth="1"/>
    <col min="2317" max="2560" width="9.140625" style="1229"/>
    <col min="2561" max="2566" width="15.7109375" style="1229" customWidth="1"/>
    <col min="2567" max="2567" width="2" style="1229" customWidth="1"/>
    <col min="2568" max="2568" width="8.140625" style="1229" customWidth="1"/>
    <col min="2569" max="2569" width="10.85546875" style="1229" customWidth="1"/>
    <col min="2570" max="2571" width="9.140625" style="1229"/>
    <col min="2572" max="2572" width="11.28515625" style="1229" bestFit="1" customWidth="1"/>
    <col min="2573" max="2816" width="9.140625" style="1229"/>
    <col min="2817" max="2822" width="15.7109375" style="1229" customWidth="1"/>
    <col min="2823" max="2823" width="2" style="1229" customWidth="1"/>
    <col min="2824" max="2824" width="8.140625" style="1229" customWidth="1"/>
    <col min="2825" max="2825" width="10.85546875" style="1229" customWidth="1"/>
    <col min="2826" max="2827" width="9.140625" style="1229"/>
    <col min="2828" max="2828" width="11.28515625" style="1229" bestFit="1" customWidth="1"/>
    <col min="2829" max="3072" width="9.140625" style="1229"/>
    <col min="3073" max="3078" width="15.7109375" style="1229" customWidth="1"/>
    <col min="3079" max="3079" width="2" style="1229" customWidth="1"/>
    <col min="3080" max="3080" width="8.140625" style="1229" customWidth="1"/>
    <col min="3081" max="3081" width="10.85546875" style="1229" customWidth="1"/>
    <col min="3082" max="3083" width="9.140625" style="1229"/>
    <col min="3084" max="3084" width="11.28515625" style="1229" bestFit="1" customWidth="1"/>
    <col min="3085" max="3328" width="9.140625" style="1229"/>
    <col min="3329" max="3334" width="15.7109375" style="1229" customWidth="1"/>
    <col min="3335" max="3335" width="2" style="1229" customWidth="1"/>
    <col min="3336" max="3336" width="8.140625" style="1229" customWidth="1"/>
    <col min="3337" max="3337" width="10.85546875" style="1229" customWidth="1"/>
    <col min="3338" max="3339" width="9.140625" style="1229"/>
    <col min="3340" max="3340" width="11.28515625" style="1229" bestFit="1" customWidth="1"/>
    <col min="3341" max="3584" width="9.140625" style="1229"/>
    <col min="3585" max="3590" width="15.7109375" style="1229" customWidth="1"/>
    <col min="3591" max="3591" width="2" style="1229" customWidth="1"/>
    <col min="3592" max="3592" width="8.140625" style="1229" customWidth="1"/>
    <col min="3593" max="3593" width="10.85546875" style="1229" customWidth="1"/>
    <col min="3594" max="3595" width="9.140625" style="1229"/>
    <col min="3596" max="3596" width="11.28515625" style="1229" bestFit="1" customWidth="1"/>
    <col min="3597" max="3840" width="9.140625" style="1229"/>
    <col min="3841" max="3846" width="15.7109375" style="1229" customWidth="1"/>
    <col min="3847" max="3847" width="2" style="1229" customWidth="1"/>
    <col min="3848" max="3848" width="8.140625" style="1229" customWidth="1"/>
    <col min="3849" max="3849" width="10.85546875" style="1229" customWidth="1"/>
    <col min="3850" max="3851" width="9.140625" style="1229"/>
    <col min="3852" max="3852" width="11.28515625" style="1229" bestFit="1" customWidth="1"/>
    <col min="3853" max="4096" width="9.140625" style="1229"/>
    <col min="4097" max="4102" width="15.7109375" style="1229" customWidth="1"/>
    <col min="4103" max="4103" width="2" style="1229" customWidth="1"/>
    <col min="4104" max="4104" width="8.140625" style="1229" customWidth="1"/>
    <col min="4105" max="4105" width="10.85546875" style="1229" customWidth="1"/>
    <col min="4106" max="4107" width="9.140625" style="1229"/>
    <col min="4108" max="4108" width="11.28515625" style="1229" bestFit="1" customWidth="1"/>
    <col min="4109" max="4352" width="9.140625" style="1229"/>
    <col min="4353" max="4358" width="15.7109375" style="1229" customWidth="1"/>
    <col min="4359" max="4359" width="2" style="1229" customWidth="1"/>
    <col min="4360" max="4360" width="8.140625" style="1229" customWidth="1"/>
    <col min="4361" max="4361" width="10.85546875" style="1229" customWidth="1"/>
    <col min="4362" max="4363" width="9.140625" style="1229"/>
    <col min="4364" max="4364" width="11.28515625" style="1229" bestFit="1" customWidth="1"/>
    <col min="4365" max="4608" width="9.140625" style="1229"/>
    <col min="4609" max="4614" width="15.7109375" style="1229" customWidth="1"/>
    <col min="4615" max="4615" width="2" style="1229" customWidth="1"/>
    <col min="4616" max="4616" width="8.140625" style="1229" customWidth="1"/>
    <col min="4617" max="4617" width="10.85546875" style="1229" customWidth="1"/>
    <col min="4618" max="4619" width="9.140625" style="1229"/>
    <col min="4620" max="4620" width="11.28515625" style="1229" bestFit="1" customWidth="1"/>
    <col min="4621" max="4864" width="9.140625" style="1229"/>
    <col min="4865" max="4870" width="15.7109375" style="1229" customWidth="1"/>
    <col min="4871" max="4871" width="2" style="1229" customWidth="1"/>
    <col min="4872" max="4872" width="8.140625" style="1229" customWidth="1"/>
    <col min="4873" max="4873" width="10.85546875" style="1229" customWidth="1"/>
    <col min="4874" max="4875" width="9.140625" style="1229"/>
    <col min="4876" max="4876" width="11.28515625" style="1229" bestFit="1" customWidth="1"/>
    <col min="4877" max="5120" width="9.140625" style="1229"/>
    <col min="5121" max="5126" width="15.7109375" style="1229" customWidth="1"/>
    <col min="5127" max="5127" width="2" style="1229" customWidth="1"/>
    <col min="5128" max="5128" width="8.140625" style="1229" customWidth="1"/>
    <col min="5129" max="5129" width="10.85546875" style="1229" customWidth="1"/>
    <col min="5130" max="5131" width="9.140625" style="1229"/>
    <col min="5132" max="5132" width="11.28515625" style="1229" bestFit="1" customWidth="1"/>
    <col min="5133" max="5376" width="9.140625" style="1229"/>
    <col min="5377" max="5382" width="15.7109375" style="1229" customWidth="1"/>
    <col min="5383" max="5383" width="2" style="1229" customWidth="1"/>
    <col min="5384" max="5384" width="8.140625" style="1229" customWidth="1"/>
    <col min="5385" max="5385" width="10.85546875" style="1229" customWidth="1"/>
    <col min="5386" max="5387" width="9.140625" style="1229"/>
    <col min="5388" max="5388" width="11.28515625" style="1229" bestFit="1" customWidth="1"/>
    <col min="5389" max="5632" width="9.140625" style="1229"/>
    <col min="5633" max="5638" width="15.7109375" style="1229" customWidth="1"/>
    <col min="5639" max="5639" width="2" style="1229" customWidth="1"/>
    <col min="5640" max="5640" width="8.140625" style="1229" customWidth="1"/>
    <col min="5641" max="5641" width="10.85546875" style="1229" customWidth="1"/>
    <col min="5642" max="5643" width="9.140625" style="1229"/>
    <col min="5644" max="5644" width="11.28515625" style="1229" bestFit="1" customWidth="1"/>
    <col min="5645" max="5888" width="9.140625" style="1229"/>
    <col min="5889" max="5894" width="15.7109375" style="1229" customWidth="1"/>
    <col min="5895" max="5895" width="2" style="1229" customWidth="1"/>
    <col min="5896" max="5896" width="8.140625" style="1229" customWidth="1"/>
    <col min="5897" max="5897" width="10.85546875" style="1229" customWidth="1"/>
    <col min="5898" max="5899" width="9.140625" style="1229"/>
    <col min="5900" max="5900" width="11.28515625" style="1229" bestFit="1" customWidth="1"/>
    <col min="5901" max="6144" width="9.140625" style="1229"/>
    <col min="6145" max="6150" width="15.7109375" style="1229" customWidth="1"/>
    <col min="6151" max="6151" width="2" style="1229" customWidth="1"/>
    <col min="6152" max="6152" width="8.140625" style="1229" customWidth="1"/>
    <col min="6153" max="6153" width="10.85546875" style="1229" customWidth="1"/>
    <col min="6154" max="6155" width="9.140625" style="1229"/>
    <col min="6156" max="6156" width="11.28515625" style="1229" bestFit="1" customWidth="1"/>
    <col min="6157" max="6400" width="9.140625" style="1229"/>
    <col min="6401" max="6406" width="15.7109375" style="1229" customWidth="1"/>
    <col min="6407" max="6407" width="2" style="1229" customWidth="1"/>
    <col min="6408" max="6408" width="8.140625" style="1229" customWidth="1"/>
    <col min="6409" max="6409" width="10.85546875" style="1229" customWidth="1"/>
    <col min="6410" max="6411" width="9.140625" style="1229"/>
    <col min="6412" max="6412" width="11.28515625" style="1229" bestFit="1" customWidth="1"/>
    <col min="6413" max="6656" width="9.140625" style="1229"/>
    <col min="6657" max="6662" width="15.7109375" style="1229" customWidth="1"/>
    <col min="6663" max="6663" width="2" style="1229" customWidth="1"/>
    <col min="6664" max="6664" width="8.140625" style="1229" customWidth="1"/>
    <col min="6665" max="6665" width="10.85546875" style="1229" customWidth="1"/>
    <col min="6666" max="6667" width="9.140625" style="1229"/>
    <col min="6668" max="6668" width="11.28515625" style="1229" bestFit="1" customWidth="1"/>
    <col min="6669" max="6912" width="9.140625" style="1229"/>
    <col min="6913" max="6918" width="15.7109375" style="1229" customWidth="1"/>
    <col min="6919" max="6919" width="2" style="1229" customWidth="1"/>
    <col min="6920" max="6920" width="8.140625" style="1229" customWidth="1"/>
    <col min="6921" max="6921" width="10.85546875" style="1229" customWidth="1"/>
    <col min="6922" max="6923" width="9.140625" style="1229"/>
    <col min="6924" max="6924" width="11.28515625" style="1229" bestFit="1" customWidth="1"/>
    <col min="6925" max="7168" width="9.140625" style="1229"/>
    <col min="7169" max="7174" width="15.7109375" style="1229" customWidth="1"/>
    <col min="7175" max="7175" width="2" style="1229" customWidth="1"/>
    <col min="7176" max="7176" width="8.140625" style="1229" customWidth="1"/>
    <col min="7177" max="7177" width="10.85546875" style="1229" customWidth="1"/>
    <col min="7178" max="7179" width="9.140625" style="1229"/>
    <col min="7180" max="7180" width="11.28515625" style="1229" bestFit="1" customWidth="1"/>
    <col min="7181" max="7424" width="9.140625" style="1229"/>
    <col min="7425" max="7430" width="15.7109375" style="1229" customWidth="1"/>
    <col min="7431" max="7431" width="2" style="1229" customWidth="1"/>
    <col min="7432" max="7432" width="8.140625" style="1229" customWidth="1"/>
    <col min="7433" max="7433" width="10.85546875" style="1229" customWidth="1"/>
    <col min="7434" max="7435" width="9.140625" style="1229"/>
    <col min="7436" max="7436" width="11.28515625" style="1229" bestFit="1" customWidth="1"/>
    <col min="7437" max="7680" width="9.140625" style="1229"/>
    <col min="7681" max="7686" width="15.7109375" style="1229" customWidth="1"/>
    <col min="7687" max="7687" width="2" style="1229" customWidth="1"/>
    <col min="7688" max="7688" width="8.140625" style="1229" customWidth="1"/>
    <col min="7689" max="7689" width="10.85546875" style="1229" customWidth="1"/>
    <col min="7690" max="7691" width="9.140625" style="1229"/>
    <col min="7692" max="7692" width="11.28515625" style="1229" bestFit="1" customWidth="1"/>
    <col min="7693" max="7936" width="9.140625" style="1229"/>
    <col min="7937" max="7942" width="15.7109375" style="1229" customWidth="1"/>
    <col min="7943" max="7943" width="2" style="1229" customWidth="1"/>
    <col min="7944" max="7944" width="8.140625" style="1229" customWidth="1"/>
    <col min="7945" max="7945" width="10.85546875" style="1229" customWidth="1"/>
    <col min="7946" max="7947" width="9.140625" style="1229"/>
    <col min="7948" max="7948" width="11.28515625" style="1229" bestFit="1" customWidth="1"/>
    <col min="7949" max="8192" width="9.140625" style="1229"/>
    <col min="8193" max="8198" width="15.7109375" style="1229" customWidth="1"/>
    <col min="8199" max="8199" width="2" style="1229" customWidth="1"/>
    <col min="8200" max="8200" width="8.140625" style="1229" customWidth="1"/>
    <col min="8201" max="8201" width="10.85546875" style="1229" customWidth="1"/>
    <col min="8202" max="8203" width="9.140625" style="1229"/>
    <col min="8204" max="8204" width="11.28515625" style="1229" bestFit="1" customWidth="1"/>
    <col min="8205" max="8448" width="9.140625" style="1229"/>
    <col min="8449" max="8454" width="15.7109375" style="1229" customWidth="1"/>
    <col min="8455" max="8455" width="2" style="1229" customWidth="1"/>
    <col min="8456" max="8456" width="8.140625" style="1229" customWidth="1"/>
    <col min="8457" max="8457" width="10.85546875" style="1229" customWidth="1"/>
    <col min="8458" max="8459" width="9.140625" style="1229"/>
    <col min="8460" max="8460" width="11.28515625" style="1229" bestFit="1" customWidth="1"/>
    <col min="8461" max="8704" width="9.140625" style="1229"/>
    <col min="8705" max="8710" width="15.7109375" style="1229" customWidth="1"/>
    <col min="8711" max="8711" width="2" style="1229" customWidth="1"/>
    <col min="8712" max="8712" width="8.140625" style="1229" customWidth="1"/>
    <col min="8713" max="8713" width="10.85546875" style="1229" customWidth="1"/>
    <col min="8714" max="8715" width="9.140625" style="1229"/>
    <col min="8716" max="8716" width="11.28515625" style="1229" bestFit="1" customWidth="1"/>
    <col min="8717" max="8960" width="9.140625" style="1229"/>
    <col min="8961" max="8966" width="15.7109375" style="1229" customWidth="1"/>
    <col min="8967" max="8967" width="2" style="1229" customWidth="1"/>
    <col min="8968" max="8968" width="8.140625" style="1229" customWidth="1"/>
    <col min="8969" max="8969" width="10.85546875" style="1229" customWidth="1"/>
    <col min="8970" max="8971" width="9.140625" style="1229"/>
    <col min="8972" max="8972" width="11.28515625" style="1229" bestFit="1" customWidth="1"/>
    <col min="8973" max="9216" width="9.140625" style="1229"/>
    <col min="9217" max="9222" width="15.7109375" style="1229" customWidth="1"/>
    <col min="9223" max="9223" width="2" style="1229" customWidth="1"/>
    <col min="9224" max="9224" width="8.140625" style="1229" customWidth="1"/>
    <col min="9225" max="9225" width="10.85546875" style="1229" customWidth="1"/>
    <col min="9226" max="9227" width="9.140625" style="1229"/>
    <col min="9228" max="9228" width="11.28515625" style="1229" bestFit="1" customWidth="1"/>
    <col min="9229" max="9472" width="9.140625" style="1229"/>
    <col min="9473" max="9478" width="15.7109375" style="1229" customWidth="1"/>
    <col min="9479" max="9479" width="2" style="1229" customWidth="1"/>
    <col min="9480" max="9480" width="8.140625" style="1229" customWidth="1"/>
    <col min="9481" max="9481" width="10.85546875" style="1229" customWidth="1"/>
    <col min="9482" max="9483" width="9.140625" style="1229"/>
    <col min="9484" max="9484" width="11.28515625" style="1229" bestFit="1" customWidth="1"/>
    <col min="9485" max="9728" width="9.140625" style="1229"/>
    <col min="9729" max="9734" width="15.7109375" style="1229" customWidth="1"/>
    <col min="9735" max="9735" width="2" style="1229" customWidth="1"/>
    <col min="9736" max="9736" width="8.140625" style="1229" customWidth="1"/>
    <col min="9737" max="9737" width="10.85546875" style="1229" customWidth="1"/>
    <col min="9738" max="9739" width="9.140625" style="1229"/>
    <col min="9740" max="9740" width="11.28515625" style="1229" bestFit="1" customWidth="1"/>
    <col min="9741" max="9984" width="9.140625" style="1229"/>
    <col min="9985" max="9990" width="15.7109375" style="1229" customWidth="1"/>
    <col min="9991" max="9991" width="2" style="1229" customWidth="1"/>
    <col min="9992" max="9992" width="8.140625" style="1229" customWidth="1"/>
    <col min="9993" max="9993" width="10.85546875" style="1229" customWidth="1"/>
    <col min="9994" max="9995" width="9.140625" style="1229"/>
    <col min="9996" max="9996" width="11.28515625" style="1229" bestFit="1" customWidth="1"/>
    <col min="9997" max="10240" width="9.140625" style="1229"/>
    <col min="10241" max="10246" width="15.7109375" style="1229" customWidth="1"/>
    <col min="10247" max="10247" width="2" style="1229" customWidth="1"/>
    <col min="10248" max="10248" width="8.140625" style="1229" customWidth="1"/>
    <col min="10249" max="10249" width="10.85546875" style="1229" customWidth="1"/>
    <col min="10250" max="10251" width="9.140625" style="1229"/>
    <col min="10252" max="10252" width="11.28515625" style="1229" bestFit="1" customWidth="1"/>
    <col min="10253" max="10496" width="9.140625" style="1229"/>
    <col min="10497" max="10502" width="15.7109375" style="1229" customWidth="1"/>
    <col min="10503" max="10503" width="2" style="1229" customWidth="1"/>
    <col min="10504" max="10504" width="8.140625" style="1229" customWidth="1"/>
    <col min="10505" max="10505" width="10.85546875" style="1229" customWidth="1"/>
    <col min="10506" max="10507" width="9.140625" style="1229"/>
    <col min="10508" max="10508" width="11.28515625" style="1229" bestFit="1" customWidth="1"/>
    <col min="10509" max="10752" width="9.140625" style="1229"/>
    <col min="10753" max="10758" width="15.7109375" style="1229" customWidth="1"/>
    <col min="10759" max="10759" width="2" style="1229" customWidth="1"/>
    <col min="10760" max="10760" width="8.140625" style="1229" customWidth="1"/>
    <col min="10761" max="10761" width="10.85546875" style="1229" customWidth="1"/>
    <col min="10762" max="10763" width="9.140625" style="1229"/>
    <col min="10764" max="10764" width="11.28515625" style="1229" bestFit="1" customWidth="1"/>
    <col min="10765" max="11008" width="9.140625" style="1229"/>
    <col min="11009" max="11014" width="15.7109375" style="1229" customWidth="1"/>
    <col min="11015" max="11015" width="2" style="1229" customWidth="1"/>
    <col min="11016" max="11016" width="8.140625" style="1229" customWidth="1"/>
    <col min="11017" max="11017" width="10.85546875" style="1229" customWidth="1"/>
    <col min="11018" max="11019" width="9.140625" style="1229"/>
    <col min="11020" max="11020" width="11.28515625" style="1229" bestFit="1" customWidth="1"/>
    <col min="11021" max="11264" width="9.140625" style="1229"/>
    <col min="11265" max="11270" width="15.7109375" style="1229" customWidth="1"/>
    <col min="11271" max="11271" width="2" style="1229" customWidth="1"/>
    <col min="11272" max="11272" width="8.140625" style="1229" customWidth="1"/>
    <col min="11273" max="11273" width="10.85546875" style="1229" customWidth="1"/>
    <col min="11274" max="11275" width="9.140625" style="1229"/>
    <col min="11276" max="11276" width="11.28515625" style="1229" bestFit="1" customWidth="1"/>
    <col min="11277" max="11520" width="9.140625" style="1229"/>
    <col min="11521" max="11526" width="15.7109375" style="1229" customWidth="1"/>
    <col min="11527" max="11527" width="2" style="1229" customWidth="1"/>
    <col min="11528" max="11528" width="8.140625" style="1229" customWidth="1"/>
    <col min="11529" max="11529" width="10.85546875" style="1229" customWidth="1"/>
    <col min="11530" max="11531" width="9.140625" style="1229"/>
    <col min="11532" max="11532" width="11.28515625" style="1229" bestFit="1" customWidth="1"/>
    <col min="11533" max="11776" width="9.140625" style="1229"/>
    <col min="11777" max="11782" width="15.7109375" style="1229" customWidth="1"/>
    <col min="11783" max="11783" width="2" style="1229" customWidth="1"/>
    <col min="11784" max="11784" width="8.140625" style="1229" customWidth="1"/>
    <col min="11785" max="11785" width="10.85546875" style="1229" customWidth="1"/>
    <col min="11786" max="11787" width="9.140625" style="1229"/>
    <col min="11788" max="11788" width="11.28515625" style="1229" bestFit="1" customWidth="1"/>
    <col min="11789" max="12032" width="9.140625" style="1229"/>
    <col min="12033" max="12038" width="15.7109375" style="1229" customWidth="1"/>
    <col min="12039" max="12039" width="2" style="1229" customWidth="1"/>
    <col min="12040" max="12040" width="8.140625" style="1229" customWidth="1"/>
    <col min="12041" max="12041" width="10.85546875" style="1229" customWidth="1"/>
    <col min="12042" max="12043" width="9.140625" style="1229"/>
    <col min="12044" max="12044" width="11.28515625" style="1229" bestFit="1" customWidth="1"/>
    <col min="12045" max="12288" width="9.140625" style="1229"/>
    <col min="12289" max="12294" width="15.7109375" style="1229" customWidth="1"/>
    <col min="12295" max="12295" width="2" style="1229" customWidth="1"/>
    <col min="12296" max="12296" width="8.140625" style="1229" customWidth="1"/>
    <col min="12297" max="12297" width="10.85546875" style="1229" customWidth="1"/>
    <col min="12298" max="12299" width="9.140625" style="1229"/>
    <col min="12300" max="12300" width="11.28515625" style="1229" bestFit="1" customWidth="1"/>
    <col min="12301" max="12544" width="9.140625" style="1229"/>
    <col min="12545" max="12550" width="15.7109375" style="1229" customWidth="1"/>
    <col min="12551" max="12551" width="2" style="1229" customWidth="1"/>
    <col min="12552" max="12552" width="8.140625" style="1229" customWidth="1"/>
    <col min="12553" max="12553" width="10.85546875" style="1229" customWidth="1"/>
    <col min="12554" max="12555" width="9.140625" style="1229"/>
    <col min="12556" max="12556" width="11.28515625" style="1229" bestFit="1" customWidth="1"/>
    <col min="12557" max="12800" width="9.140625" style="1229"/>
    <col min="12801" max="12806" width="15.7109375" style="1229" customWidth="1"/>
    <col min="12807" max="12807" width="2" style="1229" customWidth="1"/>
    <col min="12808" max="12808" width="8.140625" style="1229" customWidth="1"/>
    <col min="12809" max="12809" width="10.85546875" style="1229" customWidth="1"/>
    <col min="12810" max="12811" width="9.140625" style="1229"/>
    <col min="12812" max="12812" width="11.28515625" style="1229" bestFit="1" customWidth="1"/>
    <col min="12813" max="13056" width="9.140625" style="1229"/>
    <col min="13057" max="13062" width="15.7109375" style="1229" customWidth="1"/>
    <col min="13063" max="13063" width="2" style="1229" customWidth="1"/>
    <col min="13064" max="13064" width="8.140625" style="1229" customWidth="1"/>
    <col min="13065" max="13065" width="10.85546875" style="1229" customWidth="1"/>
    <col min="13066" max="13067" width="9.140625" style="1229"/>
    <col min="13068" max="13068" width="11.28515625" style="1229" bestFit="1" customWidth="1"/>
    <col min="13069" max="13312" width="9.140625" style="1229"/>
    <col min="13313" max="13318" width="15.7109375" style="1229" customWidth="1"/>
    <col min="13319" max="13319" width="2" style="1229" customWidth="1"/>
    <col min="13320" max="13320" width="8.140625" style="1229" customWidth="1"/>
    <col min="13321" max="13321" width="10.85546875" style="1229" customWidth="1"/>
    <col min="13322" max="13323" width="9.140625" style="1229"/>
    <col min="13324" max="13324" width="11.28515625" style="1229" bestFit="1" customWidth="1"/>
    <col min="13325" max="13568" width="9.140625" style="1229"/>
    <col min="13569" max="13574" width="15.7109375" style="1229" customWidth="1"/>
    <col min="13575" max="13575" width="2" style="1229" customWidth="1"/>
    <col min="13576" max="13576" width="8.140625" style="1229" customWidth="1"/>
    <col min="13577" max="13577" width="10.85546875" style="1229" customWidth="1"/>
    <col min="13578" max="13579" width="9.140625" style="1229"/>
    <col min="13580" max="13580" width="11.28515625" style="1229" bestFit="1" customWidth="1"/>
    <col min="13581" max="13824" width="9.140625" style="1229"/>
    <col min="13825" max="13830" width="15.7109375" style="1229" customWidth="1"/>
    <col min="13831" max="13831" width="2" style="1229" customWidth="1"/>
    <col min="13832" max="13832" width="8.140625" style="1229" customWidth="1"/>
    <col min="13833" max="13833" width="10.85546875" style="1229" customWidth="1"/>
    <col min="13834" max="13835" width="9.140625" style="1229"/>
    <col min="13836" max="13836" width="11.28515625" style="1229" bestFit="1" customWidth="1"/>
    <col min="13837" max="14080" width="9.140625" style="1229"/>
    <col min="14081" max="14086" width="15.7109375" style="1229" customWidth="1"/>
    <col min="14087" max="14087" width="2" style="1229" customWidth="1"/>
    <col min="14088" max="14088" width="8.140625" style="1229" customWidth="1"/>
    <col min="14089" max="14089" width="10.85546875" style="1229" customWidth="1"/>
    <col min="14090" max="14091" width="9.140625" style="1229"/>
    <col min="14092" max="14092" width="11.28515625" style="1229" bestFit="1" customWidth="1"/>
    <col min="14093" max="14336" width="9.140625" style="1229"/>
    <col min="14337" max="14342" width="15.7109375" style="1229" customWidth="1"/>
    <col min="14343" max="14343" width="2" style="1229" customWidth="1"/>
    <col min="14344" max="14344" width="8.140625" style="1229" customWidth="1"/>
    <col min="14345" max="14345" width="10.85546875" style="1229" customWidth="1"/>
    <col min="14346" max="14347" width="9.140625" style="1229"/>
    <col min="14348" max="14348" width="11.28515625" style="1229" bestFit="1" customWidth="1"/>
    <col min="14349" max="14592" width="9.140625" style="1229"/>
    <col min="14593" max="14598" width="15.7109375" style="1229" customWidth="1"/>
    <col min="14599" max="14599" width="2" style="1229" customWidth="1"/>
    <col min="14600" max="14600" width="8.140625" style="1229" customWidth="1"/>
    <col min="14601" max="14601" width="10.85546875" style="1229" customWidth="1"/>
    <col min="14602" max="14603" width="9.140625" style="1229"/>
    <col min="14604" max="14604" width="11.28515625" style="1229" bestFit="1" customWidth="1"/>
    <col min="14605" max="14848" width="9.140625" style="1229"/>
    <col min="14849" max="14854" width="15.7109375" style="1229" customWidth="1"/>
    <col min="14855" max="14855" width="2" style="1229" customWidth="1"/>
    <col min="14856" max="14856" width="8.140625" style="1229" customWidth="1"/>
    <col min="14857" max="14857" width="10.85546875" style="1229" customWidth="1"/>
    <col min="14858" max="14859" width="9.140625" style="1229"/>
    <col min="14860" max="14860" width="11.28515625" style="1229" bestFit="1" customWidth="1"/>
    <col min="14861" max="15104" width="9.140625" style="1229"/>
    <col min="15105" max="15110" width="15.7109375" style="1229" customWidth="1"/>
    <col min="15111" max="15111" width="2" style="1229" customWidth="1"/>
    <col min="15112" max="15112" width="8.140625" style="1229" customWidth="1"/>
    <col min="15113" max="15113" width="10.85546875" style="1229" customWidth="1"/>
    <col min="15114" max="15115" width="9.140625" style="1229"/>
    <col min="15116" max="15116" width="11.28515625" style="1229" bestFit="1" customWidth="1"/>
    <col min="15117" max="15360" width="9.140625" style="1229"/>
    <col min="15361" max="15366" width="15.7109375" style="1229" customWidth="1"/>
    <col min="15367" max="15367" width="2" style="1229" customWidth="1"/>
    <col min="15368" max="15368" width="8.140625" style="1229" customWidth="1"/>
    <col min="15369" max="15369" width="10.85546875" style="1229" customWidth="1"/>
    <col min="15370" max="15371" width="9.140625" style="1229"/>
    <col min="15372" max="15372" width="11.28515625" style="1229" bestFit="1" customWidth="1"/>
    <col min="15373" max="15616" width="9.140625" style="1229"/>
    <col min="15617" max="15622" width="15.7109375" style="1229" customWidth="1"/>
    <col min="15623" max="15623" width="2" style="1229" customWidth="1"/>
    <col min="15624" max="15624" width="8.140625" style="1229" customWidth="1"/>
    <col min="15625" max="15625" width="10.85546875" style="1229" customWidth="1"/>
    <col min="15626" max="15627" width="9.140625" style="1229"/>
    <col min="15628" max="15628" width="11.28515625" style="1229" bestFit="1" customWidth="1"/>
    <col min="15629" max="15872" width="9.140625" style="1229"/>
    <col min="15873" max="15878" width="15.7109375" style="1229" customWidth="1"/>
    <col min="15879" max="15879" width="2" style="1229" customWidth="1"/>
    <col min="15880" max="15880" width="8.140625" style="1229" customWidth="1"/>
    <col min="15881" max="15881" width="10.85546875" style="1229" customWidth="1"/>
    <col min="15882" max="15883" width="9.140625" style="1229"/>
    <col min="15884" max="15884" width="11.28515625" style="1229" bestFit="1" customWidth="1"/>
    <col min="15885" max="16128" width="9.140625" style="1229"/>
    <col min="16129" max="16134" width="15.7109375" style="1229" customWidth="1"/>
    <col min="16135" max="16135" width="2" style="1229" customWidth="1"/>
    <col min="16136" max="16136" width="8.140625" style="1229" customWidth="1"/>
    <col min="16137" max="16137" width="10.85546875" style="1229" customWidth="1"/>
    <col min="16138" max="16139" width="9.140625" style="1229"/>
    <col min="16140" max="16140" width="11.28515625" style="1229" bestFit="1" customWidth="1"/>
    <col min="16141" max="16384" width="9.140625" style="1229"/>
  </cols>
  <sheetData>
    <row r="1" spans="1:256" ht="18.75" x14ac:dyDescent="0.2">
      <c r="A1" s="1227" t="s">
        <v>820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c r="CU1" s="1228"/>
      <c r="CV1" s="1228"/>
      <c r="CW1" s="1228"/>
      <c r="CX1" s="1228"/>
      <c r="CY1" s="1228"/>
      <c r="CZ1" s="1228"/>
      <c r="DA1" s="1228"/>
      <c r="DB1" s="1228"/>
      <c r="DC1" s="1228"/>
      <c r="DD1" s="1228"/>
      <c r="DE1" s="1228"/>
      <c r="DF1" s="1228"/>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c r="EJ1" s="1228"/>
      <c r="EK1" s="1228"/>
      <c r="EL1" s="1228"/>
      <c r="EM1" s="1228"/>
      <c r="EN1" s="1228"/>
      <c r="EO1" s="1228"/>
      <c r="EP1" s="1228"/>
      <c r="EQ1" s="1228"/>
      <c r="ER1" s="1228"/>
      <c r="ES1" s="1228"/>
      <c r="ET1" s="1228"/>
      <c r="EU1" s="1228"/>
      <c r="EV1" s="1228"/>
      <c r="EW1" s="1228"/>
      <c r="EX1" s="1228"/>
      <c r="EY1" s="1228"/>
      <c r="EZ1" s="1228"/>
      <c r="FA1" s="1228"/>
      <c r="FB1" s="1228"/>
      <c r="FC1" s="1228"/>
      <c r="FD1" s="1228"/>
      <c r="FE1" s="1228"/>
      <c r="FF1" s="1228"/>
      <c r="FG1" s="1228"/>
      <c r="FH1" s="1228"/>
      <c r="FI1" s="1228"/>
      <c r="FJ1" s="1228"/>
      <c r="FK1" s="1228"/>
      <c r="FL1" s="1228"/>
      <c r="FM1" s="1228"/>
      <c r="FN1" s="1228"/>
      <c r="FO1" s="1228"/>
      <c r="FP1" s="1228"/>
      <c r="FQ1" s="1228"/>
      <c r="FR1" s="1228"/>
      <c r="FS1" s="1228"/>
      <c r="FT1" s="1228"/>
      <c r="FU1" s="1228"/>
      <c r="FV1" s="1228"/>
      <c r="FW1" s="1228"/>
      <c r="FX1" s="1228"/>
      <c r="FY1" s="1228"/>
      <c r="FZ1" s="1228"/>
      <c r="GA1" s="1228"/>
      <c r="GB1" s="1228"/>
      <c r="GC1" s="1228"/>
      <c r="GD1" s="1228"/>
      <c r="GE1" s="1228"/>
      <c r="GF1" s="1228"/>
      <c r="GG1" s="1228"/>
      <c r="GH1" s="1228"/>
      <c r="GI1" s="1228"/>
      <c r="GJ1" s="1228"/>
      <c r="GK1" s="1228"/>
      <c r="GL1" s="1228"/>
      <c r="GM1" s="1228"/>
      <c r="GN1" s="1228"/>
      <c r="GO1" s="1228"/>
      <c r="GP1" s="1228"/>
      <c r="GQ1" s="1228"/>
      <c r="GR1" s="1228"/>
      <c r="GS1" s="1228"/>
      <c r="GT1" s="1228"/>
      <c r="GU1" s="1228"/>
      <c r="GV1" s="1228"/>
      <c r="GW1" s="1228"/>
      <c r="GX1" s="1228"/>
      <c r="GY1" s="1228"/>
      <c r="GZ1" s="1228"/>
      <c r="HA1" s="1228"/>
      <c r="HB1" s="1228"/>
      <c r="HC1" s="1228"/>
      <c r="HD1" s="1228"/>
      <c r="HE1" s="1228"/>
      <c r="HF1" s="1228"/>
      <c r="HG1" s="1228"/>
      <c r="HH1" s="1228"/>
      <c r="HI1" s="1228"/>
      <c r="HJ1" s="1228"/>
      <c r="HK1" s="1228"/>
      <c r="HL1" s="1228"/>
      <c r="HM1" s="1228"/>
      <c r="HN1" s="1228"/>
      <c r="HO1" s="1228"/>
      <c r="HP1" s="1228"/>
      <c r="HQ1" s="1228"/>
      <c r="HR1" s="1228"/>
      <c r="HS1" s="1228"/>
      <c r="HT1" s="1228"/>
      <c r="HU1" s="1228"/>
      <c r="HV1" s="1228"/>
      <c r="HW1" s="1228"/>
      <c r="HX1" s="1228"/>
      <c r="HY1" s="1228"/>
      <c r="HZ1" s="1228"/>
      <c r="IA1" s="1228"/>
      <c r="IB1" s="1228"/>
      <c r="IC1" s="1228"/>
      <c r="ID1" s="1228"/>
      <c r="IE1" s="1228"/>
      <c r="IF1" s="1228"/>
      <c r="IG1" s="1228"/>
      <c r="IH1" s="1228"/>
      <c r="II1" s="1228"/>
      <c r="IJ1" s="1228"/>
      <c r="IK1" s="1228"/>
      <c r="IL1" s="1228"/>
      <c r="IM1" s="1228"/>
      <c r="IN1" s="1228"/>
      <c r="IO1" s="1228"/>
      <c r="IP1" s="1228"/>
      <c r="IQ1" s="1228"/>
      <c r="IR1" s="1228"/>
      <c r="IS1" s="1228"/>
      <c r="IT1" s="1228"/>
      <c r="IU1" s="1228"/>
      <c r="IV1" s="1228"/>
    </row>
    <row r="2" spans="1:256" ht="13.5" thickBot="1" x14ac:dyDescent="0.25">
      <c r="F2" s="1231" t="s">
        <v>73</v>
      </c>
    </row>
    <row r="3" spans="1:256" ht="29.25" thickBot="1" x14ac:dyDescent="0.25">
      <c r="A3" s="1232"/>
      <c r="B3" s="1233" t="s">
        <v>821</v>
      </c>
      <c r="C3" s="1233" t="s">
        <v>822</v>
      </c>
      <c r="D3" s="1233" t="s">
        <v>823</v>
      </c>
      <c r="E3" s="1233" t="s">
        <v>824</v>
      </c>
      <c r="F3" s="1234" t="s">
        <v>246</v>
      </c>
      <c r="G3" s="1235"/>
      <c r="H3" s="1235"/>
      <c r="I3" s="1235"/>
      <c r="J3" s="1235"/>
      <c r="K3" s="1235"/>
      <c r="L3" s="1235"/>
      <c r="M3" s="1235"/>
      <c r="N3" s="1235"/>
      <c r="O3" s="1235"/>
      <c r="P3" s="1235"/>
      <c r="Q3" s="1235"/>
      <c r="R3" s="1235"/>
      <c r="S3" s="1235"/>
      <c r="T3" s="1235"/>
      <c r="U3" s="1235"/>
      <c r="V3" s="1235"/>
      <c r="W3" s="1235"/>
      <c r="X3" s="1235"/>
      <c r="Y3" s="1235"/>
      <c r="Z3" s="1235"/>
      <c r="AA3" s="1235"/>
      <c r="AB3" s="1235"/>
      <c r="AC3" s="1235"/>
      <c r="AD3" s="1235"/>
      <c r="AE3" s="1235"/>
      <c r="AF3" s="1235"/>
      <c r="AG3" s="1235"/>
      <c r="AH3" s="1235"/>
      <c r="AI3" s="1235"/>
      <c r="AJ3" s="1235"/>
      <c r="AK3" s="1235"/>
      <c r="AL3" s="1235"/>
      <c r="AM3" s="1235"/>
      <c r="AN3" s="1235"/>
      <c r="AO3" s="1235"/>
      <c r="AP3" s="1235"/>
      <c r="AQ3" s="1235"/>
      <c r="AR3" s="1235"/>
      <c r="AS3" s="1235"/>
      <c r="AT3" s="1235"/>
      <c r="AU3" s="1235"/>
      <c r="AV3" s="1235"/>
      <c r="AW3" s="1235"/>
      <c r="AX3" s="1235"/>
      <c r="AY3" s="1235"/>
      <c r="AZ3" s="1235"/>
      <c r="BA3" s="1235"/>
      <c r="BB3" s="1235"/>
      <c r="BC3" s="1235"/>
      <c r="BD3" s="1235"/>
      <c r="BE3" s="1235"/>
      <c r="BF3" s="1235"/>
      <c r="BG3" s="1235"/>
      <c r="BH3" s="1235"/>
      <c r="BI3" s="1235"/>
      <c r="BJ3" s="1235"/>
      <c r="BK3" s="1235"/>
      <c r="BL3" s="1235"/>
      <c r="BM3" s="1235"/>
      <c r="BN3" s="1235"/>
      <c r="BO3" s="1235"/>
      <c r="BP3" s="1235"/>
      <c r="BQ3" s="1235"/>
      <c r="BR3" s="1235"/>
      <c r="BS3" s="1235"/>
      <c r="BT3" s="1235"/>
      <c r="BU3" s="1235"/>
      <c r="BV3" s="1235"/>
      <c r="BW3" s="1235"/>
      <c r="BX3" s="1235"/>
      <c r="BY3" s="1235"/>
      <c r="BZ3" s="1235"/>
      <c r="CA3" s="1235"/>
      <c r="CB3" s="1235"/>
      <c r="CC3" s="1235"/>
      <c r="CD3" s="1235"/>
      <c r="CE3" s="1235"/>
      <c r="CF3" s="1235"/>
      <c r="CG3" s="1235"/>
      <c r="CH3" s="1235"/>
      <c r="CI3" s="1235"/>
      <c r="CJ3" s="1235"/>
      <c r="CK3" s="1235"/>
      <c r="CL3" s="1235"/>
      <c r="CM3" s="1235"/>
      <c r="CN3" s="1235"/>
      <c r="CO3" s="1235"/>
      <c r="CP3" s="1235"/>
      <c r="CQ3" s="1235"/>
      <c r="CR3" s="1235"/>
      <c r="CS3" s="1235"/>
      <c r="CT3" s="1235"/>
      <c r="CU3" s="1235"/>
      <c r="CV3" s="1235"/>
      <c r="CW3" s="1235"/>
      <c r="CX3" s="1235"/>
      <c r="CY3" s="1235"/>
      <c r="CZ3" s="1235"/>
      <c r="DA3" s="1235"/>
      <c r="DB3" s="1235"/>
      <c r="DC3" s="1235"/>
      <c r="DD3" s="1235"/>
      <c r="DE3" s="1235"/>
      <c r="DF3" s="1235"/>
      <c r="DG3" s="1235"/>
      <c r="DH3" s="1235"/>
      <c r="DI3" s="1235"/>
      <c r="DJ3" s="1235"/>
      <c r="DK3" s="1235"/>
      <c r="DL3" s="1235"/>
      <c r="DM3" s="1235"/>
      <c r="DN3" s="1235"/>
      <c r="DO3" s="1235"/>
      <c r="DP3" s="1235"/>
      <c r="DQ3" s="1235"/>
      <c r="DR3" s="1235"/>
      <c r="DS3" s="1235"/>
      <c r="DT3" s="1235"/>
      <c r="DU3" s="1235"/>
      <c r="DV3" s="1235"/>
      <c r="DW3" s="1235"/>
      <c r="DX3" s="1235"/>
      <c r="DY3" s="1235"/>
      <c r="DZ3" s="1235"/>
      <c r="EA3" s="1235"/>
      <c r="EB3" s="1235"/>
      <c r="EC3" s="1235"/>
      <c r="ED3" s="1235"/>
      <c r="EE3" s="1235"/>
      <c r="EF3" s="1235"/>
      <c r="EG3" s="1235"/>
      <c r="EH3" s="1235"/>
      <c r="EI3" s="1235"/>
      <c r="EJ3" s="1235"/>
      <c r="EK3" s="1235"/>
      <c r="EL3" s="1235"/>
      <c r="EM3" s="1235"/>
      <c r="EN3" s="1235"/>
      <c r="EO3" s="1235"/>
      <c r="EP3" s="1235"/>
      <c r="EQ3" s="1235"/>
      <c r="ER3" s="1235"/>
      <c r="ES3" s="1235"/>
      <c r="ET3" s="1235"/>
      <c r="EU3" s="1235"/>
      <c r="EV3" s="1235"/>
      <c r="EW3" s="1235"/>
      <c r="EX3" s="1235"/>
      <c r="EY3" s="1235"/>
      <c r="EZ3" s="1235"/>
      <c r="FA3" s="1235"/>
      <c r="FB3" s="1235"/>
      <c r="FC3" s="1235"/>
      <c r="FD3" s="1235"/>
      <c r="FE3" s="1235"/>
      <c r="FF3" s="1235"/>
      <c r="FG3" s="1235"/>
      <c r="FH3" s="1235"/>
      <c r="FI3" s="1235"/>
      <c r="FJ3" s="1235"/>
      <c r="FK3" s="1235"/>
      <c r="FL3" s="1235"/>
      <c r="FM3" s="1235"/>
      <c r="FN3" s="1235"/>
      <c r="FO3" s="1235"/>
      <c r="FP3" s="1235"/>
      <c r="FQ3" s="1235"/>
      <c r="FR3" s="1235"/>
      <c r="FS3" s="1235"/>
      <c r="FT3" s="1235"/>
      <c r="FU3" s="1235"/>
      <c r="FV3" s="1235"/>
      <c r="FW3" s="1235"/>
      <c r="FX3" s="1235"/>
      <c r="FY3" s="1235"/>
      <c r="FZ3" s="1235"/>
      <c r="GA3" s="1235"/>
      <c r="GB3" s="1235"/>
      <c r="GC3" s="1235"/>
      <c r="GD3" s="1235"/>
      <c r="GE3" s="1235"/>
      <c r="GF3" s="1235"/>
      <c r="GG3" s="1235"/>
      <c r="GH3" s="1235"/>
      <c r="GI3" s="1235"/>
      <c r="GJ3" s="1235"/>
      <c r="GK3" s="1235"/>
      <c r="GL3" s="1235"/>
      <c r="GM3" s="1235"/>
      <c r="GN3" s="1235"/>
      <c r="GO3" s="1235"/>
      <c r="GP3" s="1235"/>
      <c r="GQ3" s="1235"/>
      <c r="GR3" s="1235"/>
      <c r="GS3" s="1235"/>
      <c r="GT3" s="1235"/>
      <c r="GU3" s="1235"/>
      <c r="GV3" s="1235"/>
      <c r="GW3" s="1235"/>
      <c r="GX3" s="1235"/>
      <c r="GY3" s="1235"/>
      <c r="GZ3" s="1235"/>
      <c r="HA3" s="1235"/>
      <c r="HB3" s="1235"/>
      <c r="HC3" s="1235"/>
      <c r="HD3" s="1235"/>
      <c r="HE3" s="1235"/>
      <c r="HF3" s="1235"/>
      <c r="HG3" s="1235"/>
      <c r="HH3" s="1235"/>
      <c r="HI3" s="1235"/>
      <c r="HJ3" s="1235"/>
      <c r="HK3" s="1235"/>
      <c r="HL3" s="1235"/>
      <c r="HM3" s="1235"/>
      <c r="HN3" s="1235"/>
      <c r="HO3" s="1235"/>
      <c r="HP3" s="1235"/>
      <c r="HQ3" s="1235"/>
      <c r="HR3" s="1235"/>
      <c r="HS3" s="1235"/>
      <c r="HT3" s="1235"/>
      <c r="HU3" s="1235"/>
      <c r="HV3" s="1235"/>
      <c r="HW3" s="1235"/>
      <c r="HX3" s="1235"/>
      <c r="HY3" s="1235"/>
      <c r="HZ3" s="1235"/>
      <c r="IA3" s="1235"/>
      <c r="IB3" s="1235"/>
      <c r="IC3" s="1235"/>
      <c r="ID3" s="1235"/>
      <c r="IE3" s="1235"/>
      <c r="IF3" s="1235"/>
      <c r="IG3" s="1235"/>
      <c r="IH3" s="1235"/>
      <c r="II3" s="1235"/>
      <c r="IJ3" s="1235"/>
      <c r="IK3" s="1235"/>
      <c r="IL3" s="1235"/>
      <c r="IM3" s="1235"/>
      <c r="IN3" s="1235"/>
      <c r="IO3" s="1235"/>
      <c r="IP3" s="1235"/>
      <c r="IQ3" s="1235"/>
      <c r="IR3" s="1235"/>
      <c r="IS3" s="1235"/>
      <c r="IT3" s="1235"/>
      <c r="IU3" s="1235"/>
      <c r="IV3" s="1235"/>
    </row>
    <row r="4" spans="1:256" ht="15" x14ac:dyDescent="0.2">
      <c r="A4" s="1236">
        <v>42153</v>
      </c>
      <c r="B4" s="1237">
        <v>24604</v>
      </c>
      <c r="C4" s="1237">
        <v>49725</v>
      </c>
      <c r="D4" s="1237">
        <v>40417</v>
      </c>
      <c r="E4" s="1237">
        <v>58530</v>
      </c>
      <c r="F4" s="1238">
        <f t="shared" ref="F4:F16" si="0">SUM(B4:E4)</f>
        <v>173276</v>
      </c>
      <c r="L4" s="1239"/>
    </row>
    <row r="5" spans="1:256" ht="15" x14ac:dyDescent="0.2">
      <c r="A5" s="1236">
        <v>42185</v>
      </c>
      <c r="B5" s="1237">
        <v>25654</v>
      </c>
      <c r="C5" s="1237">
        <v>50384.9</v>
      </c>
      <c r="D5" s="1237">
        <v>36159.699999999997</v>
      </c>
      <c r="E5" s="1237">
        <v>59641.9</v>
      </c>
      <c r="F5" s="1238">
        <f t="shared" si="0"/>
        <v>171840.5</v>
      </c>
      <c r="L5" s="1239"/>
    </row>
    <row r="6" spans="1:256" ht="15" x14ac:dyDescent="0.2">
      <c r="A6" s="1236">
        <v>42216</v>
      </c>
      <c r="B6" s="1237">
        <v>26514</v>
      </c>
      <c r="C6" s="1237">
        <v>51094.400000000001</v>
      </c>
      <c r="D6" s="1237">
        <v>36159.699999999997</v>
      </c>
      <c r="E6" s="1237">
        <v>61141.9</v>
      </c>
      <c r="F6" s="1238">
        <f t="shared" si="0"/>
        <v>174910</v>
      </c>
      <c r="L6" s="1239"/>
    </row>
    <row r="7" spans="1:256" ht="15" x14ac:dyDescent="0.2">
      <c r="A7" s="1236">
        <v>42247</v>
      </c>
      <c r="B7" s="1237">
        <v>26514</v>
      </c>
      <c r="C7" s="1237">
        <v>50524.4</v>
      </c>
      <c r="D7" s="1237">
        <v>37459.699999999997</v>
      </c>
      <c r="E7" s="1237">
        <v>61141.9</v>
      </c>
      <c r="F7" s="1238">
        <f t="shared" ref="F7:F15" si="1">SUM(B7:E7)</f>
        <v>175640</v>
      </c>
      <c r="L7" s="1239"/>
    </row>
    <row r="8" spans="1:256" ht="15" x14ac:dyDescent="0.2">
      <c r="A8" s="1236">
        <v>42277</v>
      </c>
      <c r="B8" s="1237">
        <v>25944</v>
      </c>
      <c r="C8" s="1237">
        <v>51834.400000000001</v>
      </c>
      <c r="D8" s="1237">
        <v>37456.699999999997</v>
      </c>
      <c r="E8" s="1237">
        <v>62452.7</v>
      </c>
      <c r="F8" s="1238">
        <f t="shared" si="1"/>
        <v>177687.8</v>
      </c>
      <c r="L8" s="1239"/>
    </row>
    <row r="9" spans="1:256" ht="15" x14ac:dyDescent="0.2">
      <c r="A9" s="1236">
        <v>42307</v>
      </c>
      <c r="B9" s="1237">
        <v>26279</v>
      </c>
      <c r="C9" s="1237">
        <v>51240.9</v>
      </c>
      <c r="D9" s="1237">
        <v>38510.699999999997</v>
      </c>
      <c r="E9" s="1237">
        <v>62452.7</v>
      </c>
      <c r="F9" s="1238">
        <f t="shared" si="1"/>
        <v>178483.3</v>
      </c>
      <c r="L9" s="1239"/>
    </row>
    <row r="10" spans="1:256" ht="15" x14ac:dyDescent="0.2">
      <c r="A10" s="1236">
        <v>42338</v>
      </c>
      <c r="B10" s="1237">
        <v>28100</v>
      </c>
      <c r="C10" s="1237">
        <v>51744.1</v>
      </c>
      <c r="D10" s="1237">
        <v>38510.699999999997</v>
      </c>
      <c r="E10" s="1237">
        <v>63753.4</v>
      </c>
      <c r="F10" s="1238">
        <f t="shared" si="1"/>
        <v>182108.2</v>
      </c>
      <c r="L10" s="1239"/>
    </row>
    <row r="11" spans="1:256" ht="15" x14ac:dyDescent="0.2">
      <c r="A11" s="1236">
        <v>42369</v>
      </c>
      <c r="B11" s="1237">
        <v>26917.1</v>
      </c>
      <c r="C11" s="1237">
        <v>51778.45</v>
      </c>
      <c r="D11" s="1237">
        <v>39910.699999999997</v>
      </c>
      <c r="E11" s="1237">
        <v>63230.5</v>
      </c>
      <c r="F11" s="1238">
        <f t="shared" si="1"/>
        <v>181836.75</v>
      </c>
      <c r="L11" s="1239"/>
    </row>
    <row r="12" spans="1:256" ht="15" x14ac:dyDescent="0.2">
      <c r="A12" s="1236">
        <v>42400</v>
      </c>
      <c r="B12" s="1237">
        <v>28415.8</v>
      </c>
      <c r="C12" s="1237">
        <v>47759.199999999997</v>
      </c>
      <c r="D12" s="1237">
        <v>41410.199999999997</v>
      </c>
      <c r="E12" s="1237">
        <v>63944.3</v>
      </c>
      <c r="F12" s="1238">
        <f t="shared" si="1"/>
        <v>181529.5</v>
      </c>
      <c r="L12" s="1239"/>
    </row>
    <row r="13" spans="1:256" ht="15" x14ac:dyDescent="0.2">
      <c r="A13" s="1236">
        <v>42429</v>
      </c>
      <c r="B13" s="1237">
        <v>30497.599999999999</v>
      </c>
      <c r="C13" s="1237">
        <v>49017.35</v>
      </c>
      <c r="D13" s="1237">
        <v>41410.199999999997</v>
      </c>
      <c r="E13" s="1237">
        <v>65444.3</v>
      </c>
      <c r="F13" s="1238">
        <f t="shared" si="1"/>
        <v>186369.45</v>
      </c>
      <c r="L13" s="1239"/>
    </row>
    <row r="14" spans="1:256" ht="15" x14ac:dyDescent="0.2">
      <c r="A14" s="1236">
        <v>42460</v>
      </c>
      <c r="B14" s="1237">
        <v>32811.599999999999</v>
      </c>
      <c r="C14" s="1237">
        <v>50316.85</v>
      </c>
      <c r="D14" s="1237">
        <v>41410.050000000003</v>
      </c>
      <c r="E14" s="1237">
        <v>65537.8</v>
      </c>
      <c r="F14" s="1238">
        <f t="shared" si="1"/>
        <v>190076.3</v>
      </c>
      <c r="L14" s="1239"/>
    </row>
    <row r="15" spans="1:256" ht="15" x14ac:dyDescent="0.2">
      <c r="A15" s="1236">
        <v>42489</v>
      </c>
      <c r="B15" s="1237">
        <v>33350.400000000001</v>
      </c>
      <c r="C15" s="1237">
        <v>51616.800000000003</v>
      </c>
      <c r="D15" s="1237">
        <v>42810.05</v>
      </c>
      <c r="E15" s="1237">
        <v>67037.8</v>
      </c>
      <c r="F15" s="1238">
        <f t="shared" si="1"/>
        <v>194815.05000000002</v>
      </c>
      <c r="L15" s="1239"/>
    </row>
    <row r="16" spans="1:256" ht="15.75" thickBot="1" x14ac:dyDescent="0.25">
      <c r="A16" s="1240">
        <v>42521</v>
      </c>
      <c r="B16" s="1241">
        <v>31134.6</v>
      </c>
      <c r="C16" s="1241">
        <v>48451.55</v>
      </c>
      <c r="D16" s="1241">
        <v>44210.05</v>
      </c>
      <c r="E16" s="1241">
        <v>68281.5</v>
      </c>
      <c r="F16" s="1242">
        <f t="shared" si="0"/>
        <v>192077.7</v>
      </c>
      <c r="L16" s="1239"/>
    </row>
    <row r="17" spans="1:256" x14ac:dyDescent="0.2">
      <c r="A17" s="1243" t="s">
        <v>825</v>
      </c>
      <c r="F17" s="1230"/>
    </row>
    <row r="18" spans="1:256" x14ac:dyDescent="0.2">
      <c r="A18" s="1243" t="s">
        <v>826</v>
      </c>
      <c r="F18" s="1230"/>
    </row>
    <row r="19" spans="1:256" x14ac:dyDescent="0.2">
      <c r="A19" s="1243"/>
      <c r="F19" s="1230"/>
    </row>
    <row r="21" spans="1:256" ht="18.75" x14ac:dyDescent="0.2">
      <c r="A21" s="1227" t="s">
        <v>827</v>
      </c>
      <c r="B21" s="1244"/>
      <c r="C21" s="1244"/>
      <c r="D21" s="1244"/>
      <c r="E21" s="1244"/>
      <c r="F21" s="1244"/>
      <c r="G21" s="1244"/>
      <c r="H21" s="1244"/>
      <c r="I21" s="1244"/>
      <c r="J21" s="1244"/>
      <c r="K21" s="1244"/>
      <c r="L21" s="1244"/>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c r="CB21" s="1244"/>
      <c r="CC21" s="1244"/>
      <c r="CD21" s="1244"/>
      <c r="CE21" s="1244"/>
      <c r="CF21" s="1244"/>
      <c r="CG21" s="1244"/>
      <c r="CH21" s="1244"/>
      <c r="CI21" s="1244"/>
      <c r="CJ21" s="1244"/>
      <c r="CK21" s="1244"/>
      <c r="CL21" s="1244"/>
      <c r="CM21" s="1244"/>
      <c r="CN21" s="1244"/>
      <c r="CO21" s="1244"/>
      <c r="CP21" s="1244"/>
      <c r="CQ21" s="1244"/>
      <c r="CR21" s="1244"/>
      <c r="CS21" s="1244"/>
      <c r="CT21" s="1244"/>
      <c r="CU21" s="1244"/>
      <c r="CV21" s="1244"/>
      <c r="CW21" s="1244"/>
      <c r="CX21" s="1244"/>
      <c r="CY21" s="1244"/>
      <c r="CZ21" s="1244"/>
      <c r="DA21" s="1244"/>
      <c r="DB21" s="1244"/>
      <c r="DC21" s="1244"/>
      <c r="DD21" s="1244"/>
      <c r="DE21" s="1244"/>
      <c r="DF21" s="1244"/>
      <c r="DG21" s="1244"/>
      <c r="DH21" s="1244"/>
      <c r="DI21" s="1244"/>
      <c r="DJ21" s="1244"/>
      <c r="DK21" s="1244"/>
      <c r="DL21" s="1244"/>
      <c r="DM21" s="1244"/>
      <c r="DN21" s="1244"/>
      <c r="DO21" s="1244"/>
      <c r="DP21" s="1244"/>
      <c r="DQ21" s="1244"/>
      <c r="DR21" s="1244"/>
      <c r="DS21" s="1244"/>
      <c r="DT21" s="1244"/>
      <c r="DU21" s="1244"/>
      <c r="DV21" s="1244"/>
      <c r="DW21" s="1244"/>
      <c r="DX21" s="1244"/>
      <c r="DY21" s="1244"/>
      <c r="DZ21" s="1244"/>
      <c r="EA21" s="1244"/>
      <c r="EB21" s="1244"/>
      <c r="EC21" s="1244"/>
      <c r="ED21" s="1244"/>
      <c r="EE21" s="1244"/>
      <c r="EF21" s="1244"/>
      <c r="EG21" s="1244"/>
      <c r="EH21" s="1244"/>
      <c r="EI21" s="1244"/>
      <c r="EJ21" s="1244"/>
      <c r="EK21" s="1244"/>
      <c r="EL21" s="1244"/>
      <c r="EM21" s="1244"/>
      <c r="EN21" s="1244"/>
      <c r="EO21" s="1244"/>
      <c r="EP21" s="1244"/>
      <c r="EQ21" s="1244"/>
      <c r="ER21" s="1244"/>
      <c r="ES21" s="1244"/>
      <c r="ET21" s="1244"/>
      <c r="EU21" s="1244"/>
      <c r="EV21" s="1244"/>
      <c r="EW21" s="1244"/>
      <c r="EX21" s="1244"/>
      <c r="EY21" s="1244"/>
      <c r="EZ21" s="1244"/>
      <c r="FA21" s="1244"/>
      <c r="FB21" s="1244"/>
      <c r="FC21" s="1244"/>
      <c r="FD21" s="1244"/>
      <c r="FE21" s="1244"/>
      <c r="FF21" s="1244"/>
      <c r="FG21" s="1244"/>
      <c r="FH21" s="1244"/>
      <c r="FI21" s="1244"/>
      <c r="FJ21" s="1244"/>
      <c r="FK21" s="1244"/>
      <c r="FL21" s="1244"/>
      <c r="FM21" s="1244"/>
      <c r="FN21" s="1244"/>
      <c r="FO21" s="1244"/>
      <c r="FP21" s="1244"/>
      <c r="FQ21" s="1244"/>
      <c r="FR21" s="1244"/>
      <c r="FS21" s="1244"/>
      <c r="FT21" s="1244"/>
      <c r="FU21" s="1244"/>
      <c r="FV21" s="1244"/>
      <c r="FW21" s="1244"/>
      <c r="FX21" s="1244"/>
      <c r="FY21" s="1244"/>
      <c r="FZ21" s="1244"/>
      <c r="GA21" s="1244"/>
      <c r="GB21" s="1244"/>
      <c r="GC21" s="1244"/>
      <c r="GD21" s="1244"/>
      <c r="GE21" s="1244"/>
      <c r="GF21" s="1244"/>
      <c r="GG21" s="1244"/>
      <c r="GH21" s="1244"/>
      <c r="GI21" s="1244"/>
      <c r="GJ21" s="1244"/>
      <c r="GK21" s="1244"/>
      <c r="GL21" s="1244"/>
      <c r="GM21" s="1244"/>
      <c r="GN21" s="1244"/>
      <c r="GO21" s="1244"/>
      <c r="GP21" s="1244"/>
      <c r="GQ21" s="1244"/>
      <c r="GR21" s="1244"/>
      <c r="GS21" s="1244"/>
      <c r="GT21" s="1244"/>
      <c r="GU21" s="1244"/>
      <c r="GV21" s="1244"/>
      <c r="GW21" s="1244"/>
      <c r="GX21" s="1244"/>
      <c r="GY21" s="1244"/>
      <c r="GZ21" s="1244"/>
      <c r="HA21" s="1244"/>
      <c r="HB21" s="1244"/>
      <c r="HC21" s="1244"/>
      <c r="HD21" s="1244"/>
      <c r="HE21" s="1244"/>
      <c r="HF21" s="1244"/>
      <c r="HG21" s="1244"/>
      <c r="HH21" s="1244"/>
      <c r="HI21" s="1244"/>
      <c r="HJ21" s="1244"/>
      <c r="HK21" s="1244"/>
      <c r="HL21" s="1244"/>
      <c r="HM21" s="1244"/>
      <c r="HN21" s="1244"/>
      <c r="HO21" s="1244"/>
      <c r="HP21" s="1244"/>
      <c r="HQ21" s="1244"/>
      <c r="HR21" s="1244"/>
      <c r="HS21" s="1244"/>
      <c r="HT21" s="1244"/>
      <c r="HU21" s="1244"/>
      <c r="HV21" s="1244"/>
      <c r="HW21" s="1244"/>
      <c r="HX21" s="1244"/>
      <c r="HY21" s="1244"/>
      <c r="HZ21" s="1244"/>
      <c r="IA21" s="1244"/>
      <c r="IB21" s="1244"/>
      <c r="IC21" s="1244"/>
      <c r="ID21" s="1244"/>
      <c r="IE21" s="1244"/>
      <c r="IF21" s="1244"/>
      <c r="IG21" s="1244"/>
      <c r="IH21" s="1244"/>
      <c r="II21" s="1244"/>
      <c r="IJ21" s="1244"/>
      <c r="IK21" s="1244"/>
      <c r="IL21" s="1244"/>
      <c r="IM21" s="1244"/>
      <c r="IN21" s="1244"/>
      <c r="IO21" s="1244"/>
      <c r="IP21" s="1244"/>
      <c r="IQ21" s="1244"/>
      <c r="IR21" s="1244"/>
      <c r="IS21" s="1244"/>
      <c r="IT21" s="1244"/>
      <c r="IU21" s="1244"/>
      <c r="IV21" s="1244"/>
    </row>
    <row r="22" spans="1:256" ht="13.5" thickBot="1" x14ac:dyDescent="0.25">
      <c r="E22" s="1231"/>
      <c r="F22" s="1231" t="s">
        <v>73</v>
      </c>
    </row>
    <row r="23" spans="1:256" ht="29.25" thickBot="1" x14ac:dyDescent="0.25">
      <c r="A23" s="1245"/>
      <c r="B23" s="1246" t="s">
        <v>821</v>
      </c>
      <c r="C23" s="1233" t="s">
        <v>822</v>
      </c>
      <c r="D23" s="1233" t="s">
        <v>823</v>
      </c>
      <c r="E23" s="1233" t="s">
        <v>828</v>
      </c>
      <c r="F23" s="1234" t="s">
        <v>246</v>
      </c>
    </row>
    <row r="24" spans="1:256" ht="15" x14ac:dyDescent="0.2">
      <c r="A24" s="1247" t="s">
        <v>829</v>
      </c>
      <c r="B24" s="1237">
        <v>3927.3</v>
      </c>
      <c r="C24" s="1237" t="s">
        <v>664</v>
      </c>
      <c r="D24" s="1237" t="s">
        <v>664</v>
      </c>
      <c r="E24" s="1237">
        <v>150.69999999999999</v>
      </c>
      <c r="F24" s="1237">
        <f t="shared" ref="F24:F39" si="2">SUM(B24:E24)</f>
        <v>4078</v>
      </c>
      <c r="H24" s="1248"/>
    </row>
    <row r="25" spans="1:256" ht="15" x14ac:dyDescent="0.2">
      <c r="A25" s="1247" t="s">
        <v>830</v>
      </c>
      <c r="B25" s="1237">
        <v>27207.3</v>
      </c>
      <c r="C25" s="1237">
        <v>15470</v>
      </c>
      <c r="D25" s="1237">
        <v>9544.4</v>
      </c>
      <c r="E25" s="1237">
        <v>1363</v>
      </c>
      <c r="F25" s="1237">
        <f t="shared" si="2"/>
        <v>53584.700000000004</v>
      </c>
      <c r="H25" s="1248"/>
    </row>
    <row r="26" spans="1:256" ht="15" x14ac:dyDescent="0.2">
      <c r="A26" s="1247" t="s">
        <v>831</v>
      </c>
      <c r="B26" s="1237" t="s">
        <v>664</v>
      </c>
      <c r="C26" s="1237">
        <v>19126.349999999999</v>
      </c>
      <c r="D26" s="1237">
        <v>7190</v>
      </c>
      <c r="E26" s="1237">
        <v>369</v>
      </c>
      <c r="F26" s="1237">
        <f t="shared" si="2"/>
        <v>26685.35</v>
      </c>
      <c r="H26" s="1248"/>
    </row>
    <row r="27" spans="1:256" ht="15" x14ac:dyDescent="0.2">
      <c r="A27" s="1247" t="s">
        <v>832</v>
      </c>
      <c r="B27" s="1237" t="s">
        <v>664</v>
      </c>
      <c r="C27" s="1237">
        <v>13856</v>
      </c>
      <c r="D27" s="1237">
        <v>10120</v>
      </c>
      <c r="E27" s="1237">
        <v>1610</v>
      </c>
      <c r="F27" s="1237">
        <f t="shared" si="2"/>
        <v>25586</v>
      </c>
      <c r="H27" s="1248"/>
    </row>
    <row r="28" spans="1:256" ht="15" x14ac:dyDescent="0.2">
      <c r="A28" s="1247" t="s">
        <v>833</v>
      </c>
      <c r="B28" s="1237" t="s">
        <v>664</v>
      </c>
      <c r="C28" s="1249" t="s">
        <v>664</v>
      </c>
      <c r="D28" s="1237">
        <v>11655.8</v>
      </c>
      <c r="E28" s="1237">
        <v>1826</v>
      </c>
      <c r="F28" s="1237">
        <f t="shared" si="2"/>
        <v>13481.8</v>
      </c>
      <c r="H28" s="1248"/>
    </row>
    <row r="29" spans="1:256" ht="15" x14ac:dyDescent="0.2">
      <c r="A29" s="1247" t="s">
        <v>834</v>
      </c>
      <c r="B29" s="1237" t="s">
        <v>664</v>
      </c>
      <c r="C29" s="1249" t="s">
        <v>664</v>
      </c>
      <c r="D29" s="1237">
        <v>5700</v>
      </c>
      <c r="E29" s="1237">
        <v>4349</v>
      </c>
      <c r="F29" s="1237">
        <f t="shared" si="2"/>
        <v>10049</v>
      </c>
      <c r="H29" s="1248"/>
    </row>
    <row r="30" spans="1:256" ht="15" x14ac:dyDescent="0.2">
      <c r="A30" s="1247" t="s">
        <v>835</v>
      </c>
      <c r="B30" s="1237" t="s">
        <v>664</v>
      </c>
      <c r="C30" s="1249" t="s">
        <v>664</v>
      </c>
      <c r="D30" s="1237" t="s">
        <v>664</v>
      </c>
      <c r="E30" s="1237">
        <v>4931</v>
      </c>
      <c r="F30" s="1237">
        <f t="shared" si="2"/>
        <v>4931</v>
      </c>
      <c r="H30" s="1248"/>
    </row>
    <row r="31" spans="1:256" ht="15" x14ac:dyDescent="0.2">
      <c r="A31" s="1247" t="s">
        <v>836</v>
      </c>
      <c r="B31" s="1237" t="s">
        <v>664</v>
      </c>
      <c r="C31" s="1249" t="s">
        <v>664</v>
      </c>
      <c r="D31" s="1237" t="s">
        <v>664</v>
      </c>
      <c r="E31" s="1237">
        <v>2631</v>
      </c>
      <c r="F31" s="1237">
        <f t="shared" si="2"/>
        <v>2631</v>
      </c>
      <c r="H31" s="1248"/>
    </row>
    <row r="32" spans="1:256" ht="15" x14ac:dyDescent="0.2">
      <c r="A32" s="1247" t="s">
        <v>837</v>
      </c>
      <c r="B32" s="1237" t="s">
        <v>664</v>
      </c>
      <c r="C32" s="1249" t="s">
        <v>664</v>
      </c>
      <c r="D32" s="1237" t="s">
        <v>664</v>
      </c>
      <c r="E32" s="1237">
        <v>6513</v>
      </c>
      <c r="F32" s="1237">
        <f t="shared" si="2"/>
        <v>6513</v>
      </c>
      <c r="H32" s="1248"/>
    </row>
    <row r="33" spans="1:256" ht="15" x14ac:dyDescent="0.2">
      <c r="A33" s="1247" t="s">
        <v>838</v>
      </c>
      <c r="B33" s="1237" t="s">
        <v>664</v>
      </c>
      <c r="C33" s="1249" t="s">
        <v>664</v>
      </c>
      <c r="D33" s="1237" t="s">
        <v>664</v>
      </c>
      <c r="E33" s="1237">
        <v>6083</v>
      </c>
      <c r="F33" s="1237">
        <f t="shared" si="2"/>
        <v>6083</v>
      </c>
      <c r="H33" s="1248"/>
    </row>
    <row r="34" spans="1:256" ht="15" x14ac:dyDescent="0.2">
      <c r="A34" s="1247" t="s">
        <v>839</v>
      </c>
      <c r="B34" s="1237" t="s">
        <v>664</v>
      </c>
      <c r="C34" s="1249" t="s">
        <v>664</v>
      </c>
      <c r="D34" s="1237" t="s">
        <v>664</v>
      </c>
      <c r="E34" s="1237">
        <v>9662</v>
      </c>
      <c r="F34" s="1237">
        <f t="shared" si="2"/>
        <v>9662</v>
      </c>
      <c r="H34" s="1248"/>
    </row>
    <row r="35" spans="1:256" ht="15" x14ac:dyDescent="0.2">
      <c r="A35" s="1247" t="s">
        <v>840</v>
      </c>
      <c r="B35" s="1237" t="s">
        <v>664</v>
      </c>
      <c r="C35" s="1249" t="s">
        <v>664</v>
      </c>
      <c r="D35" s="1237" t="s">
        <v>664</v>
      </c>
      <c r="E35" s="1237">
        <v>3493</v>
      </c>
      <c r="F35" s="1237">
        <f t="shared" si="2"/>
        <v>3493</v>
      </c>
      <c r="H35" s="1248"/>
    </row>
    <row r="36" spans="1:256" ht="15" x14ac:dyDescent="0.2">
      <c r="A36" s="1247" t="s">
        <v>841</v>
      </c>
      <c r="B36" s="1237" t="s">
        <v>664</v>
      </c>
      <c r="C36" s="1249" t="s">
        <v>664</v>
      </c>
      <c r="D36" s="1237" t="s">
        <v>664</v>
      </c>
      <c r="E36" s="1237">
        <v>6123</v>
      </c>
      <c r="F36" s="1237">
        <f t="shared" si="2"/>
        <v>6123</v>
      </c>
      <c r="H36" s="1248"/>
    </row>
    <row r="37" spans="1:256" ht="15" x14ac:dyDescent="0.2">
      <c r="A37" s="1247" t="s">
        <v>842</v>
      </c>
      <c r="B37" s="1237" t="s">
        <v>664</v>
      </c>
      <c r="C37" s="1249" t="s">
        <v>664</v>
      </c>
      <c r="D37" s="1237" t="s">
        <v>664</v>
      </c>
      <c r="E37" s="1237">
        <v>3596</v>
      </c>
      <c r="F37" s="1237">
        <f t="shared" si="2"/>
        <v>3596</v>
      </c>
      <c r="H37" s="1248"/>
    </row>
    <row r="38" spans="1:256" ht="15" x14ac:dyDescent="0.2">
      <c r="A38" s="1247" t="s">
        <v>843</v>
      </c>
      <c r="B38" s="1237" t="s">
        <v>664</v>
      </c>
      <c r="C38" s="1249" t="s">
        <v>664</v>
      </c>
      <c r="D38" s="1237" t="s">
        <v>664</v>
      </c>
      <c r="E38" s="1237">
        <v>8082</v>
      </c>
      <c r="F38" s="1237">
        <f t="shared" si="2"/>
        <v>8082</v>
      </c>
      <c r="H38" s="1248"/>
    </row>
    <row r="39" spans="1:256" ht="15" x14ac:dyDescent="0.2">
      <c r="A39" s="1247" t="s">
        <v>844</v>
      </c>
      <c r="B39" s="1237" t="s">
        <v>664</v>
      </c>
      <c r="C39" s="1249" t="s">
        <v>664</v>
      </c>
      <c r="D39" s="1237" t="s">
        <v>664</v>
      </c>
      <c r="E39" s="1237">
        <v>4500</v>
      </c>
      <c r="F39" s="1237">
        <f t="shared" si="2"/>
        <v>4500</v>
      </c>
      <c r="H39" s="1248"/>
    </row>
    <row r="40" spans="1:256" ht="15" x14ac:dyDescent="0.2">
      <c r="A40" s="1247" t="s">
        <v>845</v>
      </c>
      <c r="B40" s="1237" t="s">
        <v>664</v>
      </c>
      <c r="C40" s="1249" t="s">
        <v>664</v>
      </c>
      <c r="D40" s="1237" t="s">
        <v>664</v>
      </c>
      <c r="E40" s="1237" t="s">
        <v>664</v>
      </c>
      <c r="F40" s="1237" t="s">
        <v>664</v>
      </c>
      <c r="H40" s="1248"/>
    </row>
    <row r="41" spans="1:256" ht="15" x14ac:dyDescent="0.2">
      <c r="A41" s="1247" t="s">
        <v>846</v>
      </c>
      <c r="B41" s="1237" t="s">
        <v>664</v>
      </c>
      <c r="C41" s="1249" t="s">
        <v>664</v>
      </c>
      <c r="D41" s="1237" t="s">
        <v>664</v>
      </c>
      <c r="E41" s="1237" t="s">
        <v>664</v>
      </c>
      <c r="F41" s="1237" t="s">
        <v>664</v>
      </c>
      <c r="H41" s="1248"/>
    </row>
    <row r="42" spans="1:256" ht="15" x14ac:dyDescent="0.2">
      <c r="A42" s="1247" t="s">
        <v>847</v>
      </c>
      <c r="B42" s="1237" t="s">
        <v>664</v>
      </c>
      <c r="C42" s="1249" t="s">
        <v>664</v>
      </c>
      <c r="D42" s="1237" t="s">
        <v>664</v>
      </c>
      <c r="E42" s="1237" t="s">
        <v>664</v>
      </c>
      <c r="F42" s="1237" t="s">
        <v>664</v>
      </c>
      <c r="H42" s="1248"/>
    </row>
    <row r="43" spans="1:256" ht="15" x14ac:dyDescent="0.2">
      <c r="A43" s="1247" t="s">
        <v>848</v>
      </c>
      <c r="B43" s="1237" t="s">
        <v>664</v>
      </c>
      <c r="C43" s="1249" t="s">
        <v>664</v>
      </c>
      <c r="D43" s="1237" t="s">
        <v>664</v>
      </c>
      <c r="E43" s="1237" t="s">
        <v>664</v>
      </c>
      <c r="F43" s="1237" t="s">
        <v>664</v>
      </c>
      <c r="H43" s="1248"/>
    </row>
    <row r="44" spans="1:256" ht="15.75" thickBot="1" x14ac:dyDescent="0.25">
      <c r="A44" s="1247" t="s">
        <v>849</v>
      </c>
      <c r="B44" s="1237" t="s">
        <v>664</v>
      </c>
      <c r="C44" s="1249" t="s">
        <v>664</v>
      </c>
      <c r="D44" s="1237" t="s">
        <v>664</v>
      </c>
      <c r="E44" s="1237">
        <v>3000</v>
      </c>
      <c r="F44" s="1237">
        <f t="shared" ref="F44" si="3">SUM(B44:E44)</f>
        <v>3000</v>
      </c>
      <c r="H44" s="1248"/>
    </row>
    <row r="45" spans="1:256" ht="15" thickBot="1" x14ac:dyDescent="0.25">
      <c r="A45" s="1250" t="s">
        <v>246</v>
      </c>
      <c r="B45" s="1251">
        <f>SUM(B24:B39)</f>
        <v>31134.6</v>
      </c>
      <c r="C45" s="1251">
        <f>SUM(C24:C39)</f>
        <v>48452.35</v>
      </c>
      <c r="D45" s="1252">
        <f>SUM(D24:D39)</f>
        <v>44210.2</v>
      </c>
      <c r="E45" s="1252">
        <f>SUM(E24:E44)</f>
        <v>68281.7</v>
      </c>
      <c r="F45" s="1252">
        <f>SUM(F24:F44)-1</f>
        <v>192077.85</v>
      </c>
      <c r="G45" s="1230"/>
      <c r="H45" s="1253"/>
      <c r="I45" s="1253"/>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c r="CB45" s="1230"/>
      <c r="CC45" s="1230"/>
      <c r="CD45" s="1230"/>
      <c r="CE45" s="1230"/>
      <c r="CF45" s="1230"/>
      <c r="CG45" s="1230"/>
      <c r="CH45" s="1230"/>
      <c r="CI45" s="1230"/>
      <c r="CJ45" s="1230"/>
      <c r="CK45" s="1230"/>
      <c r="CL45" s="1230"/>
      <c r="CM45" s="1230"/>
      <c r="CN45" s="1230"/>
      <c r="CO45" s="1230"/>
      <c r="CP45" s="1230"/>
      <c r="CQ45" s="1230"/>
      <c r="CR45" s="1230"/>
      <c r="CS45" s="1230"/>
      <c r="CT45" s="1230"/>
      <c r="CU45" s="1230"/>
      <c r="CV45" s="1230"/>
      <c r="CW45" s="1230"/>
      <c r="CX45" s="1230"/>
      <c r="CY45" s="1230"/>
      <c r="CZ45" s="1230"/>
      <c r="DA45" s="1230"/>
      <c r="DB45" s="1230"/>
      <c r="DC45" s="1230"/>
      <c r="DD45" s="1230"/>
      <c r="DE45" s="1230"/>
      <c r="DF45" s="1230"/>
      <c r="DG45" s="1230"/>
      <c r="DH45" s="1230"/>
      <c r="DI45" s="1230"/>
      <c r="DJ45" s="1230"/>
      <c r="DK45" s="1230"/>
      <c r="DL45" s="1230"/>
      <c r="DM45" s="1230"/>
      <c r="DN45" s="1230"/>
      <c r="DO45" s="1230"/>
      <c r="DP45" s="1230"/>
      <c r="DQ45" s="1230"/>
      <c r="DR45" s="1230"/>
      <c r="DS45" s="1230"/>
      <c r="DT45" s="1230"/>
      <c r="DU45" s="1230"/>
      <c r="DV45" s="1230"/>
      <c r="DW45" s="1230"/>
      <c r="DX45" s="1230"/>
      <c r="DY45" s="1230"/>
      <c r="DZ45" s="1230"/>
      <c r="EA45" s="1230"/>
      <c r="EB45" s="1230"/>
      <c r="EC45" s="1230"/>
      <c r="ED45" s="1230"/>
      <c r="EE45" s="1230"/>
      <c r="EF45" s="1230"/>
      <c r="EG45" s="1230"/>
      <c r="EH45" s="1230"/>
      <c r="EI45" s="1230"/>
      <c r="EJ45" s="1230"/>
      <c r="EK45" s="1230"/>
      <c r="EL45" s="1230"/>
      <c r="EM45" s="1230"/>
      <c r="EN45" s="1230"/>
      <c r="EO45" s="1230"/>
      <c r="EP45" s="1230"/>
      <c r="EQ45" s="1230"/>
      <c r="ER45" s="1230"/>
      <c r="ES45" s="1230"/>
      <c r="ET45" s="1230"/>
      <c r="EU45" s="1230"/>
      <c r="EV45" s="1230"/>
      <c r="EW45" s="1230"/>
      <c r="EX45" s="1230"/>
      <c r="EY45" s="1230"/>
      <c r="EZ45" s="1230"/>
      <c r="FA45" s="1230"/>
      <c r="FB45" s="1230"/>
      <c r="FC45" s="1230"/>
      <c r="FD45" s="1230"/>
      <c r="FE45" s="1230"/>
      <c r="FF45" s="1230"/>
      <c r="FG45" s="1230"/>
      <c r="FH45" s="1230"/>
      <c r="FI45" s="1230"/>
      <c r="FJ45" s="1230"/>
      <c r="FK45" s="1230"/>
      <c r="FL45" s="1230"/>
      <c r="FM45" s="1230"/>
      <c r="FN45" s="1230"/>
      <c r="FO45" s="1230"/>
      <c r="FP45" s="1230"/>
      <c r="FQ45" s="1230"/>
      <c r="FR45" s="1230"/>
      <c r="FS45" s="1230"/>
      <c r="FT45" s="1230"/>
      <c r="FU45" s="1230"/>
      <c r="FV45" s="1230"/>
      <c r="FW45" s="1230"/>
      <c r="FX45" s="1230"/>
      <c r="FY45" s="1230"/>
      <c r="FZ45" s="1230"/>
      <c r="GA45" s="1230"/>
      <c r="GB45" s="1230"/>
      <c r="GC45" s="1230"/>
      <c r="GD45" s="1230"/>
      <c r="GE45" s="1230"/>
      <c r="GF45" s="1230"/>
      <c r="GG45" s="1230"/>
      <c r="GH45" s="1230"/>
      <c r="GI45" s="1230"/>
      <c r="GJ45" s="1230"/>
      <c r="GK45" s="1230"/>
      <c r="GL45" s="1230"/>
      <c r="GM45" s="1230"/>
      <c r="GN45" s="1230"/>
      <c r="GO45" s="1230"/>
      <c r="GP45" s="1230"/>
      <c r="GQ45" s="1230"/>
      <c r="GR45" s="1230"/>
      <c r="GS45" s="1230"/>
      <c r="GT45" s="1230"/>
      <c r="GU45" s="1230"/>
      <c r="GV45" s="1230"/>
      <c r="GW45" s="1230"/>
      <c r="GX45" s="1230"/>
      <c r="GY45" s="1230"/>
      <c r="GZ45" s="1230"/>
      <c r="HA45" s="1230"/>
      <c r="HB45" s="1230"/>
      <c r="HC45" s="1230"/>
      <c r="HD45" s="1230"/>
      <c r="HE45" s="1230"/>
      <c r="HF45" s="1230"/>
      <c r="HG45" s="1230"/>
      <c r="HH45" s="1230"/>
      <c r="HI45" s="1230"/>
      <c r="HJ45" s="1230"/>
      <c r="HK45" s="1230"/>
      <c r="HL45" s="1230"/>
      <c r="HM45" s="1230"/>
      <c r="HN45" s="1230"/>
      <c r="HO45" s="1230"/>
      <c r="HP45" s="1230"/>
      <c r="HQ45" s="1230"/>
      <c r="HR45" s="1230"/>
      <c r="HS45" s="1230"/>
      <c r="HT45" s="1230"/>
      <c r="HU45" s="1230"/>
      <c r="HV45" s="1230"/>
      <c r="HW45" s="1230"/>
      <c r="HX45" s="1230"/>
      <c r="HY45" s="1230"/>
      <c r="HZ45" s="1230"/>
      <c r="IA45" s="1230"/>
      <c r="IB45" s="1230"/>
      <c r="IC45" s="1230"/>
      <c r="ID45" s="1230"/>
      <c r="IE45" s="1230"/>
      <c r="IF45" s="1230"/>
      <c r="IG45" s="1230"/>
      <c r="IH45" s="1230"/>
      <c r="II45" s="1230"/>
      <c r="IJ45" s="1230"/>
      <c r="IK45" s="1230"/>
      <c r="IL45" s="1230"/>
      <c r="IM45" s="1230"/>
      <c r="IN45" s="1230"/>
      <c r="IO45" s="1230"/>
      <c r="IP45" s="1230"/>
      <c r="IQ45" s="1230"/>
      <c r="IR45" s="1230"/>
      <c r="IS45" s="1230"/>
      <c r="IT45" s="1230"/>
      <c r="IU45" s="1230"/>
      <c r="IV45" s="1230"/>
    </row>
    <row r="46" spans="1:256" x14ac:dyDescent="0.2">
      <c r="A46" s="1243"/>
      <c r="C46" s="1243"/>
      <c r="D46" s="1243"/>
    </row>
    <row r="47" spans="1:256" x14ac:dyDescent="0.2">
      <c r="A47" s="1243" t="s">
        <v>850</v>
      </c>
      <c r="B47" s="1243" t="s">
        <v>851</v>
      </c>
      <c r="D47" s="1243"/>
      <c r="F47" s="1230"/>
    </row>
    <row r="48" spans="1:256" x14ac:dyDescent="0.2">
      <c r="B48" s="1243" t="s">
        <v>852</v>
      </c>
      <c r="D48" s="1243"/>
      <c r="F48" s="1230"/>
    </row>
    <row r="49" spans="1:1" x14ac:dyDescent="0.2">
      <c r="A49" s="1243" t="s">
        <v>239</v>
      </c>
    </row>
    <row r="50" spans="1:1" x14ac:dyDescent="0.2">
      <c r="A50" s="1243" t="s">
        <v>826</v>
      </c>
    </row>
  </sheetData>
  <printOptions horizontalCentered="1"/>
  <pageMargins left="0.11811023622047245" right="0.11811023622047245" top="0.15748031496062992" bottom="0.15748031496062992" header="0" footer="0"/>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L209"/>
  <sheetViews>
    <sheetView topLeftCell="A27" zoomScaleNormal="100" workbookViewId="0">
      <selection activeCell="G204" sqref="G204"/>
    </sheetView>
  </sheetViews>
  <sheetFormatPr defaultRowHeight="12.75" x14ac:dyDescent="0.2"/>
  <cols>
    <col min="1" max="1" width="16.7109375" style="1256" customWidth="1"/>
    <col min="2" max="2" width="15.7109375" style="1256" customWidth="1"/>
    <col min="3" max="3" width="14.5703125" style="1256" customWidth="1"/>
    <col min="4" max="4" width="20.7109375" style="1256" customWidth="1"/>
    <col min="5" max="5" width="21.85546875" style="1256" customWidth="1"/>
    <col min="6" max="6" width="8.5703125" style="1256" customWidth="1"/>
    <col min="7" max="7" width="12.140625" style="1256" customWidth="1"/>
    <col min="8" max="8" width="12.28515625" style="1256" bestFit="1" customWidth="1"/>
    <col min="9" max="9" width="9.7109375" style="1256" bestFit="1" customWidth="1"/>
    <col min="10" max="10" width="9.5703125" style="1256" bestFit="1" customWidth="1"/>
    <col min="11" max="12" width="9.140625" style="1256"/>
    <col min="13" max="13" width="9.5703125" style="1256" bestFit="1" customWidth="1"/>
    <col min="14" max="256" width="9.140625" style="1256"/>
    <col min="257" max="258" width="15.7109375" style="1256" customWidth="1"/>
    <col min="259" max="259" width="12.140625" style="1256" bestFit="1" customWidth="1"/>
    <col min="260" max="261" width="20" style="1256" bestFit="1" customWidth="1"/>
    <col min="262" max="262" width="8.5703125" style="1256" customWidth="1"/>
    <col min="263" max="263" width="12.140625" style="1256" customWidth="1"/>
    <col min="264" max="264" width="12.28515625" style="1256" bestFit="1" customWidth="1"/>
    <col min="265" max="265" width="9.7109375" style="1256" bestFit="1" customWidth="1"/>
    <col min="266" max="266" width="9.5703125" style="1256" bestFit="1" customWidth="1"/>
    <col min="267" max="268" width="9.140625" style="1256"/>
    <col min="269" max="269" width="9.5703125" style="1256" bestFit="1" customWidth="1"/>
    <col min="270" max="512" width="9.140625" style="1256"/>
    <col min="513" max="514" width="15.7109375" style="1256" customWidth="1"/>
    <col min="515" max="515" width="12.140625" style="1256" bestFit="1" customWidth="1"/>
    <col min="516" max="517" width="20" style="1256" bestFit="1" customWidth="1"/>
    <col min="518" max="518" width="8.5703125" style="1256" customWidth="1"/>
    <col min="519" max="519" width="12.140625" style="1256" customWidth="1"/>
    <col min="520" max="520" width="12.28515625" style="1256" bestFit="1" customWidth="1"/>
    <col min="521" max="521" width="9.7109375" style="1256" bestFit="1" customWidth="1"/>
    <col min="522" max="522" width="9.5703125" style="1256" bestFit="1" customWidth="1"/>
    <col min="523" max="524" width="9.140625" style="1256"/>
    <col min="525" max="525" width="9.5703125" style="1256" bestFit="1" customWidth="1"/>
    <col min="526" max="768" width="9.140625" style="1256"/>
    <col min="769" max="770" width="15.7109375" style="1256" customWidth="1"/>
    <col min="771" max="771" width="12.140625" style="1256" bestFit="1" customWidth="1"/>
    <col min="772" max="773" width="20" style="1256" bestFit="1" customWidth="1"/>
    <col min="774" max="774" width="8.5703125" style="1256" customWidth="1"/>
    <col min="775" max="775" width="12.140625" style="1256" customWidth="1"/>
    <col min="776" max="776" width="12.28515625" style="1256" bestFit="1" customWidth="1"/>
    <col min="777" max="777" width="9.7109375" style="1256" bestFit="1" customWidth="1"/>
    <col min="778" max="778" width="9.5703125" style="1256" bestFit="1" customWidth="1"/>
    <col min="779" max="780" width="9.140625" style="1256"/>
    <col min="781" max="781" width="9.5703125" style="1256" bestFit="1" customWidth="1"/>
    <col min="782" max="1024" width="9.140625" style="1256"/>
    <col min="1025" max="1026" width="15.7109375" style="1256" customWidth="1"/>
    <col min="1027" max="1027" width="12.140625" style="1256" bestFit="1" customWidth="1"/>
    <col min="1028" max="1029" width="20" style="1256" bestFit="1" customWidth="1"/>
    <col min="1030" max="1030" width="8.5703125" style="1256" customWidth="1"/>
    <col min="1031" max="1031" width="12.140625" style="1256" customWidth="1"/>
    <col min="1032" max="1032" width="12.28515625" style="1256" bestFit="1" customWidth="1"/>
    <col min="1033" max="1033" width="9.7109375" style="1256" bestFit="1" customWidth="1"/>
    <col min="1034" max="1034" width="9.5703125" style="1256" bestFit="1" customWidth="1"/>
    <col min="1035" max="1036" width="9.140625" style="1256"/>
    <col min="1037" max="1037" width="9.5703125" style="1256" bestFit="1" customWidth="1"/>
    <col min="1038" max="1280" width="9.140625" style="1256"/>
    <col min="1281" max="1282" width="15.7109375" style="1256" customWidth="1"/>
    <col min="1283" max="1283" width="12.140625" style="1256" bestFit="1" customWidth="1"/>
    <col min="1284" max="1285" width="20" style="1256" bestFit="1" customWidth="1"/>
    <col min="1286" max="1286" width="8.5703125" style="1256" customWidth="1"/>
    <col min="1287" max="1287" width="12.140625" style="1256" customWidth="1"/>
    <col min="1288" max="1288" width="12.28515625" style="1256" bestFit="1" customWidth="1"/>
    <col min="1289" max="1289" width="9.7109375" style="1256" bestFit="1" customWidth="1"/>
    <col min="1290" max="1290" width="9.5703125" style="1256" bestFit="1" customWidth="1"/>
    <col min="1291" max="1292" width="9.140625" style="1256"/>
    <col min="1293" max="1293" width="9.5703125" style="1256" bestFit="1" customWidth="1"/>
    <col min="1294" max="1536" width="9.140625" style="1256"/>
    <col min="1537" max="1538" width="15.7109375" style="1256" customWidth="1"/>
    <col min="1539" max="1539" width="12.140625" style="1256" bestFit="1" customWidth="1"/>
    <col min="1540" max="1541" width="20" style="1256" bestFit="1" customWidth="1"/>
    <col min="1542" max="1542" width="8.5703125" style="1256" customWidth="1"/>
    <col min="1543" max="1543" width="12.140625" style="1256" customWidth="1"/>
    <col min="1544" max="1544" width="12.28515625" style="1256" bestFit="1" customWidth="1"/>
    <col min="1545" max="1545" width="9.7109375" style="1256" bestFit="1" customWidth="1"/>
    <col min="1546" max="1546" width="9.5703125" style="1256" bestFit="1" customWidth="1"/>
    <col min="1547" max="1548" width="9.140625" style="1256"/>
    <col min="1549" max="1549" width="9.5703125" style="1256" bestFit="1" customWidth="1"/>
    <col min="1550" max="1792" width="9.140625" style="1256"/>
    <col min="1793" max="1794" width="15.7109375" style="1256" customWidth="1"/>
    <col min="1795" max="1795" width="12.140625" style="1256" bestFit="1" customWidth="1"/>
    <col min="1796" max="1797" width="20" style="1256" bestFit="1" customWidth="1"/>
    <col min="1798" max="1798" width="8.5703125" style="1256" customWidth="1"/>
    <col min="1799" max="1799" width="12.140625" style="1256" customWidth="1"/>
    <col min="1800" max="1800" width="12.28515625" style="1256" bestFit="1" customWidth="1"/>
    <col min="1801" max="1801" width="9.7109375" style="1256" bestFit="1" customWidth="1"/>
    <col min="1802" max="1802" width="9.5703125" style="1256" bestFit="1" customWidth="1"/>
    <col min="1803" max="1804" width="9.140625" style="1256"/>
    <col min="1805" max="1805" width="9.5703125" style="1256" bestFit="1" customWidth="1"/>
    <col min="1806" max="2048" width="9.140625" style="1256"/>
    <col min="2049" max="2050" width="15.7109375" style="1256" customWidth="1"/>
    <col min="2051" max="2051" width="12.140625" style="1256" bestFit="1" customWidth="1"/>
    <col min="2052" max="2053" width="20" style="1256" bestFit="1" customWidth="1"/>
    <col min="2054" max="2054" width="8.5703125" style="1256" customWidth="1"/>
    <col min="2055" max="2055" width="12.140625" style="1256" customWidth="1"/>
    <col min="2056" max="2056" width="12.28515625" style="1256" bestFit="1" customWidth="1"/>
    <col min="2057" max="2057" width="9.7109375" style="1256" bestFit="1" customWidth="1"/>
    <col min="2058" max="2058" width="9.5703125" style="1256" bestFit="1" customWidth="1"/>
    <col min="2059" max="2060" width="9.140625" style="1256"/>
    <col min="2061" max="2061" width="9.5703125" style="1256" bestFit="1" customWidth="1"/>
    <col min="2062" max="2304" width="9.140625" style="1256"/>
    <col min="2305" max="2306" width="15.7109375" style="1256" customWidth="1"/>
    <col min="2307" max="2307" width="12.140625" style="1256" bestFit="1" customWidth="1"/>
    <col min="2308" max="2309" width="20" style="1256" bestFit="1" customWidth="1"/>
    <col min="2310" max="2310" width="8.5703125" style="1256" customWidth="1"/>
    <col min="2311" max="2311" width="12.140625" style="1256" customWidth="1"/>
    <col min="2312" max="2312" width="12.28515625" style="1256" bestFit="1" customWidth="1"/>
    <col min="2313" max="2313" width="9.7109375" style="1256" bestFit="1" customWidth="1"/>
    <col min="2314" max="2314" width="9.5703125" style="1256" bestFit="1" customWidth="1"/>
    <col min="2315" max="2316" width="9.140625" style="1256"/>
    <col min="2317" max="2317" width="9.5703125" style="1256" bestFit="1" customWidth="1"/>
    <col min="2318" max="2560" width="9.140625" style="1256"/>
    <col min="2561" max="2562" width="15.7109375" style="1256" customWidth="1"/>
    <col min="2563" max="2563" width="12.140625" style="1256" bestFit="1" customWidth="1"/>
    <col min="2564" max="2565" width="20" style="1256" bestFit="1" customWidth="1"/>
    <col min="2566" max="2566" width="8.5703125" style="1256" customWidth="1"/>
    <col min="2567" max="2567" width="12.140625" style="1256" customWidth="1"/>
    <col min="2568" max="2568" width="12.28515625" style="1256" bestFit="1" customWidth="1"/>
    <col min="2569" max="2569" width="9.7109375" style="1256" bestFit="1" customWidth="1"/>
    <col min="2570" max="2570" width="9.5703125" style="1256" bestFit="1" customWidth="1"/>
    <col min="2571" max="2572" width="9.140625" style="1256"/>
    <col min="2573" max="2573" width="9.5703125" style="1256" bestFit="1" customWidth="1"/>
    <col min="2574" max="2816" width="9.140625" style="1256"/>
    <col min="2817" max="2818" width="15.7109375" style="1256" customWidth="1"/>
    <col min="2819" max="2819" width="12.140625" style="1256" bestFit="1" customWidth="1"/>
    <col min="2820" max="2821" width="20" style="1256" bestFit="1" customWidth="1"/>
    <col min="2822" max="2822" width="8.5703125" style="1256" customWidth="1"/>
    <col min="2823" max="2823" width="12.140625" style="1256" customWidth="1"/>
    <col min="2824" max="2824" width="12.28515625" style="1256" bestFit="1" customWidth="1"/>
    <col min="2825" max="2825" width="9.7109375" style="1256" bestFit="1" customWidth="1"/>
    <col min="2826" max="2826" width="9.5703125" style="1256" bestFit="1" customWidth="1"/>
    <col min="2827" max="2828" width="9.140625" style="1256"/>
    <col min="2829" max="2829" width="9.5703125" style="1256" bestFit="1" customWidth="1"/>
    <col min="2830" max="3072" width="9.140625" style="1256"/>
    <col min="3073" max="3074" width="15.7109375" style="1256" customWidth="1"/>
    <col min="3075" max="3075" width="12.140625" style="1256" bestFit="1" customWidth="1"/>
    <col min="3076" max="3077" width="20" style="1256" bestFit="1" customWidth="1"/>
    <col min="3078" max="3078" width="8.5703125" style="1256" customWidth="1"/>
    <col min="3079" max="3079" width="12.140625" style="1256" customWidth="1"/>
    <col min="3080" max="3080" width="12.28515625" style="1256" bestFit="1" customWidth="1"/>
    <col min="3081" max="3081" width="9.7109375" style="1256" bestFit="1" customWidth="1"/>
    <col min="3082" max="3082" width="9.5703125" style="1256" bestFit="1" customWidth="1"/>
    <col min="3083" max="3084" width="9.140625" style="1256"/>
    <col min="3085" max="3085" width="9.5703125" style="1256" bestFit="1" customWidth="1"/>
    <col min="3086" max="3328" width="9.140625" style="1256"/>
    <col min="3329" max="3330" width="15.7109375" style="1256" customWidth="1"/>
    <col min="3331" max="3331" width="12.140625" style="1256" bestFit="1" customWidth="1"/>
    <col min="3332" max="3333" width="20" style="1256" bestFit="1" customWidth="1"/>
    <col min="3334" max="3334" width="8.5703125" style="1256" customWidth="1"/>
    <col min="3335" max="3335" width="12.140625" style="1256" customWidth="1"/>
    <col min="3336" max="3336" width="12.28515625" style="1256" bestFit="1" customWidth="1"/>
    <col min="3337" max="3337" width="9.7109375" style="1256" bestFit="1" customWidth="1"/>
    <col min="3338" max="3338" width="9.5703125" style="1256" bestFit="1" customWidth="1"/>
    <col min="3339" max="3340" width="9.140625" style="1256"/>
    <col min="3341" max="3341" width="9.5703125" style="1256" bestFit="1" customWidth="1"/>
    <col min="3342" max="3584" width="9.140625" style="1256"/>
    <col min="3585" max="3586" width="15.7109375" style="1256" customWidth="1"/>
    <col min="3587" max="3587" width="12.140625" style="1256" bestFit="1" customWidth="1"/>
    <col min="3588" max="3589" width="20" style="1256" bestFit="1" customWidth="1"/>
    <col min="3590" max="3590" width="8.5703125" style="1256" customWidth="1"/>
    <col min="3591" max="3591" width="12.140625" style="1256" customWidth="1"/>
    <col min="3592" max="3592" width="12.28515625" style="1256" bestFit="1" customWidth="1"/>
    <col min="3593" max="3593" width="9.7109375" style="1256" bestFit="1" customWidth="1"/>
    <col min="3594" max="3594" width="9.5703125" style="1256" bestFit="1" customWidth="1"/>
    <col min="3595" max="3596" width="9.140625" style="1256"/>
    <col min="3597" max="3597" width="9.5703125" style="1256" bestFit="1" customWidth="1"/>
    <col min="3598" max="3840" width="9.140625" style="1256"/>
    <col min="3841" max="3842" width="15.7109375" style="1256" customWidth="1"/>
    <col min="3843" max="3843" width="12.140625" style="1256" bestFit="1" customWidth="1"/>
    <col min="3844" max="3845" width="20" style="1256" bestFit="1" customWidth="1"/>
    <col min="3846" max="3846" width="8.5703125" style="1256" customWidth="1"/>
    <col min="3847" max="3847" width="12.140625" style="1256" customWidth="1"/>
    <col min="3848" max="3848" width="12.28515625" style="1256" bestFit="1" customWidth="1"/>
    <col min="3849" max="3849" width="9.7109375" style="1256" bestFit="1" customWidth="1"/>
    <col min="3850" max="3850" width="9.5703125" style="1256" bestFit="1" customWidth="1"/>
    <col min="3851" max="3852" width="9.140625" style="1256"/>
    <col min="3853" max="3853" width="9.5703125" style="1256" bestFit="1" customWidth="1"/>
    <col min="3854" max="4096" width="9.140625" style="1256"/>
    <col min="4097" max="4098" width="15.7109375" style="1256" customWidth="1"/>
    <col min="4099" max="4099" width="12.140625" style="1256" bestFit="1" customWidth="1"/>
    <col min="4100" max="4101" width="20" style="1256" bestFit="1" customWidth="1"/>
    <col min="4102" max="4102" width="8.5703125" style="1256" customWidth="1"/>
    <col min="4103" max="4103" width="12.140625" style="1256" customWidth="1"/>
    <col min="4104" max="4104" width="12.28515625" style="1256" bestFit="1" customWidth="1"/>
    <col min="4105" max="4105" width="9.7109375" style="1256" bestFit="1" customWidth="1"/>
    <col min="4106" max="4106" width="9.5703125" style="1256" bestFit="1" customWidth="1"/>
    <col min="4107" max="4108" width="9.140625" style="1256"/>
    <col min="4109" max="4109" width="9.5703125" style="1256" bestFit="1" customWidth="1"/>
    <col min="4110" max="4352" width="9.140625" style="1256"/>
    <col min="4353" max="4354" width="15.7109375" style="1256" customWidth="1"/>
    <col min="4355" max="4355" width="12.140625" style="1256" bestFit="1" customWidth="1"/>
    <col min="4356" max="4357" width="20" style="1256" bestFit="1" customWidth="1"/>
    <col min="4358" max="4358" width="8.5703125" style="1256" customWidth="1"/>
    <col min="4359" max="4359" width="12.140625" style="1256" customWidth="1"/>
    <col min="4360" max="4360" width="12.28515625" style="1256" bestFit="1" customWidth="1"/>
    <col min="4361" max="4361" width="9.7109375" style="1256" bestFit="1" customWidth="1"/>
    <col min="4362" max="4362" width="9.5703125" style="1256" bestFit="1" customWidth="1"/>
    <col min="4363" max="4364" width="9.140625" style="1256"/>
    <col min="4365" max="4365" width="9.5703125" style="1256" bestFit="1" customWidth="1"/>
    <col min="4366" max="4608" width="9.140625" style="1256"/>
    <col min="4609" max="4610" width="15.7109375" style="1256" customWidth="1"/>
    <col min="4611" max="4611" width="12.140625" style="1256" bestFit="1" customWidth="1"/>
    <col min="4612" max="4613" width="20" style="1256" bestFit="1" customWidth="1"/>
    <col min="4614" max="4614" width="8.5703125" style="1256" customWidth="1"/>
    <col min="4615" max="4615" width="12.140625" style="1256" customWidth="1"/>
    <col min="4616" max="4616" width="12.28515625" style="1256" bestFit="1" customWidth="1"/>
    <col min="4617" max="4617" width="9.7109375" style="1256" bestFit="1" customWidth="1"/>
    <col min="4618" max="4618" width="9.5703125" style="1256" bestFit="1" customWidth="1"/>
    <col min="4619" max="4620" width="9.140625" style="1256"/>
    <col min="4621" max="4621" width="9.5703125" style="1256" bestFit="1" customWidth="1"/>
    <col min="4622" max="4864" width="9.140625" style="1256"/>
    <col min="4865" max="4866" width="15.7109375" style="1256" customWidth="1"/>
    <col min="4867" max="4867" width="12.140625" style="1256" bestFit="1" customWidth="1"/>
    <col min="4868" max="4869" width="20" style="1256" bestFit="1" customWidth="1"/>
    <col min="4870" max="4870" width="8.5703125" style="1256" customWidth="1"/>
    <col min="4871" max="4871" width="12.140625" style="1256" customWidth="1"/>
    <col min="4872" max="4872" width="12.28515625" style="1256" bestFit="1" customWidth="1"/>
    <col min="4873" max="4873" width="9.7109375" style="1256" bestFit="1" customWidth="1"/>
    <col min="4874" max="4874" width="9.5703125" style="1256" bestFit="1" customWidth="1"/>
    <col min="4875" max="4876" width="9.140625" style="1256"/>
    <col min="4877" max="4877" width="9.5703125" style="1256" bestFit="1" customWidth="1"/>
    <col min="4878" max="5120" width="9.140625" style="1256"/>
    <col min="5121" max="5122" width="15.7109375" style="1256" customWidth="1"/>
    <col min="5123" max="5123" width="12.140625" style="1256" bestFit="1" customWidth="1"/>
    <col min="5124" max="5125" width="20" style="1256" bestFit="1" customWidth="1"/>
    <col min="5126" max="5126" width="8.5703125" style="1256" customWidth="1"/>
    <col min="5127" max="5127" width="12.140625" style="1256" customWidth="1"/>
    <col min="5128" max="5128" width="12.28515625" style="1256" bestFit="1" customWidth="1"/>
    <col min="5129" max="5129" width="9.7109375" style="1256" bestFit="1" customWidth="1"/>
    <col min="5130" max="5130" width="9.5703125" style="1256" bestFit="1" customWidth="1"/>
    <col min="5131" max="5132" width="9.140625" style="1256"/>
    <col min="5133" max="5133" width="9.5703125" style="1256" bestFit="1" customWidth="1"/>
    <col min="5134" max="5376" width="9.140625" style="1256"/>
    <col min="5377" max="5378" width="15.7109375" style="1256" customWidth="1"/>
    <col min="5379" max="5379" width="12.140625" style="1256" bestFit="1" customWidth="1"/>
    <col min="5380" max="5381" width="20" style="1256" bestFit="1" customWidth="1"/>
    <col min="5382" max="5382" width="8.5703125" style="1256" customWidth="1"/>
    <col min="5383" max="5383" width="12.140625" style="1256" customWidth="1"/>
    <col min="5384" max="5384" width="12.28515625" style="1256" bestFit="1" customWidth="1"/>
    <col min="5385" max="5385" width="9.7109375" style="1256" bestFit="1" customWidth="1"/>
    <col min="5386" max="5386" width="9.5703125" style="1256" bestFit="1" customWidth="1"/>
    <col min="5387" max="5388" width="9.140625" style="1256"/>
    <col min="5389" max="5389" width="9.5703125" style="1256" bestFit="1" customWidth="1"/>
    <col min="5390" max="5632" width="9.140625" style="1256"/>
    <col min="5633" max="5634" width="15.7109375" style="1256" customWidth="1"/>
    <col min="5635" max="5635" width="12.140625" style="1256" bestFit="1" customWidth="1"/>
    <col min="5636" max="5637" width="20" style="1256" bestFit="1" customWidth="1"/>
    <col min="5638" max="5638" width="8.5703125" style="1256" customWidth="1"/>
    <col min="5639" max="5639" width="12.140625" style="1256" customWidth="1"/>
    <col min="5640" max="5640" width="12.28515625" style="1256" bestFit="1" customWidth="1"/>
    <col min="5641" max="5641" width="9.7109375" style="1256" bestFit="1" customWidth="1"/>
    <col min="5642" max="5642" width="9.5703125" style="1256" bestFit="1" customWidth="1"/>
    <col min="5643" max="5644" width="9.140625" style="1256"/>
    <col min="5645" max="5645" width="9.5703125" style="1256" bestFit="1" customWidth="1"/>
    <col min="5646" max="5888" width="9.140625" style="1256"/>
    <col min="5889" max="5890" width="15.7109375" style="1256" customWidth="1"/>
    <col min="5891" max="5891" width="12.140625" style="1256" bestFit="1" customWidth="1"/>
    <col min="5892" max="5893" width="20" style="1256" bestFit="1" customWidth="1"/>
    <col min="5894" max="5894" width="8.5703125" style="1256" customWidth="1"/>
    <col min="5895" max="5895" width="12.140625" style="1256" customWidth="1"/>
    <col min="5896" max="5896" width="12.28515625" style="1256" bestFit="1" customWidth="1"/>
    <col min="5897" max="5897" width="9.7109375" style="1256" bestFit="1" customWidth="1"/>
    <col min="5898" max="5898" width="9.5703125" style="1256" bestFit="1" customWidth="1"/>
    <col min="5899" max="5900" width="9.140625" style="1256"/>
    <col min="5901" max="5901" width="9.5703125" style="1256" bestFit="1" customWidth="1"/>
    <col min="5902" max="6144" width="9.140625" style="1256"/>
    <col min="6145" max="6146" width="15.7109375" style="1256" customWidth="1"/>
    <col min="6147" max="6147" width="12.140625" style="1256" bestFit="1" customWidth="1"/>
    <col min="6148" max="6149" width="20" style="1256" bestFit="1" customWidth="1"/>
    <col min="6150" max="6150" width="8.5703125" style="1256" customWidth="1"/>
    <col min="6151" max="6151" width="12.140625" style="1256" customWidth="1"/>
    <col min="6152" max="6152" width="12.28515625" style="1256" bestFit="1" customWidth="1"/>
    <col min="6153" max="6153" width="9.7109375" style="1256" bestFit="1" customWidth="1"/>
    <col min="6154" max="6154" width="9.5703125" style="1256" bestFit="1" customWidth="1"/>
    <col min="6155" max="6156" width="9.140625" style="1256"/>
    <col min="6157" max="6157" width="9.5703125" style="1256" bestFit="1" customWidth="1"/>
    <col min="6158" max="6400" width="9.140625" style="1256"/>
    <col min="6401" max="6402" width="15.7109375" style="1256" customWidth="1"/>
    <col min="6403" max="6403" width="12.140625" style="1256" bestFit="1" customWidth="1"/>
    <col min="6404" max="6405" width="20" style="1256" bestFit="1" customWidth="1"/>
    <col min="6406" max="6406" width="8.5703125" style="1256" customWidth="1"/>
    <col min="6407" max="6407" width="12.140625" style="1256" customWidth="1"/>
    <col min="6408" max="6408" width="12.28515625" style="1256" bestFit="1" customWidth="1"/>
    <col min="6409" max="6409" width="9.7109375" style="1256" bestFit="1" customWidth="1"/>
    <col min="6410" max="6410" width="9.5703125" style="1256" bestFit="1" customWidth="1"/>
    <col min="6411" max="6412" width="9.140625" style="1256"/>
    <col min="6413" max="6413" width="9.5703125" style="1256" bestFit="1" customWidth="1"/>
    <col min="6414" max="6656" width="9.140625" style="1256"/>
    <col min="6657" max="6658" width="15.7109375" style="1256" customWidth="1"/>
    <col min="6659" max="6659" width="12.140625" style="1256" bestFit="1" customWidth="1"/>
    <col min="6660" max="6661" width="20" style="1256" bestFit="1" customWidth="1"/>
    <col min="6662" max="6662" width="8.5703125" style="1256" customWidth="1"/>
    <col min="6663" max="6663" width="12.140625" style="1256" customWidth="1"/>
    <col min="6664" max="6664" width="12.28515625" style="1256" bestFit="1" customWidth="1"/>
    <col min="6665" max="6665" width="9.7109375" style="1256" bestFit="1" customWidth="1"/>
    <col min="6666" max="6666" width="9.5703125" style="1256" bestFit="1" customWidth="1"/>
    <col min="6667" max="6668" width="9.140625" style="1256"/>
    <col min="6669" max="6669" width="9.5703125" style="1256" bestFit="1" customWidth="1"/>
    <col min="6670" max="6912" width="9.140625" style="1256"/>
    <col min="6913" max="6914" width="15.7109375" style="1256" customWidth="1"/>
    <col min="6915" max="6915" width="12.140625" style="1256" bestFit="1" customWidth="1"/>
    <col min="6916" max="6917" width="20" style="1256" bestFit="1" customWidth="1"/>
    <col min="6918" max="6918" width="8.5703125" style="1256" customWidth="1"/>
    <col min="6919" max="6919" width="12.140625" style="1256" customWidth="1"/>
    <col min="6920" max="6920" width="12.28515625" style="1256" bestFit="1" customWidth="1"/>
    <col min="6921" max="6921" width="9.7109375" style="1256" bestFit="1" customWidth="1"/>
    <col min="6922" max="6922" width="9.5703125" style="1256" bestFit="1" customWidth="1"/>
    <col min="6923" max="6924" width="9.140625" style="1256"/>
    <col min="6925" max="6925" width="9.5703125" style="1256" bestFit="1" customWidth="1"/>
    <col min="6926" max="7168" width="9.140625" style="1256"/>
    <col min="7169" max="7170" width="15.7109375" style="1256" customWidth="1"/>
    <col min="7171" max="7171" width="12.140625" style="1256" bestFit="1" customWidth="1"/>
    <col min="7172" max="7173" width="20" style="1256" bestFit="1" customWidth="1"/>
    <col min="7174" max="7174" width="8.5703125" style="1256" customWidth="1"/>
    <col min="7175" max="7175" width="12.140625" style="1256" customWidth="1"/>
    <col min="7176" max="7176" width="12.28515625" style="1256" bestFit="1" customWidth="1"/>
    <col min="7177" max="7177" width="9.7109375" style="1256" bestFit="1" customWidth="1"/>
    <col min="7178" max="7178" width="9.5703125" style="1256" bestFit="1" customWidth="1"/>
    <col min="7179" max="7180" width="9.140625" style="1256"/>
    <col min="7181" max="7181" width="9.5703125" style="1256" bestFit="1" customWidth="1"/>
    <col min="7182" max="7424" width="9.140625" style="1256"/>
    <col min="7425" max="7426" width="15.7109375" style="1256" customWidth="1"/>
    <col min="7427" max="7427" width="12.140625" style="1256" bestFit="1" customWidth="1"/>
    <col min="7428" max="7429" width="20" style="1256" bestFit="1" customWidth="1"/>
    <col min="7430" max="7430" width="8.5703125" style="1256" customWidth="1"/>
    <col min="7431" max="7431" width="12.140625" style="1256" customWidth="1"/>
    <col min="7432" max="7432" width="12.28515625" style="1256" bestFit="1" customWidth="1"/>
    <col min="7433" max="7433" width="9.7109375" style="1256" bestFit="1" customWidth="1"/>
    <col min="7434" max="7434" width="9.5703125" style="1256" bestFit="1" customWidth="1"/>
    <col min="7435" max="7436" width="9.140625" style="1256"/>
    <col min="7437" max="7437" width="9.5703125" style="1256" bestFit="1" customWidth="1"/>
    <col min="7438" max="7680" width="9.140625" style="1256"/>
    <col min="7681" max="7682" width="15.7109375" style="1256" customWidth="1"/>
    <col min="7683" max="7683" width="12.140625" style="1256" bestFit="1" customWidth="1"/>
    <col min="7684" max="7685" width="20" style="1256" bestFit="1" customWidth="1"/>
    <col min="7686" max="7686" width="8.5703125" style="1256" customWidth="1"/>
    <col min="7687" max="7687" width="12.140625" style="1256" customWidth="1"/>
    <col min="7688" max="7688" width="12.28515625" style="1256" bestFit="1" customWidth="1"/>
    <col min="7689" max="7689" width="9.7109375" style="1256" bestFit="1" customWidth="1"/>
    <col min="7690" max="7690" width="9.5703125" style="1256" bestFit="1" customWidth="1"/>
    <col min="7691" max="7692" width="9.140625" style="1256"/>
    <col min="7693" max="7693" width="9.5703125" style="1256" bestFit="1" customWidth="1"/>
    <col min="7694" max="7936" width="9.140625" style="1256"/>
    <col min="7937" max="7938" width="15.7109375" style="1256" customWidth="1"/>
    <col min="7939" max="7939" width="12.140625" style="1256" bestFit="1" customWidth="1"/>
    <col min="7940" max="7941" width="20" style="1256" bestFit="1" customWidth="1"/>
    <col min="7942" max="7942" width="8.5703125" style="1256" customWidth="1"/>
    <col min="7943" max="7943" width="12.140625" style="1256" customWidth="1"/>
    <col min="7944" max="7944" width="12.28515625" style="1256" bestFit="1" customWidth="1"/>
    <col min="7945" max="7945" width="9.7109375" style="1256" bestFit="1" customWidth="1"/>
    <col min="7946" max="7946" width="9.5703125" style="1256" bestFit="1" customWidth="1"/>
    <col min="7947" max="7948" width="9.140625" style="1256"/>
    <col min="7949" max="7949" width="9.5703125" style="1256" bestFit="1" customWidth="1"/>
    <col min="7950" max="8192" width="9.140625" style="1256"/>
    <col min="8193" max="8194" width="15.7109375" style="1256" customWidth="1"/>
    <col min="8195" max="8195" width="12.140625" style="1256" bestFit="1" customWidth="1"/>
    <col min="8196" max="8197" width="20" style="1256" bestFit="1" customWidth="1"/>
    <col min="8198" max="8198" width="8.5703125" style="1256" customWidth="1"/>
    <col min="8199" max="8199" width="12.140625" style="1256" customWidth="1"/>
    <col min="8200" max="8200" width="12.28515625" style="1256" bestFit="1" customWidth="1"/>
    <col min="8201" max="8201" width="9.7109375" style="1256" bestFit="1" customWidth="1"/>
    <col min="8202" max="8202" width="9.5703125" style="1256" bestFit="1" customWidth="1"/>
    <col min="8203" max="8204" width="9.140625" style="1256"/>
    <col min="8205" max="8205" width="9.5703125" style="1256" bestFit="1" customWidth="1"/>
    <col min="8206" max="8448" width="9.140625" style="1256"/>
    <col min="8449" max="8450" width="15.7109375" style="1256" customWidth="1"/>
    <col min="8451" max="8451" width="12.140625" style="1256" bestFit="1" customWidth="1"/>
    <col min="8452" max="8453" width="20" style="1256" bestFit="1" customWidth="1"/>
    <col min="8454" max="8454" width="8.5703125" style="1256" customWidth="1"/>
    <col min="8455" max="8455" width="12.140625" style="1256" customWidth="1"/>
    <col min="8456" max="8456" width="12.28515625" style="1256" bestFit="1" customWidth="1"/>
    <col min="8457" max="8457" width="9.7109375" style="1256" bestFit="1" customWidth="1"/>
    <col min="8458" max="8458" width="9.5703125" style="1256" bestFit="1" customWidth="1"/>
    <col min="8459" max="8460" width="9.140625" style="1256"/>
    <col min="8461" max="8461" width="9.5703125" style="1256" bestFit="1" customWidth="1"/>
    <col min="8462" max="8704" width="9.140625" style="1256"/>
    <col min="8705" max="8706" width="15.7109375" style="1256" customWidth="1"/>
    <col min="8707" max="8707" width="12.140625" style="1256" bestFit="1" customWidth="1"/>
    <col min="8708" max="8709" width="20" style="1256" bestFit="1" customWidth="1"/>
    <col min="8710" max="8710" width="8.5703125" style="1256" customWidth="1"/>
    <col min="8711" max="8711" width="12.140625" style="1256" customWidth="1"/>
    <col min="8712" max="8712" width="12.28515625" style="1256" bestFit="1" customWidth="1"/>
    <col min="8713" max="8713" width="9.7109375" style="1256" bestFit="1" customWidth="1"/>
    <col min="8714" max="8714" width="9.5703125" style="1256" bestFit="1" customWidth="1"/>
    <col min="8715" max="8716" width="9.140625" style="1256"/>
    <col min="8717" max="8717" width="9.5703125" style="1256" bestFit="1" customWidth="1"/>
    <col min="8718" max="8960" width="9.140625" style="1256"/>
    <col min="8961" max="8962" width="15.7109375" style="1256" customWidth="1"/>
    <col min="8963" max="8963" width="12.140625" style="1256" bestFit="1" customWidth="1"/>
    <col min="8964" max="8965" width="20" style="1256" bestFit="1" customWidth="1"/>
    <col min="8966" max="8966" width="8.5703125" style="1256" customWidth="1"/>
    <col min="8967" max="8967" width="12.140625" style="1256" customWidth="1"/>
    <col min="8968" max="8968" width="12.28515625" style="1256" bestFit="1" customWidth="1"/>
    <col min="8969" max="8969" width="9.7109375" style="1256" bestFit="1" customWidth="1"/>
    <col min="8970" max="8970" width="9.5703125" style="1256" bestFit="1" customWidth="1"/>
    <col min="8971" max="8972" width="9.140625" style="1256"/>
    <col min="8973" max="8973" width="9.5703125" style="1256" bestFit="1" customWidth="1"/>
    <col min="8974" max="9216" width="9.140625" style="1256"/>
    <col min="9217" max="9218" width="15.7109375" style="1256" customWidth="1"/>
    <col min="9219" max="9219" width="12.140625" style="1256" bestFit="1" customWidth="1"/>
    <col min="9220" max="9221" width="20" style="1256" bestFit="1" customWidth="1"/>
    <col min="9222" max="9222" width="8.5703125" style="1256" customWidth="1"/>
    <col min="9223" max="9223" width="12.140625" style="1256" customWidth="1"/>
    <col min="9224" max="9224" width="12.28515625" style="1256" bestFit="1" customWidth="1"/>
    <col min="9225" max="9225" width="9.7109375" style="1256" bestFit="1" customWidth="1"/>
    <col min="9226" max="9226" width="9.5703125" style="1256" bestFit="1" customWidth="1"/>
    <col min="9227" max="9228" width="9.140625" style="1256"/>
    <col min="9229" max="9229" width="9.5703125" style="1256" bestFit="1" customWidth="1"/>
    <col min="9230" max="9472" width="9.140625" style="1256"/>
    <col min="9473" max="9474" width="15.7109375" style="1256" customWidth="1"/>
    <col min="9475" max="9475" width="12.140625" style="1256" bestFit="1" customWidth="1"/>
    <col min="9476" max="9477" width="20" style="1256" bestFit="1" customWidth="1"/>
    <col min="9478" max="9478" width="8.5703125" style="1256" customWidth="1"/>
    <col min="9479" max="9479" width="12.140625" style="1256" customWidth="1"/>
    <col min="9480" max="9480" width="12.28515625" style="1256" bestFit="1" customWidth="1"/>
    <col min="9481" max="9481" width="9.7109375" style="1256" bestFit="1" customWidth="1"/>
    <col min="9482" max="9482" width="9.5703125" style="1256" bestFit="1" customWidth="1"/>
    <col min="9483" max="9484" width="9.140625" style="1256"/>
    <col min="9485" max="9485" width="9.5703125" style="1256" bestFit="1" customWidth="1"/>
    <col min="9486" max="9728" width="9.140625" style="1256"/>
    <col min="9729" max="9730" width="15.7109375" style="1256" customWidth="1"/>
    <col min="9731" max="9731" width="12.140625" style="1256" bestFit="1" customWidth="1"/>
    <col min="9732" max="9733" width="20" style="1256" bestFit="1" customWidth="1"/>
    <col min="9734" max="9734" width="8.5703125" style="1256" customWidth="1"/>
    <col min="9735" max="9735" width="12.140625" style="1256" customWidth="1"/>
    <col min="9736" max="9736" width="12.28515625" style="1256" bestFit="1" customWidth="1"/>
    <col min="9737" max="9737" width="9.7109375" style="1256" bestFit="1" customWidth="1"/>
    <col min="9738" max="9738" width="9.5703125" style="1256" bestFit="1" customWidth="1"/>
    <col min="9739" max="9740" width="9.140625" style="1256"/>
    <col min="9741" max="9741" width="9.5703125" style="1256" bestFit="1" customWidth="1"/>
    <col min="9742" max="9984" width="9.140625" style="1256"/>
    <col min="9985" max="9986" width="15.7109375" style="1256" customWidth="1"/>
    <col min="9987" max="9987" width="12.140625" style="1256" bestFit="1" customWidth="1"/>
    <col min="9988" max="9989" width="20" style="1256" bestFit="1" customWidth="1"/>
    <col min="9990" max="9990" width="8.5703125" style="1256" customWidth="1"/>
    <col min="9991" max="9991" width="12.140625" style="1256" customWidth="1"/>
    <col min="9992" max="9992" width="12.28515625" style="1256" bestFit="1" customWidth="1"/>
    <col min="9993" max="9993" width="9.7109375" style="1256" bestFit="1" customWidth="1"/>
    <col min="9994" max="9994" width="9.5703125" style="1256" bestFit="1" customWidth="1"/>
    <col min="9995" max="9996" width="9.140625" style="1256"/>
    <col min="9997" max="9997" width="9.5703125" style="1256" bestFit="1" customWidth="1"/>
    <col min="9998" max="10240" width="9.140625" style="1256"/>
    <col min="10241" max="10242" width="15.7109375" style="1256" customWidth="1"/>
    <col min="10243" max="10243" width="12.140625" style="1256" bestFit="1" customWidth="1"/>
    <col min="10244" max="10245" width="20" style="1256" bestFit="1" customWidth="1"/>
    <col min="10246" max="10246" width="8.5703125" style="1256" customWidth="1"/>
    <col min="10247" max="10247" width="12.140625" style="1256" customWidth="1"/>
    <col min="10248" max="10248" width="12.28515625" style="1256" bestFit="1" customWidth="1"/>
    <col min="10249" max="10249" width="9.7109375" style="1256" bestFit="1" customWidth="1"/>
    <col min="10250" max="10250" width="9.5703125" style="1256" bestFit="1" customWidth="1"/>
    <col min="10251" max="10252" width="9.140625" style="1256"/>
    <col min="10253" max="10253" width="9.5703125" style="1256" bestFit="1" customWidth="1"/>
    <col min="10254" max="10496" width="9.140625" style="1256"/>
    <col min="10497" max="10498" width="15.7109375" style="1256" customWidth="1"/>
    <col min="10499" max="10499" width="12.140625" style="1256" bestFit="1" customWidth="1"/>
    <col min="10500" max="10501" width="20" style="1256" bestFit="1" customWidth="1"/>
    <col min="10502" max="10502" width="8.5703125" style="1256" customWidth="1"/>
    <col min="10503" max="10503" width="12.140625" style="1256" customWidth="1"/>
    <col min="10504" max="10504" width="12.28515625" style="1256" bestFit="1" customWidth="1"/>
    <col min="10505" max="10505" width="9.7109375" style="1256" bestFit="1" customWidth="1"/>
    <col min="10506" max="10506" width="9.5703125" style="1256" bestFit="1" customWidth="1"/>
    <col min="10507" max="10508" width="9.140625" style="1256"/>
    <col min="10509" max="10509" width="9.5703125" style="1256" bestFit="1" customWidth="1"/>
    <col min="10510" max="10752" width="9.140625" style="1256"/>
    <col min="10753" max="10754" width="15.7109375" style="1256" customWidth="1"/>
    <col min="10755" max="10755" width="12.140625" style="1256" bestFit="1" customWidth="1"/>
    <col min="10756" max="10757" width="20" style="1256" bestFit="1" customWidth="1"/>
    <col min="10758" max="10758" width="8.5703125" style="1256" customWidth="1"/>
    <col min="10759" max="10759" width="12.140625" style="1256" customWidth="1"/>
    <col min="10760" max="10760" width="12.28515625" style="1256" bestFit="1" customWidth="1"/>
    <col min="10761" max="10761" width="9.7109375" style="1256" bestFit="1" customWidth="1"/>
    <col min="10762" max="10762" width="9.5703125" style="1256" bestFit="1" customWidth="1"/>
    <col min="10763" max="10764" width="9.140625" style="1256"/>
    <col min="10765" max="10765" width="9.5703125" style="1256" bestFit="1" customWidth="1"/>
    <col min="10766" max="11008" width="9.140625" style="1256"/>
    <col min="11009" max="11010" width="15.7109375" style="1256" customWidth="1"/>
    <col min="11011" max="11011" width="12.140625" style="1256" bestFit="1" customWidth="1"/>
    <col min="11012" max="11013" width="20" style="1256" bestFit="1" customWidth="1"/>
    <col min="11014" max="11014" width="8.5703125" style="1256" customWidth="1"/>
    <col min="11015" max="11015" width="12.140625" style="1256" customWidth="1"/>
    <col min="11016" max="11016" width="12.28515625" style="1256" bestFit="1" customWidth="1"/>
    <col min="11017" max="11017" width="9.7109375" style="1256" bestFit="1" customWidth="1"/>
    <col min="11018" max="11018" width="9.5703125" style="1256" bestFit="1" customWidth="1"/>
    <col min="11019" max="11020" width="9.140625" style="1256"/>
    <col min="11021" max="11021" width="9.5703125" style="1256" bestFit="1" customWidth="1"/>
    <col min="11022" max="11264" width="9.140625" style="1256"/>
    <col min="11265" max="11266" width="15.7109375" style="1256" customWidth="1"/>
    <col min="11267" max="11267" width="12.140625" style="1256" bestFit="1" customWidth="1"/>
    <col min="11268" max="11269" width="20" style="1256" bestFit="1" customWidth="1"/>
    <col min="11270" max="11270" width="8.5703125" style="1256" customWidth="1"/>
    <col min="11271" max="11271" width="12.140625" style="1256" customWidth="1"/>
    <col min="11272" max="11272" width="12.28515625" style="1256" bestFit="1" customWidth="1"/>
    <col min="11273" max="11273" width="9.7109375" style="1256" bestFit="1" customWidth="1"/>
    <col min="11274" max="11274" width="9.5703125" style="1256" bestFit="1" customWidth="1"/>
    <col min="11275" max="11276" width="9.140625" style="1256"/>
    <col min="11277" max="11277" width="9.5703125" style="1256" bestFit="1" customWidth="1"/>
    <col min="11278" max="11520" width="9.140625" style="1256"/>
    <col min="11521" max="11522" width="15.7109375" style="1256" customWidth="1"/>
    <col min="11523" max="11523" width="12.140625" style="1256" bestFit="1" customWidth="1"/>
    <col min="11524" max="11525" width="20" style="1256" bestFit="1" customWidth="1"/>
    <col min="11526" max="11526" width="8.5703125" style="1256" customWidth="1"/>
    <col min="11527" max="11527" width="12.140625" style="1256" customWidth="1"/>
    <col min="11528" max="11528" width="12.28515625" style="1256" bestFit="1" customWidth="1"/>
    <col min="11529" max="11529" width="9.7109375" style="1256" bestFit="1" customWidth="1"/>
    <col min="11530" max="11530" width="9.5703125" style="1256" bestFit="1" customWidth="1"/>
    <col min="11531" max="11532" width="9.140625" style="1256"/>
    <col min="11533" max="11533" width="9.5703125" style="1256" bestFit="1" customWidth="1"/>
    <col min="11534" max="11776" width="9.140625" style="1256"/>
    <col min="11777" max="11778" width="15.7109375" style="1256" customWidth="1"/>
    <col min="11779" max="11779" width="12.140625" style="1256" bestFit="1" customWidth="1"/>
    <col min="11780" max="11781" width="20" style="1256" bestFit="1" customWidth="1"/>
    <col min="11782" max="11782" width="8.5703125" style="1256" customWidth="1"/>
    <col min="11783" max="11783" width="12.140625" style="1256" customWidth="1"/>
    <col min="11784" max="11784" width="12.28515625" style="1256" bestFit="1" customWidth="1"/>
    <col min="11785" max="11785" width="9.7109375" style="1256" bestFit="1" customWidth="1"/>
    <col min="11786" max="11786" width="9.5703125" style="1256" bestFit="1" customWidth="1"/>
    <col min="11787" max="11788" width="9.140625" style="1256"/>
    <col min="11789" max="11789" width="9.5703125" style="1256" bestFit="1" customWidth="1"/>
    <col min="11790" max="12032" width="9.140625" style="1256"/>
    <col min="12033" max="12034" width="15.7109375" style="1256" customWidth="1"/>
    <col min="12035" max="12035" width="12.140625" style="1256" bestFit="1" customWidth="1"/>
    <col min="12036" max="12037" width="20" style="1256" bestFit="1" customWidth="1"/>
    <col min="12038" max="12038" width="8.5703125" style="1256" customWidth="1"/>
    <col min="12039" max="12039" width="12.140625" style="1256" customWidth="1"/>
    <col min="12040" max="12040" width="12.28515625" style="1256" bestFit="1" customWidth="1"/>
    <col min="12041" max="12041" width="9.7109375" style="1256" bestFit="1" customWidth="1"/>
    <col min="12042" max="12042" width="9.5703125" style="1256" bestFit="1" customWidth="1"/>
    <col min="12043" max="12044" width="9.140625" style="1256"/>
    <col min="12045" max="12045" width="9.5703125" style="1256" bestFit="1" customWidth="1"/>
    <col min="12046" max="12288" width="9.140625" style="1256"/>
    <col min="12289" max="12290" width="15.7109375" style="1256" customWidth="1"/>
    <col min="12291" max="12291" width="12.140625" style="1256" bestFit="1" customWidth="1"/>
    <col min="12292" max="12293" width="20" style="1256" bestFit="1" customWidth="1"/>
    <col min="12294" max="12294" width="8.5703125" style="1256" customWidth="1"/>
    <col min="12295" max="12295" width="12.140625" style="1256" customWidth="1"/>
    <col min="12296" max="12296" width="12.28515625" style="1256" bestFit="1" customWidth="1"/>
    <col min="12297" max="12297" width="9.7109375" style="1256" bestFit="1" customWidth="1"/>
    <col min="12298" max="12298" width="9.5703125" style="1256" bestFit="1" customWidth="1"/>
    <col min="12299" max="12300" width="9.140625" style="1256"/>
    <col min="12301" max="12301" width="9.5703125" style="1256" bestFit="1" customWidth="1"/>
    <col min="12302" max="12544" width="9.140625" style="1256"/>
    <col min="12545" max="12546" width="15.7109375" style="1256" customWidth="1"/>
    <col min="12547" max="12547" width="12.140625" style="1256" bestFit="1" customWidth="1"/>
    <col min="12548" max="12549" width="20" style="1256" bestFit="1" customWidth="1"/>
    <col min="12550" max="12550" width="8.5703125" style="1256" customWidth="1"/>
    <col min="12551" max="12551" width="12.140625" style="1256" customWidth="1"/>
    <col min="12552" max="12552" width="12.28515625" style="1256" bestFit="1" customWidth="1"/>
    <col min="12553" max="12553" width="9.7109375" style="1256" bestFit="1" customWidth="1"/>
    <col min="12554" max="12554" width="9.5703125" style="1256" bestFit="1" customWidth="1"/>
    <col min="12555" max="12556" width="9.140625" style="1256"/>
    <col min="12557" max="12557" width="9.5703125" style="1256" bestFit="1" customWidth="1"/>
    <col min="12558" max="12800" width="9.140625" style="1256"/>
    <col min="12801" max="12802" width="15.7109375" style="1256" customWidth="1"/>
    <col min="12803" max="12803" width="12.140625" style="1256" bestFit="1" customWidth="1"/>
    <col min="12804" max="12805" width="20" style="1256" bestFit="1" customWidth="1"/>
    <col min="12806" max="12806" width="8.5703125" style="1256" customWidth="1"/>
    <col min="12807" max="12807" width="12.140625" style="1256" customWidth="1"/>
    <col min="12808" max="12808" width="12.28515625" style="1256" bestFit="1" customWidth="1"/>
    <col min="12809" max="12809" width="9.7109375" style="1256" bestFit="1" customWidth="1"/>
    <col min="12810" max="12810" width="9.5703125" style="1256" bestFit="1" customWidth="1"/>
    <col min="12811" max="12812" width="9.140625" style="1256"/>
    <col min="12813" max="12813" width="9.5703125" style="1256" bestFit="1" customWidth="1"/>
    <col min="12814" max="13056" width="9.140625" style="1256"/>
    <col min="13057" max="13058" width="15.7109375" style="1256" customWidth="1"/>
    <col min="13059" max="13059" width="12.140625" style="1256" bestFit="1" customWidth="1"/>
    <col min="13060" max="13061" width="20" style="1256" bestFit="1" customWidth="1"/>
    <col min="13062" max="13062" width="8.5703125" style="1256" customWidth="1"/>
    <col min="13063" max="13063" width="12.140625" style="1256" customWidth="1"/>
    <col min="13064" max="13064" width="12.28515625" style="1256" bestFit="1" customWidth="1"/>
    <col min="13065" max="13065" width="9.7109375" style="1256" bestFit="1" customWidth="1"/>
    <col min="13066" max="13066" width="9.5703125" style="1256" bestFit="1" customWidth="1"/>
    <col min="13067" max="13068" width="9.140625" style="1256"/>
    <col min="13069" max="13069" width="9.5703125" style="1256" bestFit="1" customWidth="1"/>
    <col min="13070" max="13312" width="9.140625" style="1256"/>
    <col min="13313" max="13314" width="15.7109375" style="1256" customWidth="1"/>
    <col min="13315" max="13315" width="12.140625" style="1256" bestFit="1" customWidth="1"/>
    <col min="13316" max="13317" width="20" style="1256" bestFit="1" customWidth="1"/>
    <col min="13318" max="13318" width="8.5703125" style="1256" customWidth="1"/>
    <col min="13319" max="13319" width="12.140625" style="1256" customWidth="1"/>
    <col min="13320" max="13320" width="12.28515625" style="1256" bestFit="1" customWidth="1"/>
    <col min="13321" max="13321" width="9.7109375" style="1256" bestFit="1" customWidth="1"/>
    <col min="13322" max="13322" width="9.5703125" style="1256" bestFit="1" customWidth="1"/>
    <col min="13323" max="13324" width="9.140625" style="1256"/>
    <col min="13325" max="13325" width="9.5703125" style="1256" bestFit="1" customWidth="1"/>
    <col min="13326" max="13568" width="9.140625" style="1256"/>
    <col min="13569" max="13570" width="15.7109375" style="1256" customWidth="1"/>
    <col min="13571" max="13571" width="12.140625" style="1256" bestFit="1" customWidth="1"/>
    <col min="13572" max="13573" width="20" style="1256" bestFit="1" customWidth="1"/>
    <col min="13574" max="13574" width="8.5703125" style="1256" customWidth="1"/>
    <col min="13575" max="13575" width="12.140625" style="1256" customWidth="1"/>
    <col min="13576" max="13576" width="12.28515625" style="1256" bestFit="1" customWidth="1"/>
    <col min="13577" max="13577" width="9.7109375" style="1256" bestFit="1" customWidth="1"/>
    <col min="13578" max="13578" width="9.5703125" style="1256" bestFit="1" customWidth="1"/>
    <col min="13579" max="13580" width="9.140625" style="1256"/>
    <col min="13581" max="13581" width="9.5703125" style="1256" bestFit="1" customWidth="1"/>
    <col min="13582" max="13824" width="9.140625" style="1256"/>
    <col min="13825" max="13826" width="15.7109375" style="1256" customWidth="1"/>
    <col min="13827" max="13827" width="12.140625" style="1256" bestFit="1" customWidth="1"/>
    <col min="13828" max="13829" width="20" style="1256" bestFit="1" customWidth="1"/>
    <col min="13830" max="13830" width="8.5703125" style="1256" customWidth="1"/>
    <col min="13831" max="13831" width="12.140625" style="1256" customWidth="1"/>
    <col min="13832" max="13832" width="12.28515625" style="1256" bestFit="1" customWidth="1"/>
    <col min="13833" max="13833" width="9.7109375" style="1256" bestFit="1" customWidth="1"/>
    <col min="13834" max="13834" width="9.5703125" style="1256" bestFit="1" customWidth="1"/>
    <col min="13835" max="13836" width="9.140625" style="1256"/>
    <col min="13837" max="13837" width="9.5703125" style="1256" bestFit="1" customWidth="1"/>
    <col min="13838" max="14080" width="9.140625" style="1256"/>
    <col min="14081" max="14082" width="15.7109375" style="1256" customWidth="1"/>
    <col min="14083" max="14083" width="12.140625" style="1256" bestFit="1" customWidth="1"/>
    <col min="14084" max="14085" width="20" style="1256" bestFit="1" customWidth="1"/>
    <col min="14086" max="14086" width="8.5703125" style="1256" customWidth="1"/>
    <col min="14087" max="14087" width="12.140625" style="1256" customWidth="1"/>
    <col min="14088" max="14088" width="12.28515625" style="1256" bestFit="1" customWidth="1"/>
    <col min="14089" max="14089" width="9.7109375" style="1256" bestFit="1" customWidth="1"/>
    <col min="14090" max="14090" width="9.5703125" style="1256" bestFit="1" customWidth="1"/>
    <col min="14091" max="14092" width="9.140625" style="1256"/>
    <col min="14093" max="14093" width="9.5703125" style="1256" bestFit="1" customWidth="1"/>
    <col min="14094" max="14336" width="9.140625" style="1256"/>
    <col min="14337" max="14338" width="15.7109375" style="1256" customWidth="1"/>
    <col min="14339" max="14339" width="12.140625" style="1256" bestFit="1" customWidth="1"/>
    <col min="14340" max="14341" width="20" style="1256" bestFit="1" customWidth="1"/>
    <col min="14342" max="14342" width="8.5703125" style="1256" customWidth="1"/>
    <col min="14343" max="14343" width="12.140625" style="1256" customWidth="1"/>
    <col min="14344" max="14344" width="12.28515625" style="1256" bestFit="1" customWidth="1"/>
    <col min="14345" max="14345" width="9.7109375" style="1256" bestFit="1" customWidth="1"/>
    <col min="14346" max="14346" width="9.5703125" style="1256" bestFit="1" customWidth="1"/>
    <col min="14347" max="14348" width="9.140625" style="1256"/>
    <col min="14349" max="14349" width="9.5703125" style="1256" bestFit="1" customWidth="1"/>
    <col min="14350" max="14592" width="9.140625" style="1256"/>
    <col min="14593" max="14594" width="15.7109375" style="1256" customWidth="1"/>
    <col min="14595" max="14595" width="12.140625" style="1256" bestFit="1" customWidth="1"/>
    <col min="14596" max="14597" width="20" style="1256" bestFit="1" customWidth="1"/>
    <col min="14598" max="14598" width="8.5703125" style="1256" customWidth="1"/>
    <col min="14599" max="14599" width="12.140625" style="1256" customWidth="1"/>
    <col min="14600" max="14600" width="12.28515625" style="1256" bestFit="1" customWidth="1"/>
    <col min="14601" max="14601" width="9.7109375" style="1256" bestFit="1" customWidth="1"/>
    <col min="14602" max="14602" width="9.5703125" style="1256" bestFit="1" customWidth="1"/>
    <col min="14603" max="14604" width="9.140625" style="1256"/>
    <col min="14605" max="14605" width="9.5703125" style="1256" bestFit="1" customWidth="1"/>
    <col min="14606" max="14848" width="9.140625" style="1256"/>
    <col min="14849" max="14850" width="15.7109375" style="1256" customWidth="1"/>
    <col min="14851" max="14851" width="12.140625" style="1256" bestFit="1" customWidth="1"/>
    <col min="14852" max="14853" width="20" style="1256" bestFit="1" customWidth="1"/>
    <col min="14854" max="14854" width="8.5703125" style="1256" customWidth="1"/>
    <col min="14855" max="14855" width="12.140625" style="1256" customWidth="1"/>
    <col min="14856" max="14856" width="12.28515625" style="1256" bestFit="1" customWidth="1"/>
    <col min="14857" max="14857" width="9.7109375" style="1256" bestFit="1" customWidth="1"/>
    <col min="14858" max="14858" width="9.5703125" style="1256" bestFit="1" customWidth="1"/>
    <col min="14859" max="14860" width="9.140625" style="1256"/>
    <col min="14861" max="14861" width="9.5703125" style="1256" bestFit="1" customWidth="1"/>
    <col min="14862" max="15104" width="9.140625" style="1256"/>
    <col min="15105" max="15106" width="15.7109375" style="1256" customWidth="1"/>
    <col min="15107" max="15107" width="12.140625" style="1256" bestFit="1" customWidth="1"/>
    <col min="15108" max="15109" width="20" style="1256" bestFit="1" customWidth="1"/>
    <col min="15110" max="15110" width="8.5703125" style="1256" customWidth="1"/>
    <col min="15111" max="15111" width="12.140625" style="1256" customWidth="1"/>
    <col min="15112" max="15112" width="12.28515625" style="1256" bestFit="1" customWidth="1"/>
    <col min="15113" max="15113" width="9.7109375" style="1256" bestFit="1" customWidth="1"/>
    <col min="15114" max="15114" width="9.5703125" style="1256" bestFit="1" customWidth="1"/>
    <col min="15115" max="15116" width="9.140625" style="1256"/>
    <col min="15117" max="15117" width="9.5703125" style="1256" bestFit="1" customWidth="1"/>
    <col min="15118" max="15360" width="9.140625" style="1256"/>
    <col min="15361" max="15362" width="15.7109375" style="1256" customWidth="1"/>
    <col min="15363" max="15363" width="12.140625" style="1256" bestFit="1" customWidth="1"/>
    <col min="15364" max="15365" width="20" style="1256" bestFit="1" customWidth="1"/>
    <col min="15366" max="15366" width="8.5703125" style="1256" customWidth="1"/>
    <col min="15367" max="15367" width="12.140625" style="1256" customWidth="1"/>
    <col min="15368" max="15368" width="12.28515625" style="1256" bestFit="1" customWidth="1"/>
    <col min="15369" max="15369" width="9.7109375" style="1256" bestFit="1" customWidth="1"/>
    <col min="15370" max="15370" width="9.5703125" style="1256" bestFit="1" customWidth="1"/>
    <col min="15371" max="15372" width="9.140625" style="1256"/>
    <col min="15373" max="15373" width="9.5703125" style="1256" bestFit="1" customWidth="1"/>
    <col min="15374" max="15616" width="9.140625" style="1256"/>
    <col min="15617" max="15618" width="15.7109375" style="1256" customWidth="1"/>
    <col min="15619" max="15619" width="12.140625" style="1256" bestFit="1" customWidth="1"/>
    <col min="15620" max="15621" width="20" style="1256" bestFit="1" customWidth="1"/>
    <col min="15622" max="15622" width="8.5703125" style="1256" customWidth="1"/>
    <col min="15623" max="15623" width="12.140625" style="1256" customWidth="1"/>
    <col min="15624" max="15624" width="12.28515625" style="1256" bestFit="1" customWidth="1"/>
    <col min="15625" max="15625" width="9.7109375" style="1256" bestFit="1" customWidth="1"/>
    <col min="15626" max="15626" width="9.5703125" style="1256" bestFit="1" customWidth="1"/>
    <col min="15627" max="15628" width="9.140625" style="1256"/>
    <col min="15629" max="15629" width="9.5703125" style="1256" bestFit="1" customWidth="1"/>
    <col min="15630" max="15872" width="9.140625" style="1256"/>
    <col min="15873" max="15874" width="15.7109375" style="1256" customWidth="1"/>
    <col min="15875" max="15875" width="12.140625" style="1256" bestFit="1" customWidth="1"/>
    <col min="15876" max="15877" width="20" style="1256" bestFit="1" customWidth="1"/>
    <col min="15878" max="15878" width="8.5703125" style="1256" customWidth="1"/>
    <col min="15879" max="15879" width="12.140625" style="1256" customWidth="1"/>
    <col min="15880" max="15880" width="12.28515625" style="1256" bestFit="1" customWidth="1"/>
    <col min="15881" max="15881" width="9.7109375" style="1256" bestFit="1" customWidth="1"/>
    <col min="15882" max="15882" width="9.5703125" style="1256" bestFit="1" customWidth="1"/>
    <col min="15883" max="15884" width="9.140625" style="1256"/>
    <col min="15885" max="15885" width="9.5703125" style="1256" bestFit="1" customWidth="1"/>
    <col min="15886" max="16128" width="9.140625" style="1256"/>
    <col min="16129" max="16130" width="15.7109375" style="1256" customWidth="1"/>
    <col min="16131" max="16131" width="12.140625" style="1256" bestFit="1" customWidth="1"/>
    <col min="16132" max="16133" width="20" style="1256" bestFit="1" customWidth="1"/>
    <col min="16134" max="16134" width="8.5703125" style="1256" customWidth="1"/>
    <col min="16135" max="16135" width="12.140625" style="1256" customWidth="1"/>
    <col min="16136" max="16136" width="12.28515625" style="1256" bestFit="1" customWidth="1"/>
    <col min="16137" max="16137" width="9.7109375" style="1256" bestFit="1" customWidth="1"/>
    <col min="16138" max="16138" width="9.5703125" style="1256" bestFit="1" customWidth="1"/>
    <col min="16139" max="16140" width="9.140625" style="1256"/>
    <col min="16141" max="16141" width="9.5703125" style="1256" bestFit="1" customWidth="1"/>
    <col min="16142" max="16384" width="9.140625" style="1256"/>
  </cols>
  <sheetData>
    <row r="1" spans="1:12" ht="15.75" x14ac:dyDescent="0.25">
      <c r="A1" s="1254" t="s">
        <v>853</v>
      </c>
      <c r="B1" s="1255"/>
      <c r="C1" s="1255"/>
      <c r="D1" s="1255"/>
      <c r="E1" s="1255"/>
      <c r="G1" s="1257"/>
      <c r="H1" s="1258"/>
    </row>
    <row r="2" spans="1:12" ht="5.25" customHeight="1" thickBot="1" x14ac:dyDescent="0.3">
      <c r="A2" s="1259"/>
      <c r="B2" s="1255"/>
      <c r="C2" s="1255"/>
      <c r="D2" s="1255"/>
      <c r="E2" s="1255"/>
      <c r="G2" s="1257"/>
      <c r="H2" s="1260"/>
    </row>
    <row r="3" spans="1:12" ht="20.25" customHeight="1" x14ac:dyDescent="0.25">
      <c r="A3" s="1261" t="s">
        <v>854</v>
      </c>
      <c r="B3" s="1261" t="s">
        <v>855</v>
      </c>
      <c r="C3" s="1261" t="s">
        <v>856</v>
      </c>
      <c r="D3" s="1261" t="s">
        <v>857</v>
      </c>
      <c r="E3" s="1261" t="s">
        <v>771</v>
      </c>
      <c r="G3" s="1257"/>
      <c r="H3" s="1260"/>
    </row>
    <row r="4" spans="1:12" ht="21.75" customHeight="1" thickBot="1" x14ac:dyDescent="0.3">
      <c r="A4" s="1262"/>
      <c r="B4" s="1262" t="s">
        <v>858</v>
      </c>
      <c r="C4" s="1262" t="s">
        <v>773</v>
      </c>
      <c r="D4" s="1263" t="s">
        <v>73</v>
      </c>
      <c r="E4" s="1263" t="s">
        <v>674</v>
      </c>
      <c r="G4" s="1257"/>
      <c r="H4" s="1260"/>
    </row>
    <row r="5" spans="1:12" ht="17.25" customHeight="1" x14ac:dyDescent="0.25">
      <c r="A5" s="1264">
        <v>1</v>
      </c>
      <c r="B5" s="1265" t="s">
        <v>859</v>
      </c>
      <c r="C5" s="1266">
        <v>17</v>
      </c>
      <c r="D5" s="1267">
        <v>524.5</v>
      </c>
      <c r="E5" s="1268" t="s">
        <v>860</v>
      </c>
      <c r="G5" s="1257"/>
      <c r="H5" s="1269"/>
    </row>
    <row r="6" spans="1:12" ht="17.25" customHeight="1" x14ac:dyDescent="0.25">
      <c r="A6" s="1264">
        <v>2</v>
      </c>
      <c r="B6" s="1265" t="s">
        <v>861</v>
      </c>
      <c r="C6" s="1266">
        <v>15</v>
      </c>
      <c r="D6" s="1267">
        <v>804</v>
      </c>
      <c r="E6" s="1268" t="s">
        <v>862</v>
      </c>
      <c r="G6" s="1257"/>
      <c r="H6" s="1270"/>
    </row>
    <row r="7" spans="1:12" ht="17.25" customHeight="1" x14ac:dyDescent="0.25">
      <c r="A7" s="1264">
        <v>3</v>
      </c>
      <c r="B7" s="1265" t="s">
        <v>863</v>
      </c>
      <c r="C7" s="1266">
        <v>10</v>
      </c>
      <c r="D7" s="1267">
        <v>375</v>
      </c>
      <c r="E7" s="1268" t="s">
        <v>864</v>
      </c>
      <c r="G7" s="1257"/>
      <c r="H7" s="1271"/>
    </row>
    <row r="8" spans="1:12" ht="17.25" customHeight="1" x14ac:dyDescent="0.25">
      <c r="A8" s="1264">
        <v>4</v>
      </c>
      <c r="B8" s="1265" t="s">
        <v>865</v>
      </c>
      <c r="C8" s="1266">
        <v>11</v>
      </c>
      <c r="D8" s="1267">
        <v>380.4</v>
      </c>
      <c r="E8" s="1268" t="s">
        <v>866</v>
      </c>
      <c r="G8" s="1257"/>
      <c r="H8" s="1271"/>
    </row>
    <row r="9" spans="1:12" ht="17.25" customHeight="1" x14ac:dyDescent="0.25">
      <c r="A9" s="1264">
        <v>5</v>
      </c>
      <c r="B9" s="1265" t="s">
        <v>867</v>
      </c>
      <c r="C9" s="1272" t="s">
        <v>664</v>
      </c>
      <c r="D9" s="1273" t="s">
        <v>664</v>
      </c>
      <c r="E9" s="1274" t="s">
        <v>664</v>
      </c>
      <c r="G9" s="1257"/>
      <c r="H9" s="1271"/>
      <c r="L9" s="1275"/>
    </row>
    <row r="10" spans="1:12" ht="17.25" customHeight="1" x14ac:dyDescent="0.25">
      <c r="A10" s="1264">
        <v>6</v>
      </c>
      <c r="B10" s="1265" t="s">
        <v>868</v>
      </c>
      <c r="C10" s="1272">
        <v>3</v>
      </c>
      <c r="D10" s="1273">
        <v>175</v>
      </c>
      <c r="E10" s="1274" t="s">
        <v>869</v>
      </c>
      <c r="G10" s="1257"/>
      <c r="H10" s="1271"/>
      <c r="L10" s="1275"/>
    </row>
    <row r="11" spans="1:12" ht="17.25" customHeight="1" x14ac:dyDescent="0.25">
      <c r="A11" s="1264">
        <v>7</v>
      </c>
      <c r="B11" s="1265" t="s">
        <v>870</v>
      </c>
      <c r="C11" s="1272" t="s">
        <v>664</v>
      </c>
      <c r="D11" s="1273" t="s">
        <v>664</v>
      </c>
      <c r="E11" s="1274" t="s">
        <v>664</v>
      </c>
      <c r="G11" s="1257"/>
      <c r="H11" s="1271"/>
      <c r="L11" s="1275"/>
    </row>
    <row r="12" spans="1:12" ht="17.25" customHeight="1" x14ac:dyDescent="0.25">
      <c r="A12" s="1264">
        <v>8</v>
      </c>
      <c r="B12" s="1265" t="s">
        <v>871</v>
      </c>
      <c r="C12" s="1276">
        <v>8</v>
      </c>
      <c r="D12" s="1267">
        <v>183.5</v>
      </c>
      <c r="E12" s="1268" t="s">
        <v>872</v>
      </c>
      <c r="G12" s="1257"/>
      <c r="H12" s="1271"/>
      <c r="L12" s="1275"/>
    </row>
    <row r="13" spans="1:12" ht="21" hidden="1" customHeight="1" x14ac:dyDescent="0.25">
      <c r="A13" s="1264">
        <v>9</v>
      </c>
      <c r="B13" s="1264" t="s">
        <v>873</v>
      </c>
      <c r="C13" s="1266"/>
      <c r="D13" s="1267"/>
      <c r="E13" s="1268"/>
      <c r="G13" s="1257"/>
      <c r="H13" s="1271"/>
      <c r="L13" s="1275"/>
    </row>
    <row r="14" spans="1:12" ht="21" hidden="1" customHeight="1" x14ac:dyDescent="0.25">
      <c r="A14" s="1264">
        <v>10</v>
      </c>
      <c r="B14" s="1264" t="s">
        <v>874</v>
      </c>
      <c r="C14" s="1266"/>
      <c r="D14" s="1267"/>
      <c r="E14" s="1268"/>
      <c r="G14" s="1257"/>
      <c r="H14" s="1271"/>
      <c r="L14" s="1275"/>
    </row>
    <row r="15" spans="1:12" ht="21" hidden="1" customHeight="1" x14ac:dyDescent="0.25">
      <c r="A15" s="1264">
        <v>11</v>
      </c>
      <c r="B15" s="1264" t="s">
        <v>875</v>
      </c>
      <c r="C15" s="1266"/>
      <c r="D15" s="1267"/>
      <c r="E15" s="1268"/>
      <c r="G15" s="1257"/>
      <c r="H15" s="1271"/>
      <c r="L15" s="1275"/>
    </row>
    <row r="16" spans="1:12" ht="0.75" customHeight="1" thickBot="1" x14ac:dyDescent="0.3">
      <c r="A16" s="1277"/>
      <c r="B16" s="1277"/>
      <c r="C16" s="1278"/>
      <c r="D16" s="1279"/>
      <c r="E16" s="1278" t="s">
        <v>876</v>
      </c>
      <c r="G16" s="1257"/>
      <c r="H16" s="1271"/>
      <c r="L16" s="1275"/>
    </row>
    <row r="17" spans="1:12" ht="24" customHeight="1" thickBot="1" x14ac:dyDescent="0.25">
      <c r="A17" s="3355" t="s">
        <v>197</v>
      </c>
      <c r="B17" s="3355"/>
      <c r="C17" s="1280">
        <f>SUM(C5:C12)</f>
        <v>64</v>
      </c>
      <c r="D17" s="1281">
        <f>SUM(D5:D12)</f>
        <v>2442.4</v>
      </c>
      <c r="E17" s="1282" t="s">
        <v>877</v>
      </c>
      <c r="F17" s="1283"/>
      <c r="G17" s="1257"/>
      <c r="H17" s="1284"/>
      <c r="L17" s="1275"/>
    </row>
    <row r="18" spans="1:12" ht="8.25" customHeight="1" x14ac:dyDescent="0.2">
      <c r="B18" s="1285"/>
      <c r="C18" s="1285"/>
      <c r="D18" s="1286"/>
      <c r="E18" s="1287"/>
      <c r="F18" s="1288"/>
      <c r="G18" s="1284"/>
      <c r="H18" s="1284"/>
    </row>
    <row r="19" spans="1:12" ht="18" customHeight="1" x14ac:dyDescent="0.25">
      <c r="A19" s="1289" t="s">
        <v>656</v>
      </c>
      <c r="B19" s="1285"/>
      <c r="C19" s="1290"/>
      <c r="D19" s="1290"/>
      <c r="E19" s="1287"/>
      <c r="F19" s="1288"/>
      <c r="G19" s="1257"/>
      <c r="H19" s="1284"/>
      <c r="I19" s="1291"/>
    </row>
    <row r="20" spans="1:12" ht="18" customHeight="1" x14ac:dyDescent="0.2">
      <c r="A20" s="1285"/>
      <c r="B20" s="1285"/>
      <c r="C20" s="1292"/>
      <c r="D20" s="1290"/>
      <c r="E20" s="1287"/>
      <c r="F20" s="1284"/>
      <c r="G20" s="1284"/>
      <c r="H20" s="1284"/>
      <c r="I20" s="1291"/>
    </row>
    <row r="21" spans="1:12" ht="15.75" x14ac:dyDescent="0.25">
      <c r="A21" s="1254" t="s">
        <v>878</v>
      </c>
      <c r="B21" s="1255"/>
      <c r="C21" s="1255"/>
      <c r="D21" s="1255"/>
      <c r="E21" s="1255"/>
      <c r="G21" s="1257"/>
      <c r="H21" s="1258"/>
    </row>
    <row r="22" spans="1:12" ht="10.5" customHeight="1" thickBot="1" x14ac:dyDescent="0.25">
      <c r="A22" s="1285"/>
      <c r="B22" s="1285"/>
      <c r="C22" s="1285"/>
      <c r="D22" s="1285"/>
      <c r="E22" s="1287"/>
      <c r="F22" s="1284"/>
      <c r="G22" s="1284"/>
      <c r="H22" s="1284"/>
      <c r="I22" s="1291"/>
    </row>
    <row r="23" spans="1:12" ht="18" customHeight="1" x14ac:dyDescent="0.25">
      <c r="A23" s="1293" t="s">
        <v>211</v>
      </c>
      <c r="B23" s="1261" t="s">
        <v>856</v>
      </c>
      <c r="C23" s="1294" t="s">
        <v>857</v>
      </c>
      <c r="D23" s="1261" t="s">
        <v>771</v>
      </c>
      <c r="E23" s="1287"/>
      <c r="F23" s="1284"/>
      <c r="G23" s="1284"/>
      <c r="H23" s="1284"/>
      <c r="I23" s="1291"/>
    </row>
    <row r="24" spans="1:12" ht="18" customHeight="1" thickBot="1" x14ac:dyDescent="0.3">
      <c r="A24" s="1295"/>
      <c r="B24" s="1262" t="s">
        <v>773</v>
      </c>
      <c r="C24" s="1296" t="s">
        <v>73</v>
      </c>
      <c r="D24" s="1263" t="s">
        <v>674</v>
      </c>
      <c r="E24" s="1287"/>
      <c r="F24" s="1284"/>
      <c r="G24" s="1284"/>
      <c r="H24" s="1284"/>
      <c r="I24" s="1291"/>
    </row>
    <row r="25" spans="1:12" ht="15.75" x14ac:dyDescent="0.25">
      <c r="A25" s="1297">
        <v>42491</v>
      </c>
      <c r="B25" s="1298"/>
      <c r="C25" s="1299"/>
      <c r="D25" s="1300"/>
      <c r="E25" s="1287"/>
      <c r="F25" s="1284"/>
      <c r="G25" s="1284"/>
      <c r="H25" s="1284"/>
      <c r="I25" s="1291"/>
    </row>
    <row r="26" spans="1:12" ht="17.25" customHeight="1" x14ac:dyDescent="0.25">
      <c r="A26" s="1301" t="s">
        <v>879</v>
      </c>
      <c r="B26" s="1302">
        <v>11</v>
      </c>
      <c r="C26" s="1303">
        <v>485.8</v>
      </c>
      <c r="D26" s="1268" t="s">
        <v>877</v>
      </c>
      <c r="E26" s="1287"/>
      <c r="F26" s="1284"/>
      <c r="G26" s="1284"/>
      <c r="H26" s="1284"/>
      <c r="I26" s="1291"/>
    </row>
    <row r="27" spans="1:12" ht="17.25" customHeight="1" x14ac:dyDescent="0.25">
      <c r="A27" s="1301" t="s">
        <v>880</v>
      </c>
      <c r="B27" s="1266">
        <v>7</v>
      </c>
      <c r="C27" s="1267">
        <v>225</v>
      </c>
      <c r="D27" s="1266" t="s">
        <v>881</v>
      </c>
      <c r="E27" s="1287"/>
      <c r="F27" s="1284"/>
      <c r="G27" s="1284"/>
      <c r="H27" s="1284"/>
      <c r="I27" s="1291"/>
    </row>
    <row r="28" spans="1:12" ht="17.25" customHeight="1" x14ac:dyDescent="0.25">
      <c r="A28" s="1301" t="s">
        <v>882</v>
      </c>
      <c r="B28" s="1266">
        <v>8</v>
      </c>
      <c r="C28" s="1267">
        <v>370.4</v>
      </c>
      <c r="D28" s="1268" t="s">
        <v>883</v>
      </c>
      <c r="E28" s="1287"/>
      <c r="F28" s="1284"/>
      <c r="G28" s="1284"/>
      <c r="H28" s="1284"/>
      <c r="I28" s="1291"/>
    </row>
    <row r="29" spans="1:12" ht="17.25" customHeight="1" x14ac:dyDescent="0.25">
      <c r="A29" s="1301" t="s">
        <v>884</v>
      </c>
      <c r="B29" s="1302">
        <v>31</v>
      </c>
      <c r="C29" s="1303">
        <v>1191.7</v>
      </c>
      <c r="D29" s="1268" t="s">
        <v>885</v>
      </c>
      <c r="E29" s="1287"/>
      <c r="F29" s="1284"/>
      <c r="G29" s="1284"/>
      <c r="H29" s="1284"/>
      <c r="I29" s="1291"/>
    </row>
    <row r="30" spans="1:12" ht="17.25" customHeight="1" x14ac:dyDescent="0.25">
      <c r="A30" s="1301" t="s">
        <v>886</v>
      </c>
      <c r="B30" s="1302">
        <v>7</v>
      </c>
      <c r="C30" s="1303">
        <v>169.5</v>
      </c>
      <c r="D30" s="1268" t="s">
        <v>887</v>
      </c>
      <c r="E30" s="1304"/>
      <c r="F30" s="1284"/>
      <c r="G30" s="1284"/>
      <c r="H30" s="1284"/>
      <c r="I30" s="1291"/>
    </row>
    <row r="31" spans="1:12" ht="15.75" hidden="1" x14ac:dyDescent="0.25">
      <c r="A31" s="1301"/>
      <c r="B31" s="1302"/>
      <c r="C31" s="1303"/>
      <c r="D31" s="1268"/>
      <c r="E31" s="1287"/>
      <c r="F31" s="1284"/>
      <c r="G31" s="1284"/>
      <c r="H31" s="1284"/>
      <c r="I31" s="1291"/>
    </row>
    <row r="32" spans="1:12" ht="15.75" hidden="1" x14ac:dyDescent="0.25">
      <c r="A32" s="1301"/>
      <c r="B32" s="1266"/>
      <c r="C32" s="1267"/>
      <c r="D32" s="1268"/>
      <c r="E32" s="1287"/>
      <c r="F32" s="1284"/>
      <c r="G32" s="1284"/>
      <c r="H32" s="1284"/>
      <c r="I32" s="1291"/>
    </row>
    <row r="33" spans="1:9" ht="15.75" hidden="1" x14ac:dyDescent="0.25">
      <c r="A33" s="1301"/>
      <c r="B33" s="1302" t="s">
        <v>664</v>
      </c>
      <c r="C33" s="1302" t="s">
        <v>664</v>
      </c>
      <c r="D33" s="1266" t="s">
        <v>664</v>
      </c>
      <c r="E33" s="1287"/>
      <c r="F33" s="1284"/>
      <c r="G33" s="1284"/>
      <c r="H33" s="1284"/>
      <c r="I33" s="1291"/>
    </row>
    <row r="34" spans="1:9" ht="3.75" customHeight="1" thickBot="1" x14ac:dyDescent="0.3">
      <c r="A34" s="1305"/>
      <c r="B34" s="1306" t="s">
        <v>664</v>
      </c>
      <c r="C34" s="1307" t="s">
        <v>664</v>
      </c>
      <c r="D34" s="1308"/>
      <c r="E34" s="1287"/>
      <c r="F34" s="1309"/>
      <c r="G34" s="1284"/>
      <c r="H34" s="1284"/>
      <c r="I34" s="1291"/>
    </row>
    <row r="35" spans="1:9" ht="24" hidden="1" customHeight="1" x14ac:dyDescent="0.25">
      <c r="A35" s="1310">
        <v>37347</v>
      </c>
      <c r="B35" s="1266">
        <v>29</v>
      </c>
      <c r="C35" s="1303">
        <v>187.3</v>
      </c>
      <c r="D35" s="1311" t="s">
        <v>888</v>
      </c>
      <c r="E35" s="1287"/>
      <c r="F35" s="1284"/>
      <c r="G35" s="1284"/>
      <c r="H35" s="1284"/>
      <c r="I35" s="1291"/>
    </row>
    <row r="36" spans="1:9" ht="18" hidden="1" customHeight="1" x14ac:dyDescent="0.25">
      <c r="A36" s="1310">
        <v>37377</v>
      </c>
      <c r="B36" s="1266">
        <v>25</v>
      </c>
      <c r="C36" s="1303">
        <v>73.3</v>
      </c>
      <c r="D36" s="1311" t="s">
        <v>889</v>
      </c>
      <c r="E36" s="1287"/>
      <c r="F36" s="1284"/>
      <c r="G36" s="1284"/>
      <c r="H36" s="1284"/>
      <c r="I36" s="1291"/>
    </row>
    <row r="37" spans="1:9" ht="18" hidden="1" customHeight="1" x14ac:dyDescent="0.25">
      <c r="A37" s="1310">
        <v>37408</v>
      </c>
      <c r="B37" s="1266">
        <v>22</v>
      </c>
      <c r="C37" s="1303">
        <v>628.5</v>
      </c>
      <c r="D37" s="1311" t="s">
        <v>890</v>
      </c>
      <c r="E37" s="1287"/>
      <c r="F37" s="1284"/>
      <c r="G37" s="1284"/>
      <c r="H37" s="1284"/>
      <c r="I37" s="1291"/>
    </row>
    <row r="38" spans="1:9" ht="18" hidden="1" customHeight="1" x14ac:dyDescent="0.25">
      <c r="A38" s="1310">
        <v>37438</v>
      </c>
      <c r="B38" s="1266">
        <v>35</v>
      </c>
      <c r="C38" s="1303">
        <v>137</v>
      </c>
      <c r="D38" s="1311" t="s">
        <v>891</v>
      </c>
      <c r="E38" s="1287"/>
      <c r="F38" s="1284"/>
      <c r="G38" s="1284"/>
      <c r="H38" s="1284"/>
      <c r="I38" s="1291"/>
    </row>
    <row r="39" spans="1:9" ht="18" hidden="1" customHeight="1" x14ac:dyDescent="0.25">
      <c r="A39" s="1310">
        <v>37469</v>
      </c>
      <c r="B39" s="1266">
        <v>35</v>
      </c>
      <c r="C39" s="1303">
        <v>436.1</v>
      </c>
      <c r="D39" s="1311" t="s">
        <v>892</v>
      </c>
      <c r="E39" s="1287"/>
      <c r="F39" s="1284"/>
      <c r="G39" s="1284"/>
      <c r="H39" s="1284"/>
      <c r="I39" s="1291"/>
    </row>
    <row r="40" spans="1:9" ht="18" hidden="1" customHeight="1" x14ac:dyDescent="0.25">
      <c r="A40" s="1310">
        <v>37500</v>
      </c>
      <c r="B40" s="1266">
        <v>13</v>
      </c>
      <c r="C40" s="1303">
        <v>201.7</v>
      </c>
      <c r="D40" s="1311" t="s">
        <v>893</v>
      </c>
      <c r="E40" s="1287"/>
      <c r="F40" s="1284"/>
      <c r="G40" s="1284"/>
      <c r="H40" s="1284"/>
      <c r="I40" s="1291"/>
    </row>
    <row r="41" spans="1:9" ht="18" hidden="1" customHeight="1" x14ac:dyDescent="0.25">
      <c r="A41" s="1310">
        <v>37530</v>
      </c>
      <c r="B41" s="1266">
        <v>101</v>
      </c>
      <c r="C41" s="1303">
        <v>859.5</v>
      </c>
      <c r="D41" s="1311" t="s">
        <v>894</v>
      </c>
      <c r="E41" s="1287"/>
      <c r="F41" s="1284"/>
      <c r="G41" s="1284"/>
      <c r="H41" s="1284"/>
      <c r="I41" s="1291"/>
    </row>
    <row r="42" spans="1:9" ht="18" hidden="1" customHeight="1" x14ac:dyDescent="0.25">
      <c r="A42" s="1310">
        <v>37561</v>
      </c>
      <c r="B42" s="1266">
        <v>116</v>
      </c>
      <c r="C42" s="1303">
        <v>716</v>
      </c>
      <c r="D42" s="1311" t="s">
        <v>895</v>
      </c>
      <c r="E42" s="1287"/>
      <c r="F42" s="1284"/>
      <c r="G42" s="1284"/>
      <c r="H42" s="1284"/>
      <c r="I42" s="1291"/>
    </row>
    <row r="43" spans="1:9" ht="18" hidden="1" customHeight="1" x14ac:dyDescent="0.25">
      <c r="A43" s="1310">
        <v>37591</v>
      </c>
      <c r="B43" s="1266">
        <v>196</v>
      </c>
      <c r="C43" s="1303">
        <v>1139.9000000000001</v>
      </c>
      <c r="D43" s="1311" t="s">
        <v>896</v>
      </c>
      <c r="E43" s="1287"/>
      <c r="F43" s="1284"/>
      <c r="G43" s="1284"/>
      <c r="H43" s="1284"/>
      <c r="I43" s="1291"/>
    </row>
    <row r="44" spans="1:9" ht="18" hidden="1" customHeight="1" x14ac:dyDescent="0.25">
      <c r="A44" s="1310">
        <v>37622</v>
      </c>
      <c r="B44" s="1266">
        <v>251</v>
      </c>
      <c r="C44" s="1303">
        <v>1278.4000000000001</v>
      </c>
      <c r="D44" s="1311" t="s">
        <v>897</v>
      </c>
      <c r="E44" s="1287"/>
      <c r="F44" s="1284"/>
      <c r="G44" s="1284"/>
      <c r="H44" s="1284"/>
      <c r="I44" s="1291"/>
    </row>
    <row r="45" spans="1:9" ht="18" hidden="1" customHeight="1" x14ac:dyDescent="0.25">
      <c r="A45" s="1310">
        <v>37653</v>
      </c>
      <c r="B45" s="1266">
        <v>191</v>
      </c>
      <c r="C45" s="1303">
        <v>956.7</v>
      </c>
      <c r="D45" s="1311" t="s">
        <v>898</v>
      </c>
      <c r="E45" s="1287"/>
      <c r="F45" s="1284"/>
      <c r="G45" s="1284"/>
      <c r="H45" s="1284"/>
      <c r="I45" s="1291"/>
    </row>
    <row r="46" spans="1:9" ht="18" hidden="1" customHeight="1" x14ac:dyDescent="0.25">
      <c r="A46" s="1310">
        <v>37681</v>
      </c>
      <c r="B46" s="1266">
        <v>235</v>
      </c>
      <c r="C46" s="1303">
        <v>2219.4</v>
      </c>
      <c r="D46" s="1311" t="s">
        <v>899</v>
      </c>
      <c r="E46" s="1287"/>
      <c r="F46" s="1284"/>
      <c r="G46" s="1284"/>
      <c r="H46" s="1284"/>
      <c r="I46" s="1291"/>
    </row>
    <row r="47" spans="1:9" ht="18" hidden="1" customHeight="1" x14ac:dyDescent="0.25">
      <c r="A47" s="1310">
        <v>37712</v>
      </c>
      <c r="B47" s="1266">
        <v>223</v>
      </c>
      <c r="C47" s="1303">
        <v>1211.5999999999999</v>
      </c>
      <c r="D47" s="1311" t="s">
        <v>900</v>
      </c>
      <c r="E47" s="1287"/>
      <c r="F47" s="1284"/>
      <c r="G47" s="1284"/>
      <c r="H47" s="1284"/>
      <c r="I47" s="1291"/>
    </row>
    <row r="48" spans="1:9" ht="18" hidden="1" customHeight="1" x14ac:dyDescent="0.25">
      <c r="A48" s="1310">
        <v>37742</v>
      </c>
      <c r="B48" s="1266">
        <v>234</v>
      </c>
      <c r="C48" s="1303">
        <v>906.8</v>
      </c>
      <c r="D48" s="1311" t="s">
        <v>901</v>
      </c>
      <c r="E48" s="1287"/>
      <c r="F48" s="1284"/>
      <c r="G48" s="1284"/>
      <c r="H48" s="1284"/>
      <c r="I48" s="1291"/>
    </row>
    <row r="49" spans="1:9" ht="18" hidden="1" customHeight="1" x14ac:dyDescent="0.25">
      <c r="A49" s="1310">
        <v>37773</v>
      </c>
      <c r="B49" s="1266">
        <v>203</v>
      </c>
      <c r="C49" s="1303">
        <v>1531.7</v>
      </c>
      <c r="D49" s="1311" t="s">
        <v>902</v>
      </c>
      <c r="E49" s="1287"/>
      <c r="F49" s="1284"/>
      <c r="G49" s="1284"/>
      <c r="H49" s="1284"/>
      <c r="I49" s="1291"/>
    </row>
    <row r="50" spans="1:9" ht="18" hidden="1" customHeight="1" x14ac:dyDescent="0.25">
      <c r="A50" s="1310">
        <v>37803</v>
      </c>
      <c r="B50" s="1266">
        <v>202</v>
      </c>
      <c r="C50" s="1303">
        <v>1136.3</v>
      </c>
      <c r="D50" s="1311" t="s">
        <v>903</v>
      </c>
      <c r="E50" s="1287"/>
      <c r="F50" s="1284"/>
      <c r="G50" s="1284"/>
      <c r="H50" s="1284"/>
      <c r="I50" s="1291"/>
    </row>
    <row r="51" spans="1:9" ht="18" hidden="1" customHeight="1" x14ac:dyDescent="0.25">
      <c r="A51" s="1310">
        <v>37834</v>
      </c>
      <c r="B51" s="1266">
        <v>196</v>
      </c>
      <c r="C51" s="1303">
        <v>921.4</v>
      </c>
      <c r="D51" s="1311" t="s">
        <v>904</v>
      </c>
      <c r="E51" s="1287"/>
      <c r="F51" s="1284"/>
      <c r="G51" s="1284"/>
      <c r="H51" s="1284"/>
      <c r="I51" s="1291"/>
    </row>
    <row r="52" spans="1:9" ht="18" hidden="1" customHeight="1" x14ac:dyDescent="0.25">
      <c r="A52" s="1310">
        <v>37865</v>
      </c>
      <c r="B52" s="1266">
        <v>184</v>
      </c>
      <c r="C52" s="1303">
        <v>1119.0999999999999</v>
      </c>
      <c r="D52" s="1311" t="s">
        <v>905</v>
      </c>
      <c r="E52" s="1287"/>
      <c r="F52" s="1284"/>
      <c r="G52" s="1284"/>
      <c r="H52" s="1284"/>
      <c r="I52" s="1291"/>
    </row>
    <row r="53" spans="1:9" ht="18" hidden="1" customHeight="1" x14ac:dyDescent="0.25">
      <c r="A53" s="1310">
        <v>37895</v>
      </c>
      <c r="B53" s="1266">
        <v>246</v>
      </c>
      <c r="C53" s="1303">
        <v>1514.7</v>
      </c>
      <c r="D53" s="1311" t="s">
        <v>906</v>
      </c>
      <c r="E53" s="1287"/>
      <c r="F53" s="1284"/>
      <c r="G53" s="1284"/>
      <c r="H53" s="1284"/>
      <c r="I53" s="1291"/>
    </row>
    <row r="54" spans="1:9" ht="18" hidden="1" customHeight="1" x14ac:dyDescent="0.25">
      <c r="A54" s="1310">
        <v>37926</v>
      </c>
      <c r="B54" s="1266">
        <v>183</v>
      </c>
      <c r="C54" s="1303">
        <v>833.9</v>
      </c>
      <c r="D54" s="1311" t="s">
        <v>907</v>
      </c>
      <c r="E54" s="1287"/>
      <c r="F54" s="1284"/>
      <c r="G54" s="1284"/>
      <c r="H54" s="1284"/>
      <c r="I54" s="1291"/>
    </row>
    <row r="55" spans="1:9" ht="18" hidden="1" customHeight="1" x14ac:dyDescent="0.25">
      <c r="A55" s="1310">
        <v>37956</v>
      </c>
      <c r="B55" s="1266">
        <v>240</v>
      </c>
      <c r="C55" s="1303">
        <v>1636.4</v>
      </c>
      <c r="D55" s="1311" t="s">
        <v>908</v>
      </c>
      <c r="E55" s="1287"/>
      <c r="F55" s="1284"/>
      <c r="G55" s="1284"/>
      <c r="H55" s="1284"/>
      <c r="I55" s="1291"/>
    </row>
    <row r="56" spans="1:9" ht="18" hidden="1" customHeight="1" x14ac:dyDescent="0.25">
      <c r="A56" s="1310">
        <v>37987</v>
      </c>
      <c r="B56" s="1266">
        <v>226</v>
      </c>
      <c r="C56" s="1303">
        <v>1834.9</v>
      </c>
      <c r="D56" s="1311" t="s">
        <v>909</v>
      </c>
      <c r="E56" s="1287"/>
      <c r="F56" s="1284"/>
      <c r="G56" s="1284"/>
      <c r="H56" s="1284"/>
      <c r="I56" s="1291"/>
    </row>
    <row r="57" spans="1:9" ht="18" hidden="1" customHeight="1" x14ac:dyDescent="0.25">
      <c r="A57" s="1310">
        <v>38018</v>
      </c>
      <c r="B57" s="1266">
        <v>140</v>
      </c>
      <c r="C57" s="1303">
        <v>1196.0999999999999</v>
      </c>
      <c r="D57" s="1311" t="s">
        <v>910</v>
      </c>
      <c r="E57" s="1287"/>
      <c r="F57" s="1284"/>
      <c r="G57" s="1284"/>
      <c r="H57" s="1284"/>
      <c r="I57" s="1291"/>
    </row>
    <row r="58" spans="1:9" ht="18" hidden="1" customHeight="1" x14ac:dyDescent="0.25">
      <c r="A58" s="1310">
        <v>38047</v>
      </c>
      <c r="B58" s="1266">
        <v>113</v>
      </c>
      <c r="C58" s="1303">
        <v>1247.7</v>
      </c>
      <c r="D58" s="1311" t="s">
        <v>911</v>
      </c>
      <c r="E58" s="1287"/>
      <c r="F58" s="1284"/>
      <c r="G58" s="1284"/>
      <c r="H58" s="1284"/>
      <c r="I58" s="1291"/>
    </row>
    <row r="59" spans="1:9" ht="18" hidden="1" customHeight="1" x14ac:dyDescent="0.25">
      <c r="A59" s="1310">
        <v>38078</v>
      </c>
      <c r="B59" s="1266">
        <v>82</v>
      </c>
      <c r="C59" s="1303">
        <v>1185.5999999999999</v>
      </c>
      <c r="D59" s="1311" t="s">
        <v>912</v>
      </c>
      <c r="E59" s="1287"/>
      <c r="F59" s="1284"/>
      <c r="G59" s="1284"/>
      <c r="H59" s="1284"/>
      <c r="I59" s="1291"/>
    </row>
    <row r="60" spans="1:9" ht="18" hidden="1" customHeight="1" x14ac:dyDescent="0.25">
      <c r="A60" s="1310">
        <v>38108</v>
      </c>
      <c r="B60" s="1266">
        <v>32</v>
      </c>
      <c r="C60" s="1303">
        <v>421.9</v>
      </c>
      <c r="D60" s="1311" t="s">
        <v>913</v>
      </c>
      <c r="E60" s="1287"/>
      <c r="F60" s="1284"/>
      <c r="G60" s="1284"/>
      <c r="H60" s="1284"/>
      <c r="I60" s="1291"/>
    </row>
    <row r="61" spans="1:9" ht="18" hidden="1" customHeight="1" x14ac:dyDescent="0.25">
      <c r="A61" s="1310">
        <v>38139</v>
      </c>
      <c r="B61" s="1266">
        <v>95</v>
      </c>
      <c r="C61" s="1303">
        <v>1510.9</v>
      </c>
      <c r="D61" s="1311" t="s">
        <v>914</v>
      </c>
      <c r="E61" s="1287"/>
      <c r="F61" s="1284"/>
      <c r="G61" s="1284"/>
      <c r="H61" s="1284"/>
      <c r="I61" s="1291"/>
    </row>
    <row r="62" spans="1:9" ht="18" hidden="1" customHeight="1" x14ac:dyDescent="0.25">
      <c r="A62" s="1310">
        <v>38169</v>
      </c>
      <c r="B62" s="1266">
        <v>87</v>
      </c>
      <c r="C62" s="1303">
        <v>687</v>
      </c>
      <c r="D62" s="1311" t="s">
        <v>915</v>
      </c>
      <c r="E62" s="1287"/>
      <c r="F62" s="1284"/>
      <c r="G62" s="1284"/>
      <c r="H62" s="1284"/>
      <c r="I62" s="1291"/>
    </row>
    <row r="63" spans="1:9" ht="18" hidden="1" customHeight="1" x14ac:dyDescent="0.25">
      <c r="A63" s="1310">
        <v>38200</v>
      </c>
      <c r="B63" s="1266">
        <v>120</v>
      </c>
      <c r="C63" s="1303">
        <v>692.9</v>
      </c>
      <c r="D63" s="1311" t="s">
        <v>916</v>
      </c>
      <c r="E63" s="1287"/>
      <c r="F63" s="1284"/>
      <c r="G63" s="1284"/>
      <c r="H63" s="1284"/>
      <c r="I63" s="1291"/>
    </row>
    <row r="64" spans="1:9" ht="18" hidden="1" customHeight="1" x14ac:dyDescent="0.25">
      <c r="A64" s="1310">
        <v>38231</v>
      </c>
      <c r="B64" s="1266">
        <v>124</v>
      </c>
      <c r="C64" s="1303">
        <v>906</v>
      </c>
      <c r="D64" s="1311" t="s">
        <v>917</v>
      </c>
      <c r="E64" s="1287"/>
      <c r="F64" s="1284"/>
      <c r="G64" s="1284"/>
      <c r="H64" s="1284"/>
      <c r="I64" s="1291"/>
    </row>
    <row r="65" spans="1:9" ht="18" hidden="1" customHeight="1" x14ac:dyDescent="0.25">
      <c r="A65" s="1310">
        <v>38261</v>
      </c>
      <c r="B65" s="1266">
        <v>78</v>
      </c>
      <c r="C65" s="1303">
        <v>574.5</v>
      </c>
      <c r="D65" s="1311" t="s">
        <v>918</v>
      </c>
      <c r="E65" s="1287"/>
      <c r="F65" s="1284"/>
      <c r="G65" s="1284"/>
      <c r="H65" s="1284"/>
      <c r="I65" s="1291"/>
    </row>
    <row r="66" spans="1:9" ht="18" hidden="1" customHeight="1" x14ac:dyDescent="0.25">
      <c r="A66" s="1310">
        <v>38292</v>
      </c>
      <c r="B66" s="1266">
        <v>65</v>
      </c>
      <c r="C66" s="1303">
        <v>273.3</v>
      </c>
      <c r="D66" s="1311" t="s">
        <v>919</v>
      </c>
      <c r="E66" s="1287"/>
      <c r="F66" s="1284"/>
      <c r="G66" s="1284"/>
      <c r="H66" s="1284"/>
      <c r="I66" s="1291"/>
    </row>
    <row r="67" spans="1:9" ht="18" hidden="1" customHeight="1" x14ac:dyDescent="0.25">
      <c r="A67" s="1310">
        <v>38322</v>
      </c>
      <c r="B67" s="1266">
        <v>87</v>
      </c>
      <c r="C67" s="1303">
        <v>968.8</v>
      </c>
      <c r="D67" s="1311" t="s">
        <v>920</v>
      </c>
      <c r="E67" s="1287"/>
      <c r="F67" s="1284"/>
      <c r="G67" s="1284"/>
      <c r="H67" s="1284"/>
      <c r="I67" s="1291"/>
    </row>
    <row r="68" spans="1:9" ht="18" hidden="1" customHeight="1" x14ac:dyDescent="0.25">
      <c r="A68" s="1310">
        <v>38353</v>
      </c>
      <c r="B68" s="1266">
        <v>108</v>
      </c>
      <c r="C68" s="1303">
        <v>636.9</v>
      </c>
      <c r="D68" s="1311" t="s">
        <v>921</v>
      </c>
      <c r="E68" s="1287"/>
      <c r="F68" s="1284"/>
      <c r="G68" s="1284"/>
      <c r="H68" s="1284"/>
      <c r="I68" s="1291"/>
    </row>
    <row r="69" spans="1:9" ht="18" hidden="1" customHeight="1" x14ac:dyDescent="0.25">
      <c r="A69" s="1310">
        <v>38384</v>
      </c>
      <c r="B69" s="1266">
        <v>75</v>
      </c>
      <c r="C69" s="1303">
        <v>309.5</v>
      </c>
      <c r="D69" s="1311" t="s">
        <v>922</v>
      </c>
      <c r="E69" s="1287"/>
      <c r="F69" s="1284"/>
      <c r="G69" s="1284"/>
      <c r="H69" s="1284"/>
      <c r="I69" s="1291"/>
    </row>
    <row r="70" spans="1:9" ht="18" hidden="1" customHeight="1" x14ac:dyDescent="0.25">
      <c r="A70" s="1310">
        <v>38412</v>
      </c>
      <c r="B70" s="1266">
        <v>104</v>
      </c>
      <c r="C70" s="1303">
        <v>1111.2</v>
      </c>
      <c r="D70" s="1311" t="s">
        <v>923</v>
      </c>
      <c r="E70" s="1287"/>
      <c r="F70" s="1284"/>
      <c r="G70" s="1284"/>
      <c r="H70" s="1284"/>
      <c r="I70" s="1291"/>
    </row>
    <row r="71" spans="1:9" ht="18" hidden="1" customHeight="1" x14ac:dyDescent="0.25">
      <c r="A71" s="1310">
        <v>38443</v>
      </c>
      <c r="B71" s="1266">
        <v>139</v>
      </c>
      <c r="C71" s="1303">
        <v>1118.2</v>
      </c>
      <c r="D71" s="1311" t="s">
        <v>924</v>
      </c>
      <c r="E71" s="1287"/>
      <c r="F71" s="1284"/>
      <c r="G71" s="1284"/>
      <c r="H71" s="1284"/>
      <c r="I71" s="1291"/>
    </row>
    <row r="72" spans="1:9" ht="18" hidden="1" customHeight="1" x14ac:dyDescent="0.25">
      <c r="A72" s="1310">
        <v>38473</v>
      </c>
      <c r="B72" s="1266">
        <v>93</v>
      </c>
      <c r="C72" s="1303">
        <v>595.6</v>
      </c>
      <c r="D72" s="1311" t="s">
        <v>925</v>
      </c>
      <c r="E72" s="1287"/>
      <c r="F72" s="1284"/>
      <c r="G72" s="1284"/>
      <c r="H72" s="1284"/>
      <c r="I72" s="1291"/>
    </row>
    <row r="73" spans="1:9" ht="18" hidden="1" customHeight="1" x14ac:dyDescent="0.25">
      <c r="A73" s="1310">
        <v>38504</v>
      </c>
      <c r="B73" s="1266">
        <v>90</v>
      </c>
      <c r="C73" s="1303">
        <v>939.6</v>
      </c>
      <c r="D73" s="1311" t="s">
        <v>926</v>
      </c>
      <c r="E73" s="1287"/>
      <c r="F73" s="1284"/>
      <c r="G73" s="1284"/>
      <c r="H73" s="1284"/>
      <c r="I73" s="1291"/>
    </row>
    <row r="74" spans="1:9" ht="18" hidden="1" customHeight="1" x14ac:dyDescent="0.25">
      <c r="A74" s="1310">
        <v>38534</v>
      </c>
      <c r="B74" s="1266">
        <v>59</v>
      </c>
      <c r="C74" s="1303">
        <v>360</v>
      </c>
      <c r="D74" s="1311" t="s">
        <v>927</v>
      </c>
      <c r="E74" s="1287"/>
      <c r="F74" s="1284"/>
      <c r="G74" s="1284"/>
      <c r="H74" s="1284"/>
      <c r="I74" s="1291"/>
    </row>
    <row r="75" spans="1:9" ht="18" hidden="1" customHeight="1" x14ac:dyDescent="0.25">
      <c r="A75" s="1310">
        <v>38565</v>
      </c>
      <c r="B75" s="1266">
        <v>80</v>
      </c>
      <c r="C75" s="1303">
        <v>682.7</v>
      </c>
      <c r="D75" s="1311" t="s">
        <v>928</v>
      </c>
      <c r="E75" s="1287"/>
      <c r="F75" s="1284"/>
      <c r="G75" s="1284"/>
      <c r="H75" s="1284"/>
      <c r="I75" s="1291"/>
    </row>
    <row r="76" spans="1:9" ht="18" hidden="1" customHeight="1" x14ac:dyDescent="0.25">
      <c r="A76" s="1310">
        <v>38626</v>
      </c>
      <c r="B76" s="1266">
        <v>73</v>
      </c>
      <c r="C76" s="1303">
        <v>354.3</v>
      </c>
      <c r="D76" s="1311" t="s">
        <v>929</v>
      </c>
      <c r="E76" s="1287"/>
      <c r="F76" s="1284"/>
      <c r="G76" s="1284"/>
      <c r="H76" s="1284"/>
      <c r="I76" s="1291"/>
    </row>
    <row r="77" spans="1:9" ht="18" hidden="1" customHeight="1" x14ac:dyDescent="0.25">
      <c r="A77" s="1310">
        <v>38657</v>
      </c>
      <c r="B77" s="1266">
        <v>57</v>
      </c>
      <c r="C77" s="1303">
        <v>444.8</v>
      </c>
      <c r="D77" s="1311" t="s">
        <v>930</v>
      </c>
      <c r="E77" s="1287"/>
      <c r="F77" s="1284"/>
      <c r="G77" s="1284"/>
      <c r="H77" s="1284"/>
      <c r="I77" s="1291"/>
    </row>
    <row r="78" spans="1:9" ht="18" hidden="1" customHeight="1" x14ac:dyDescent="0.25">
      <c r="A78" s="1310">
        <v>38687</v>
      </c>
      <c r="B78" s="1266">
        <v>97</v>
      </c>
      <c r="C78" s="1303">
        <v>1001.7</v>
      </c>
      <c r="D78" s="1311" t="s">
        <v>931</v>
      </c>
      <c r="E78" s="1287"/>
      <c r="F78" s="1284"/>
      <c r="G78" s="1284"/>
      <c r="H78" s="1284"/>
      <c r="I78" s="1291"/>
    </row>
    <row r="79" spans="1:9" ht="18" hidden="1" customHeight="1" x14ac:dyDescent="0.25">
      <c r="A79" s="1310">
        <v>38718</v>
      </c>
      <c r="B79" s="1266">
        <v>115</v>
      </c>
      <c r="C79" s="1303">
        <v>1182.5</v>
      </c>
      <c r="D79" s="1311" t="s">
        <v>932</v>
      </c>
      <c r="E79" s="1287"/>
      <c r="F79" s="1284"/>
      <c r="G79" s="1284"/>
      <c r="H79" s="1284"/>
      <c r="I79" s="1291"/>
    </row>
    <row r="80" spans="1:9" ht="18" hidden="1" customHeight="1" x14ac:dyDescent="0.25">
      <c r="A80" s="1310">
        <v>38749</v>
      </c>
      <c r="B80" s="1266">
        <v>84</v>
      </c>
      <c r="C80" s="1303">
        <v>658.4</v>
      </c>
      <c r="D80" s="1311" t="s">
        <v>933</v>
      </c>
      <c r="E80" s="1287"/>
      <c r="F80" s="1284"/>
      <c r="G80" s="1284"/>
      <c r="H80" s="1284"/>
      <c r="I80" s="1291"/>
    </row>
    <row r="81" spans="1:9" ht="16.5" hidden="1" thickTop="1" x14ac:dyDescent="0.25">
      <c r="A81" s="1310">
        <v>38777</v>
      </c>
      <c r="B81" s="1266">
        <v>98</v>
      </c>
      <c r="C81" s="1303">
        <v>724.6</v>
      </c>
      <c r="D81" s="1311" t="s">
        <v>934</v>
      </c>
      <c r="E81" s="1287"/>
      <c r="F81" s="1284"/>
      <c r="G81" s="1284"/>
      <c r="H81" s="1284"/>
      <c r="I81" s="1291"/>
    </row>
    <row r="82" spans="1:9" ht="16.5" hidden="1" thickTop="1" x14ac:dyDescent="0.25">
      <c r="A82" s="1310">
        <v>38808</v>
      </c>
      <c r="B82" s="1266">
        <v>70</v>
      </c>
      <c r="C82" s="1303">
        <v>417.4</v>
      </c>
      <c r="D82" s="1311" t="s">
        <v>935</v>
      </c>
      <c r="E82" s="1287"/>
      <c r="F82" s="1284"/>
      <c r="G82" s="1284"/>
      <c r="H82" s="1284"/>
      <c r="I82" s="1291"/>
    </row>
    <row r="83" spans="1:9" ht="16.5" hidden="1" thickTop="1" x14ac:dyDescent="0.25">
      <c r="A83" s="1310">
        <v>38838</v>
      </c>
      <c r="B83" s="1266">
        <v>53</v>
      </c>
      <c r="C83" s="1303">
        <v>558.20000000000005</v>
      </c>
      <c r="D83" s="1311" t="s">
        <v>936</v>
      </c>
      <c r="E83" s="1287"/>
      <c r="F83" s="1284"/>
      <c r="G83" s="1284"/>
      <c r="H83" s="1284"/>
      <c r="I83" s="1291"/>
    </row>
    <row r="84" spans="1:9" ht="16.5" hidden="1" thickTop="1" x14ac:dyDescent="0.25">
      <c r="A84" s="1310">
        <v>38869</v>
      </c>
      <c r="B84" s="1266">
        <v>45</v>
      </c>
      <c r="C84" s="1303">
        <v>510.8</v>
      </c>
      <c r="D84" s="1311" t="s">
        <v>937</v>
      </c>
      <c r="E84" s="1287"/>
      <c r="F84" s="1284"/>
      <c r="G84" s="1284"/>
      <c r="H84" s="1284"/>
      <c r="I84" s="1291"/>
    </row>
    <row r="85" spans="1:9" ht="16.5" hidden="1" thickTop="1" x14ac:dyDescent="0.25">
      <c r="A85" s="1310">
        <v>38899</v>
      </c>
      <c r="B85" s="1266">
        <v>47</v>
      </c>
      <c r="C85" s="1303">
        <v>575.79999999999995</v>
      </c>
      <c r="D85" s="1311" t="s">
        <v>938</v>
      </c>
      <c r="E85" s="1287"/>
      <c r="F85" s="1284"/>
      <c r="G85" s="1284"/>
      <c r="H85" s="1284"/>
      <c r="I85" s="1291"/>
    </row>
    <row r="86" spans="1:9" ht="16.5" hidden="1" thickTop="1" x14ac:dyDescent="0.25">
      <c r="A86" s="1310">
        <v>38930</v>
      </c>
      <c r="B86" s="1266">
        <v>26</v>
      </c>
      <c r="C86" s="1303">
        <v>228.7</v>
      </c>
      <c r="D86" s="1311" t="s">
        <v>939</v>
      </c>
      <c r="E86" s="1287"/>
      <c r="F86" s="1284"/>
      <c r="G86" s="1284"/>
      <c r="H86" s="1284"/>
      <c r="I86" s="1291"/>
    </row>
    <row r="87" spans="1:9" ht="16.5" hidden="1" thickTop="1" x14ac:dyDescent="0.25">
      <c r="A87" s="1310">
        <v>38961</v>
      </c>
      <c r="B87" s="1266">
        <v>84</v>
      </c>
      <c r="C87" s="1303">
        <v>853.5</v>
      </c>
      <c r="D87" s="1311" t="s">
        <v>940</v>
      </c>
      <c r="E87" s="1287"/>
      <c r="F87" s="1284"/>
      <c r="G87" s="1284"/>
      <c r="H87" s="1284"/>
      <c r="I87" s="1291"/>
    </row>
    <row r="88" spans="1:9" ht="16.5" hidden="1" thickTop="1" x14ac:dyDescent="0.25">
      <c r="A88" s="1310">
        <v>38991</v>
      </c>
      <c r="B88" s="1266">
        <v>93</v>
      </c>
      <c r="C88" s="1303">
        <v>835.6</v>
      </c>
      <c r="D88" s="1311" t="s">
        <v>941</v>
      </c>
      <c r="E88" s="1287"/>
      <c r="F88" s="1284"/>
      <c r="G88" s="1284"/>
      <c r="H88" s="1284"/>
      <c r="I88" s="1291"/>
    </row>
    <row r="89" spans="1:9" ht="16.5" hidden="1" thickTop="1" x14ac:dyDescent="0.25">
      <c r="A89" s="1310">
        <v>39022</v>
      </c>
      <c r="B89" s="1266">
        <v>58</v>
      </c>
      <c r="C89" s="1303">
        <v>1222.0999999999999</v>
      </c>
      <c r="D89" s="1311" t="s">
        <v>942</v>
      </c>
      <c r="E89" s="1287"/>
      <c r="F89" s="1284"/>
      <c r="G89" s="1284"/>
      <c r="H89" s="1284"/>
      <c r="I89" s="1291"/>
    </row>
    <row r="90" spans="1:9" ht="16.5" hidden="1" thickTop="1" x14ac:dyDescent="0.25">
      <c r="A90" s="1310">
        <v>39052</v>
      </c>
      <c r="B90" s="1266">
        <v>153</v>
      </c>
      <c r="C90" s="1303">
        <v>1513.7</v>
      </c>
      <c r="D90" s="1311" t="s">
        <v>943</v>
      </c>
      <c r="E90" s="1287"/>
      <c r="F90" s="1284"/>
      <c r="G90" s="1284"/>
      <c r="H90" s="1284"/>
      <c r="I90" s="1291"/>
    </row>
    <row r="91" spans="1:9" ht="16.5" hidden="1" thickTop="1" x14ac:dyDescent="0.25">
      <c r="A91" s="1310">
        <v>39083</v>
      </c>
      <c r="B91" s="1266">
        <v>151</v>
      </c>
      <c r="C91" s="1303">
        <v>1325.1</v>
      </c>
      <c r="D91" s="1311" t="s">
        <v>944</v>
      </c>
      <c r="E91" s="1287"/>
      <c r="F91" s="1284"/>
      <c r="G91" s="1284"/>
      <c r="H91" s="1284"/>
      <c r="I91" s="1291"/>
    </row>
    <row r="92" spans="1:9" ht="16.5" hidden="1" thickTop="1" x14ac:dyDescent="0.25">
      <c r="A92" s="1310">
        <v>39114</v>
      </c>
      <c r="B92" s="1266">
        <v>141</v>
      </c>
      <c r="C92" s="1303">
        <v>844.4</v>
      </c>
      <c r="D92" s="1311" t="s">
        <v>945</v>
      </c>
      <c r="E92" s="1287"/>
      <c r="F92" s="1284"/>
      <c r="G92" s="1284"/>
      <c r="H92" s="1284"/>
      <c r="I92" s="1291"/>
    </row>
    <row r="93" spans="1:9" ht="16.5" hidden="1" thickTop="1" x14ac:dyDescent="0.25">
      <c r="A93" s="1310">
        <v>39142</v>
      </c>
      <c r="B93" s="1266">
        <v>195</v>
      </c>
      <c r="C93" s="1303">
        <v>1708</v>
      </c>
      <c r="D93" s="1311" t="s">
        <v>946</v>
      </c>
      <c r="E93" s="1287"/>
      <c r="F93" s="1284"/>
      <c r="G93" s="1284"/>
      <c r="H93" s="1284"/>
      <c r="I93" s="1291"/>
    </row>
    <row r="94" spans="1:9" ht="16.5" hidden="1" thickTop="1" x14ac:dyDescent="0.25">
      <c r="A94" s="1310">
        <v>39173</v>
      </c>
      <c r="B94" s="1266">
        <v>159</v>
      </c>
      <c r="C94" s="1303">
        <v>1569.5</v>
      </c>
      <c r="D94" s="1311" t="s">
        <v>947</v>
      </c>
      <c r="E94" s="1287"/>
      <c r="F94" s="1284"/>
      <c r="G94" s="1284"/>
      <c r="H94" s="1284"/>
      <c r="I94" s="1291"/>
    </row>
    <row r="95" spans="1:9" ht="16.5" hidden="1" thickTop="1" x14ac:dyDescent="0.25">
      <c r="A95" s="1310">
        <v>39203</v>
      </c>
      <c r="B95" s="1266">
        <v>95</v>
      </c>
      <c r="C95" s="1303">
        <v>990.2</v>
      </c>
      <c r="D95" s="1311" t="s">
        <v>948</v>
      </c>
      <c r="E95" s="1287"/>
      <c r="F95" s="1284"/>
      <c r="G95" s="1284"/>
      <c r="H95" s="1284"/>
      <c r="I95" s="1291"/>
    </row>
    <row r="96" spans="1:9" ht="16.5" hidden="1" thickTop="1" x14ac:dyDescent="0.25">
      <c r="A96" s="1310">
        <v>39234</v>
      </c>
      <c r="B96" s="1266">
        <v>133</v>
      </c>
      <c r="C96" s="1303">
        <v>1782.3</v>
      </c>
      <c r="D96" s="1311" t="s">
        <v>949</v>
      </c>
      <c r="E96" s="1287"/>
      <c r="F96" s="1284"/>
      <c r="G96" s="1284"/>
      <c r="H96" s="1284"/>
      <c r="I96" s="1291"/>
    </row>
    <row r="97" spans="1:9" ht="16.5" hidden="1" thickTop="1" x14ac:dyDescent="0.25">
      <c r="A97" s="1310">
        <v>39264</v>
      </c>
      <c r="B97" s="1266">
        <v>110</v>
      </c>
      <c r="C97" s="1303">
        <v>3606.2</v>
      </c>
      <c r="D97" s="1311" t="s">
        <v>950</v>
      </c>
      <c r="E97" s="1287"/>
      <c r="F97" s="1284"/>
      <c r="G97" s="1284"/>
      <c r="H97" s="1284"/>
      <c r="I97" s="1291"/>
    </row>
    <row r="98" spans="1:9" ht="16.5" hidden="1" thickTop="1" x14ac:dyDescent="0.25">
      <c r="A98" s="1310">
        <v>39295</v>
      </c>
      <c r="B98" s="1266">
        <v>66</v>
      </c>
      <c r="C98" s="1303">
        <v>1370.5</v>
      </c>
      <c r="D98" s="1311" t="s">
        <v>951</v>
      </c>
      <c r="E98" s="1287"/>
      <c r="F98" s="1284"/>
      <c r="G98" s="1284"/>
      <c r="H98" s="1284"/>
      <c r="I98" s="1291"/>
    </row>
    <row r="99" spans="1:9" ht="16.5" hidden="1" thickTop="1" x14ac:dyDescent="0.25">
      <c r="A99" s="1310">
        <v>39326</v>
      </c>
      <c r="B99" s="1266">
        <v>55</v>
      </c>
      <c r="C99" s="1303">
        <v>999.5</v>
      </c>
      <c r="D99" s="1311" t="s">
        <v>952</v>
      </c>
      <c r="E99" s="1287"/>
      <c r="F99" s="1284"/>
      <c r="G99" s="1284"/>
      <c r="H99" s="1284"/>
      <c r="I99" s="1291"/>
    </row>
    <row r="100" spans="1:9" ht="16.5" hidden="1" thickTop="1" x14ac:dyDescent="0.25">
      <c r="A100" s="1310">
        <v>39356</v>
      </c>
      <c r="B100" s="1266">
        <v>26</v>
      </c>
      <c r="C100" s="1303">
        <v>92.6</v>
      </c>
      <c r="D100" s="1311" t="s">
        <v>953</v>
      </c>
      <c r="E100" s="1287"/>
      <c r="F100" s="1284"/>
      <c r="G100" s="1284"/>
      <c r="H100" s="1284"/>
      <c r="I100" s="1291"/>
    </row>
    <row r="101" spans="1:9" ht="16.5" hidden="1" thickTop="1" x14ac:dyDescent="0.25">
      <c r="A101" s="1310">
        <v>39387</v>
      </c>
      <c r="B101" s="1266">
        <v>20</v>
      </c>
      <c r="C101" s="1303">
        <v>91.8</v>
      </c>
      <c r="D101" s="1311" t="s">
        <v>954</v>
      </c>
      <c r="E101" s="1287"/>
      <c r="F101" s="1284"/>
      <c r="G101" s="1284"/>
      <c r="H101" s="1284"/>
      <c r="I101" s="1291"/>
    </row>
    <row r="102" spans="1:9" ht="16.5" hidden="1" thickTop="1" x14ac:dyDescent="0.25">
      <c r="A102" s="1310">
        <v>39417</v>
      </c>
      <c r="B102" s="1266">
        <v>37</v>
      </c>
      <c r="C102" s="1303">
        <v>299.39999999999998</v>
      </c>
      <c r="D102" s="1268" t="s">
        <v>955</v>
      </c>
      <c r="E102" s="1287"/>
      <c r="F102" s="1284" t="s">
        <v>25</v>
      </c>
      <c r="G102" s="1284"/>
      <c r="H102" s="1284"/>
      <c r="I102" s="1291"/>
    </row>
    <row r="103" spans="1:9" ht="16.5" hidden="1" thickTop="1" x14ac:dyDescent="0.25">
      <c r="A103" s="1310">
        <v>39448</v>
      </c>
      <c r="B103" s="1266">
        <v>34</v>
      </c>
      <c r="C103" s="1303">
        <v>223.6</v>
      </c>
      <c r="D103" s="1268" t="s">
        <v>956</v>
      </c>
      <c r="E103" s="1287"/>
      <c r="F103" s="1284"/>
      <c r="G103" s="1284"/>
      <c r="H103" s="1284"/>
      <c r="I103" s="1291"/>
    </row>
    <row r="104" spans="1:9" ht="16.5" hidden="1" thickTop="1" x14ac:dyDescent="0.25">
      <c r="A104" s="1310">
        <v>39479</v>
      </c>
      <c r="B104" s="1266">
        <v>27</v>
      </c>
      <c r="C104" s="1303">
        <v>149.30000000000001</v>
      </c>
      <c r="D104" s="1268" t="s">
        <v>957</v>
      </c>
      <c r="E104" s="1287"/>
      <c r="F104" s="1284"/>
      <c r="G104" s="1284"/>
      <c r="H104" s="1284"/>
      <c r="I104" s="1291"/>
    </row>
    <row r="105" spans="1:9" ht="16.5" hidden="1" thickTop="1" x14ac:dyDescent="0.25">
      <c r="A105" s="1310">
        <v>39508</v>
      </c>
      <c r="B105" s="1266">
        <v>8</v>
      </c>
      <c r="C105" s="1303">
        <v>23.3</v>
      </c>
      <c r="D105" s="1268" t="s">
        <v>958</v>
      </c>
      <c r="E105" s="1287"/>
      <c r="F105" s="1284"/>
      <c r="G105" s="1284"/>
      <c r="H105" s="1284"/>
      <c r="I105" s="1291"/>
    </row>
    <row r="106" spans="1:9" ht="16.5" hidden="1" thickTop="1" x14ac:dyDescent="0.25">
      <c r="A106" s="1310">
        <v>39539</v>
      </c>
      <c r="B106" s="1266">
        <v>15</v>
      </c>
      <c r="C106" s="1303">
        <v>185.8</v>
      </c>
      <c r="D106" s="1268" t="s">
        <v>959</v>
      </c>
      <c r="E106" s="1287"/>
      <c r="F106" s="1284"/>
      <c r="G106" s="1284"/>
      <c r="H106" s="1284"/>
      <c r="I106" s="1291"/>
    </row>
    <row r="107" spans="1:9" ht="16.5" hidden="1" thickTop="1" x14ac:dyDescent="0.25">
      <c r="A107" s="1310">
        <v>39569</v>
      </c>
      <c r="B107" s="1266">
        <v>27</v>
      </c>
      <c r="C107" s="1303">
        <v>402.1</v>
      </c>
      <c r="D107" s="1268" t="s">
        <v>960</v>
      </c>
      <c r="E107" s="1287"/>
      <c r="F107" s="1284"/>
      <c r="G107" s="1284"/>
      <c r="H107" s="1284"/>
      <c r="I107" s="1291"/>
    </row>
    <row r="108" spans="1:9" ht="16.5" hidden="1" thickTop="1" x14ac:dyDescent="0.25">
      <c r="A108" s="1310">
        <v>39600</v>
      </c>
      <c r="B108" s="1312">
        <v>11</v>
      </c>
      <c r="C108" s="1313">
        <v>187.5</v>
      </c>
      <c r="D108" s="1268" t="s">
        <v>961</v>
      </c>
      <c r="E108" s="1287"/>
      <c r="F108" s="1284"/>
      <c r="G108" s="1284"/>
      <c r="H108" s="1284"/>
      <c r="I108" s="1291"/>
    </row>
    <row r="109" spans="1:9" ht="16.5" hidden="1" thickTop="1" x14ac:dyDescent="0.25">
      <c r="A109" s="1310">
        <v>39630</v>
      </c>
      <c r="B109" s="1312">
        <v>17</v>
      </c>
      <c r="C109" s="1313">
        <v>169</v>
      </c>
      <c r="D109" s="1268" t="s">
        <v>962</v>
      </c>
      <c r="E109" s="1287"/>
      <c r="F109" s="1284"/>
      <c r="G109" s="1284"/>
      <c r="H109" s="1284"/>
      <c r="I109" s="1291"/>
    </row>
    <row r="110" spans="1:9" ht="16.5" hidden="1" thickTop="1" x14ac:dyDescent="0.25">
      <c r="A110" s="1310">
        <v>39661</v>
      </c>
      <c r="B110" s="1312">
        <v>16</v>
      </c>
      <c r="C110" s="1313">
        <v>410.2</v>
      </c>
      <c r="D110" s="1268" t="s">
        <v>963</v>
      </c>
      <c r="E110" s="1287"/>
      <c r="F110" s="1284"/>
      <c r="G110" s="1284"/>
      <c r="H110" s="1284"/>
      <c r="I110" s="1291"/>
    </row>
    <row r="111" spans="1:9" ht="16.5" hidden="1" thickTop="1" x14ac:dyDescent="0.25">
      <c r="A111" s="1310">
        <v>39692</v>
      </c>
      <c r="B111" s="1312">
        <v>73</v>
      </c>
      <c r="C111" s="1313">
        <v>674.3</v>
      </c>
      <c r="D111" s="1268" t="s">
        <v>964</v>
      </c>
      <c r="E111" s="1287"/>
      <c r="F111" s="1284"/>
      <c r="G111" s="1284"/>
      <c r="H111" s="1284"/>
      <c r="I111" s="1291"/>
    </row>
    <row r="112" spans="1:9" ht="16.5" hidden="1" thickTop="1" x14ac:dyDescent="0.25">
      <c r="A112" s="1310">
        <v>39722</v>
      </c>
      <c r="B112" s="1312">
        <v>67</v>
      </c>
      <c r="C112" s="1313">
        <v>728.8</v>
      </c>
      <c r="D112" s="1268" t="s">
        <v>965</v>
      </c>
      <c r="E112" s="1287"/>
      <c r="F112" s="1284"/>
      <c r="G112" s="1284"/>
      <c r="H112" s="1284"/>
      <c r="I112" s="1291"/>
    </row>
    <row r="113" spans="1:9" ht="16.5" hidden="1" thickTop="1" x14ac:dyDescent="0.25">
      <c r="A113" s="1310">
        <v>39753</v>
      </c>
      <c r="B113" s="1312">
        <v>65</v>
      </c>
      <c r="C113" s="1313">
        <v>519</v>
      </c>
      <c r="D113" s="1268" t="s">
        <v>966</v>
      </c>
      <c r="E113" s="1287"/>
      <c r="F113" s="1284"/>
      <c r="G113" s="1284"/>
      <c r="H113" s="1284"/>
      <c r="I113" s="1291"/>
    </row>
    <row r="114" spans="1:9" ht="16.5" hidden="1" thickTop="1" x14ac:dyDescent="0.25">
      <c r="A114" s="1310">
        <v>39783</v>
      </c>
      <c r="B114" s="1312">
        <v>60</v>
      </c>
      <c r="C114" s="1313">
        <v>342.3</v>
      </c>
      <c r="D114" s="1268" t="s">
        <v>967</v>
      </c>
      <c r="E114" s="1287"/>
      <c r="F114" s="1284"/>
      <c r="G114" s="1284"/>
      <c r="H114" s="1284"/>
      <c r="I114" s="1291"/>
    </row>
    <row r="115" spans="1:9" ht="16.5" hidden="1" thickTop="1" x14ac:dyDescent="0.25">
      <c r="A115" s="1310">
        <v>39814</v>
      </c>
      <c r="B115" s="1312">
        <v>76</v>
      </c>
      <c r="C115" s="1313">
        <v>562.9</v>
      </c>
      <c r="D115" s="1268" t="s">
        <v>968</v>
      </c>
      <c r="E115" s="1287"/>
      <c r="F115" s="1284"/>
      <c r="G115" s="1284"/>
      <c r="H115" s="1284"/>
      <c r="I115" s="1291"/>
    </row>
    <row r="116" spans="1:9" ht="16.5" hidden="1" thickTop="1" x14ac:dyDescent="0.25">
      <c r="A116" s="1310">
        <v>39845</v>
      </c>
      <c r="B116" s="1312">
        <v>26</v>
      </c>
      <c r="C116" s="1313">
        <v>334</v>
      </c>
      <c r="D116" s="1268" t="s">
        <v>969</v>
      </c>
      <c r="E116" s="1287"/>
      <c r="F116" s="1284"/>
      <c r="G116" s="1284"/>
      <c r="H116" s="1284"/>
      <c r="I116" s="1291"/>
    </row>
    <row r="117" spans="1:9" ht="16.5" hidden="1" thickTop="1" x14ac:dyDescent="0.25">
      <c r="A117" s="1310">
        <v>39873</v>
      </c>
      <c r="B117" s="1312">
        <v>12</v>
      </c>
      <c r="C117" s="1313">
        <v>87.1</v>
      </c>
      <c r="D117" s="1268" t="s">
        <v>970</v>
      </c>
      <c r="E117" s="1287"/>
      <c r="F117" s="1284"/>
      <c r="G117" s="1284"/>
      <c r="H117" s="1284"/>
      <c r="I117" s="1291"/>
    </row>
    <row r="118" spans="1:9" ht="16.5" hidden="1" thickTop="1" x14ac:dyDescent="0.25">
      <c r="A118" s="1310">
        <v>39904</v>
      </c>
      <c r="B118" s="1312">
        <v>12</v>
      </c>
      <c r="C118" s="1313">
        <v>79.2</v>
      </c>
      <c r="D118" s="1268" t="s">
        <v>971</v>
      </c>
      <c r="E118" s="1287"/>
      <c r="F118" s="1284"/>
      <c r="G118" s="1284"/>
      <c r="H118" s="1284"/>
      <c r="I118" s="1291"/>
    </row>
    <row r="119" spans="1:9" ht="16.5" hidden="1" thickTop="1" x14ac:dyDescent="0.25">
      <c r="A119" s="1310">
        <v>39934</v>
      </c>
      <c r="B119" s="1312">
        <v>7</v>
      </c>
      <c r="C119" s="1313">
        <v>10.3</v>
      </c>
      <c r="D119" s="1268" t="s">
        <v>972</v>
      </c>
      <c r="E119" s="1287"/>
      <c r="F119" s="1284"/>
      <c r="G119" s="1284"/>
      <c r="H119" s="1284"/>
      <c r="I119" s="1291"/>
    </row>
    <row r="120" spans="1:9" ht="16.5" hidden="1" thickTop="1" x14ac:dyDescent="0.25">
      <c r="A120" s="1310">
        <v>39965</v>
      </c>
      <c r="B120" s="1312">
        <v>3</v>
      </c>
      <c r="C120" s="1313">
        <v>42.5</v>
      </c>
      <c r="D120" s="1268" t="s">
        <v>973</v>
      </c>
      <c r="E120" s="1287"/>
      <c r="F120" s="1284"/>
      <c r="G120" s="1284"/>
      <c r="H120" s="1284"/>
      <c r="I120" s="1291"/>
    </row>
    <row r="121" spans="1:9" ht="16.5" hidden="1" thickTop="1" x14ac:dyDescent="0.25">
      <c r="A121" s="1310">
        <v>39995</v>
      </c>
      <c r="B121" s="1312">
        <v>13</v>
      </c>
      <c r="C121" s="1313">
        <v>208.6</v>
      </c>
      <c r="D121" s="1268" t="s">
        <v>974</v>
      </c>
      <c r="E121" s="1287"/>
      <c r="F121" s="1284"/>
      <c r="G121" s="1284"/>
      <c r="H121" s="1284"/>
      <c r="I121" s="1291"/>
    </row>
    <row r="122" spans="1:9" ht="16.5" hidden="1" thickTop="1" x14ac:dyDescent="0.25">
      <c r="A122" s="1310">
        <v>40026</v>
      </c>
      <c r="B122" s="1312">
        <v>12</v>
      </c>
      <c r="C122" s="1313">
        <v>333.9</v>
      </c>
      <c r="D122" s="1268" t="s">
        <v>975</v>
      </c>
      <c r="E122" s="1287"/>
      <c r="F122" s="1284"/>
      <c r="G122" s="1284"/>
      <c r="H122" s="1284"/>
      <c r="I122" s="1291"/>
    </row>
    <row r="123" spans="1:9" ht="16.5" hidden="1" thickTop="1" x14ac:dyDescent="0.25">
      <c r="A123" s="1310">
        <v>40057</v>
      </c>
      <c r="B123" s="1312">
        <v>14</v>
      </c>
      <c r="C123" s="1313">
        <v>120.8</v>
      </c>
      <c r="D123" s="1268" t="s">
        <v>976</v>
      </c>
      <c r="E123" s="1287"/>
      <c r="F123" s="1284"/>
      <c r="G123" s="1284"/>
      <c r="H123" s="1284"/>
      <c r="I123" s="1291"/>
    </row>
    <row r="124" spans="1:9" ht="16.5" hidden="1" thickTop="1" x14ac:dyDescent="0.25">
      <c r="A124" s="1310">
        <v>40087</v>
      </c>
      <c r="B124" s="1312">
        <v>18</v>
      </c>
      <c r="C124" s="1313">
        <v>91.7</v>
      </c>
      <c r="D124" s="1268" t="s">
        <v>977</v>
      </c>
      <c r="E124" s="1287"/>
      <c r="F124" s="1284"/>
      <c r="G124" s="1284"/>
      <c r="H124" s="1284"/>
      <c r="I124" s="1291"/>
    </row>
    <row r="125" spans="1:9" ht="16.5" hidden="1" thickTop="1" x14ac:dyDescent="0.25">
      <c r="A125" s="1310">
        <v>40118</v>
      </c>
      <c r="B125" s="1312">
        <v>16</v>
      </c>
      <c r="C125" s="1313">
        <v>256.5</v>
      </c>
      <c r="D125" s="1268" t="s">
        <v>978</v>
      </c>
      <c r="E125" s="1287"/>
      <c r="F125" s="1284"/>
      <c r="G125" s="1284"/>
      <c r="H125" s="1284"/>
      <c r="I125" s="1291"/>
    </row>
    <row r="126" spans="1:9" ht="16.5" hidden="1" thickTop="1" x14ac:dyDescent="0.25">
      <c r="A126" s="1310">
        <v>40148</v>
      </c>
      <c r="B126" s="1312">
        <v>23</v>
      </c>
      <c r="C126" s="1313">
        <v>117.8</v>
      </c>
      <c r="D126" s="1268" t="s">
        <v>979</v>
      </c>
      <c r="E126" s="1287"/>
      <c r="F126" s="1284"/>
      <c r="G126" s="1284"/>
      <c r="H126" s="1284"/>
      <c r="I126" s="1291"/>
    </row>
    <row r="127" spans="1:9" ht="16.5" hidden="1" thickTop="1" x14ac:dyDescent="0.25">
      <c r="A127" s="1310">
        <v>40179</v>
      </c>
      <c r="B127" s="1312">
        <v>16</v>
      </c>
      <c r="C127" s="1313">
        <v>69.900000000000006</v>
      </c>
      <c r="D127" s="1268" t="s">
        <v>980</v>
      </c>
      <c r="E127" s="1287"/>
      <c r="F127" s="1284"/>
      <c r="G127" s="1284"/>
      <c r="H127" s="1284"/>
      <c r="I127" s="1291"/>
    </row>
    <row r="128" spans="1:9" ht="16.5" hidden="1" thickTop="1" x14ac:dyDescent="0.25">
      <c r="A128" s="1310">
        <v>40210</v>
      </c>
      <c r="B128" s="1312">
        <v>9</v>
      </c>
      <c r="C128" s="1313">
        <v>171.9</v>
      </c>
      <c r="D128" s="1268" t="s">
        <v>981</v>
      </c>
      <c r="E128" s="1287"/>
      <c r="F128" s="1284"/>
      <c r="G128" s="1284"/>
      <c r="H128" s="1284"/>
      <c r="I128" s="1291"/>
    </row>
    <row r="129" spans="1:9" ht="16.5" hidden="1" thickTop="1" x14ac:dyDescent="0.25">
      <c r="A129" s="1310">
        <v>40238</v>
      </c>
      <c r="B129" s="1312">
        <v>10</v>
      </c>
      <c r="C129" s="1313">
        <v>142.6</v>
      </c>
      <c r="D129" s="1268" t="s">
        <v>982</v>
      </c>
      <c r="E129" s="1287"/>
      <c r="F129" s="1284"/>
      <c r="G129" s="1284"/>
      <c r="H129" s="1284"/>
      <c r="I129" s="1291"/>
    </row>
    <row r="130" spans="1:9" ht="16.5" hidden="1" thickTop="1" x14ac:dyDescent="0.25">
      <c r="A130" s="1310">
        <v>40269</v>
      </c>
      <c r="B130" s="1312">
        <v>8</v>
      </c>
      <c r="C130" s="1314">
        <v>721</v>
      </c>
      <c r="D130" s="1268" t="s">
        <v>983</v>
      </c>
      <c r="E130" s="1287"/>
      <c r="F130" s="1284"/>
      <c r="G130" s="1284"/>
      <c r="H130" s="1284"/>
      <c r="I130" s="1291"/>
    </row>
    <row r="131" spans="1:9" ht="16.5" hidden="1" thickTop="1" x14ac:dyDescent="0.25">
      <c r="A131" s="1310">
        <v>40299</v>
      </c>
      <c r="B131" s="1312">
        <v>6</v>
      </c>
      <c r="C131" s="1314">
        <v>356.9</v>
      </c>
      <c r="D131" s="1268" t="s">
        <v>984</v>
      </c>
      <c r="E131" s="1287"/>
      <c r="F131" s="1284"/>
      <c r="G131" s="1284"/>
      <c r="H131" s="1284"/>
      <c r="I131" s="1291"/>
    </row>
    <row r="132" spans="1:9" ht="16.5" hidden="1" thickTop="1" x14ac:dyDescent="0.25">
      <c r="A132" s="1310">
        <v>40330</v>
      </c>
      <c r="B132" s="1312">
        <v>13</v>
      </c>
      <c r="C132" s="1314">
        <v>277.5</v>
      </c>
      <c r="D132" s="1268" t="s">
        <v>985</v>
      </c>
      <c r="E132" s="1287"/>
      <c r="F132" s="1284"/>
      <c r="G132" s="1284"/>
      <c r="H132" s="1284"/>
      <c r="I132" s="1291"/>
    </row>
    <row r="133" spans="1:9" ht="16.5" hidden="1" thickTop="1" x14ac:dyDescent="0.25">
      <c r="A133" s="1310">
        <v>40360</v>
      </c>
      <c r="B133" s="1312">
        <v>11</v>
      </c>
      <c r="C133" s="1314">
        <v>199.6</v>
      </c>
      <c r="D133" s="1268" t="s">
        <v>986</v>
      </c>
      <c r="E133" s="1287"/>
      <c r="F133" s="1284"/>
      <c r="G133" s="1284"/>
      <c r="H133" s="1284"/>
      <c r="I133" s="1291"/>
    </row>
    <row r="134" spans="1:9" ht="16.5" hidden="1" thickTop="1" x14ac:dyDescent="0.25">
      <c r="A134" s="1310">
        <v>40391</v>
      </c>
      <c r="B134" s="1312">
        <v>4</v>
      </c>
      <c r="C134" s="1314">
        <v>2.2000000000000002</v>
      </c>
      <c r="D134" s="1268" t="s">
        <v>987</v>
      </c>
      <c r="E134" s="1287"/>
      <c r="F134" s="1284"/>
      <c r="G134" s="1284"/>
      <c r="H134" s="1284"/>
      <c r="I134" s="1291"/>
    </row>
    <row r="135" spans="1:9" ht="16.5" hidden="1" thickTop="1" x14ac:dyDescent="0.25">
      <c r="A135" s="1310">
        <v>40422</v>
      </c>
      <c r="B135" s="1312">
        <v>6</v>
      </c>
      <c r="C135" s="1314">
        <v>174</v>
      </c>
      <c r="D135" s="1268" t="s">
        <v>988</v>
      </c>
      <c r="E135" s="1287"/>
      <c r="F135" s="1284"/>
      <c r="G135" s="1284"/>
      <c r="H135" s="1284"/>
      <c r="I135" s="1291"/>
    </row>
    <row r="136" spans="1:9" ht="16.5" hidden="1" thickTop="1" x14ac:dyDescent="0.25">
      <c r="A136" s="1310">
        <v>40452</v>
      </c>
      <c r="B136" s="1312">
        <v>16</v>
      </c>
      <c r="C136" s="1314">
        <v>264.60000000000002</v>
      </c>
      <c r="D136" s="1268" t="s">
        <v>989</v>
      </c>
      <c r="E136" s="1287"/>
      <c r="F136" s="1284"/>
      <c r="G136" s="1284"/>
      <c r="H136" s="1284"/>
      <c r="I136" s="1291"/>
    </row>
    <row r="137" spans="1:9" ht="16.5" hidden="1" thickTop="1" x14ac:dyDescent="0.25">
      <c r="A137" s="1310">
        <v>40483</v>
      </c>
      <c r="B137" s="1312">
        <v>9</v>
      </c>
      <c r="C137" s="1314">
        <v>384.4</v>
      </c>
      <c r="D137" s="1268" t="s">
        <v>990</v>
      </c>
      <c r="E137" s="1287"/>
      <c r="F137" s="1284"/>
      <c r="G137" s="1284"/>
      <c r="H137" s="1284"/>
      <c r="I137" s="1291"/>
    </row>
    <row r="138" spans="1:9" ht="16.5" hidden="1" thickTop="1" x14ac:dyDescent="0.25">
      <c r="A138" s="1310">
        <v>40513</v>
      </c>
      <c r="B138" s="1312">
        <v>10</v>
      </c>
      <c r="C138" s="1314">
        <v>276.60000000000002</v>
      </c>
      <c r="D138" s="1268" t="s">
        <v>991</v>
      </c>
      <c r="E138" s="1287"/>
      <c r="F138" s="1284"/>
      <c r="G138" s="1284"/>
      <c r="H138" s="1284"/>
      <c r="I138" s="1291"/>
    </row>
    <row r="139" spans="1:9" ht="16.5" hidden="1" thickTop="1" x14ac:dyDescent="0.25">
      <c r="A139" s="1310">
        <v>40544</v>
      </c>
      <c r="B139" s="1312">
        <v>7</v>
      </c>
      <c r="C139" s="1314">
        <v>299.2</v>
      </c>
      <c r="D139" s="1268" t="s">
        <v>992</v>
      </c>
      <c r="E139" s="1287"/>
      <c r="F139" s="1284"/>
      <c r="G139" s="1284"/>
      <c r="H139" s="1284"/>
      <c r="I139" s="1291"/>
    </row>
    <row r="140" spans="1:9" ht="16.5" hidden="1" thickTop="1" x14ac:dyDescent="0.25">
      <c r="A140" s="1310">
        <v>40575</v>
      </c>
      <c r="B140" s="1312">
        <v>4</v>
      </c>
      <c r="C140" s="1314">
        <v>148</v>
      </c>
      <c r="D140" s="1268" t="s">
        <v>993</v>
      </c>
      <c r="E140" s="1287"/>
      <c r="F140" s="1284"/>
      <c r="G140" s="1284"/>
      <c r="H140" s="1284"/>
      <c r="I140" s="1291"/>
    </row>
    <row r="141" spans="1:9" ht="16.5" hidden="1" thickTop="1" x14ac:dyDescent="0.25">
      <c r="A141" s="1310">
        <v>40603</v>
      </c>
      <c r="B141" s="1312" t="s">
        <v>664</v>
      </c>
      <c r="C141" s="1314" t="s">
        <v>664</v>
      </c>
      <c r="D141" s="1268" t="s">
        <v>664</v>
      </c>
      <c r="E141" s="1287"/>
      <c r="F141" s="1284"/>
      <c r="G141" s="1284"/>
      <c r="H141" s="1284"/>
      <c r="I141" s="1291"/>
    </row>
    <row r="142" spans="1:9" ht="16.5" hidden="1" thickTop="1" x14ac:dyDescent="0.25">
      <c r="A142" s="1310">
        <v>40634</v>
      </c>
      <c r="B142" s="1312">
        <v>5</v>
      </c>
      <c r="C142" s="1314">
        <v>75.5</v>
      </c>
      <c r="D142" s="1268" t="s">
        <v>994</v>
      </c>
      <c r="E142" s="1287"/>
      <c r="F142" s="1284"/>
      <c r="G142" s="1284"/>
      <c r="H142" s="1284"/>
      <c r="I142" s="1291"/>
    </row>
    <row r="143" spans="1:9" ht="16.5" hidden="1" thickTop="1" x14ac:dyDescent="0.25">
      <c r="A143" s="1310">
        <v>40664</v>
      </c>
      <c r="B143" s="1312">
        <v>6</v>
      </c>
      <c r="C143" s="1314">
        <v>331.6</v>
      </c>
      <c r="D143" s="1268" t="s">
        <v>995</v>
      </c>
      <c r="E143" s="1287"/>
      <c r="F143" s="1284"/>
      <c r="G143" s="1284"/>
      <c r="H143" s="1284"/>
      <c r="I143" s="1291"/>
    </row>
    <row r="144" spans="1:9" ht="16.5" hidden="1" thickTop="1" x14ac:dyDescent="0.25">
      <c r="A144" s="1310">
        <v>40695</v>
      </c>
      <c r="B144" s="1312">
        <v>21</v>
      </c>
      <c r="C144" s="1314">
        <v>160.9</v>
      </c>
      <c r="D144" s="1268" t="s">
        <v>996</v>
      </c>
      <c r="E144" s="1287"/>
      <c r="F144" s="1284"/>
      <c r="G144" s="1284"/>
      <c r="H144" s="1284"/>
      <c r="I144" s="1291"/>
    </row>
    <row r="145" spans="1:9" ht="16.5" hidden="1" thickTop="1" x14ac:dyDescent="0.25">
      <c r="A145" s="1310">
        <v>40725</v>
      </c>
      <c r="B145" s="1312">
        <v>18</v>
      </c>
      <c r="C145" s="1314">
        <v>464.1</v>
      </c>
      <c r="D145" s="1268" t="s">
        <v>997</v>
      </c>
      <c r="E145" s="1287"/>
      <c r="F145" s="1284"/>
      <c r="G145" s="1284"/>
      <c r="H145" s="1284"/>
      <c r="I145" s="1291"/>
    </row>
    <row r="146" spans="1:9" ht="16.5" hidden="1" thickTop="1" x14ac:dyDescent="0.25">
      <c r="A146" s="1310">
        <v>40756</v>
      </c>
      <c r="B146" s="1312">
        <v>6</v>
      </c>
      <c r="C146" s="1314">
        <v>102.4</v>
      </c>
      <c r="D146" s="1268" t="s">
        <v>998</v>
      </c>
      <c r="E146" s="1287"/>
      <c r="F146" s="1284"/>
      <c r="G146" s="1284"/>
      <c r="H146" s="1284"/>
      <c r="I146" s="1291"/>
    </row>
    <row r="147" spans="1:9" ht="16.5" hidden="1" thickTop="1" x14ac:dyDescent="0.25">
      <c r="A147" s="1310">
        <v>40787</v>
      </c>
      <c r="B147" s="1312">
        <v>10</v>
      </c>
      <c r="C147" s="1314">
        <v>175.9</v>
      </c>
      <c r="D147" s="1268" t="s">
        <v>999</v>
      </c>
      <c r="E147" s="1287"/>
      <c r="F147" s="1284"/>
      <c r="G147" s="1284"/>
      <c r="H147" s="1284"/>
      <c r="I147" s="1291"/>
    </row>
    <row r="148" spans="1:9" ht="16.5" hidden="1" thickTop="1" x14ac:dyDescent="0.25">
      <c r="A148" s="1310">
        <v>40817</v>
      </c>
      <c r="B148" s="1312">
        <v>20</v>
      </c>
      <c r="C148" s="1314">
        <v>407.8</v>
      </c>
      <c r="D148" s="1268" t="s">
        <v>1000</v>
      </c>
      <c r="E148" s="1287"/>
      <c r="F148" s="1284"/>
      <c r="G148" s="1284"/>
      <c r="H148" s="1284"/>
      <c r="I148" s="1291"/>
    </row>
    <row r="149" spans="1:9" ht="16.5" hidden="1" thickTop="1" x14ac:dyDescent="0.25">
      <c r="A149" s="1310">
        <v>40848</v>
      </c>
      <c r="B149" s="1312">
        <v>17</v>
      </c>
      <c r="C149" s="1314">
        <v>126.3</v>
      </c>
      <c r="D149" s="1268" t="s">
        <v>1001</v>
      </c>
      <c r="E149" s="1287"/>
      <c r="F149" s="1284"/>
      <c r="G149" s="1284"/>
      <c r="H149" s="1284"/>
      <c r="I149" s="1291"/>
    </row>
    <row r="150" spans="1:9" ht="16.5" hidden="1" thickTop="1" x14ac:dyDescent="0.25">
      <c r="A150" s="1310">
        <v>40878</v>
      </c>
      <c r="B150" s="1312">
        <v>11</v>
      </c>
      <c r="C150" s="1314">
        <v>228.6</v>
      </c>
      <c r="D150" s="1268" t="s">
        <v>1002</v>
      </c>
      <c r="E150" s="1287"/>
      <c r="F150" s="1284"/>
      <c r="G150" s="1284"/>
      <c r="H150" s="1284"/>
      <c r="I150" s="1291"/>
    </row>
    <row r="151" spans="1:9" ht="16.5" hidden="1" thickTop="1" x14ac:dyDescent="0.25">
      <c r="A151" s="1310">
        <v>40909</v>
      </c>
      <c r="B151" s="1312">
        <v>10</v>
      </c>
      <c r="C151" s="1314">
        <v>163</v>
      </c>
      <c r="D151" s="1268" t="s">
        <v>1003</v>
      </c>
      <c r="E151" s="1287"/>
      <c r="F151" s="1284"/>
      <c r="G151" s="1284"/>
      <c r="H151" s="1284"/>
      <c r="I151" s="1291"/>
    </row>
    <row r="152" spans="1:9" ht="16.5" hidden="1" thickTop="1" x14ac:dyDescent="0.25">
      <c r="A152" s="1310">
        <v>40940</v>
      </c>
      <c r="B152" s="1312">
        <v>7</v>
      </c>
      <c r="C152" s="1314">
        <v>84.4</v>
      </c>
      <c r="D152" s="1268" t="s">
        <v>1004</v>
      </c>
      <c r="E152" s="1287"/>
      <c r="F152" s="1284"/>
      <c r="G152" s="1284"/>
      <c r="H152" s="1284"/>
      <c r="I152" s="1291"/>
    </row>
    <row r="153" spans="1:9" ht="16.5" hidden="1" thickTop="1" x14ac:dyDescent="0.25">
      <c r="A153" s="1310">
        <v>40969</v>
      </c>
      <c r="B153" s="1312">
        <v>25</v>
      </c>
      <c r="C153" s="1314">
        <v>318.39999999999998</v>
      </c>
      <c r="D153" s="1268" t="s">
        <v>1005</v>
      </c>
      <c r="E153" s="1287"/>
      <c r="F153" s="1284"/>
      <c r="G153" s="1284"/>
      <c r="H153" s="1284"/>
      <c r="I153" s="1291"/>
    </row>
    <row r="154" spans="1:9" ht="16.5" hidden="1" thickTop="1" x14ac:dyDescent="0.25">
      <c r="A154" s="1310">
        <v>41000</v>
      </c>
      <c r="B154" s="1312">
        <v>31</v>
      </c>
      <c r="C154" s="1303">
        <v>1063.3</v>
      </c>
      <c r="D154" s="1268" t="s">
        <v>1006</v>
      </c>
      <c r="E154" s="1287"/>
      <c r="F154" s="1284"/>
      <c r="G154" s="1284"/>
      <c r="H154" s="1284"/>
      <c r="I154" s="1291"/>
    </row>
    <row r="155" spans="1:9" ht="16.5" hidden="1" thickTop="1" x14ac:dyDescent="0.25">
      <c r="A155" s="1310">
        <v>41030</v>
      </c>
      <c r="B155" s="1312">
        <v>13</v>
      </c>
      <c r="C155" s="1303">
        <v>394.8</v>
      </c>
      <c r="D155" s="1268" t="s">
        <v>1007</v>
      </c>
      <c r="E155" s="1287"/>
      <c r="F155" s="1284"/>
      <c r="G155" s="1284"/>
      <c r="H155" s="1284"/>
      <c r="I155" s="1291"/>
    </row>
    <row r="156" spans="1:9" ht="16.5" hidden="1" thickTop="1" x14ac:dyDescent="0.25">
      <c r="A156" s="1310">
        <v>41061</v>
      </c>
      <c r="B156" s="1312">
        <v>25</v>
      </c>
      <c r="C156" s="1303">
        <v>891.5</v>
      </c>
      <c r="D156" s="1268" t="s">
        <v>1008</v>
      </c>
      <c r="E156" s="1287"/>
      <c r="F156" s="1284"/>
      <c r="G156" s="1284"/>
      <c r="H156" s="1284"/>
      <c r="I156" s="1291"/>
    </row>
    <row r="157" spans="1:9" ht="16.5" hidden="1" thickTop="1" x14ac:dyDescent="0.25">
      <c r="A157" s="1310">
        <v>41091</v>
      </c>
      <c r="B157" s="1312">
        <v>30</v>
      </c>
      <c r="C157" s="1303">
        <v>424.3</v>
      </c>
      <c r="D157" s="1268" t="s">
        <v>1009</v>
      </c>
      <c r="E157" s="1287"/>
      <c r="F157" s="1284"/>
      <c r="G157" s="1284"/>
      <c r="H157" s="1284"/>
      <c r="I157" s="1291"/>
    </row>
    <row r="158" spans="1:9" ht="16.5" hidden="1" thickTop="1" x14ac:dyDescent="0.25">
      <c r="A158" s="1310">
        <v>41122</v>
      </c>
      <c r="B158" s="1312">
        <v>6</v>
      </c>
      <c r="C158" s="1303">
        <v>103.2</v>
      </c>
      <c r="D158" s="1268" t="s">
        <v>1010</v>
      </c>
      <c r="E158" s="1287"/>
      <c r="F158" s="1284"/>
      <c r="G158" s="1284"/>
      <c r="H158" s="1284"/>
      <c r="I158" s="1291"/>
    </row>
    <row r="159" spans="1:9" ht="16.5" hidden="1" thickTop="1" x14ac:dyDescent="0.25">
      <c r="A159" s="1310">
        <v>41153</v>
      </c>
      <c r="B159" s="1312">
        <v>20</v>
      </c>
      <c r="C159" s="1303">
        <v>184.6</v>
      </c>
      <c r="D159" s="1268" t="s">
        <v>1011</v>
      </c>
      <c r="E159" s="1287"/>
      <c r="F159" s="1284"/>
      <c r="G159" s="1284"/>
      <c r="H159" s="1284"/>
      <c r="I159" s="1291"/>
    </row>
    <row r="160" spans="1:9" ht="16.5" hidden="1" thickTop="1" x14ac:dyDescent="0.25">
      <c r="A160" s="1310">
        <v>41183</v>
      </c>
      <c r="B160" s="1312">
        <v>15</v>
      </c>
      <c r="C160" s="1303">
        <v>217.4</v>
      </c>
      <c r="D160" s="1268" t="s">
        <v>1012</v>
      </c>
      <c r="E160" s="1287"/>
      <c r="F160" s="1284"/>
      <c r="G160" s="1284"/>
      <c r="H160" s="1284"/>
      <c r="I160" s="1291"/>
    </row>
    <row r="161" spans="1:9" ht="16.5" hidden="1" thickTop="1" x14ac:dyDescent="0.25">
      <c r="A161" s="1310">
        <v>41214</v>
      </c>
      <c r="B161" s="1312">
        <v>11</v>
      </c>
      <c r="C161" s="1303">
        <v>62.4</v>
      </c>
      <c r="D161" s="1268" t="s">
        <v>1013</v>
      </c>
      <c r="E161" s="1287"/>
      <c r="F161" s="1284"/>
      <c r="G161" s="1284"/>
      <c r="H161" s="1284"/>
      <c r="I161" s="1291"/>
    </row>
    <row r="162" spans="1:9" ht="16.5" hidden="1" thickTop="1" x14ac:dyDescent="0.25">
      <c r="A162" s="1310">
        <v>41244</v>
      </c>
      <c r="B162" s="1312">
        <v>22</v>
      </c>
      <c r="C162" s="1303">
        <v>406.7</v>
      </c>
      <c r="D162" s="1268" t="s">
        <v>1014</v>
      </c>
      <c r="E162" s="1287"/>
      <c r="F162" s="1284"/>
      <c r="G162" s="1284"/>
      <c r="H162" s="1284"/>
      <c r="I162" s="1291"/>
    </row>
    <row r="163" spans="1:9" ht="16.5" hidden="1" thickTop="1" x14ac:dyDescent="0.25">
      <c r="A163" s="1310">
        <v>41275</v>
      </c>
      <c r="B163" s="1312">
        <v>40</v>
      </c>
      <c r="C163" s="1303">
        <v>1828.7</v>
      </c>
      <c r="D163" s="1268" t="s">
        <v>1015</v>
      </c>
      <c r="E163" s="1287"/>
      <c r="F163" s="1284"/>
      <c r="G163" s="1284"/>
      <c r="H163" s="1284"/>
      <c r="I163" s="1291"/>
    </row>
    <row r="164" spans="1:9" ht="16.5" hidden="1" thickTop="1" x14ac:dyDescent="0.25">
      <c r="A164" s="1310">
        <v>41306</v>
      </c>
      <c r="B164" s="1312">
        <v>22</v>
      </c>
      <c r="C164" s="1303">
        <v>915</v>
      </c>
      <c r="D164" s="1268" t="s">
        <v>1016</v>
      </c>
      <c r="E164" s="1287"/>
      <c r="F164" s="1284"/>
      <c r="G164" s="1284"/>
      <c r="H164" s="1284"/>
      <c r="I164" s="1291"/>
    </row>
    <row r="165" spans="1:9" ht="16.5" hidden="1" thickTop="1" x14ac:dyDescent="0.25">
      <c r="A165" s="1310">
        <v>41334</v>
      </c>
      <c r="B165" s="1312">
        <v>22</v>
      </c>
      <c r="C165" s="1303">
        <v>1904.6</v>
      </c>
      <c r="D165" s="1268" t="s">
        <v>1017</v>
      </c>
      <c r="E165" s="1287"/>
      <c r="F165" s="1284"/>
      <c r="G165" s="1284"/>
      <c r="H165" s="1284"/>
      <c r="I165" s="1291"/>
    </row>
    <row r="166" spans="1:9" ht="16.5" hidden="1" thickTop="1" x14ac:dyDescent="0.25">
      <c r="A166" s="1310">
        <v>41365</v>
      </c>
      <c r="B166" s="1312">
        <v>29</v>
      </c>
      <c r="C166" s="1303">
        <v>800.6</v>
      </c>
      <c r="D166" s="1268" t="s">
        <v>1018</v>
      </c>
      <c r="E166" s="1287"/>
      <c r="F166" s="1284"/>
      <c r="G166" s="1284"/>
      <c r="H166" s="1284"/>
      <c r="I166" s="1291"/>
    </row>
    <row r="167" spans="1:9" ht="16.5" hidden="1" thickTop="1" x14ac:dyDescent="0.25">
      <c r="A167" s="1310">
        <v>41395</v>
      </c>
      <c r="B167" s="1312">
        <v>9</v>
      </c>
      <c r="C167" s="1303">
        <v>387.8</v>
      </c>
      <c r="D167" s="1268" t="s">
        <v>1019</v>
      </c>
      <c r="E167" s="1287"/>
      <c r="F167" s="1284"/>
      <c r="G167" s="1284"/>
      <c r="H167" s="1284"/>
      <c r="I167" s="1291"/>
    </row>
    <row r="168" spans="1:9" ht="15.75" hidden="1" customHeight="1" thickTop="1" x14ac:dyDescent="0.25">
      <c r="A168" s="1310">
        <v>41426</v>
      </c>
      <c r="B168" s="1312">
        <v>25</v>
      </c>
      <c r="C168" s="1303">
        <v>1318.7</v>
      </c>
      <c r="D168" s="1268" t="s">
        <v>1020</v>
      </c>
      <c r="E168" s="1287"/>
      <c r="F168" s="1284"/>
      <c r="G168" s="1284"/>
      <c r="H168" s="1284"/>
      <c r="I168" s="1291"/>
    </row>
    <row r="169" spans="1:9" ht="15" hidden="1" customHeight="1" x14ac:dyDescent="0.25">
      <c r="A169" s="1310">
        <v>41456</v>
      </c>
      <c r="B169" s="1315"/>
      <c r="C169" s="1316"/>
      <c r="D169" s="1315"/>
      <c r="E169" s="1287"/>
      <c r="F169" s="1288"/>
      <c r="G169" s="1284"/>
      <c r="H169" s="1284"/>
    </row>
    <row r="170" spans="1:9" ht="15" hidden="1" customHeight="1" x14ac:dyDescent="0.25">
      <c r="A170" s="1310">
        <v>41487</v>
      </c>
      <c r="B170" s="1315"/>
      <c r="C170" s="1316"/>
      <c r="D170" s="1315"/>
      <c r="E170" s="1287"/>
      <c r="F170" s="1288"/>
      <c r="G170" s="1284"/>
      <c r="H170" s="1284"/>
    </row>
    <row r="171" spans="1:9" ht="15" hidden="1" customHeight="1" x14ac:dyDescent="0.25">
      <c r="A171" s="1310">
        <v>41518</v>
      </c>
      <c r="B171" s="1315"/>
      <c r="C171" s="1316"/>
      <c r="D171" s="1315"/>
      <c r="E171" s="1287"/>
      <c r="F171" s="1288"/>
      <c r="G171" s="1284"/>
      <c r="H171" s="1284"/>
    </row>
    <row r="172" spans="1:9" ht="20.25" hidden="1" customHeight="1" thickTop="1" x14ac:dyDescent="0.25">
      <c r="A172" s="1310">
        <v>41456</v>
      </c>
      <c r="B172" s="1312">
        <v>11</v>
      </c>
      <c r="C172" s="1313">
        <v>44.7</v>
      </c>
      <c r="D172" s="1312" t="s">
        <v>1021</v>
      </c>
      <c r="E172" s="1287"/>
      <c r="F172" s="1288"/>
      <c r="G172" s="1284"/>
      <c r="H172" s="1284"/>
    </row>
    <row r="173" spans="1:9" ht="20.25" hidden="1" customHeight="1" thickTop="1" x14ac:dyDescent="0.25">
      <c r="A173" s="1310">
        <v>41487</v>
      </c>
      <c r="B173" s="1312">
        <v>4</v>
      </c>
      <c r="C173" s="1313">
        <v>17.2</v>
      </c>
      <c r="D173" s="1312" t="s">
        <v>1022</v>
      </c>
      <c r="E173" s="1287"/>
      <c r="F173" s="1288"/>
      <c r="G173" s="1284"/>
      <c r="H173" s="1284"/>
    </row>
    <row r="174" spans="1:9" ht="20.25" hidden="1" customHeight="1" thickTop="1" x14ac:dyDescent="0.25">
      <c r="A174" s="1310">
        <v>41518</v>
      </c>
      <c r="B174" s="1312">
        <v>16</v>
      </c>
      <c r="C174" s="1313">
        <v>595.20000000000005</v>
      </c>
      <c r="D174" s="1312" t="s">
        <v>1023</v>
      </c>
      <c r="E174" s="1287"/>
      <c r="F174" s="1288"/>
      <c r="G174" s="1284"/>
      <c r="H174" s="1284"/>
    </row>
    <row r="175" spans="1:9" ht="20.25" hidden="1" customHeight="1" thickTop="1" x14ac:dyDescent="0.25">
      <c r="A175" s="1310">
        <v>41548</v>
      </c>
      <c r="B175" s="1312">
        <v>1</v>
      </c>
      <c r="C175" s="1313">
        <v>1.1000000000000001</v>
      </c>
      <c r="D175" s="1317">
        <v>2.4</v>
      </c>
      <c r="E175" s="1287"/>
      <c r="F175" s="1288"/>
      <c r="G175" s="1284"/>
      <c r="H175" s="1284"/>
    </row>
    <row r="176" spans="1:9" ht="20.25" hidden="1" customHeight="1" thickTop="1" x14ac:dyDescent="0.25">
      <c r="A176" s="1310">
        <v>41579</v>
      </c>
      <c r="B176" s="1312">
        <v>9</v>
      </c>
      <c r="C176" s="1313">
        <v>339.8</v>
      </c>
      <c r="D176" s="1317" t="s">
        <v>1024</v>
      </c>
      <c r="E176" s="1287"/>
      <c r="F176" s="1288"/>
      <c r="G176" s="1284"/>
      <c r="H176" s="1284"/>
    </row>
    <row r="177" spans="1:8" ht="20.25" hidden="1" customHeight="1" thickTop="1" x14ac:dyDescent="0.25">
      <c r="A177" s="1310">
        <v>41609</v>
      </c>
      <c r="B177" s="1312">
        <v>16</v>
      </c>
      <c r="C177" s="1313">
        <v>110.7</v>
      </c>
      <c r="D177" s="1317" t="s">
        <v>1025</v>
      </c>
      <c r="E177" s="1287"/>
      <c r="F177" s="1288"/>
      <c r="G177" s="1284"/>
      <c r="H177" s="1284"/>
    </row>
    <row r="178" spans="1:8" ht="20.25" hidden="1" customHeight="1" thickTop="1" x14ac:dyDescent="0.25">
      <c r="A178" s="1310">
        <v>41640</v>
      </c>
      <c r="B178" s="1312">
        <v>11</v>
      </c>
      <c r="C178" s="1313">
        <v>430.6</v>
      </c>
      <c r="D178" s="1317" t="s">
        <v>1026</v>
      </c>
      <c r="E178" s="1287"/>
      <c r="F178" s="1288"/>
      <c r="G178" s="1284"/>
      <c r="H178" s="1284"/>
    </row>
    <row r="179" spans="1:8" ht="20.25" hidden="1" customHeight="1" thickTop="1" x14ac:dyDescent="0.25">
      <c r="A179" s="1310">
        <v>41671</v>
      </c>
      <c r="B179" s="1312">
        <v>17</v>
      </c>
      <c r="C179" s="1313">
        <v>527.20000000000005</v>
      </c>
      <c r="D179" s="1317" t="s">
        <v>1027</v>
      </c>
      <c r="E179" s="1287"/>
      <c r="F179" s="1288"/>
      <c r="G179" s="1284"/>
      <c r="H179" s="1284"/>
    </row>
    <row r="180" spans="1:8" ht="20.25" hidden="1" customHeight="1" thickTop="1" x14ac:dyDescent="0.25">
      <c r="A180" s="1310">
        <v>41699</v>
      </c>
      <c r="B180" s="1312">
        <v>8</v>
      </c>
      <c r="C180" s="1313">
        <v>830</v>
      </c>
      <c r="D180" s="1317" t="s">
        <v>1028</v>
      </c>
      <c r="E180" s="1287"/>
      <c r="F180" s="1288"/>
      <c r="G180" s="1284"/>
      <c r="H180" s="1284"/>
    </row>
    <row r="181" spans="1:8" ht="20.25" hidden="1" customHeight="1" thickTop="1" x14ac:dyDescent="0.25">
      <c r="A181" s="1310">
        <v>41730</v>
      </c>
      <c r="B181" s="1312">
        <v>30</v>
      </c>
      <c r="C181" s="1318">
        <v>1546.4</v>
      </c>
      <c r="D181" s="1317" t="s">
        <v>1029</v>
      </c>
      <c r="E181" s="1287"/>
      <c r="F181" s="1288"/>
      <c r="G181" s="1284"/>
      <c r="H181" s="1284"/>
    </row>
    <row r="182" spans="1:8" ht="20.25" hidden="1" customHeight="1" thickTop="1" x14ac:dyDescent="0.25">
      <c r="A182" s="1310">
        <v>41760</v>
      </c>
      <c r="B182" s="1312">
        <v>15</v>
      </c>
      <c r="C182" s="1318">
        <v>1237.7</v>
      </c>
      <c r="D182" s="1317" t="s">
        <v>1030</v>
      </c>
      <c r="E182" s="1287"/>
      <c r="F182" s="1288"/>
      <c r="G182" s="1284"/>
      <c r="H182" s="1284"/>
    </row>
    <row r="183" spans="1:8" ht="20.25" hidden="1" customHeight="1" thickTop="1" x14ac:dyDescent="0.25">
      <c r="A183" s="1310">
        <v>41791</v>
      </c>
      <c r="B183" s="1312">
        <v>20</v>
      </c>
      <c r="C183" s="1318">
        <f>1556.3+8.1</f>
        <v>1564.3999999999999</v>
      </c>
      <c r="D183" s="1317" t="s">
        <v>1031</v>
      </c>
      <c r="E183" s="1287"/>
      <c r="F183" s="1288"/>
      <c r="G183" s="1284"/>
      <c r="H183" s="1284"/>
    </row>
    <row r="184" spans="1:8" ht="20.25" hidden="1" customHeight="1" thickTop="1" x14ac:dyDescent="0.25">
      <c r="A184" s="1310">
        <v>41821</v>
      </c>
      <c r="B184" s="1312">
        <v>30</v>
      </c>
      <c r="C184" s="1318">
        <v>1580.2</v>
      </c>
      <c r="D184" s="1317" t="s">
        <v>1032</v>
      </c>
      <c r="E184" s="1287"/>
      <c r="F184" s="1288"/>
      <c r="G184" s="1284"/>
      <c r="H184" s="1284"/>
    </row>
    <row r="185" spans="1:8" ht="20.25" hidden="1" customHeight="1" thickTop="1" x14ac:dyDescent="0.25">
      <c r="A185" s="1310">
        <v>41852</v>
      </c>
      <c r="B185" s="1312">
        <v>19</v>
      </c>
      <c r="C185" s="1318">
        <v>1068.5999999999999</v>
      </c>
      <c r="D185" s="1317" t="s">
        <v>1033</v>
      </c>
      <c r="E185" s="1287"/>
      <c r="F185" s="1288"/>
      <c r="G185" s="1284"/>
      <c r="H185" s="1284"/>
    </row>
    <row r="186" spans="1:8" ht="20.25" hidden="1" customHeight="1" thickTop="1" x14ac:dyDescent="0.25">
      <c r="A186" s="1310">
        <v>41883</v>
      </c>
      <c r="B186" s="1312">
        <v>5</v>
      </c>
      <c r="C186" s="1318">
        <v>223.1</v>
      </c>
      <c r="D186" s="1317" t="s">
        <v>1034</v>
      </c>
      <c r="E186" s="1287"/>
      <c r="F186" s="1288"/>
      <c r="G186" s="1284"/>
      <c r="H186" s="1284"/>
    </row>
    <row r="187" spans="1:8" ht="20.25" hidden="1" customHeight="1" thickTop="1" x14ac:dyDescent="0.25">
      <c r="A187" s="1310">
        <v>41913</v>
      </c>
      <c r="B187" s="1312">
        <v>14</v>
      </c>
      <c r="C187" s="1318">
        <v>999.6</v>
      </c>
      <c r="D187" s="1317" t="s">
        <v>1035</v>
      </c>
      <c r="E187" s="1287"/>
      <c r="F187" s="1288"/>
      <c r="G187" s="1284"/>
      <c r="H187" s="1284"/>
    </row>
    <row r="188" spans="1:8" ht="20.25" hidden="1" customHeight="1" thickTop="1" x14ac:dyDescent="0.25">
      <c r="A188" s="1310">
        <v>41944</v>
      </c>
      <c r="B188" s="1312">
        <v>16</v>
      </c>
      <c r="C188" s="1318">
        <v>1149.8</v>
      </c>
      <c r="D188" s="1317" t="s">
        <v>1036</v>
      </c>
      <c r="E188" s="1287"/>
      <c r="F188" s="1288"/>
      <c r="G188" s="1284"/>
      <c r="H188" s="1284"/>
    </row>
    <row r="189" spans="1:8" ht="20.25" hidden="1" customHeight="1" thickTop="1" x14ac:dyDescent="0.25">
      <c r="A189" s="1310">
        <v>41974</v>
      </c>
      <c r="B189" s="1312">
        <v>12</v>
      </c>
      <c r="C189" s="1318">
        <v>516.20000000000005</v>
      </c>
      <c r="D189" s="1317" t="s">
        <v>1037</v>
      </c>
      <c r="E189" s="1287"/>
      <c r="F189" s="1288"/>
      <c r="G189" s="1284"/>
      <c r="H189" s="1284"/>
    </row>
    <row r="190" spans="1:8" ht="20.25" hidden="1" customHeight="1" thickTop="1" x14ac:dyDescent="0.25">
      <c r="A190" s="1310">
        <v>42005</v>
      </c>
      <c r="B190" s="1312">
        <v>3</v>
      </c>
      <c r="C190" s="1318">
        <v>210</v>
      </c>
      <c r="D190" s="1317" t="s">
        <v>1038</v>
      </c>
      <c r="E190" s="1287"/>
      <c r="F190" s="1288"/>
      <c r="G190" s="1284"/>
      <c r="H190" s="1284"/>
    </row>
    <row r="191" spans="1:8" ht="20.25" hidden="1" customHeight="1" thickTop="1" x14ac:dyDescent="0.25">
      <c r="A191" s="1310">
        <v>42036</v>
      </c>
      <c r="B191" s="1312">
        <v>33</v>
      </c>
      <c r="C191" s="1318">
        <v>1374.8</v>
      </c>
      <c r="D191" s="1317" t="s">
        <v>1039</v>
      </c>
      <c r="E191" s="1287"/>
      <c r="F191" s="1288"/>
      <c r="G191" s="1284"/>
      <c r="H191" s="1284"/>
    </row>
    <row r="192" spans="1:8" ht="20.25" hidden="1" customHeight="1" thickTop="1" x14ac:dyDescent="0.25">
      <c r="A192" s="1310">
        <v>42064</v>
      </c>
      <c r="B192" s="1312">
        <v>19</v>
      </c>
      <c r="C192" s="1318">
        <v>894.1</v>
      </c>
      <c r="D192" s="1317" t="s">
        <v>1040</v>
      </c>
      <c r="E192" s="1287"/>
      <c r="F192" s="1288"/>
      <c r="G192" s="1284"/>
      <c r="H192" s="1284"/>
    </row>
    <row r="193" spans="1:8" ht="20.25" hidden="1" customHeight="1" thickTop="1" x14ac:dyDescent="0.25">
      <c r="A193" s="1310">
        <v>42095</v>
      </c>
      <c r="B193" s="1312">
        <v>26</v>
      </c>
      <c r="C193" s="1318">
        <v>1924.9</v>
      </c>
      <c r="D193" s="1317" t="s">
        <v>1041</v>
      </c>
      <c r="E193" s="1287"/>
      <c r="F193" s="1288"/>
      <c r="G193" s="1284"/>
      <c r="H193" s="1284"/>
    </row>
    <row r="194" spans="1:8" ht="20.25" customHeight="1" thickTop="1" x14ac:dyDescent="0.25">
      <c r="A194" s="1310">
        <v>42125</v>
      </c>
      <c r="B194" s="1312">
        <v>7</v>
      </c>
      <c r="C194" s="1318">
        <v>433.8</v>
      </c>
      <c r="D194" s="1317" t="s">
        <v>1042</v>
      </c>
      <c r="E194" s="1287"/>
      <c r="F194" s="1288"/>
      <c r="G194" s="1284"/>
      <c r="H194" s="1284"/>
    </row>
    <row r="195" spans="1:8" ht="20.25" customHeight="1" x14ac:dyDescent="0.25">
      <c r="A195" s="1310">
        <v>42156</v>
      </c>
      <c r="B195" s="1312">
        <v>29</v>
      </c>
      <c r="C195" s="1318">
        <v>1436.1</v>
      </c>
      <c r="D195" s="1317" t="s">
        <v>1043</v>
      </c>
      <c r="E195" s="1287"/>
      <c r="F195" s="1288"/>
      <c r="G195" s="1284"/>
      <c r="H195" s="1284"/>
    </row>
    <row r="196" spans="1:8" ht="20.25" customHeight="1" x14ac:dyDescent="0.25">
      <c r="A196" s="1310">
        <v>42186</v>
      </c>
      <c r="B196" s="1312">
        <v>48</v>
      </c>
      <c r="C196" s="1318">
        <v>2472.6</v>
      </c>
      <c r="D196" s="1317" t="s">
        <v>1044</v>
      </c>
      <c r="E196" s="1287"/>
      <c r="F196" s="1288"/>
      <c r="G196" s="1284"/>
      <c r="H196" s="1284"/>
    </row>
    <row r="197" spans="1:8" ht="20.25" customHeight="1" x14ac:dyDescent="0.25">
      <c r="A197" s="1310">
        <v>42217</v>
      </c>
      <c r="B197" s="1312">
        <v>16</v>
      </c>
      <c r="C197" s="1318">
        <v>571.29999999999995</v>
      </c>
      <c r="D197" s="1317" t="s">
        <v>1045</v>
      </c>
      <c r="E197" s="1287"/>
      <c r="F197" s="1288"/>
      <c r="G197" s="1284"/>
      <c r="H197" s="1284"/>
    </row>
    <row r="198" spans="1:8" ht="20.25" customHeight="1" x14ac:dyDescent="0.25">
      <c r="A198" s="1310">
        <v>42248</v>
      </c>
      <c r="B198" s="1312">
        <v>16</v>
      </c>
      <c r="C198" s="1318">
        <v>1291.3</v>
      </c>
      <c r="D198" s="1317" t="s">
        <v>876</v>
      </c>
      <c r="E198" s="1287"/>
      <c r="F198" s="1288"/>
      <c r="G198" s="1284"/>
      <c r="H198" s="1284"/>
    </row>
    <row r="199" spans="1:8" ht="20.25" customHeight="1" x14ac:dyDescent="0.25">
      <c r="A199" s="1310">
        <v>42278</v>
      </c>
      <c r="B199" s="1312">
        <v>39</v>
      </c>
      <c r="C199" s="1318">
        <v>1823.8</v>
      </c>
      <c r="D199" s="1317" t="s">
        <v>1046</v>
      </c>
      <c r="E199" s="1287"/>
      <c r="F199" s="1288"/>
      <c r="G199" s="1284"/>
      <c r="H199" s="1284"/>
    </row>
    <row r="200" spans="1:8" ht="20.25" customHeight="1" x14ac:dyDescent="0.25">
      <c r="A200" s="1310">
        <v>42309</v>
      </c>
      <c r="B200" s="1312">
        <v>32</v>
      </c>
      <c r="C200" s="1318">
        <v>1357.6</v>
      </c>
      <c r="D200" s="1317" t="s">
        <v>1047</v>
      </c>
      <c r="E200" s="1287"/>
      <c r="F200" s="1288"/>
      <c r="G200" s="1284"/>
      <c r="H200" s="1284"/>
    </row>
    <row r="201" spans="1:8" ht="20.25" customHeight="1" x14ac:dyDescent="0.25">
      <c r="A201" s="1310">
        <v>42339</v>
      </c>
      <c r="B201" s="1312">
        <v>31</v>
      </c>
      <c r="C201" s="1318">
        <v>1051</v>
      </c>
      <c r="D201" s="1317" t="s">
        <v>1048</v>
      </c>
      <c r="E201" s="1287"/>
      <c r="F201" s="1288"/>
      <c r="G201" s="1284"/>
      <c r="H201" s="1284"/>
    </row>
    <row r="202" spans="1:8" ht="20.25" customHeight="1" x14ac:dyDescent="0.25">
      <c r="A202" s="1310">
        <v>42370</v>
      </c>
      <c r="B202" s="1312">
        <v>55</v>
      </c>
      <c r="C202" s="1318">
        <v>3186.6</v>
      </c>
      <c r="D202" s="1317" t="s">
        <v>1049</v>
      </c>
      <c r="E202" s="1287"/>
      <c r="F202" s="1288"/>
      <c r="G202" s="1284"/>
      <c r="H202" s="1284"/>
    </row>
    <row r="203" spans="1:8" ht="20.25" customHeight="1" x14ac:dyDescent="0.25">
      <c r="A203" s="1310">
        <v>42401</v>
      </c>
      <c r="B203" s="1312">
        <v>58</v>
      </c>
      <c r="C203" s="1318">
        <v>1996.5</v>
      </c>
      <c r="D203" s="1317" t="s">
        <v>1050</v>
      </c>
      <c r="E203" s="1287"/>
      <c r="F203" s="1288"/>
      <c r="G203" s="1284"/>
      <c r="H203" s="1284"/>
    </row>
    <row r="204" spans="1:8" ht="20.25" customHeight="1" x14ac:dyDescent="0.25">
      <c r="A204" s="1310">
        <v>42430</v>
      </c>
      <c r="B204" s="1312">
        <v>35</v>
      </c>
      <c r="C204" s="1318">
        <v>1296</v>
      </c>
      <c r="D204" s="1317" t="s">
        <v>1051</v>
      </c>
      <c r="E204" s="1287"/>
      <c r="F204" s="1288"/>
      <c r="G204" s="1284"/>
      <c r="H204" s="1284"/>
    </row>
    <row r="205" spans="1:8" ht="20.25" customHeight="1" x14ac:dyDescent="0.25">
      <c r="A205" s="1310">
        <v>42461</v>
      </c>
      <c r="B205" s="1312">
        <v>44</v>
      </c>
      <c r="C205" s="1318">
        <v>1512.8</v>
      </c>
      <c r="D205" s="1317" t="s">
        <v>1052</v>
      </c>
      <c r="E205" s="1287"/>
      <c r="F205" s="1288"/>
      <c r="G205" s="1284"/>
      <c r="H205" s="1284"/>
    </row>
    <row r="206" spans="1:8" ht="20.25" customHeight="1" thickBot="1" x14ac:dyDescent="0.3">
      <c r="A206" s="1319">
        <v>42491</v>
      </c>
      <c r="B206" s="1278">
        <v>64</v>
      </c>
      <c r="C206" s="1320">
        <v>2442.4</v>
      </c>
      <c r="D206" s="1321" t="s">
        <v>877</v>
      </c>
      <c r="E206" s="1287"/>
      <c r="F206" s="1288"/>
      <c r="G206" s="1284"/>
      <c r="H206" s="1284"/>
    </row>
    <row r="207" spans="1:8" ht="13.5" customHeight="1" x14ac:dyDescent="0.25">
      <c r="A207" s="1322"/>
      <c r="B207" s="1322"/>
      <c r="C207" s="1322"/>
      <c r="D207" s="1323"/>
      <c r="E207" s="1287"/>
      <c r="F207" s="1288"/>
      <c r="G207" s="1284"/>
      <c r="H207" s="1284"/>
    </row>
    <row r="208" spans="1:8" ht="13.5" customHeight="1" x14ac:dyDescent="0.25">
      <c r="A208" s="1324" t="s">
        <v>1053</v>
      </c>
      <c r="B208" s="1322"/>
      <c r="C208" s="1322"/>
      <c r="D208" s="1323"/>
      <c r="E208" s="1287"/>
      <c r="F208" s="1288"/>
      <c r="G208" s="1284"/>
      <c r="H208" s="1284"/>
    </row>
    <row r="209" spans="1:8" ht="15" customHeight="1" x14ac:dyDescent="0.25">
      <c r="A209" s="1289" t="s">
        <v>656</v>
      </c>
      <c r="B209" s="1285"/>
      <c r="C209" s="1285"/>
      <c r="D209" s="1286"/>
      <c r="E209" s="1287"/>
      <c r="F209" s="1288"/>
      <c r="G209" s="1284"/>
      <c r="H209" s="1284"/>
    </row>
  </sheetData>
  <mergeCells count="1">
    <mergeCell ref="A17:B17"/>
  </mergeCells>
  <printOptions horizontalCentered="1"/>
  <pageMargins left="0.27559055118110237" right="0" top="0.55118110236220474" bottom="0" header="0.15748031496062992" footer="0"/>
  <pageSetup paperSize="9" scale="8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T35"/>
  <sheetViews>
    <sheetView topLeftCell="A19" zoomScaleNormal="100" workbookViewId="0">
      <selection activeCell="J21" sqref="J21"/>
    </sheetView>
  </sheetViews>
  <sheetFormatPr defaultColWidth="11.42578125" defaultRowHeight="12.75" x14ac:dyDescent="0.2"/>
  <cols>
    <col min="1" max="1" width="14.85546875" style="1334" customWidth="1"/>
    <col min="2" max="3" width="12.5703125" style="1334" customWidth="1"/>
    <col min="4" max="4" width="12.140625" style="1334" customWidth="1"/>
    <col min="5" max="5" width="14" style="1334" bestFit="1" customWidth="1"/>
    <col min="6" max="6" width="13.5703125" style="1334" bestFit="1" customWidth="1"/>
    <col min="7" max="7" width="10.5703125" style="1334" bestFit="1" customWidth="1"/>
    <col min="8" max="8" width="11.85546875" style="1334" bestFit="1" customWidth="1"/>
    <col min="9" max="9" width="5.7109375" style="1334" customWidth="1"/>
    <col min="10" max="10" width="11.42578125" style="1334" customWidth="1"/>
    <col min="11" max="20" width="11.42578125" style="1329" customWidth="1"/>
    <col min="21" max="256" width="11.42578125" style="1334"/>
    <col min="257" max="257" width="14.85546875" style="1334" customWidth="1"/>
    <col min="258" max="259" width="12.5703125" style="1334" customWidth="1"/>
    <col min="260" max="260" width="12.140625" style="1334" customWidth="1"/>
    <col min="261" max="261" width="14" style="1334" bestFit="1" customWidth="1"/>
    <col min="262" max="262" width="13.5703125" style="1334" bestFit="1" customWidth="1"/>
    <col min="263" max="263" width="10.5703125" style="1334" bestFit="1" customWidth="1"/>
    <col min="264" max="264" width="11.85546875" style="1334" bestFit="1" customWidth="1"/>
    <col min="265" max="265" width="5.7109375" style="1334" customWidth="1"/>
    <col min="266" max="276" width="11.42578125" style="1334" customWidth="1"/>
    <col min="277" max="512" width="11.42578125" style="1334"/>
    <col min="513" max="513" width="14.85546875" style="1334" customWidth="1"/>
    <col min="514" max="515" width="12.5703125" style="1334" customWidth="1"/>
    <col min="516" max="516" width="12.140625" style="1334" customWidth="1"/>
    <col min="517" max="517" width="14" style="1334" bestFit="1" customWidth="1"/>
    <col min="518" max="518" width="13.5703125" style="1334" bestFit="1" customWidth="1"/>
    <col min="519" max="519" width="10.5703125" style="1334" bestFit="1" customWidth="1"/>
    <col min="520" max="520" width="11.85546875" style="1334" bestFit="1" customWidth="1"/>
    <col min="521" max="521" width="5.7109375" style="1334" customWidth="1"/>
    <col min="522" max="532" width="11.42578125" style="1334" customWidth="1"/>
    <col min="533" max="768" width="11.42578125" style="1334"/>
    <col min="769" max="769" width="14.85546875" style="1334" customWidth="1"/>
    <col min="770" max="771" width="12.5703125" style="1334" customWidth="1"/>
    <col min="772" max="772" width="12.140625" style="1334" customWidth="1"/>
    <col min="773" max="773" width="14" style="1334" bestFit="1" customWidth="1"/>
    <col min="774" max="774" width="13.5703125" style="1334" bestFit="1" customWidth="1"/>
    <col min="775" max="775" width="10.5703125" style="1334" bestFit="1" customWidth="1"/>
    <col min="776" max="776" width="11.85546875" style="1334" bestFit="1" customWidth="1"/>
    <col min="777" max="777" width="5.7109375" style="1334" customWidth="1"/>
    <col min="778" max="788" width="11.42578125" style="1334" customWidth="1"/>
    <col min="789" max="1024" width="11.42578125" style="1334"/>
    <col min="1025" max="1025" width="14.85546875" style="1334" customWidth="1"/>
    <col min="1026" max="1027" width="12.5703125" style="1334" customWidth="1"/>
    <col min="1028" max="1028" width="12.140625" style="1334" customWidth="1"/>
    <col min="1029" max="1029" width="14" style="1334" bestFit="1" customWidth="1"/>
    <col min="1030" max="1030" width="13.5703125" style="1334" bestFit="1" customWidth="1"/>
    <col min="1031" max="1031" width="10.5703125" style="1334" bestFit="1" customWidth="1"/>
    <col min="1032" max="1032" width="11.85546875" style="1334" bestFit="1" customWidth="1"/>
    <col min="1033" max="1033" width="5.7109375" style="1334" customWidth="1"/>
    <col min="1034" max="1044" width="11.42578125" style="1334" customWidth="1"/>
    <col min="1045" max="1280" width="11.42578125" style="1334"/>
    <col min="1281" max="1281" width="14.85546875" style="1334" customWidth="1"/>
    <col min="1282" max="1283" width="12.5703125" style="1334" customWidth="1"/>
    <col min="1284" max="1284" width="12.140625" style="1334" customWidth="1"/>
    <col min="1285" max="1285" width="14" style="1334" bestFit="1" customWidth="1"/>
    <col min="1286" max="1286" width="13.5703125" style="1334" bestFit="1" customWidth="1"/>
    <col min="1287" max="1287" width="10.5703125" style="1334" bestFit="1" customWidth="1"/>
    <col min="1288" max="1288" width="11.85546875" style="1334" bestFit="1" customWidth="1"/>
    <col min="1289" max="1289" width="5.7109375" style="1334" customWidth="1"/>
    <col min="1290" max="1300" width="11.42578125" style="1334" customWidth="1"/>
    <col min="1301" max="1536" width="11.42578125" style="1334"/>
    <col min="1537" max="1537" width="14.85546875" style="1334" customWidth="1"/>
    <col min="1538" max="1539" width="12.5703125" style="1334" customWidth="1"/>
    <col min="1540" max="1540" width="12.140625" style="1334" customWidth="1"/>
    <col min="1541" max="1541" width="14" style="1334" bestFit="1" customWidth="1"/>
    <col min="1542" max="1542" width="13.5703125" style="1334" bestFit="1" customWidth="1"/>
    <col min="1543" max="1543" width="10.5703125" style="1334" bestFit="1" customWidth="1"/>
    <col min="1544" max="1544" width="11.85546875" style="1334" bestFit="1" customWidth="1"/>
    <col min="1545" max="1545" width="5.7109375" style="1334" customWidth="1"/>
    <col min="1546" max="1556" width="11.42578125" style="1334" customWidth="1"/>
    <col min="1557" max="1792" width="11.42578125" style="1334"/>
    <col min="1793" max="1793" width="14.85546875" style="1334" customWidth="1"/>
    <col min="1794" max="1795" width="12.5703125" style="1334" customWidth="1"/>
    <col min="1796" max="1796" width="12.140625" style="1334" customWidth="1"/>
    <col min="1797" max="1797" width="14" style="1334" bestFit="1" customWidth="1"/>
    <col min="1798" max="1798" width="13.5703125" style="1334" bestFit="1" customWidth="1"/>
    <col min="1799" max="1799" width="10.5703125" style="1334" bestFit="1" customWidth="1"/>
    <col min="1800" max="1800" width="11.85546875" style="1334" bestFit="1" customWidth="1"/>
    <col min="1801" max="1801" width="5.7109375" style="1334" customWidth="1"/>
    <col min="1802" max="1812" width="11.42578125" style="1334" customWidth="1"/>
    <col min="1813" max="2048" width="11.42578125" style="1334"/>
    <col min="2049" max="2049" width="14.85546875" style="1334" customWidth="1"/>
    <col min="2050" max="2051" width="12.5703125" style="1334" customWidth="1"/>
    <col min="2052" max="2052" width="12.140625" style="1334" customWidth="1"/>
    <col min="2053" max="2053" width="14" style="1334" bestFit="1" customWidth="1"/>
    <col min="2054" max="2054" width="13.5703125" style="1334" bestFit="1" customWidth="1"/>
    <col min="2055" max="2055" width="10.5703125" style="1334" bestFit="1" customWidth="1"/>
    <col min="2056" max="2056" width="11.85546875" style="1334" bestFit="1" customWidth="1"/>
    <col min="2057" max="2057" width="5.7109375" style="1334" customWidth="1"/>
    <col min="2058" max="2068" width="11.42578125" style="1334" customWidth="1"/>
    <col min="2069" max="2304" width="11.42578125" style="1334"/>
    <col min="2305" max="2305" width="14.85546875" style="1334" customWidth="1"/>
    <col min="2306" max="2307" width="12.5703125" style="1334" customWidth="1"/>
    <col min="2308" max="2308" width="12.140625" style="1334" customWidth="1"/>
    <col min="2309" max="2309" width="14" style="1334" bestFit="1" customWidth="1"/>
    <col min="2310" max="2310" width="13.5703125" style="1334" bestFit="1" customWidth="1"/>
    <col min="2311" max="2311" width="10.5703125" style="1334" bestFit="1" customWidth="1"/>
    <col min="2312" max="2312" width="11.85546875" style="1334" bestFit="1" customWidth="1"/>
    <col min="2313" max="2313" width="5.7109375" style="1334" customWidth="1"/>
    <col min="2314" max="2324" width="11.42578125" style="1334" customWidth="1"/>
    <col min="2325" max="2560" width="11.42578125" style="1334"/>
    <col min="2561" max="2561" width="14.85546875" style="1334" customWidth="1"/>
    <col min="2562" max="2563" width="12.5703125" style="1334" customWidth="1"/>
    <col min="2564" max="2564" width="12.140625" style="1334" customWidth="1"/>
    <col min="2565" max="2565" width="14" style="1334" bestFit="1" customWidth="1"/>
    <col min="2566" max="2566" width="13.5703125" style="1334" bestFit="1" customWidth="1"/>
    <col min="2567" max="2567" width="10.5703125" style="1334" bestFit="1" customWidth="1"/>
    <col min="2568" max="2568" width="11.85546875" style="1334" bestFit="1" customWidth="1"/>
    <col min="2569" max="2569" width="5.7109375" style="1334" customWidth="1"/>
    <col min="2570" max="2580" width="11.42578125" style="1334" customWidth="1"/>
    <col min="2581" max="2816" width="11.42578125" style="1334"/>
    <col min="2817" max="2817" width="14.85546875" style="1334" customWidth="1"/>
    <col min="2818" max="2819" width="12.5703125" style="1334" customWidth="1"/>
    <col min="2820" max="2820" width="12.140625" style="1334" customWidth="1"/>
    <col min="2821" max="2821" width="14" style="1334" bestFit="1" customWidth="1"/>
    <col min="2822" max="2822" width="13.5703125" style="1334" bestFit="1" customWidth="1"/>
    <col min="2823" max="2823" width="10.5703125" style="1334" bestFit="1" customWidth="1"/>
    <col min="2824" max="2824" width="11.85546875" style="1334" bestFit="1" customWidth="1"/>
    <col min="2825" max="2825" width="5.7109375" style="1334" customWidth="1"/>
    <col min="2826" max="2836" width="11.42578125" style="1334" customWidth="1"/>
    <col min="2837" max="3072" width="11.42578125" style="1334"/>
    <col min="3073" max="3073" width="14.85546875" style="1334" customWidth="1"/>
    <col min="3074" max="3075" width="12.5703125" style="1334" customWidth="1"/>
    <col min="3076" max="3076" width="12.140625" style="1334" customWidth="1"/>
    <col min="3077" max="3077" width="14" style="1334" bestFit="1" customWidth="1"/>
    <col min="3078" max="3078" width="13.5703125" style="1334" bestFit="1" customWidth="1"/>
    <col min="3079" max="3079" width="10.5703125" style="1334" bestFit="1" customWidth="1"/>
    <col min="3080" max="3080" width="11.85546875" style="1334" bestFit="1" customWidth="1"/>
    <col min="3081" max="3081" width="5.7109375" style="1334" customWidth="1"/>
    <col min="3082" max="3092" width="11.42578125" style="1334" customWidth="1"/>
    <col min="3093" max="3328" width="11.42578125" style="1334"/>
    <col min="3329" max="3329" width="14.85546875" style="1334" customWidth="1"/>
    <col min="3330" max="3331" width="12.5703125" style="1334" customWidth="1"/>
    <col min="3332" max="3332" width="12.140625" style="1334" customWidth="1"/>
    <col min="3333" max="3333" width="14" style="1334" bestFit="1" customWidth="1"/>
    <col min="3334" max="3334" width="13.5703125" style="1334" bestFit="1" customWidth="1"/>
    <col min="3335" max="3335" width="10.5703125" style="1334" bestFit="1" customWidth="1"/>
    <col min="3336" max="3336" width="11.85546875" style="1334" bestFit="1" customWidth="1"/>
    <col min="3337" max="3337" width="5.7109375" style="1334" customWidth="1"/>
    <col min="3338" max="3348" width="11.42578125" style="1334" customWidth="1"/>
    <col min="3349" max="3584" width="11.42578125" style="1334"/>
    <col min="3585" max="3585" width="14.85546875" style="1334" customWidth="1"/>
    <col min="3586" max="3587" width="12.5703125" style="1334" customWidth="1"/>
    <col min="3588" max="3588" width="12.140625" style="1334" customWidth="1"/>
    <col min="3589" max="3589" width="14" style="1334" bestFit="1" customWidth="1"/>
    <col min="3590" max="3590" width="13.5703125" style="1334" bestFit="1" customWidth="1"/>
    <col min="3591" max="3591" width="10.5703125" style="1334" bestFit="1" customWidth="1"/>
    <col min="3592" max="3592" width="11.85546875" style="1334" bestFit="1" customWidth="1"/>
    <col min="3593" max="3593" width="5.7109375" style="1334" customWidth="1"/>
    <col min="3594" max="3604" width="11.42578125" style="1334" customWidth="1"/>
    <col min="3605" max="3840" width="11.42578125" style="1334"/>
    <col min="3841" max="3841" width="14.85546875" style="1334" customWidth="1"/>
    <col min="3842" max="3843" width="12.5703125" style="1334" customWidth="1"/>
    <col min="3844" max="3844" width="12.140625" style="1334" customWidth="1"/>
    <col min="3845" max="3845" width="14" style="1334" bestFit="1" customWidth="1"/>
    <col min="3846" max="3846" width="13.5703125" style="1334" bestFit="1" customWidth="1"/>
    <col min="3847" max="3847" width="10.5703125" style="1334" bestFit="1" customWidth="1"/>
    <col min="3848" max="3848" width="11.85546875" style="1334" bestFit="1" customWidth="1"/>
    <col min="3849" max="3849" width="5.7109375" style="1334" customWidth="1"/>
    <col min="3850" max="3860" width="11.42578125" style="1334" customWidth="1"/>
    <col min="3861" max="4096" width="11.42578125" style="1334"/>
    <col min="4097" max="4097" width="14.85546875" style="1334" customWidth="1"/>
    <col min="4098" max="4099" width="12.5703125" style="1334" customWidth="1"/>
    <col min="4100" max="4100" width="12.140625" style="1334" customWidth="1"/>
    <col min="4101" max="4101" width="14" style="1334" bestFit="1" customWidth="1"/>
    <col min="4102" max="4102" width="13.5703125" style="1334" bestFit="1" customWidth="1"/>
    <col min="4103" max="4103" width="10.5703125" style="1334" bestFit="1" customWidth="1"/>
    <col min="4104" max="4104" width="11.85546875" style="1334" bestFit="1" customWidth="1"/>
    <col min="4105" max="4105" width="5.7109375" style="1334" customWidth="1"/>
    <col min="4106" max="4116" width="11.42578125" style="1334" customWidth="1"/>
    <col min="4117" max="4352" width="11.42578125" style="1334"/>
    <col min="4353" max="4353" width="14.85546875" style="1334" customWidth="1"/>
    <col min="4354" max="4355" width="12.5703125" style="1334" customWidth="1"/>
    <col min="4356" max="4356" width="12.140625" style="1334" customWidth="1"/>
    <col min="4357" max="4357" width="14" style="1334" bestFit="1" customWidth="1"/>
    <col min="4358" max="4358" width="13.5703125" style="1334" bestFit="1" customWidth="1"/>
    <col min="4359" max="4359" width="10.5703125" style="1334" bestFit="1" customWidth="1"/>
    <col min="4360" max="4360" width="11.85546875" style="1334" bestFit="1" customWidth="1"/>
    <col min="4361" max="4361" width="5.7109375" style="1334" customWidth="1"/>
    <col min="4362" max="4372" width="11.42578125" style="1334" customWidth="1"/>
    <col min="4373" max="4608" width="11.42578125" style="1334"/>
    <col min="4609" max="4609" width="14.85546875" style="1334" customWidth="1"/>
    <col min="4610" max="4611" width="12.5703125" style="1334" customWidth="1"/>
    <col min="4612" max="4612" width="12.140625" style="1334" customWidth="1"/>
    <col min="4613" max="4613" width="14" style="1334" bestFit="1" customWidth="1"/>
    <col min="4614" max="4614" width="13.5703125" style="1334" bestFit="1" customWidth="1"/>
    <col min="4615" max="4615" width="10.5703125" style="1334" bestFit="1" customWidth="1"/>
    <col min="4616" max="4616" width="11.85546875" style="1334" bestFit="1" customWidth="1"/>
    <col min="4617" max="4617" width="5.7109375" style="1334" customWidth="1"/>
    <col min="4618" max="4628" width="11.42578125" style="1334" customWidth="1"/>
    <col min="4629" max="4864" width="11.42578125" style="1334"/>
    <col min="4865" max="4865" width="14.85546875" style="1334" customWidth="1"/>
    <col min="4866" max="4867" width="12.5703125" style="1334" customWidth="1"/>
    <col min="4868" max="4868" width="12.140625" style="1334" customWidth="1"/>
    <col min="4869" max="4869" width="14" style="1334" bestFit="1" customWidth="1"/>
    <col min="4870" max="4870" width="13.5703125" style="1334" bestFit="1" customWidth="1"/>
    <col min="4871" max="4871" width="10.5703125" style="1334" bestFit="1" customWidth="1"/>
    <col min="4872" max="4872" width="11.85546875" style="1334" bestFit="1" customWidth="1"/>
    <col min="4873" max="4873" width="5.7109375" style="1334" customWidth="1"/>
    <col min="4874" max="4884" width="11.42578125" style="1334" customWidth="1"/>
    <col min="4885" max="5120" width="11.42578125" style="1334"/>
    <col min="5121" max="5121" width="14.85546875" style="1334" customWidth="1"/>
    <col min="5122" max="5123" width="12.5703125" style="1334" customWidth="1"/>
    <col min="5124" max="5124" width="12.140625" style="1334" customWidth="1"/>
    <col min="5125" max="5125" width="14" style="1334" bestFit="1" customWidth="1"/>
    <col min="5126" max="5126" width="13.5703125" style="1334" bestFit="1" customWidth="1"/>
    <col min="5127" max="5127" width="10.5703125" style="1334" bestFit="1" customWidth="1"/>
    <col min="5128" max="5128" width="11.85546875" style="1334" bestFit="1" customWidth="1"/>
    <col min="5129" max="5129" width="5.7109375" style="1334" customWidth="1"/>
    <col min="5130" max="5140" width="11.42578125" style="1334" customWidth="1"/>
    <col min="5141" max="5376" width="11.42578125" style="1334"/>
    <col min="5377" max="5377" width="14.85546875" style="1334" customWidth="1"/>
    <col min="5378" max="5379" width="12.5703125" style="1334" customWidth="1"/>
    <col min="5380" max="5380" width="12.140625" style="1334" customWidth="1"/>
    <col min="5381" max="5381" width="14" style="1334" bestFit="1" customWidth="1"/>
    <col min="5382" max="5382" width="13.5703125" style="1334" bestFit="1" customWidth="1"/>
    <col min="5383" max="5383" width="10.5703125" style="1334" bestFit="1" customWidth="1"/>
    <col min="5384" max="5384" width="11.85546875" style="1334" bestFit="1" customWidth="1"/>
    <col min="5385" max="5385" width="5.7109375" style="1334" customWidth="1"/>
    <col min="5386" max="5396" width="11.42578125" style="1334" customWidth="1"/>
    <col min="5397" max="5632" width="11.42578125" style="1334"/>
    <col min="5633" max="5633" width="14.85546875" style="1334" customWidth="1"/>
    <col min="5634" max="5635" width="12.5703125" style="1334" customWidth="1"/>
    <col min="5636" max="5636" width="12.140625" style="1334" customWidth="1"/>
    <col min="5637" max="5637" width="14" style="1334" bestFit="1" customWidth="1"/>
    <col min="5638" max="5638" width="13.5703125" style="1334" bestFit="1" customWidth="1"/>
    <col min="5639" max="5639" width="10.5703125" style="1334" bestFit="1" customWidth="1"/>
    <col min="5640" max="5640" width="11.85546875" style="1334" bestFit="1" customWidth="1"/>
    <col min="5641" max="5641" width="5.7109375" style="1334" customWidth="1"/>
    <col min="5642" max="5652" width="11.42578125" style="1334" customWidth="1"/>
    <col min="5653" max="5888" width="11.42578125" style="1334"/>
    <col min="5889" max="5889" width="14.85546875" style="1334" customWidth="1"/>
    <col min="5890" max="5891" width="12.5703125" style="1334" customWidth="1"/>
    <col min="5892" max="5892" width="12.140625" style="1334" customWidth="1"/>
    <col min="5893" max="5893" width="14" style="1334" bestFit="1" customWidth="1"/>
    <col min="5894" max="5894" width="13.5703125" style="1334" bestFit="1" customWidth="1"/>
    <col min="5895" max="5895" width="10.5703125" style="1334" bestFit="1" customWidth="1"/>
    <col min="5896" max="5896" width="11.85546875" style="1334" bestFit="1" customWidth="1"/>
    <col min="5897" max="5897" width="5.7109375" style="1334" customWidth="1"/>
    <col min="5898" max="5908" width="11.42578125" style="1334" customWidth="1"/>
    <col min="5909" max="6144" width="11.42578125" style="1334"/>
    <col min="6145" max="6145" width="14.85546875" style="1334" customWidth="1"/>
    <col min="6146" max="6147" width="12.5703125" style="1334" customWidth="1"/>
    <col min="6148" max="6148" width="12.140625" style="1334" customWidth="1"/>
    <col min="6149" max="6149" width="14" style="1334" bestFit="1" customWidth="1"/>
    <col min="6150" max="6150" width="13.5703125" style="1334" bestFit="1" customWidth="1"/>
    <col min="6151" max="6151" width="10.5703125" style="1334" bestFit="1" customWidth="1"/>
    <col min="6152" max="6152" width="11.85546875" style="1334" bestFit="1" customWidth="1"/>
    <col min="6153" max="6153" width="5.7109375" style="1334" customWidth="1"/>
    <col min="6154" max="6164" width="11.42578125" style="1334" customWidth="1"/>
    <col min="6165" max="6400" width="11.42578125" style="1334"/>
    <col min="6401" max="6401" width="14.85546875" style="1334" customWidth="1"/>
    <col min="6402" max="6403" width="12.5703125" style="1334" customWidth="1"/>
    <col min="6404" max="6404" width="12.140625" style="1334" customWidth="1"/>
    <col min="6405" max="6405" width="14" style="1334" bestFit="1" customWidth="1"/>
    <col min="6406" max="6406" width="13.5703125" style="1334" bestFit="1" customWidth="1"/>
    <col min="6407" max="6407" width="10.5703125" style="1334" bestFit="1" customWidth="1"/>
    <col min="6408" max="6408" width="11.85546875" style="1334" bestFit="1" customWidth="1"/>
    <col min="6409" max="6409" width="5.7109375" style="1334" customWidth="1"/>
    <col min="6410" max="6420" width="11.42578125" style="1334" customWidth="1"/>
    <col min="6421" max="6656" width="11.42578125" style="1334"/>
    <col min="6657" max="6657" width="14.85546875" style="1334" customWidth="1"/>
    <col min="6658" max="6659" width="12.5703125" style="1334" customWidth="1"/>
    <col min="6660" max="6660" width="12.140625" style="1334" customWidth="1"/>
    <col min="6661" max="6661" width="14" style="1334" bestFit="1" customWidth="1"/>
    <col min="6662" max="6662" width="13.5703125" style="1334" bestFit="1" customWidth="1"/>
    <col min="6663" max="6663" width="10.5703125" style="1334" bestFit="1" customWidth="1"/>
    <col min="6664" max="6664" width="11.85546875" style="1334" bestFit="1" customWidth="1"/>
    <col min="6665" max="6665" width="5.7109375" style="1334" customWidth="1"/>
    <col min="6666" max="6676" width="11.42578125" style="1334" customWidth="1"/>
    <col min="6677" max="6912" width="11.42578125" style="1334"/>
    <col min="6913" max="6913" width="14.85546875" style="1334" customWidth="1"/>
    <col min="6914" max="6915" width="12.5703125" style="1334" customWidth="1"/>
    <col min="6916" max="6916" width="12.140625" style="1334" customWidth="1"/>
    <col min="6917" max="6917" width="14" style="1334" bestFit="1" customWidth="1"/>
    <col min="6918" max="6918" width="13.5703125" style="1334" bestFit="1" customWidth="1"/>
    <col min="6919" max="6919" width="10.5703125" style="1334" bestFit="1" customWidth="1"/>
    <col min="6920" max="6920" width="11.85546875" style="1334" bestFit="1" customWidth="1"/>
    <col min="6921" max="6921" width="5.7109375" style="1334" customWidth="1"/>
    <col min="6922" max="6932" width="11.42578125" style="1334" customWidth="1"/>
    <col min="6933" max="7168" width="11.42578125" style="1334"/>
    <col min="7169" max="7169" width="14.85546875" style="1334" customWidth="1"/>
    <col min="7170" max="7171" width="12.5703125" style="1334" customWidth="1"/>
    <col min="7172" max="7172" width="12.140625" style="1334" customWidth="1"/>
    <col min="7173" max="7173" width="14" style="1334" bestFit="1" customWidth="1"/>
    <col min="7174" max="7174" width="13.5703125" style="1334" bestFit="1" customWidth="1"/>
    <col min="7175" max="7175" width="10.5703125" style="1334" bestFit="1" customWidth="1"/>
    <col min="7176" max="7176" width="11.85546875" style="1334" bestFit="1" customWidth="1"/>
    <col min="7177" max="7177" width="5.7109375" style="1334" customWidth="1"/>
    <col min="7178" max="7188" width="11.42578125" style="1334" customWidth="1"/>
    <col min="7189" max="7424" width="11.42578125" style="1334"/>
    <col min="7425" max="7425" width="14.85546875" style="1334" customWidth="1"/>
    <col min="7426" max="7427" width="12.5703125" style="1334" customWidth="1"/>
    <col min="7428" max="7428" width="12.140625" style="1334" customWidth="1"/>
    <col min="7429" max="7429" width="14" style="1334" bestFit="1" customWidth="1"/>
    <col min="7430" max="7430" width="13.5703125" style="1334" bestFit="1" customWidth="1"/>
    <col min="7431" max="7431" width="10.5703125" style="1334" bestFit="1" customWidth="1"/>
    <col min="7432" max="7432" width="11.85546875" style="1334" bestFit="1" customWidth="1"/>
    <col min="7433" max="7433" width="5.7109375" style="1334" customWidth="1"/>
    <col min="7434" max="7444" width="11.42578125" style="1334" customWidth="1"/>
    <col min="7445" max="7680" width="11.42578125" style="1334"/>
    <col min="7681" max="7681" width="14.85546875" style="1334" customWidth="1"/>
    <col min="7682" max="7683" width="12.5703125" style="1334" customWidth="1"/>
    <col min="7684" max="7684" width="12.140625" style="1334" customWidth="1"/>
    <col min="7685" max="7685" width="14" style="1334" bestFit="1" customWidth="1"/>
    <col min="7686" max="7686" width="13.5703125" style="1334" bestFit="1" customWidth="1"/>
    <col min="7687" max="7687" width="10.5703125" style="1334" bestFit="1" customWidth="1"/>
    <col min="7688" max="7688" width="11.85546875" style="1334" bestFit="1" customWidth="1"/>
    <col min="7689" max="7689" width="5.7109375" style="1334" customWidth="1"/>
    <col min="7690" max="7700" width="11.42578125" style="1334" customWidth="1"/>
    <col min="7701" max="7936" width="11.42578125" style="1334"/>
    <col min="7937" max="7937" width="14.85546875" style="1334" customWidth="1"/>
    <col min="7938" max="7939" width="12.5703125" style="1334" customWidth="1"/>
    <col min="7940" max="7940" width="12.140625" style="1334" customWidth="1"/>
    <col min="7941" max="7941" width="14" style="1334" bestFit="1" customWidth="1"/>
    <col min="7942" max="7942" width="13.5703125" style="1334" bestFit="1" customWidth="1"/>
    <col min="7943" max="7943" width="10.5703125" style="1334" bestFit="1" customWidth="1"/>
    <col min="7944" max="7944" width="11.85546875" style="1334" bestFit="1" customWidth="1"/>
    <col min="7945" max="7945" width="5.7109375" style="1334" customWidth="1"/>
    <col min="7946" max="7956" width="11.42578125" style="1334" customWidth="1"/>
    <col min="7957" max="8192" width="11.42578125" style="1334"/>
    <col min="8193" max="8193" width="14.85546875" style="1334" customWidth="1"/>
    <col min="8194" max="8195" width="12.5703125" style="1334" customWidth="1"/>
    <col min="8196" max="8196" width="12.140625" style="1334" customWidth="1"/>
    <col min="8197" max="8197" width="14" style="1334" bestFit="1" customWidth="1"/>
    <col min="8198" max="8198" width="13.5703125" style="1334" bestFit="1" customWidth="1"/>
    <col min="8199" max="8199" width="10.5703125" style="1334" bestFit="1" customWidth="1"/>
    <col min="8200" max="8200" width="11.85546875" style="1334" bestFit="1" customWidth="1"/>
    <col min="8201" max="8201" width="5.7109375" style="1334" customWidth="1"/>
    <col min="8202" max="8212" width="11.42578125" style="1334" customWidth="1"/>
    <col min="8213" max="8448" width="11.42578125" style="1334"/>
    <col min="8449" max="8449" width="14.85546875" style="1334" customWidth="1"/>
    <col min="8450" max="8451" width="12.5703125" style="1334" customWidth="1"/>
    <col min="8452" max="8452" width="12.140625" style="1334" customWidth="1"/>
    <col min="8453" max="8453" width="14" style="1334" bestFit="1" customWidth="1"/>
    <col min="8454" max="8454" width="13.5703125" style="1334" bestFit="1" customWidth="1"/>
    <col min="8455" max="8455" width="10.5703125" style="1334" bestFit="1" customWidth="1"/>
    <col min="8456" max="8456" width="11.85546875" style="1334" bestFit="1" customWidth="1"/>
    <col min="8457" max="8457" width="5.7109375" style="1334" customWidth="1"/>
    <col min="8458" max="8468" width="11.42578125" style="1334" customWidth="1"/>
    <col min="8469" max="8704" width="11.42578125" style="1334"/>
    <col min="8705" max="8705" width="14.85546875" style="1334" customWidth="1"/>
    <col min="8706" max="8707" width="12.5703125" style="1334" customWidth="1"/>
    <col min="8708" max="8708" width="12.140625" style="1334" customWidth="1"/>
    <col min="8709" max="8709" width="14" style="1334" bestFit="1" customWidth="1"/>
    <col min="8710" max="8710" width="13.5703125" style="1334" bestFit="1" customWidth="1"/>
    <col min="8711" max="8711" width="10.5703125" style="1334" bestFit="1" customWidth="1"/>
    <col min="8712" max="8712" width="11.85546875" style="1334" bestFit="1" customWidth="1"/>
    <col min="8713" max="8713" width="5.7109375" style="1334" customWidth="1"/>
    <col min="8714" max="8724" width="11.42578125" style="1334" customWidth="1"/>
    <col min="8725" max="8960" width="11.42578125" style="1334"/>
    <col min="8961" max="8961" width="14.85546875" style="1334" customWidth="1"/>
    <col min="8962" max="8963" width="12.5703125" style="1334" customWidth="1"/>
    <col min="8964" max="8964" width="12.140625" style="1334" customWidth="1"/>
    <col min="8965" max="8965" width="14" style="1334" bestFit="1" customWidth="1"/>
    <col min="8966" max="8966" width="13.5703125" style="1334" bestFit="1" customWidth="1"/>
    <col min="8967" max="8967" width="10.5703125" style="1334" bestFit="1" customWidth="1"/>
    <col min="8968" max="8968" width="11.85546875" style="1334" bestFit="1" customWidth="1"/>
    <col min="8969" max="8969" width="5.7109375" style="1334" customWidth="1"/>
    <col min="8970" max="8980" width="11.42578125" style="1334" customWidth="1"/>
    <col min="8981" max="9216" width="11.42578125" style="1334"/>
    <col min="9217" max="9217" width="14.85546875" style="1334" customWidth="1"/>
    <col min="9218" max="9219" width="12.5703125" style="1334" customWidth="1"/>
    <col min="9220" max="9220" width="12.140625" style="1334" customWidth="1"/>
    <col min="9221" max="9221" width="14" style="1334" bestFit="1" customWidth="1"/>
    <col min="9222" max="9222" width="13.5703125" style="1334" bestFit="1" customWidth="1"/>
    <col min="9223" max="9223" width="10.5703125" style="1334" bestFit="1" customWidth="1"/>
    <col min="9224" max="9224" width="11.85546875" style="1334" bestFit="1" customWidth="1"/>
    <col min="9225" max="9225" width="5.7109375" style="1334" customWidth="1"/>
    <col min="9226" max="9236" width="11.42578125" style="1334" customWidth="1"/>
    <col min="9237" max="9472" width="11.42578125" style="1334"/>
    <col min="9473" max="9473" width="14.85546875" style="1334" customWidth="1"/>
    <col min="9474" max="9475" width="12.5703125" style="1334" customWidth="1"/>
    <col min="9476" max="9476" width="12.140625" style="1334" customWidth="1"/>
    <col min="9477" max="9477" width="14" style="1334" bestFit="1" customWidth="1"/>
    <col min="9478" max="9478" width="13.5703125" style="1334" bestFit="1" customWidth="1"/>
    <col min="9479" max="9479" width="10.5703125" style="1334" bestFit="1" customWidth="1"/>
    <col min="9480" max="9480" width="11.85546875" style="1334" bestFit="1" customWidth="1"/>
    <col min="9481" max="9481" width="5.7109375" style="1334" customWidth="1"/>
    <col min="9482" max="9492" width="11.42578125" style="1334" customWidth="1"/>
    <col min="9493" max="9728" width="11.42578125" style="1334"/>
    <col min="9729" max="9729" width="14.85546875" style="1334" customWidth="1"/>
    <col min="9730" max="9731" width="12.5703125" style="1334" customWidth="1"/>
    <col min="9732" max="9732" width="12.140625" style="1334" customWidth="1"/>
    <col min="9733" max="9733" width="14" style="1334" bestFit="1" customWidth="1"/>
    <col min="9734" max="9734" width="13.5703125" style="1334" bestFit="1" customWidth="1"/>
    <col min="9735" max="9735" width="10.5703125" style="1334" bestFit="1" customWidth="1"/>
    <col min="9736" max="9736" width="11.85546875" style="1334" bestFit="1" customWidth="1"/>
    <col min="9737" max="9737" width="5.7109375" style="1334" customWidth="1"/>
    <col min="9738" max="9748" width="11.42578125" style="1334" customWidth="1"/>
    <col min="9749" max="9984" width="11.42578125" style="1334"/>
    <col min="9985" max="9985" width="14.85546875" style="1334" customWidth="1"/>
    <col min="9986" max="9987" width="12.5703125" style="1334" customWidth="1"/>
    <col min="9988" max="9988" width="12.140625" style="1334" customWidth="1"/>
    <col min="9989" max="9989" width="14" style="1334" bestFit="1" customWidth="1"/>
    <col min="9990" max="9990" width="13.5703125" style="1334" bestFit="1" customWidth="1"/>
    <col min="9991" max="9991" width="10.5703125" style="1334" bestFit="1" customWidth="1"/>
    <col min="9992" max="9992" width="11.85546875" style="1334" bestFit="1" customWidth="1"/>
    <col min="9993" max="9993" width="5.7109375" style="1334" customWidth="1"/>
    <col min="9994" max="10004" width="11.42578125" style="1334" customWidth="1"/>
    <col min="10005" max="10240" width="11.42578125" style="1334"/>
    <col min="10241" max="10241" width="14.85546875" style="1334" customWidth="1"/>
    <col min="10242" max="10243" width="12.5703125" style="1334" customWidth="1"/>
    <col min="10244" max="10244" width="12.140625" style="1334" customWidth="1"/>
    <col min="10245" max="10245" width="14" style="1334" bestFit="1" customWidth="1"/>
    <col min="10246" max="10246" width="13.5703125" style="1334" bestFit="1" customWidth="1"/>
    <col min="10247" max="10247" width="10.5703125" style="1334" bestFit="1" customWidth="1"/>
    <col min="10248" max="10248" width="11.85546875" style="1334" bestFit="1" customWidth="1"/>
    <col min="10249" max="10249" width="5.7109375" style="1334" customWidth="1"/>
    <col min="10250" max="10260" width="11.42578125" style="1334" customWidth="1"/>
    <col min="10261" max="10496" width="11.42578125" style="1334"/>
    <col min="10497" max="10497" width="14.85546875" style="1334" customWidth="1"/>
    <col min="10498" max="10499" width="12.5703125" style="1334" customWidth="1"/>
    <col min="10500" max="10500" width="12.140625" style="1334" customWidth="1"/>
    <col min="10501" max="10501" width="14" style="1334" bestFit="1" customWidth="1"/>
    <col min="10502" max="10502" width="13.5703125" style="1334" bestFit="1" customWidth="1"/>
    <col min="10503" max="10503" width="10.5703125" style="1334" bestFit="1" customWidth="1"/>
    <col min="10504" max="10504" width="11.85546875" style="1334" bestFit="1" customWidth="1"/>
    <col min="10505" max="10505" width="5.7109375" style="1334" customWidth="1"/>
    <col min="10506" max="10516" width="11.42578125" style="1334" customWidth="1"/>
    <col min="10517" max="10752" width="11.42578125" style="1334"/>
    <col min="10753" max="10753" width="14.85546875" style="1334" customWidth="1"/>
    <col min="10754" max="10755" width="12.5703125" style="1334" customWidth="1"/>
    <col min="10756" max="10756" width="12.140625" style="1334" customWidth="1"/>
    <col min="10757" max="10757" width="14" style="1334" bestFit="1" customWidth="1"/>
    <col min="10758" max="10758" width="13.5703125" style="1334" bestFit="1" customWidth="1"/>
    <col min="10759" max="10759" width="10.5703125" style="1334" bestFit="1" customWidth="1"/>
    <col min="10760" max="10760" width="11.85546875" style="1334" bestFit="1" customWidth="1"/>
    <col min="10761" max="10761" width="5.7109375" style="1334" customWidth="1"/>
    <col min="10762" max="10772" width="11.42578125" style="1334" customWidth="1"/>
    <col min="10773" max="11008" width="11.42578125" style="1334"/>
    <col min="11009" max="11009" width="14.85546875" style="1334" customWidth="1"/>
    <col min="11010" max="11011" width="12.5703125" style="1334" customWidth="1"/>
    <col min="11012" max="11012" width="12.140625" style="1334" customWidth="1"/>
    <col min="11013" max="11013" width="14" style="1334" bestFit="1" customWidth="1"/>
    <col min="11014" max="11014" width="13.5703125" style="1334" bestFit="1" customWidth="1"/>
    <col min="11015" max="11015" width="10.5703125" style="1334" bestFit="1" customWidth="1"/>
    <col min="11016" max="11016" width="11.85546875" style="1334" bestFit="1" customWidth="1"/>
    <col min="11017" max="11017" width="5.7109375" style="1334" customWidth="1"/>
    <col min="11018" max="11028" width="11.42578125" style="1334" customWidth="1"/>
    <col min="11029" max="11264" width="11.42578125" style="1334"/>
    <col min="11265" max="11265" width="14.85546875" style="1334" customWidth="1"/>
    <col min="11266" max="11267" width="12.5703125" style="1334" customWidth="1"/>
    <col min="11268" max="11268" width="12.140625" style="1334" customWidth="1"/>
    <col min="11269" max="11269" width="14" style="1334" bestFit="1" customWidth="1"/>
    <col min="11270" max="11270" width="13.5703125" style="1334" bestFit="1" customWidth="1"/>
    <col min="11271" max="11271" width="10.5703125" style="1334" bestFit="1" customWidth="1"/>
    <col min="11272" max="11272" width="11.85546875" style="1334" bestFit="1" customWidth="1"/>
    <col min="11273" max="11273" width="5.7109375" style="1334" customWidth="1"/>
    <col min="11274" max="11284" width="11.42578125" style="1334" customWidth="1"/>
    <col min="11285" max="11520" width="11.42578125" style="1334"/>
    <col min="11521" max="11521" width="14.85546875" style="1334" customWidth="1"/>
    <col min="11522" max="11523" width="12.5703125" style="1334" customWidth="1"/>
    <col min="11524" max="11524" width="12.140625" style="1334" customWidth="1"/>
    <col min="11525" max="11525" width="14" style="1334" bestFit="1" customWidth="1"/>
    <col min="11526" max="11526" width="13.5703125" style="1334" bestFit="1" customWidth="1"/>
    <col min="11527" max="11527" width="10.5703125" style="1334" bestFit="1" customWidth="1"/>
    <col min="11528" max="11528" width="11.85546875" style="1334" bestFit="1" customWidth="1"/>
    <col min="11529" max="11529" width="5.7109375" style="1334" customWidth="1"/>
    <col min="11530" max="11540" width="11.42578125" style="1334" customWidth="1"/>
    <col min="11541" max="11776" width="11.42578125" style="1334"/>
    <col min="11777" max="11777" width="14.85546875" style="1334" customWidth="1"/>
    <col min="11778" max="11779" width="12.5703125" style="1334" customWidth="1"/>
    <col min="11780" max="11780" width="12.140625" style="1334" customWidth="1"/>
    <col min="11781" max="11781" width="14" style="1334" bestFit="1" customWidth="1"/>
    <col min="11782" max="11782" width="13.5703125" style="1334" bestFit="1" customWidth="1"/>
    <col min="11783" max="11783" width="10.5703125" style="1334" bestFit="1" customWidth="1"/>
    <col min="11784" max="11784" width="11.85546875" style="1334" bestFit="1" customWidth="1"/>
    <col min="11785" max="11785" width="5.7109375" style="1334" customWidth="1"/>
    <col min="11786" max="11796" width="11.42578125" style="1334" customWidth="1"/>
    <col min="11797" max="12032" width="11.42578125" style="1334"/>
    <col min="12033" max="12033" width="14.85546875" style="1334" customWidth="1"/>
    <col min="12034" max="12035" width="12.5703125" style="1334" customWidth="1"/>
    <col min="12036" max="12036" width="12.140625" style="1334" customWidth="1"/>
    <col min="12037" max="12037" width="14" style="1334" bestFit="1" customWidth="1"/>
    <col min="12038" max="12038" width="13.5703125" style="1334" bestFit="1" customWidth="1"/>
    <col min="12039" max="12039" width="10.5703125" style="1334" bestFit="1" customWidth="1"/>
    <col min="12040" max="12040" width="11.85546875" style="1334" bestFit="1" customWidth="1"/>
    <col min="12041" max="12041" width="5.7109375" style="1334" customWidth="1"/>
    <col min="12042" max="12052" width="11.42578125" style="1334" customWidth="1"/>
    <col min="12053" max="12288" width="11.42578125" style="1334"/>
    <col min="12289" max="12289" width="14.85546875" style="1334" customWidth="1"/>
    <col min="12290" max="12291" width="12.5703125" style="1334" customWidth="1"/>
    <col min="12292" max="12292" width="12.140625" style="1334" customWidth="1"/>
    <col min="12293" max="12293" width="14" style="1334" bestFit="1" customWidth="1"/>
    <col min="12294" max="12294" width="13.5703125" style="1334" bestFit="1" customWidth="1"/>
    <col min="12295" max="12295" width="10.5703125" style="1334" bestFit="1" customWidth="1"/>
    <col min="12296" max="12296" width="11.85546875" style="1334" bestFit="1" customWidth="1"/>
    <col min="12297" max="12297" width="5.7109375" style="1334" customWidth="1"/>
    <col min="12298" max="12308" width="11.42578125" style="1334" customWidth="1"/>
    <col min="12309" max="12544" width="11.42578125" style="1334"/>
    <col min="12545" max="12545" width="14.85546875" style="1334" customWidth="1"/>
    <col min="12546" max="12547" width="12.5703125" style="1334" customWidth="1"/>
    <col min="12548" max="12548" width="12.140625" style="1334" customWidth="1"/>
    <col min="12549" max="12549" width="14" style="1334" bestFit="1" customWidth="1"/>
    <col min="12550" max="12550" width="13.5703125" style="1334" bestFit="1" customWidth="1"/>
    <col min="12551" max="12551" width="10.5703125" style="1334" bestFit="1" customWidth="1"/>
    <col min="12552" max="12552" width="11.85546875" style="1334" bestFit="1" customWidth="1"/>
    <col min="12553" max="12553" width="5.7109375" style="1334" customWidth="1"/>
    <col min="12554" max="12564" width="11.42578125" style="1334" customWidth="1"/>
    <col min="12565" max="12800" width="11.42578125" style="1334"/>
    <col min="12801" max="12801" width="14.85546875" style="1334" customWidth="1"/>
    <col min="12802" max="12803" width="12.5703125" style="1334" customWidth="1"/>
    <col min="12804" max="12804" width="12.140625" style="1334" customWidth="1"/>
    <col min="12805" max="12805" width="14" style="1334" bestFit="1" customWidth="1"/>
    <col min="12806" max="12806" width="13.5703125" style="1334" bestFit="1" customWidth="1"/>
    <col min="12807" max="12807" width="10.5703125" style="1334" bestFit="1" customWidth="1"/>
    <col min="12808" max="12808" width="11.85546875" style="1334" bestFit="1" customWidth="1"/>
    <col min="12809" max="12809" width="5.7109375" style="1334" customWidth="1"/>
    <col min="12810" max="12820" width="11.42578125" style="1334" customWidth="1"/>
    <col min="12821" max="13056" width="11.42578125" style="1334"/>
    <col min="13057" max="13057" width="14.85546875" style="1334" customWidth="1"/>
    <col min="13058" max="13059" width="12.5703125" style="1334" customWidth="1"/>
    <col min="13060" max="13060" width="12.140625" style="1334" customWidth="1"/>
    <col min="13061" max="13061" width="14" style="1334" bestFit="1" customWidth="1"/>
    <col min="13062" max="13062" width="13.5703125" style="1334" bestFit="1" customWidth="1"/>
    <col min="13063" max="13063" width="10.5703125" style="1334" bestFit="1" customWidth="1"/>
    <col min="13064" max="13064" width="11.85546875" style="1334" bestFit="1" customWidth="1"/>
    <col min="13065" max="13065" width="5.7109375" style="1334" customWidth="1"/>
    <col min="13066" max="13076" width="11.42578125" style="1334" customWidth="1"/>
    <col min="13077" max="13312" width="11.42578125" style="1334"/>
    <col min="13313" max="13313" width="14.85546875" style="1334" customWidth="1"/>
    <col min="13314" max="13315" width="12.5703125" style="1334" customWidth="1"/>
    <col min="13316" max="13316" width="12.140625" style="1334" customWidth="1"/>
    <col min="13317" max="13317" width="14" style="1334" bestFit="1" customWidth="1"/>
    <col min="13318" max="13318" width="13.5703125" style="1334" bestFit="1" customWidth="1"/>
    <col min="13319" max="13319" width="10.5703125" style="1334" bestFit="1" customWidth="1"/>
    <col min="13320" max="13320" width="11.85546875" style="1334" bestFit="1" customWidth="1"/>
    <col min="13321" max="13321" width="5.7109375" style="1334" customWidth="1"/>
    <col min="13322" max="13332" width="11.42578125" style="1334" customWidth="1"/>
    <col min="13333" max="13568" width="11.42578125" style="1334"/>
    <col min="13569" max="13569" width="14.85546875" style="1334" customWidth="1"/>
    <col min="13570" max="13571" width="12.5703125" style="1334" customWidth="1"/>
    <col min="13572" max="13572" width="12.140625" style="1334" customWidth="1"/>
    <col min="13573" max="13573" width="14" style="1334" bestFit="1" customWidth="1"/>
    <col min="13574" max="13574" width="13.5703125" style="1334" bestFit="1" customWidth="1"/>
    <col min="13575" max="13575" width="10.5703125" style="1334" bestFit="1" customWidth="1"/>
    <col min="13576" max="13576" width="11.85546875" style="1334" bestFit="1" customWidth="1"/>
    <col min="13577" max="13577" width="5.7109375" style="1334" customWidth="1"/>
    <col min="13578" max="13588" width="11.42578125" style="1334" customWidth="1"/>
    <col min="13589" max="13824" width="11.42578125" style="1334"/>
    <col min="13825" max="13825" width="14.85546875" style="1334" customWidth="1"/>
    <col min="13826" max="13827" width="12.5703125" style="1334" customWidth="1"/>
    <col min="13828" max="13828" width="12.140625" style="1334" customWidth="1"/>
    <col min="13829" max="13829" width="14" style="1334" bestFit="1" customWidth="1"/>
    <col min="13830" max="13830" width="13.5703125" style="1334" bestFit="1" customWidth="1"/>
    <col min="13831" max="13831" width="10.5703125" style="1334" bestFit="1" customWidth="1"/>
    <col min="13832" max="13832" width="11.85546875" style="1334" bestFit="1" customWidth="1"/>
    <col min="13833" max="13833" width="5.7109375" style="1334" customWidth="1"/>
    <col min="13834" max="13844" width="11.42578125" style="1334" customWidth="1"/>
    <col min="13845" max="14080" width="11.42578125" style="1334"/>
    <col min="14081" max="14081" width="14.85546875" style="1334" customWidth="1"/>
    <col min="14082" max="14083" width="12.5703125" style="1334" customWidth="1"/>
    <col min="14084" max="14084" width="12.140625" style="1334" customWidth="1"/>
    <col min="14085" max="14085" width="14" style="1334" bestFit="1" customWidth="1"/>
    <col min="14086" max="14086" width="13.5703125" style="1334" bestFit="1" customWidth="1"/>
    <col min="14087" max="14087" width="10.5703125" style="1334" bestFit="1" customWidth="1"/>
    <col min="14088" max="14088" width="11.85546875" style="1334" bestFit="1" customWidth="1"/>
    <col min="14089" max="14089" width="5.7109375" style="1334" customWidth="1"/>
    <col min="14090" max="14100" width="11.42578125" style="1334" customWidth="1"/>
    <col min="14101" max="14336" width="11.42578125" style="1334"/>
    <col min="14337" max="14337" width="14.85546875" style="1334" customWidth="1"/>
    <col min="14338" max="14339" width="12.5703125" style="1334" customWidth="1"/>
    <col min="14340" max="14340" width="12.140625" style="1334" customWidth="1"/>
    <col min="14341" max="14341" width="14" style="1334" bestFit="1" customWidth="1"/>
    <col min="14342" max="14342" width="13.5703125" style="1334" bestFit="1" customWidth="1"/>
    <col min="14343" max="14343" width="10.5703125" style="1334" bestFit="1" customWidth="1"/>
    <col min="14344" max="14344" width="11.85546875" style="1334" bestFit="1" customWidth="1"/>
    <col min="14345" max="14345" width="5.7109375" style="1334" customWidth="1"/>
    <col min="14346" max="14356" width="11.42578125" style="1334" customWidth="1"/>
    <col min="14357" max="14592" width="11.42578125" style="1334"/>
    <col min="14593" max="14593" width="14.85546875" style="1334" customWidth="1"/>
    <col min="14594" max="14595" width="12.5703125" style="1334" customWidth="1"/>
    <col min="14596" max="14596" width="12.140625" style="1334" customWidth="1"/>
    <col min="14597" max="14597" width="14" style="1334" bestFit="1" customWidth="1"/>
    <col min="14598" max="14598" width="13.5703125" style="1334" bestFit="1" customWidth="1"/>
    <col min="14599" max="14599" width="10.5703125" style="1334" bestFit="1" customWidth="1"/>
    <col min="14600" max="14600" width="11.85546875" style="1334" bestFit="1" customWidth="1"/>
    <col min="14601" max="14601" width="5.7109375" style="1334" customWidth="1"/>
    <col min="14602" max="14612" width="11.42578125" style="1334" customWidth="1"/>
    <col min="14613" max="14848" width="11.42578125" style="1334"/>
    <col min="14849" max="14849" width="14.85546875" style="1334" customWidth="1"/>
    <col min="14850" max="14851" width="12.5703125" style="1334" customWidth="1"/>
    <col min="14852" max="14852" width="12.140625" style="1334" customWidth="1"/>
    <col min="14853" max="14853" width="14" style="1334" bestFit="1" customWidth="1"/>
    <col min="14854" max="14854" width="13.5703125" style="1334" bestFit="1" customWidth="1"/>
    <col min="14855" max="14855" width="10.5703125" style="1334" bestFit="1" customWidth="1"/>
    <col min="14856" max="14856" width="11.85546875" style="1334" bestFit="1" customWidth="1"/>
    <col min="14857" max="14857" width="5.7109375" style="1334" customWidth="1"/>
    <col min="14858" max="14868" width="11.42578125" style="1334" customWidth="1"/>
    <col min="14869" max="15104" width="11.42578125" style="1334"/>
    <col min="15105" max="15105" width="14.85546875" style="1334" customWidth="1"/>
    <col min="15106" max="15107" width="12.5703125" style="1334" customWidth="1"/>
    <col min="15108" max="15108" width="12.140625" style="1334" customWidth="1"/>
    <col min="15109" max="15109" width="14" style="1334" bestFit="1" customWidth="1"/>
    <col min="15110" max="15110" width="13.5703125" style="1334" bestFit="1" customWidth="1"/>
    <col min="15111" max="15111" width="10.5703125" style="1334" bestFit="1" customWidth="1"/>
    <col min="15112" max="15112" width="11.85546875" style="1334" bestFit="1" customWidth="1"/>
    <col min="15113" max="15113" width="5.7109375" style="1334" customWidth="1"/>
    <col min="15114" max="15124" width="11.42578125" style="1334" customWidth="1"/>
    <col min="15125" max="15360" width="11.42578125" style="1334"/>
    <col min="15361" max="15361" width="14.85546875" style="1334" customWidth="1"/>
    <col min="15362" max="15363" width="12.5703125" style="1334" customWidth="1"/>
    <col min="15364" max="15364" width="12.140625" style="1334" customWidth="1"/>
    <col min="15365" max="15365" width="14" style="1334" bestFit="1" customWidth="1"/>
    <col min="15366" max="15366" width="13.5703125" style="1334" bestFit="1" customWidth="1"/>
    <col min="15367" max="15367" width="10.5703125" style="1334" bestFit="1" customWidth="1"/>
    <col min="15368" max="15368" width="11.85546875" style="1334" bestFit="1" customWidth="1"/>
    <col min="15369" max="15369" width="5.7109375" style="1334" customWidth="1"/>
    <col min="15370" max="15380" width="11.42578125" style="1334" customWidth="1"/>
    <col min="15381" max="15616" width="11.42578125" style="1334"/>
    <col min="15617" max="15617" width="14.85546875" style="1334" customWidth="1"/>
    <col min="15618" max="15619" width="12.5703125" style="1334" customWidth="1"/>
    <col min="15620" max="15620" width="12.140625" style="1334" customWidth="1"/>
    <col min="15621" max="15621" width="14" style="1334" bestFit="1" customWidth="1"/>
    <col min="15622" max="15622" width="13.5703125" style="1334" bestFit="1" customWidth="1"/>
    <col min="15623" max="15623" width="10.5703125" style="1334" bestFit="1" customWidth="1"/>
    <col min="15624" max="15624" width="11.85546875" style="1334" bestFit="1" customWidth="1"/>
    <col min="15625" max="15625" width="5.7109375" style="1334" customWidth="1"/>
    <col min="15626" max="15636" width="11.42578125" style="1334" customWidth="1"/>
    <col min="15637" max="15872" width="11.42578125" style="1334"/>
    <col min="15873" max="15873" width="14.85546875" style="1334" customWidth="1"/>
    <col min="15874" max="15875" width="12.5703125" style="1334" customWidth="1"/>
    <col min="15876" max="15876" width="12.140625" style="1334" customWidth="1"/>
    <col min="15877" max="15877" width="14" style="1334" bestFit="1" customWidth="1"/>
    <col min="15878" max="15878" width="13.5703125" style="1334" bestFit="1" customWidth="1"/>
    <col min="15879" max="15879" width="10.5703125" style="1334" bestFit="1" customWidth="1"/>
    <col min="15880" max="15880" width="11.85546875" style="1334" bestFit="1" customWidth="1"/>
    <col min="15881" max="15881" width="5.7109375" style="1334" customWidth="1"/>
    <col min="15882" max="15892" width="11.42578125" style="1334" customWidth="1"/>
    <col min="15893" max="16128" width="11.42578125" style="1334"/>
    <col min="16129" max="16129" width="14.85546875" style="1334" customWidth="1"/>
    <col min="16130" max="16131" width="12.5703125" style="1334" customWidth="1"/>
    <col min="16132" max="16132" width="12.140625" style="1334" customWidth="1"/>
    <col min="16133" max="16133" width="14" style="1334" bestFit="1" customWidth="1"/>
    <col min="16134" max="16134" width="13.5703125" style="1334" bestFit="1" customWidth="1"/>
    <col min="16135" max="16135" width="10.5703125" style="1334" bestFit="1" customWidth="1"/>
    <col min="16136" max="16136" width="11.85546875" style="1334" bestFit="1" customWidth="1"/>
    <col min="16137" max="16137" width="5.7109375" style="1334" customWidth="1"/>
    <col min="16138" max="16148" width="11.42578125" style="1334" customWidth="1"/>
    <col min="16149" max="16384" width="11.42578125" style="1334"/>
  </cols>
  <sheetData>
    <row r="1" spans="1:20" s="1329" customFormat="1" ht="24" customHeight="1" x14ac:dyDescent="0.2">
      <c r="A1" s="1325" t="s">
        <v>1054</v>
      </c>
      <c r="B1" s="1325"/>
      <c r="C1" s="1326"/>
      <c r="D1" s="1326"/>
      <c r="E1" s="1326"/>
      <c r="F1" s="1327"/>
      <c r="G1" s="1328"/>
      <c r="H1" s="1328"/>
      <c r="I1" s="1328"/>
      <c r="J1" s="1328"/>
    </row>
    <row r="2" spans="1:20" s="1329" customFormat="1" ht="14.25" customHeight="1" thickBot="1" x14ac:dyDescent="0.25">
      <c r="F2" s="1330"/>
      <c r="G2" s="1330"/>
      <c r="H2" s="1330"/>
      <c r="I2" s="1330"/>
      <c r="J2" s="1330"/>
    </row>
    <row r="3" spans="1:20" x14ac:dyDescent="0.2">
      <c r="A3" s="1331" t="s">
        <v>211</v>
      </c>
      <c r="B3" s="1332" t="s">
        <v>1055</v>
      </c>
      <c r="C3" s="1332" t="s">
        <v>752</v>
      </c>
      <c r="D3" s="1332" t="s">
        <v>752</v>
      </c>
      <c r="E3" s="1332" t="s">
        <v>752</v>
      </c>
      <c r="F3" s="1332" t="s">
        <v>197</v>
      </c>
      <c r="G3" s="1332" t="s">
        <v>1056</v>
      </c>
      <c r="H3" s="1333" t="s">
        <v>1056</v>
      </c>
    </row>
    <row r="4" spans="1:20" x14ac:dyDescent="0.2">
      <c r="A4" s="1335"/>
      <c r="B4" s="1336" t="s">
        <v>1057</v>
      </c>
      <c r="C4" s="1336" t="s">
        <v>1058</v>
      </c>
      <c r="D4" s="1336" t="s">
        <v>1058</v>
      </c>
      <c r="E4" s="1336" t="s">
        <v>1058</v>
      </c>
      <c r="F4" s="1336" t="s">
        <v>1059</v>
      </c>
      <c r="G4" s="1336" t="s">
        <v>1060</v>
      </c>
      <c r="H4" s="1337" t="s">
        <v>1060</v>
      </c>
    </row>
    <row r="5" spans="1:20" x14ac:dyDescent="0.2">
      <c r="A5" s="1335"/>
      <c r="B5" s="1336" t="s">
        <v>1061</v>
      </c>
      <c r="C5" s="1336" t="s">
        <v>1062</v>
      </c>
      <c r="D5" s="1336" t="s">
        <v>1063</v>
      </c>
      <c r="E5" s="1336" t="s">
        <v>1064</v>
      </c>
      <c r="F5" s="1336" t="s">
        <v>1065</v>
      </c>
      <c r="G5" s="1336" t="s">
        <v>1066</v>
      </c>
      <c r="H5" s="1337" t="s">
        <v>1066</v>
      </c>
    </row>
    <row r="6" spans="1:20" ht="14.25" x14ac:dyDescent="0.2">
      <c r="A6" s="1335"/>
      <c r="B6" s="1336" t="s">
        <v>1067</v>
      </c>
      <c r="C6" s="1336" t="s">
        <v>1068</v>
      </c>
      <c r="D6" s="1336" t="s">
        <v>1069</v>
      </c>
      <c r="E6" s="1336" t="s">
        <v>1070</v>
      </c>
      <c r="F6" s="1336" t="s">
        <v>1071</v>
      </c>
      <c r="G6" s="1336" t="s">
        <v>1072</v>
      </c>
      <c r="H6" s="1337" t="s">
        <v>1073</v>
      </c>
    </row>
    <row r="7" spans="1:20" ht="14.25" x14ac:dyDescent="0.2">
      <c r="A7" s="1335"/>
      <c r="B7" s="1336"/>
      <c r="C7" s="1336" t="s">
        <v>1074</v>
      </c>
      <c r="D7" s="1336" t="s">
        <v>1075</v>
      </c>
      <c r="E7" s="1336"/>
      <c r="F7" s="1336" t="s">
        <v>1076</v>
      </c>
      <c r="G7" s="1336" t="s">
        <v>1077</v>
      </c>
      <c r="H7" s="1337" t="s">
        <v>1077</v>
      </c>
    </row>
    <row r="8" spans="1:20" x14ac:dyDescent="0.2">
      <c r="A8" s="1335"/>
      <c r="B8" s="1338"/>
      <c r="C8" s="1338"/>
      <c r="D8" s="1338"/>
      <c r="E8" s="1338"/>
      <c r="F8" s="1338"/>
      <c r="G8" s="1338"/>
      <c r="H8" s="1339"/>
      <c r="I8" s="1329"/>
    </row>
    <row r="9" spans="1:20" s="1347" customFormat="1" ht="15" x14ac:dyDescent="0.2">
      <c r="A9" s="1340"/>
      <c r="B9" s="1341"/>
      <c r="C9" s="1342"/>
      <c r="D9" s="1343" t="s">
        <v>73</v>
      </c>
      <c r="E9" s="1343"/>
      <c r="F9" s="1344"/>
      <c r="G9" s="1345" t="s">
        <v>756</v>
      </c>
      <c r="H9" s="1346" t="s">
        <v>756</v>
      </c>
      <c r="K9" s="1348"/>
      <c r="L9" s="1348"/>
      <c r="M9" s="1348"/>
      <c r="N9" s="1348"/>
      <c r="O9" s="1348"/>
      <c r="P9" s="1348"/>
      <c r="Q9" s="1348"/>
      <c r="R9" s="1348"/>
      <c r="S9" s="1348"/>
      <c r="T9" s="1348"/>
    </row>
    <row r="10" spans="1:20" s="1347" customFormat="1" ht="18.75" customHeight="1" x14ac:dyDescent="0.2">
      <c r="A10" s="1349">
        <v>42521</v>
      </c>
      <c r="B10" s="1350"/>
      <c r="C10" s="1351"/>
      <c r="D10" s="1351"/>
      <c r="E10" s="1352"/>
      <c r="F10" s="1352"/>
      <c r="G10" s="1352"/>
      <c r="H10" s="1353"/>
      <c r="K10" s="1348"/>
      <c r="L10" s="1348"/>
      <c r="M10" s="1348"/>
      <c r="N10" s="1348"/>
      <c r="O10" s="1348"/>
      <c r="P10" s="1348"/>
      <c r="Q10" s="1348"/>
      <c r="R10" s="1348"/>
      <c r="S10" s="1348"/>
      <c r="T10" s="1348"/>
    </row>
    <row r="11" spans="1:20" s="1347" customFormat="1" ht="18" customHeight="1" x14ac:dyDescent="0.2">
      <c r="A11" s="1354" t="s">
        <v>1078</v>
      </c>
      <c r="B11" s="1355">
        <v>1215.1500000000001</v>
      </c>
      <c r="C11" s="1356">
        <v>485.8</v>
      </c>
      <c r="D11" s="1356" t="s">
        <v>664</v>
      </c>
      <c r="E11" s="1356" t="s">
        <v>664</v>
      </c>
      <c r="F11" s="1356">
        <f>SUM(C11:E11)</f>
        <v>485.8</v>
      </c>
      <c r="G11" s="1356" t="s">
        <v>664</v>
      </c>
      <c r="H11" s="1357" t="s">
        <v>664</v>
      </c>
      <c r="I11" s="3357"/>
      <c r="J11" s="3358"/>
      <c r="K11" s="1348"/>
      <c r="L11" s="1348"/>
      <c r="M11" s="1348"/>
      <c r="N11" s="1348"/>
      <c r="O11" s="1348"/>
      <c r="P11" s="1348"/>
      <c r="Q11" s="1348"/>
      <c r="R11" s="1348"/>
      <c r="S11" s="1348"/>
      <c r="T11" s="1348"/>
    </row>
    <row r="12" spans="1:20" s="1347" customFormat="1" ht="18" customHeight="1" x14ac:dyDescent="0.2">
      <c r="A12" s="1354" t="s">
        <v>1079</v>
      </c>
      <c r="B12" s="1355">
        <v>1215.1500000000001</v>
      </c>
      <c r="C12" s="1358">
        <v>175</v>
      </c>
      <c r="D12" s="1356" t="s">
        <v>664</v>
      </c>
      <c r="E12" s="1356" t="s">
        <v>664</v>
      </c>
      <c r="F12" s="1358">
        <f>SUM(C12:E12)</f>
        <v>175</v>
      </c>
      <c r="G12" s="1356" t="s">
        <v>664</v>
      </c>
      <c r="H12" s="1357" t="s">
        <v>664</v>
      </c>
      <c r="I12" s="3357"/>
      <c r="J12" s="3358"/>
      <c r="K12" s="1359"/>
      <c r="L12" s="1348"/>
      <c r="M12" s="1348"/>
      <c r="N12" s="1348"/>
      <c r="O12" s="1348"/>
      <c r="P12" s="1348"/>
      <c r="Q12" s="1348"/>
      <c r="R12" s="1348"/>
      <c r="S12" s="1348"/>
      <c r="T12" s="1348"/>
    </row>
    <row r="13" spans="1:20" s="1347" customFormat="1" ht="18" customHeight="1" x14ac:dyDescent="0.2">
      <c r="A13" s="1354" t="s">
        <v>1080</v>
      </c>
      <c r="B13" s="1355">
        <v>1215.1500000000001</v>
      </c>
      <c r="C13" s="1356">
        <v>140.4</v>
      </c>
      <c r="D13" s="1356" t="s">
        <v>664</v>
      </c>
      <c r="E13" s="1356" t="s">
        <v>664</v>
      </c>
      <c r="F13" s="1358">
        <f>SUM(C13:E13)</f>
        <v>140.4</v>
      </c>
      <c r="G13" s="1356" t="s">
        <v>664</v>
      </c>
      <c r="H13" s="1357" t="s">
        <v>664</v>
      </c>
      <c r="I13" s="3357"/>
      <c r="J13" s="3358"/>
      <c r="K13" s="1359"/>
      <c r="L13" s="1348"/>
      <c r="M13" s="1348"/>
      <c r="N13" s="1348"/>
      <c r="O13" s="1348"/>
      <c r="P13" s="1348"/>
      <c r="Q13" s="1348"/>
      <c r="R13" s="1348"/>
      <c r="S13" s="1348"/>
      <c r="T13" s="1348"/>
    </row>
    <row r="14" spans="1:20" s="1347" customFormat="1" ht="18" customHeight="1" x14ac:dyDescent="0.2">
      <c r="A14" s="1354" t="s">
        <v>1081</v>
      </c>
      <c r="B14" s="1355">
        <v>1215.1500000000001</v>
      </c>
      <c r="C14" s="1355">
        <v>1437.7</v>
      </c>
      <c r="D14" s="1356" t="s">
        <v>664</v>
      </c>
      <c r="E14" s="1356" t="s">
        <v>664</v>
      </c>
      <c r="F14" s="1358">
        <f t="shared" ref="F14:F15" si="0">SUM(C14:E14)</f>
        <v>1437.7</v>
      </c>
      <c r="G14" s="1356" t="s">
        <v>664</v>
      </c>
      <c r="H14" s="1360" t="s">
        <v>664</v>
      </c>
      <c r="I14" s="3357"/>
      <c r="J14" s="3358"/>
      <c r="K14" s="1361"/>
      <c r="L14" s="1348"/>
      <c r="M14" s="1348"/>
      <c r="N14" s="1348"/>
      <c r="O14" s="1348"/>
      <c r="P14" s="1348"/>
      <c r="Q14" s="1348"/>
      <c r="R14" s="1348"/>
      <c r="S14" s="1348"/>
      <c r="T14" s="1348"/>
    </row>
    <row r="15" spans="1:20" s="1347" customFormat="1" ht="18" customHeight="1" x14ac:dyDescent="0.2">
      <c r="A15" s="1354" t="s">
        <v>1082</v>
      </c>
      <c r="B15" s="1362">
        <v>1215.1500000000001</v>
      </c>
      <c r="C15" s="1363">
        <v>203.5</v>
      </c>
      <c r="D15" s="1363" t="s">
        <v>664</v>
      </c>
      <c r="E15" s="1363" t="s">
        <v>664</v>
      </c>
      <c r="F15" s="1362">
        <f t="shared" si="0"/>
        <v>203.5</v>
      </c>
      <c r="G15" s="1363" t="s">
        <v>664</v>
      </c>
      <c r="H15" s="1364" t="s">
        <v>664</v>
      </c>
      <c r="I15" s="1365"/>
      <c r="J15" s="1365"/>
      <c r="K15" s="1359"/>
      <c r="L15" s="1348"/>
      <c r="M15" s="1348"/>
      <c r="N15" s="1348"/>
      <c r="O15" s="1348"/>
      <c r="P15" s="1348"/>
      <c r="Q15" s="1348"/>
      <c r="R15" s="1348"/>
      <c r="S15" s="1348"/>
      <c r="T15" s="1348"/>
    </row>
    <row r="16" spans="1:20" s="1370" customFormat="1" ht="18" customHeight="1" x14ac:dyDescent="0.2">
      <c r="A16" s="1366">
        <v>42155</v>
      </c>
      <c r="B16" s="1367">
        <v>3467.85</v>
      </c>
      <c r="C16" s="1368">
        <v>613.79999999999995</v>
      </c>
      <c r="D16" s="1368" t="s">
        <v>664</v>
      </c>
      <c r="E16" s="1368" t="s">
        <v>664</v>
      </c>
      <c r="F16" s="1368">
        <v>613.79999999999995</v>
      </c>
      <c r="G16" s="1369" t="s">
        <v>664</v>
      </c>
      <c r="H16" s="1360" t="s">
        <v>664</v>
      </c>
      <c r="J16" s="1371"/>
      <c r="K16" s="1372"/>
      <c r="L16" s="1372"/>
      <c r="M16" s="1372"/>
      <c r="N16" s="1372"/>
      <c r="O16" s="1372"/>
      <c r="P16" s="1372"/>
      <c r="Q16" s="1372"/>
      <c r="R16" s="1372"/>
      <c r="S16" s="1372"/>
      <c r="T16" s="1372"/>
    </row>
    <row r="17" spans="1:20" s="1370" customFormat="1" ht="18" customHeight="1" x14ac:dyDescent="0.2">
      <c r="A17" s="1366">
        <v>42185</v>
      </c>
      <c r="B17" s="1367">
        <v>3417.85</v>
      </c>
      <c r="C17" s="1368">
        <v>1436.1</v>
      </c>
      <c r="D17" s="1368" t="s">
        <v>664</v>
      </c>
      <c r="E17" s="1368" t="s">
        <v>664</v>
      </c>
      <c r="F17" s="1368">
        <v>1436.1</v>
      </c>
      <c r="G17" s="1369" t="s">
        <v>664</v>
      </c>
      <c r="H17" s="1373" t="s">
        <v>664</v>
      </c>
      <c r="J17" s="1374"/>
      <c r="K17" s="1372"/>
      <c r="L17" s="1372"/>
      <c r="M17" s="1372"/>
      <c r="N17" s="1372"/>
      <c r="O17" s="1372"/>
      <c r="P17" s="1372"/>
      <c r="Q17" s="1372"/>
      <c r="R17" s="1372"/>
      <c r="S17" s="1372"/>
      <c r="T17" s="1372"/>
    </row>
    <row r="18" spans="1:20" s="1370" customFormat="1" ht="18" customHeight="1" x14ac:dyDescent="0.2">
      <c r="A18" s="1366">
        <v>42216</v>
      </c>
      <c r="B18" s="1367">
        <v>3317.85</v>
      </c>
      <c r="C18" s="1368">
        <v>2278.4</v>
      </c>
      <c r="D18" s="1368" t="s">
        <v>664</v>
      </c>
      <c r="E18" s="1368" t="s">
        <v>664</v>
      </c>
      <c r="F18" s="1368">
        <v>2278.4</v>
      </c>
      <c r="G18" s="1369" t="s">
        <v>664</v>
      </c>
      <c r="H18" s="1373" t="s">
        <v>664</v>
      </c>
      <c r="J18" s="1375"/>
      <c r="K18" s="1372"/>
      <c r="L18" s="1372"/>
      <c r="M18" s="1372"/>
      <c r="N18" s="1372"/>
      <c r="O18" s="1372"/>
      <c r="P18" s="1372"/>
      <c r="Q18" s="1372"/>
      <c r="R18" s="1372"/>
      <c r="S18" s="1372"/>
      <c r="T18" s="1372"/>
    </row>
    <row r="19" spans="1:20" s="1370" customFormat="1" ht="18" customHeight="1" x14ac:dyDescent="0.2">
      <c r="A19" s="1366">
        <v>42247</v>
      </c>
      <c r="B19" s="1367">
        <v>3241.05</v>
      </c>
      <c r="C19" s="1368">
        <v>571.29999999999995</v>
      </c>
      <c r="D19" s="1368" t="s">
        <v>664</v>
      </c>
      <c r="E19" s="1368" t="s">
        <v>664</v>
      </c>
      <c r="F19" s="1368">
        <v>571.29999999999995</v>
      </c>
      <c r="G19" s="1369" t="s">
        <v>664</v>
      </c>
      <c r="H19" s="1373" t="s">
        <v>664</v>
      </c>
      <c r="J19" s="1375"/>
      <c r="K19" s="1372"/>
      <c r="L19" s="1372"/>
      <c r="M19" s="1372"/>
      <c r="N19" s="1372"/>
      <c r="O19" s="1372"/>
      <c r="P19" s="1372"/>
      <c r="Q19" s="1372"/>
      <c r="R19" s="1372"/>
      <c r="S19" s="1372"/>
      <c r="T19" s="1372"/>
    </row>
    <row r="20" spans="1:20" s="1370" customFormat="1" ht="18" customHeight="1" x14ac:dyDescent="0.2">
      <c r="A20" s="1366">
        <v>42277</v>
      </c>
      <c r="B20" s="1367">
        <v>3241.05</v>
      </c>
      <c r="C20" s="1368">
        <v>1291.3000000000002</v>
      </c>
      <c r="D20" s="1368" t="s">
        <v>664</v>
      </c>
      <c r="E20" s="1368" t="s">
        <v>664</v>
      </c>
      <c r="F20" s="1368">
        <v>1291.3000000000002</v>
      </c>
      <c r="G20" s="1369" t="s">
        <v>664</v>
      </c>
      <c r="H20" s="1373" t="s">
        <v>664</v>
      </c>
      <c r="J20" s="1375"/>
      <c r="K20" s="1372"/>
      <c r="L20" s="1372"/>
      <c r="M20" s="1372"/>
      <c r="N20" s="1372"/>
      <c r="O20" s="1372"/>
      <c r="P20" s="1372"/>
      <c r="Q20" s="1372"/>
      <c r="R20" s="1372"/>
      <c r="S20" s="1372"/>
      <c r="T20" s="1372"/>
    </row>
    <row r="21" spans="1:20" s="1370" customFormat="1" ht="18" customHeight="1" x14ac:dyDescent="0.2">
      <c r="A21" s="1366">
        <v>42308</v>
      </c>
      <c r="B21" s="1367">
        <v>3200.15</v>
      </c>
      <c r="C21" s="1368">
        <v>1622.6999999999998</v>
      </c>
      <c r="D21" s="1368" t="s">
        <v>664</v>
      </c>
      <c r="E21" s="1368" t="s">
        <v>664</v>
      </c>
      <c r="F21" s="1368">
        <v>1622.6999999999998</v>
      </c>
      <c r="G21" s="1369" t="s">
        <v>664</v>
      </c>
      <c r="H21" s="1373" t="s">
        <v>664</v>
      </c>
      <c r="J21" s="1375"/>
      <c r="K21" s="1372"/>
      <c r="L21" s="1372"/>
      <c r="M21" s="1372"/>
      <c r="N21" s="1372"/>
      <c r="O21" s="1372"/>
      <c r="P21" s="1372"/>
      <c r="Q21" s="1372"/>
      <c r="R21" s="1372"/>
      <c r="S21" s="1372"/>
      <c r="T21" s="1372"/>
    </row>
    <row r="22" spans="1:20" s="1370" customFormat="1" ht="18" customHeight="1" x14ac:dyDescent="0.2">
      <c r="A22" s="1366">
        <v>42338</v>
      </c>
      <c r="B22" s="1367">
        <v>2915.15</v>
      </c>
      <c r="C22" s="1368">
        <v>1482.6000000000001</v>
      </c>
      <c r="D22" s="1368" t="s">
        <v>664</v>
      </c>
      <c r="E22" s="1368" t="s">
        <v>664</v>
      </c>
      <c r="F22" s="1368">
        <v>1482.6000000000001</v>
      </c>
      <c r="G22" s="1369" t="s">
        <v>664</v>
      </c>
      <c r="H22" s="1373" t="s">
        <v>664</v>
      </c>
      <c r="J22" s="1375"/>
      <c r="K22" s="1372"/>
      <c r="L22" s="1372"/>
      <c r="M22" s="1372"/>
      <c r="N22" s="1372"/>
      <c r="O22" s="1372"/>
      <c r="P22" s="1372"/>
      <c r="Q22" s="1372"/>
      <c r="R22" s="1372"/>
      <c r="S22" s="1372"/>
      <c r="T22" s="1372"/>
    </row>
    <row r="23" spans="1:20" s="1370" customFormat="1" ht="18" customHeight="1" x14ac:dyDescent="0.2">
      <c r="A23" s="1366">
        <v>42369</v>
      </c>
      <c r="B23" s="1367">
        <v>2915.15</v>
      </c>
      <c r="C23" s="1368">
        <v>1076</v>
      </c>
      <c r="D23" s="1368" t="s">
        <v>664</v>
      </c>
      <c r="E23" s="1368" t="s">
        <v>664</v>
      </c>
      <c r="F23" s="1368">
        <v>1076</v>
      </c>
      <c r="G23" s="1369" t="s">
        <v>664</v>
      </c>
      <c r="H23" s="1373" t="s">
        <v>664</v>
      </c>
      <c r="J23" s="1375"/>
      <c r="K23" s="1372"/>
      <c r="L23" s="1372"/>
      <c r="M23" s="1372"/>
      <c r="N23" s="1372"/>
      <c r="O23" s="1372"/>
      <c r="P23" s="1372"/>
      <c r="Q23" s="1372"/>
      <c r="R23" s="1372"/>
      <c r="S23" s="1372"/>
      <c r="T23" s="1372"/>
    </row>
    <row r="24" spans="1:20" s="1370" customFormat="1" ht="18" customHeight="1" x14ac:dyDescent="0.2">
      <c r="A24" s="1366">
        <v>42400</v>
      </c>
      <c r="B24" s="1376">
        <v>1215.1500000000001</v>
      </c>
      <c r="C24" s="1368">
        <v>3186.6</v>
      </c>
      <c r="D24" s="1368" t="s">
        <v>664</v>
      </c>
      <c r="E24" s="1377" t="s">
        <v>664</v>
      </c>
      <c r="F24" s="1368">
        <v>3186.6</v>
      </c>
      <c r="G24" s="1355" t="s">
        <v>664</v>
      </c>
      <c r="H24" s="1378" t="s">
        <v>664</v>
      </c>
      <c r="J24" s="1375"/>
      <c r="K24" s="1372"/>
      <c r="L24" s="1372"/>
      <c r="M24" s="1372"/>
      <c r="N24" s="1372"/>
      <c r="O24" s="1372"/>
      <c r="P24" s="1372"/>
      <c r="Q24" s="1372"/>
      <c r="R24" s="1372"/>
      <c r="S24" s="1372"/>
      <c r="T24" s="1372"/>
    </row>
    <row r="25" spans="1:20" s="1370" customFormat="1" ht="18" customHeight="1" x14ac:dyDescent="0.2">
      <c r="A25" s="1366">
        <v>42429</v>
      </c>
      <c r="B25" s="1376">
        <v>1215.1500000000001</v>
      </c>
      <c r="C25" s="1368">
        <v>1934.5</v>
      </c>
      <c r="D25" s="1368" t="s">
        <v>664</v>
      </c>
      <c r="E25" s="1377" t="s">
        <v>664</v>
      </c>
      <c r="F25" s="1368">
        <v>1934.5</v>
      </c>
      <c r="G25" s="1355" t="s">
        <v>664</v>
      </c>
      <c r="H25" s="1378" t="s">
        <v>664</v>
      </c>
      <c r="J25" s="1375"/>
      <c r="K25" s="1372"/>
      <c r="L25" s="1372"/>
      <c r="M25" s="1372"/>
      <c r="N25" s="1372"/>
      <c r="O25" s="1372"/>
      <c r="P25" s="1372"/>
      <c r="Q25" s="1372"/>
      <c r="R25" s="1372"/>
      <c r="S25" s="1372"/>
      <c r="T25" s="1372"/>
    </row>
    <row r="26" spans="1:20" s="1370" customFormat="1" ht="18" customHeight="1" x14ac:dyDescent="0.2">
      <c r="A26" s="1366">
        <v>42460</v>
      </c>
      <c r="B26" s="1376">
        <v>1215.1500000000001</v>
      </c>
      <c r="C26" s="1368">
        <v>1258</v>
      </c>
      <c r="D26" s="1379" t="s">
        <v>664</v>
      </c>
      <c r="E26" s="1377" t="s">
        <v>664</v>
      </c>
      <c r="F26" s="1368">
        <v>1258</v>
      </c>
      <c r="G26" s="1355" t="s">
        <v>664</v>
      </c>
      <c r="H26" s="1378" t="s">
        <v>664</v>
      </c>
      <c r="J26" s="1375"/>
      <c r="K26" s="1372"/>
      <c r="L26" s="1372"/>
      <c r="M26" s="1372"/>
      <c r="N26" s="1372"/>
      <c r="O26" s="1372"/>
      <c r="P26" s="1372"/>
      <c r="Q26" s="1372"/>
      <c r="R26" s="1372"/>
      <c r="S26" s="1372"/>
      <c r="T26" s="1372"/>
    </row>
    <row r="27" spans="1:20" s="1370" customFormat="1" ht="18" customHeight="1" x14ac:dyDescent="0.2">
      <c r="A27" s="1366">
        <v>42490</v>
      </c>
      <c r="B27" s="1376">
        <v>1215.1500000000001</v>
      </c>
      <c r="C27" s="1368">
        <v>1612.8</v>
      </c>
      <c r="D27" s="1368" t="s">
        <v>664</v>
      </c>
      <c r="E27" s="1377" t="s">
        <v>664</v>
      </c>
      <c r="F27" s="1368">
        <v>1612.8</v>
      </c>
      <c r="G27" s="1355" t="s">
        <v>664</v>
      </c>
      <c r="H27" s="1378" t="s">
        <v>664</v>
      </c>
      <c r="J27" s="1375"/>
      <c r="K27" s="1372"/>
      <c r="L27" s="1372"/>
      <c r="M27" s="1372"/>
      <c r="N27" s="1372"/>
      <c r="O27" s="1372"/>
      <c r="P27" s="1372"/>
      <c r="Q27" s="1372"/>
      <c r="R27" s="1372"/>
      <c r="S27" s="1372"/>
      <c r="T27" s="1372"/>
    </row>
    <row r="28" spans="1:20" s="1370" customFormat="1" ht="18" customHeight="1" thickBot="1" x14ac:dyDescent="0.25">
      <c r="A28" s="1380">
        <v>42521</v>
      </c>
      <c r="B28" s="1381">
        <f>B14</f>
        <v>1215.1500000000001</v>
      </c>
      <c r="C28" s="1382">
        <f>SUM(C11:C15)</f>
        <v>2442.4</v>
      </c>
      <c r="D28" s="1383" t="s">
        <v>664</v>
      </c>
      <c r="E28" s="1384" t="s">
        <v>664</v>
      </c>
      <c r="F28" s="1382">
        <f>SUM(F11:F15)</f>
        <v>2442.4</v>
      </c>
      <c r="G28" s="1383" t="s">
        <v>664</v>
      </c>
      <c r="H28" s="1385" t="s">
        <v>664</v>
      </c>
      <c r="J28" s="1375"/>
      <c r="K28" s="1372"/>
      <c r="L28" s="1372"/>
      <c r="M28" s="1372"/>
      <c r="N28" s="1372"/>
      <c r="O28" s="1372"/>
      <c r="P28" s="1372"/>
      <c r="Q28" s="1372"/>
      <c r="R28" s="1372"/>
      <c r="S28" s="1372"/>
      <c r="T28" s="1372"/>
    </row>
    <row r="29" spans="1:20" s="1370" customFormat="1" ht="19.5" customHeight="1" x14ac:dyDescent="0.2">
      <c r="A29" s="1386" t="s">
        <v>1083</v>
      </c>
      <c r="B29" s="1387"/>
      <c r="F29" s="1388"/>
      <c r="G29" s="1388"/>
      <c r="H29" s="1388"/>
      <c r="K29" s="1389"/>
      <c r="L29" s="1372"/>
      <c r="M29" s="1372"/>
      <c r="N29" s="1372"/>
      <c r="O29" s="1372"/>
      <c r="P29" s="1372"/>
      <c r="Q29" s="1372"/>
      <c r="R29" s="1372"/>
      <c r="S29" s="1372"/>
      <c r="T29" s="1372"/>
    </row>
    <row r="30" spans="1:20" s="1370" customFormat="1" ht="17.25" customHeight="1" x14ac:dyDescent="0.2">
      <c r="A30" s="3359" t="s">
        <v>1084</v>
      </c>
      <c r="B30" s="3359"/>
      <c r="C30" s="3359"/>
      <c r="D30" s="3359"/>
      <c r="E30" s="3359"/>
      <c r="F30" s="3359"/>
      <c r="G30" s="3359"/>
      <c r="H30" s="3359"/>
      <c r="K30" s="1372"/>
      <c r="L30" s="1372"/>
      <c r="M30" s="1372"/>
      <c r="N30" s="1372"/>
      <c r="O30" s="1372"/>
      <c r="P30" s="1372"/>
      <c r="Q30" s="1372"/>
      <c r="R30" s="1372"/>
      <c r="S30" s="1372"/>
      <c r="T30" s="1372"/>
    </row>
    <row r="31" spans="1:20" s="1370" customFormat="1" ht="18" customHeight="1" x14ac:dyDescent="0.2">
      <c r="A31" s="3356" t="s">
        <v>1085</v>
      </c>
      <c r="B31" s="3356"/>
      <c r="C31" s="3356"/>
      <c r="D31" s="3356"/>
      <c r="E31" s="3356" t="s">
        <v>1086</v>
      </c>
      <c r="F31" s="3356"/>
      <c r="G31" s="3356"/>
      <c r="H31" s="3356"/>
      <c r="K31" s="1372"/>
      <c r="L31" s="1372"/>
      <c r="M31" s="1372"/>
      <c r="N31" s="1372"/>
      <c r="O31" s="1372"/>
      <c r="P31" s="1372"/>
      <c r="Q31" s="1372"/>
      <c r="R31" s="1372"/>
      <c r="S31" s="1372"/>
      <c r="T31" s="1372"/>
    </row>
    <row r="32" spans="1:20" s="1390" customFormat="1" ht="18" customHeight="1" x14ac:dyDescent="0.2">
      <c r="A32" s="1390" t="s">
        <v>1087</v>
      </c>
      <c r="K32" s="1391"/>
      <c r="L32" s="1391"/>
      <c r="M32" s="1391"/>
      <c r="N32" s="1391"/>
      <c r="O32" s="1391"/>
      <c r="P32" s="1391"/>
      <c r="Q32" s="1391"/>
      <c r="R32" s="1391"/>
      <c r="S32" s="1391"/>
      <c r="T32" s="1391"/>
    </row>
    <row r="33" spans="1:20" s="1393" customFormat="1" x14ac:dyDescent="0.2">
      <c r="A33" s="1390"/>
      <c r="B33" s="1390"/>
      <c r="C33" s="1390"/>
      <c r="D33" s="1390"/>
      <c r="E33" s="1390"/>
      <c r="F33" s="1392"/>
      <c r="G33" s="1390"/>
      <c r="H33" s="1390"/>
      <c r="I33" s="1390"/>
      <c r="J33" s="1390"/>
    </row>
    <row r="34" spans="1:20" s="1393" customFormat="1" x14ac:dyDescent="0.2">
      <c r="A34" s="1390"/>
      <c r="B34" s="1390"/>
      <c r="C34" s="1390"/>
      <c r="D34" s="1390"/>
      <c r="E34" s="1390"/>
      <c r="F34" s="1390"/>
      <c r="G34" s="1390"/>
      <c r="H34" s="1390"/>
    </row>
    <row r="35" spans="1:20" s="1390" customFormat="1" ht="18" customHeight="1" x14ac:dyDescent="0.2">
      <c r="A35" s="1334"/>
      <c r="B35" s="1334"/>
      <c r="C35" s="1334"/>
      <c r="D35" s="1334"/>
      <c r="E35" s="1334"/>
      <c r="F35" s="1334"/>
      <c r="G35" s="1334"/>
      <c r="H35" s="1334"/>
      <c r="K35" s="1391"/>
      <c r="L35" s="1391"/>
      <c r="M35" s="1391"/>
      <c r="N35" s="1391"/>
      <c r="O35" s="1391"/>
      <c r="P35" s="1391"/>
      <c r="Q35" s="1391"/>
      <c r="R35" s="1391"/>
      <c r="S35" s="1391"/>
      <c r="T35" s="1391"/>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1:P404"/>
  <sheetViews>
    <sheetView topLeftCell="A5" zoomScaleNormal="100" workbookViewId="0">
      <selection activeCell="L211" sqref="L211"/>
    </sheetView>
  </sheetViews>
  <sheetFormatPr defaultRowHeight="15" x14ac:dyDescent="0.2"/>
  <cols>
    <col min="1" max="1" width="9.140625" style="863"/>
    <col min="2" max="2" width="15.7109375" style="863" customWidth="1"/>
    <col min="3" max="3" width="9.140625" style="863"/>
    <col min="4" max="4" width="9.5703125" style="863" customWidth="1"/>
    <col min="5" max="5" width="10.5703125" style="863" customWidth="1"/>
    <col min="6" max="6" width="10.42578125" style="863" customWidth="1"/>
    <col min="7" max="7" width="14.42578125" style="863" customWidth="1"/>
    <col min="8" max="8" width="13.85546875" style="863" customWidth="1"/>
    <col min="9" max="9" width="10.140625" style="863" hidden="1" customWidth="1"/>
    <col min="10" max="10" width="4.5703125" style="863" customWidth="1"/>
    <col min="11" max="12" width="9.140625" style="863"/>
    <col min="13" max="13" width="7.28515625" style="863" customWidth="1"/>
    <col min="14" max="16384" width="9.140625" style="863"/>
  </cols>
  <sheetData>
    <row r="1" spans="2:15" ht="18.75" customHeight="1" x14ac:dyDescent="0.2">
      <c r="B1" s="1227" t="s">
        <v>1088</v>
      </c>
      <c r="C1" s="1227"/>
      <c r="D1" s="1227"/>
      <c r="E1" s="1227"/>
      <c r="F1" s="1227"/>
      <c r="G1" s="1227"/>
      <c r="H1" s="1227"/>
    </row>
    <row r="2" spans="2:15" ht="9" customHeight="1" thickBot="1" x14ac:dyDescent="0.25">
      <c r="B2" s="865"/>
      <c r="J2" s="863" t="s">
        <v>25</v>
      </c>
    </row>
    <row r="3" spans="2:15" ht="15" customHeight="1" thickTop="1" x14ac:dyDescent="0.2">
      <c r="B3" s="1394" t="s">
        <v>211</v>
      </c>
      <c r="C3" s="1395" t="s">
        <v>1089</v>
      </c>
      <c r="D3" s="1396"/>
      <c r="E3" s="1396"/>
      <c r="F3" s="1397" t="s">
        <v>1090</v>
      </c>
      <c r="G3" s="1397" t="s">
        <v>1091</v>
      </c>
      <c r="H3" s="1397" t="s">
        <v>1092</v>
      </c>
      <c r="I3" s="1398" t="s">
        <v>1093</v>
      </c>
      <c r="J3" s="863" t="s">
        <v>25</v>
      </c>
    </row>
    <row r="4" spans="2:15" ht="17.25" customHeight="1" thickBot="1" x14ac:dyDescent="0.25">
      <c r="B4" s="1399"/>
      <c r="C4" s="1400"/>
      <c r="D4" s="1401"/>
      <c r="E4" s="1402"/>
      <c r="F4" s="1403" t="s">
        <v>1094</v>
      </c>
      <c r="G4" s="1403" t="s">
        <v>243</v>
      </c>
      <c r="H4" s="1403" t="s">
        <v>1095</v>
      </c>
      <c r="I4" s="1404" t="s">
        <v>1096</v>
      </c>
    </row>
    <row r="5" spans="2:15" ht="17.25" customHeight="1" thickBot="1" x14ac:dyDescent="0.25">
      <c r="B5" s="1399"/>
      <c r="C5" s="1405" t="s">
        <v>765</v>
      </c>
      <c r="D5" s="1406" t="s">
        <v>767</v>
      </c>
      <c r="E5" s="1407" t="s">
        <v>197</v>
      </c>
      <c r="F5" s="1408"/>
      <c r="G5" s="1408" t="s">
        <v>1097</v>
      </c>
      <c r="H5" s="1408" t="s">
        <v>1098</v>
      </c>
      <c r="I5" s="1409"/>
    </row>
    <row r="6" spans="2:15" ht="14.1" customHeight="1" thickBot="1" x14ac:dyDescent="0.25">
      <c r="B6" s="1410"/>
      <c r="C6" s="3360" t="s">
        <v>73</v>
      </c>
      <c r="D6" s="3361"/>
      <c r="E6" s="3361"/>
      <c r="F6" s="3362"/>
      <c r="G6" s="3363" t="s">
        <v>674</v>
      </c>
      <c r="H6" s="3362"/>
      <c r="I6" s="1411"/>
    </row>
    <row r="7" spans="2:15" ht="15" customHeight="1" thickTop="1" x14ac:dyDescent="0.2">
      <c r="B7" s="1412">
        <v>42491</v>
      </c>
      <c r="C7" s="1413"/>
      <c r="D7" s="1414"/>
      <c r="E7" s="1415"/>
      <c r="F7" s="1237"/>
      <c r="G7" s="1416"/>
      <c r="H7" s="1416"/>
      <c r="I7" s="1417"/>
    </row>
    <row r="8" spans="2:15" ht="15" customHeight="1" x14ac:dyDescent="0.2">
      <c r="B8" s="1418" t="s">
        <v>1099</v>
      </c>
      <c r="C8" s="1419">
        <v>575</v>
      </c>
      <c r="D8" s="1237">
        <v>1980</v>
      </c>
      <c r="E8" s="1420">
        <v>3560</v>
      </c>
      <c r="F8" s="1237">
        <v>1186.67</v>
      </c>
      <c r="G8" s="1421" t="s">
        <v>1100</v>
      </c>
      <c r="H8" s="1421">
        <v>1.65</v>
      </c>
      <c r="I8" s="1422"/>
      <c r="J8" s="1423"/>
      <c r="K8" s="1424"/>
      <c r="L8" s="1425"/>
      <c r="M8" s="1426"/>
      <c r="N8" s="1427"/>
      <c r="O8" s="1428"/>
    </row>
    <row r="9" spans="2:15" ht="15" customHeight="1" x14ac:dyDescent="0.2">
      <c r="B9" s="1418" t="s">
        <v>1101</v>
      </c>
      <c r="C9" s="1419">
        <v>130</v>
      </c>
      <c r="D9" s="1237">
        <v>400</v>
      </c>
      <c r="E9" s="1420">
        <v>1130</v>
      </c>
      <c r="F9" s="1237">
        <v>226</v>
      </c>
      <c r="G9" s="1421" t="s">
        <v>1102</v>
      </c>
      <c r="H9" s="1421">
        <v>1.42</v>
      </c>
      <c r="I9" s="1422"/>
      <c r="J9" s="1423"/>
      <c r="K9" s="1424"/>
      <c r="L9" s="1425"/>
      <c r="M9" s="1426"/>
      <c r="N9" s="1427"/>
      <c r="O9" s="1428"/>
    </row>
    <row r="10" spans="2:15" ht="15" customHeight="1" x14ac:dyDescent="0.2">
      <c r="B10" s="1418" t="s">
        <v>1103</v>
      </c>
      <c r="C10" s="1419">
        <v>50</v>
      </c>
      <c r="D10" s="1237">
        <v>50</v>
      </c>
      <c r="E10" s="1420">
        <v>200</v>
      </c>
      <c r="F10" s="1237">
        <v>50</v>
      </c>
      <c r="G10" s="1421">
        <v>1.35</v>
      </c>
      <c r="H10" s="1421">
        <v>1.35</v>
      </c>
      <c r="I10" s="1422"/>
      <c r="J10" s="1423"/>
      <c r="K10" s="1424"/>
      <c r="L10" s="1425"/>
      <c r="M10" s="1426"/>
      <c r="N10" s="1427"/>
      <c r="O10" s="1428"/>
    </row>
    <row r="11" spans="2:15" ht="15" customHeight="1" x14ac:dyDescent="0.2">
      <c r="B11" s="1418" t="s">
        <v>1104</v>
      </c>
      <c r="C11" s="1419" t="s">
        <v>664</v>
      </c>
      <c r="D11" s="1237" t="s">
        <v>664</v>
      </c>
      <c r="E11" s="1420" t="s">
        <v>664</v>
      </c>
      <c r="F11" s="1237" t="s">
        <v>664</v>
      </c>
      <c r="G11" s="1421" t="s">
        <v>664</v>
      </c>
      <c r="H11" s="1421" t="s">
        <v>664</v>
      </c>
      <c r="I11" s="1422"/>
      <c r="J11" s="1423"/>
      <c r="K11" s="1424"/>
      <c r="L11" s="1426"/>
      <c r="M11" s="1426"/>
      <c r="N11" s="1427"/>
      <c r="O11" s="1428"/>
    </row>
    <row r="12" spans="2:15" ht="15" customHeight="1" x14ac:dyDescent="0.2">
      <c r="B12" s="1418" t="s">
        <v>1105</v>
      </c>
      <c r="C12" s="1419">
        <v>30</v>
      </c>
      <c r="D12" s="1237">
        <v>30</v>
      </c>
      <c r="E12" s="1420">
        <v>30</v>
      </c>
      <c r="F12" s="1237">
        <v>30</v>
      </c>
      <c r="G12" s="1421">
        <v>1.25</v>
      </c>
      <c r="H12" s="1421">
        <v>1.25</v>
      </c>
      <c r="I12" s="1422"/>
      <c r="J12" s="1423"/>
      <c r="K12" s="1424"/>
      <c r="L12" s="1426"/>
      <c r="M12" s="1426"/>
      <c r="N12" s="1427"/>
      <c r="O12" s="1428"/>
    </row>
    <row r="13" spans="2:15" ht="15" hidden="1" customHeight="1" x14ac:dyDescent="0.2">
      <c r="B13" s="1418"/>
      <c r="C13" s="1419" t="s">
        <v>664</v>
      </c>
      <c r="D13" s="1237" t="s">
        <v>664</v>
      </c>
      <c r="E13" s="1420" t="s">
        <v>664</v>
      </c>
      <c r="F13" s="1237" t="s">
        <v>664</v>
      </c>
      <c r="G13" s="1421" t="s">
        <v>664</v>
      </c>
      <c r="H13" s="1421" t="s">
        <v>664</v>
      </c>
      <c r="I13" s="1422"/>
      <c r="J13" s="1423"/>
      <c r="K13" s="1424"/>
      <c r="L13" s="1426"/>
      <c r="M13" s="1426"/>
      <c r="N13" s="1427"/>
      <c r="O13" s="1428"/>
    </row>
    <row r="14" spans="2:15" ht="9.75" customHeight="1" x14ac:dyDescent="0.2">
      <c r="B14" s="1429"/>
      <c r="C14" s="1430"/>
      <c r="D14" s="1431"/>
      <c r="E14" s="1432"/>
      <c r="F14" s="1431"/>
      <c r="G14" s="1433"/>
      <c r="H14" s="1433"/>
      <c r="I14" s="1434"/>
      <c r="J14" s="1423"/>
      <c r="K14" s="1426"/>
      <c r="L14" s="1426"/>
      <c r="M14" s="1435"/>
      <c r="N14" s="1427"/>
      <c r="O14" s="1428"/>
    </row>
    <row r="15" spans="2:15" ht="15" hidden="1" customHeight="1" x14ac:dyDescent="0.2">
      <c r="B15" s="1436"/>
      <c r="C15" s="1437"/>
      <c r="D15" s="1237"/>
      <c r="E15" s="1415"/>
      <c r="F15" s="1237"/>
      <c r="G15" s="1416"/>
      <c r="H15" s="1416"/>
      <c r="I15" s="1422"/>
      <c r="J15" s="1438"/>
      <c r="K15" s="1427"/>
      <c r="L15" s="1439">
        <f>SUM(L8:L14)</f>
        <v>0</v>
      </c>
      <c r="M15" s="1427"/>
      <c r="N15" s="1439">
        <f>SUM(N8:N14)</f>
        <v>0</v>
      </c>
      <c r="O15" s="1428" t="e">
        <f>N15/L15</f>
        <v>#DIV/0!</v>
      </c>
    </row>
    <row r="16" spans="2:15" ht="15" hidden="1" customHeight="1" x14ac:dyDescent="0.2">
      <c r="B16" s="1440">
        <v>36312</v>
      </c>
      <c r="C16" s="1437">
        <v>10</v>
      </c>
      <c r="D16" s="1237">
        <v>230</v>
      </c>
      <c r="E16" s="1415">
        <v>2385</v>
      </c>
      <c r="F16" s="1237">
        <v>80</v>
      </c>
      <c r="G16" s="1416" t="s">
        <v>1106</v>
      </c>
      <c r="H16" s="1416">
        <v>9.9600000000000009</v>
      </c>
      <c r="I16" s="1422">
        <v>12.61</v>
      </c>
      <c r="J16" s="1438"/>
    </row>
    <row r="17" spans="2:10" ht="15" hidden="1" customHeight="1" x14ac:dyDescent="0.2">
      <c r="B17" s="1440">
        <v>36404</v>
      </c>
      <c r="C17" s="1437">
        <v>10</v>
      </c>
      <c r="D17" s="1237">
        <v>120</v>
      </c>
      <c r="E17" s="1415">
        <v>1223</v>
      </c>
      <c r="F17" s="1237">
        <v>52.96</v>
      </c>
      <c r="G17" s="1416" t="s">
        <v>1107</v>
      </c>
      <c r="H17" s="1416">
        <v>9.5630000000000006</v>
      </c>
      <c r="I17" s="1422">
        <v>12.72</v>
      </c>
      <c r="J17" s="1438"/>
    </row>
    <row r="18" spans="2:10" ht="15" hidden="1" customHeight="1" x14ac:dyDescent="0.2">
      <c r="B18" s="1440">
        <v>36495</v>
      </c>
      <c r="C18" s="1437">
        <v>85</v>
      </c>
      <c r="D18" s="1237">
        <v>500</v>
      </c>
      <c r="E18" s="1415">
        <v>6285</v>
      </c>
      <c r="F18" s="1237">
        <v>273</v>
      </c>
      <c r="G18" s="1416" t="s">
        <v>1108</v>
      </c>
      <c r="H18" s="1416">
        <v>9.67</v>
      </c>
      <c r="I18" s="1422">
        <v>12.36</v>
      </c>
      <c r="J18" s="1438"/>
    </row>
    <row r="19" spans="2:10" ht="15" hidden="1" customHeight="1" x14ac:dyDescent="0.2">
      <c r="B19" s="1441">
        <v>36586</v>
      </c>
      <c r="C19" s="1437">
        <v>10</v>
      </c>
      <c r="D19" s="1237">
        <v>255</v>
      </c>
      <c r="E19" s="1415">
        <v>3163.2</v>
      </c>
      <c r="F19" s="1237">
        <v>102</v>
      </c>
      <c r="G19" s="1416" t="s">
        <v>1109</v>
      </c>
      <c r="H19" s="1416">
        <v>9.1199999999999992</v>
      </c>
      <c r="I19" s="1422">
        <v>11.71</v>
      </c>
      <c r="J19" s="1438"/>
    </row>
    <row r="20" spans="2:10" ht="15" hidden="1" customHeight="1" x14ac:dyDescent="0.2">
      <c r="B20" s="1440">
        <v>36678</v>
      </c>
      <c r="C20" s="1437">
        <v>20</v>
      </c>
      <c r="D20" s="1237">
        <v>600</v>
      </c>
      <c r="E20" s="1237">
        <v>3421</v>
      </c>
      <c r="F20" s="1237">
        <v>118</v>
      </c>
      <c r="G20" s="1416" t="s">
        <v>1110</v>
      </c>
      <c r="H20" s="1416">
        <v>7.27</v>
      </c>
      <c r="I20" s="1422">
        <v>10.039999999999999</v>
      </c>
      <c r="J20" s="1438"/>
    </row>
    <row r="21" spans="2:10" ht="15" hidden="1" customHeight="1" x14ac:dyDescent="0.2">
      <c r="B21" s="1440">
        <v>36708</v>
      </c>
      <c r="C21" s="1437">
        <v>10</v>
      </c>
      <c r="D21" s="1237">
        <v>830</v>
      </c>
      <c r="E21" s="1237">
        <v>6813</v>
      </c>
      <c r="F21" s="1237">
        <v>243</v>
      </c>
      <c r="G21" s="1416" t="s">
        <v>1111</v>
      </c>
      <c r="H21" s="1416">
        <v>7.46</v>
      </c>
      <c r="I21" s="1442">
        <v>10.08</v>
      </c>
      <c r="J21" s="1438"/>
    </row>
    <row r="22" spans="2:10" ht="15" hidden="1" customHeight="1" x14ac:dyDescent="0.2">
      <c r="B22" s="1440">
        <v>36739</v>
      </c>
      <c r="C22" s="1437">
        <v>25</v>
      </c>
      <c r="D22" s="1237">
        <v>460</v>
      </c>
      <c r="E22" s="1237">
        <v>6528</v>
      </c>
      <c r="F22" s="1237">
        <v>211</v>
      </c>
      <c r="G22" s="1416" t="s">
        <v>1112</v>
      </c>
      <c r="H22" s="1416">
        <v>7.03</v>
      </c>
      <c r="I22" s="1442">
        <v>10.32</v>
      </c>
      <c r="J22" s="1438"/>
    </row>
    <row r="23" spans="2:10" ht="15" hidden="1" customHeight="1" x14ac:dyDescent="0.2">
      <c r="B23" s="1440">
        <v>36770</v>
      </c>
      <c r="C23" s="1437">
        <v>30</v>
      </c>
      <c r="D23" s="1237">
        <v>168</v>
      </c>
      <c r="E23" s="1237">
        <v>2859</v>
      </c>
      <c r="F23" s="1237">
        <v>95</v>
      </c>
      <c r="G23" s="1416" t="s">
        <v>1113</v>
      </c>
      <c r="H23" s="1416">
        <v>7.13</v>
      </c>
      <c r="I23" s="1442">
        <v>9.9550000000000001</v>
      </c>
      <c r="J23" s="1438"/>
    </row>
    <row r="24" spans="2:10" ht="15" hidden="1" customHeight="1" x14ac:dyDescent="0.2">
      <c r="B24" s="1440">
        <v>36800</v>
      </c>
      <c r="C24" s="1437">
        <v>30</v>
      </c>
      <c r="D24" s="1237">
        <v>270</v>
      </c>
      <c r="E24" s="1237">
        <v>3581</v>
      </c>
      <c r="F24" s="1237">
        <v>138</v>
      </c>
      <c r="G24" s="1416" t="s">
        <v>1114</v>
      </c>
      <c r="H24" s="1416">
        <v>7.48</v>
      </c>
      <c r="I24" s="1442">
        <v>10.16</v>
      </c>
      <c r="J24" s="1438"/>
    </row>
    <row r="25" spans="2:10" ht="15" hidden="1" customHeight="1" x14ac:dyDescent="0.2">
      <c r="B25" s="1440">
        <v>36831</v>
      </c>
      <c r="C25" s="1437">
        <v>40</v>
      </c>
      <c r="D25" s="1237">
        <v>201</v>
      </c>
      <c r="E25" s="1237">
        <v>2859</v>
      </c>
      <c r="F25" s="1237">
        <v>95</v>
      </c>
      <c r="G25" s="1416" t="s">
        <v>1115</v>
      </c>
      <c r="H25" s="1416">
        <v>7.98</v>
      </c>
      <c r="I25" s="1442">
        <v>10.77</v>
      </c>
      <c r="J25" s="1438"/>
    </row>
    <row r="26" spans="2:10" ht="15" hidden="1" customHeight="1" x14ac:dyDescent="0.2">
      <c r="B26" s="1440">
        <v>36861</v>
      </c>
      <c r="C26" s="1437">
        <v>16</v>
      </c>
      <c r="D26" s="1237">
        <v>398</v>
      </c>
      <c r="E26" s="1237">
        <v>5734</v>
      </c>
      <c r="F26" s="1237">
        <v>185</v>
      </c>
      <c r="G26" s="1416" t="s">
        <v>1116</v>
      </c>
      <c r="H26" s="1416">
        <v>7.96</v>
      </c>
      <c r="I26" s="1442">
        <v>11.29</v>
      </c>
      <c r="J26" s="1438"/>
    </row>
    <row r="27" spans="2:10" ht="15" hidden="1" customHeight="1" x14ac:dyDescent="0.2">
      <c r="B27" s="1440">
        <v>36892</v>
      </c>
      <c r="C27" s="1437">
        <v>10</v>
      </c>
      <c r="D27" s="1237">
        <v>590</v>
      </c>
      <c r="E27" s="1237">
        <v>4252</v>
      </c>
      <c r="F27" s="1237">
        <v>185</v>
      </c>
      <c r="G27" s="1416" t="s">
        <v>1117</v>
      </c>
      <c r="H27" s="1416">
        <v>6.8</v>
      </c>
      <c r="I27" s="1442">
        <v>11.05</v>
      </c>
      <c r="J27" s="1438"/>
    </row>
    <row r="28" spans="2:10" ht="15" hidden="1" customHeight="1" x14ac:dyDescent="0.2">
      <c r="B28" s="1440">
        <v>36923</v>
      </c>
      <c r="C28" s="1437">
        <v>30</v>
      </c>
      <c r="D28" s="1237">
        <v>594</v>
      </c>
      <c r="E28" s="1237">
        <v>4815</v>
      </c>
      <c r="F28" s="1237">
        <v>172</v>
      </c>
      <c r="G28" s="1416" t="s">
        <v>1118</v>
      </c>
      <c r="H28" s="1416">
        <v>7.2584999999999997</v>
      </c>
      <c r="I28" s="1442">
        <v>11.2</v>
      </c>
      <c r="J28" s="1438"/>
    </row>
    <row r="29" spans="2:10" ht="15" hidden="1" customHeight="1" x14ac:dyDescent="0.2">
      <c r="B29" s="1440">
        <v>36951</v>
      </c>
      <c r="C29" s="1437">
        <v>40</v>
      </c>
      <c r="D29" s="1237">
        <v>410</v>
      </c>
      <c r="E29" s="1237">
        <v>4583</v>
      </c>
      <c r="F29" s="1237">
        <v>148</v>
      </c>
      <c r="G29" s="1416" t="s">
        <v>1119</v>
      </c>
      <c r="H29" s="1416">
        <v>7.5</v>
      </c>
      <c r="I29" s="1442">
        <v>10.67</v>
      </c>
      <c r="J29" s="1438"/>
    </row>
    <row r="30" spans="2:10" ht="15" hidden="1" customHeight="1" x14ac:dyDescent="0.2">
      <c r="B30" s="1440">
        <v>36982</v>
      </c>
      <c r="C30" s="1437">
        <v>50</v>
      </c>
      <c r="D30" s="1237">
        <v>560</v>
      </c>
      <c r="E30" s="1237">
        <v>8724</v>
      </c>
      <c r="F30" s="1237">
        <v>291</v>
      </c>
      <c r="G30" s="1416" t="s">
        <v>1120</v>
      </c>
      <c r="H30" s="1416">
        <v>7.8</v>
      </c>
      <c r="I30" s="1442">
        <v>11.01</v>
      </c>
      <c r="J30" s="1438"/>
    </row>
    <row r="31" spans="2:10" ht="15" hidden="1" customHeight="1" x14ac:dyDescent="0.2">
      <c r="B31" s="1440">
        <v>37012</v>
      </c>
      <c r="C31" s="1437">
        <v>80</v>
      </c>
      <c r="D31" s="1237">
        <v>435</v>
      </c>
      <c r="E31" s="1237">
        <v>5942</v>
      </c>
      <c r="F31" s="1237">
        <v>192</v>
      </c>
      <c r="G31" s="1416" t="s">
        <v>1121</v>
      </c>
      <c r="H31" s="1416">
        <v>8.43</v>
      </c>
      <c r="I31" s="1442">
        <v>11.53</v>
      </c>
      <c r="J31" s="1438"/>
    </row>
    <row r="32" spans="2:10" ht="15" hidden="1" customHeight="1" x14ac:dyDescent="0.2">
      <c r="B32" s="1440">
        <v>37043</v>
      </c>
      <c r="C32" s="1437">
        <v>10</v>
      </c>
      <c r="D32" s="1237">
        <v>570</v>
      </c>
      <c r="E32" s="1237">
        <v>5355</v>
      </c>
      <c r="F32" s="1237">
        <v>178.5</v>
      </c>
      <c r="G32" s="1416" t="s">
        <v>1122</v>
      </c>
      <c r="H32" s="1416">
        <v>7.29</v>
      </c>
      <c r="I32" s="1422">
        <v>11.12</v>
      </c>
      <c r="J32" s="1438"/>
    </row>
    <row r="33" spans="2:10" ht="15" hidden="1" customHeight="1" x14ac:dyDescent="0.2">
      <c r="B33" s="1440">
        <v>37073</v>
      </c>
      <c r="C33" s="1437">
        <v>50</v>
      </c>
      <c r="D33" s="1237">
        <v>570</v>
      </c>
      <c r="E33" s="1237">
        <v>6170</v>
      </c>
      <c r="F33" s="1237">
        <v>199</v>
      </c>
      <c r="G33" s="1416" t="s">
        <v>1113</v>
      </c>
      <c r="H33" s="1416">
        <v>7.18</v>
      </c>
      <c r="I33" s="1442">
        <v>11.03</v>
      </c>
      <c r="J33" s="1438"/>
    </row>
    <row r="34" spans="2:10" ht="15" hidden="1" customHeight="1" x14ac:dyDescent="0.2">
      <c r="B34" s="1440">
        <v>37104</v>
      </c>
      <c r="C34" s="1437">
        <v>35</v>
      </c>
      <c r="D34" s="1237">
        <v>482</v>
      </c>
      <c r="E34" s="1237">
        <v>4954</v>
      </c>
      <c r="F34" s="1237">
        <v>160</v>
      </c>
      <c r="G34" s="1416" t="s">
        <v>1123</v>
      </c>
      <c r="H34" s="1416">
        <v>7.28</v>
      </c>
      <c r="I34" s="1442">
        <v>10.51</v>
      </c>
      <c r="J34" s="1438"/>
    </row>
    <row r="35" spans="2:10" ht="15" hidden="1" customHeight="1" x14ac:dyDescent="0.2">
      <c r="B35" s="1440">
        <v>37135</v>
      </c>
      <c r="C35" s="1437">
        <v>3</v>
      </c>
      <c r="D35" s="1237">
        <v>333</v>
      </c>
      <c r="E35" s="1237">
        <v>4828</v>
      </c>
      <c r="F35" s="1237">
        <v>161</v>
      </c>
      <c r="G35" s="1416" t="s">
        <v>1124</v>
      </c>
      <c r="H35" s="1416">
        <v>7.13</v>
      </c>
      <c r="I35" s="1422">
        <v>10.14</v>
      </c>
      <c r="J35" s="1438"/>
    </row>
    <row r="36" spans="2:10" ht="15" hidden="1" customHeight="1" x14ac:dyDescent="0.2">
      <c r="B36" s="1440">
        <v>37165</v>
      </c>
      <c r="C36" s="1437">
        <v>115</v>
      </c>
      <c r="D36" s="1237">
        <v>615</v>
      </c>
      <c r="E36" s="1237">
        <v>9010</v>
      </c>
      <c r="F36" s="1237">
        <v>291</v>
      </c>
      <c r="G36" s="1416" t="s">
        <v>1125</v>
      </c>
      <c r="H36" s="1416">
        <v>7.12</v>
      </c>
      <c r="I36" s="1442">
        <v>10.36</v>
      </c>
      <c r="J36" s="1438"/>
    </row>
    <row r="37" spans="2:10" ht="15" hidden="1" customHeight="1" x14ac:dyDescent="0.2">
      <c r="B37" s="1440">
        <v>37196</v>
      </c>
      <c r="C37" s="1437">
        <v>50</v>
      </c>
      <c r="D37" s="1237">
        <v>720</v>
      </c>
      <c r="E37" s="1237">
        <v>7487</v>
      </c>
      <c r="F37" s="1237">
        <v>267</v>
      </c>
      <c r="G37" s="1416" t="s">
        <v>1126</v>
      </c>
      <c r="H37" s="1416">
        <v>6.86</v>
      </c>
      <c r="I37" s="1442">
        <v>9.89</v>
      </c>
      <c r="J37" s="1438"/>
    </row>
    <row r="38" spans="2:10" ht="15" hidden="1" customHeight="1" x14ac:dyDescent="0.2">
      <c r="B38" s="1440">
        <v>37226</v>
      </c>
      <c r="C38" s="1437">
        <v>30</v>
      </c>
      <c r="D38" s="1237">
        <v>895</v>
      </c>
      <c r="E38" s="1237">
        <v>9060</v>
      </c>
      <c r="F38" s="1237">
        <v>292</v>
      </c>
      <c r="G38" s="1416" t="s">
        <v>1127</v>
      </c>
      <c r="H38" s="1416">
        <v>6.95</v>
      </c>
      <c r="I38" s="1442">
        <v>10.27</v>
      </c>
      <c r="J38" s="1438"/>
    </row>
    <row r="39" spans="2:10" ht="15" hidden="1" customHeight="1" x14ac:dyDescent="0.2">
      <c r="B39" s="1440">
        <v>37257</v>
      </c>
      <c r="C39" s="1437">
        <v>5</v>
      </c>
      <c r="D39" s="1237">
        <v>310</v>
      </c>
      <c r="E39" s="1415">
        <v>3355</v>
      </c>
      <c r="F39" s="1237">
        <v>116</v>
      </c>
      <c r="G39" s="1416" t="s">
        <v>1128</v>
      </c>
      <c r="H39" s="1416">
        <v>6.69</v>
      </c>
      <c r="I39" s="1422">
        <v>10.039999999999999</v>
      </c>
      <c r="J39" s="1438"/>
    </row>
    <row r="40" spans="2:10" ht="15" hidden="1" customHeight="1" x14ac:dyDescent="0.2">
      <c r="B40" s="1440">
        <v>37316</v>
      </c>
      <c r="C40" s="1437">
        <v>5</v>
      </c>
      <c r="D40" s="1237">
        <v>418</v>
      </c>
      <c r="E40" s="1415">
        <v>7338</v>
      </c>
      <c r="F40" s="1237">
        <v>237</v>
      </c>
      <c r="G40" s="1416" t="s">
        <v>1129</v>
      </c>
      <c r="H40" s="1416">
        <v>6.63</v>
      </c>
      <c r="I40" s="1422">
        <v>9.9</v>
      </c>
      <c r="J40" s="1438"/>
    </row>
    <row r="41" spans="2:10" ht="15" hidden="1" customHeight="1" x14ac:dyDescent="0.2">
      <c r="B41" s="1440">
        <v>37347</v>
      </c>
      <c r="C41" s="1437">
        <v>70</v>
      </c>
      <c r="D41" s="1237">
        <v>310</v>
      </c>
      <c r="E41" s="1415">
        <v>5516</v>
      </c>
      <c r="F41" s="1237">
        <v>184</v>
      </c>
      <c r="G41" s="1416" t="s">
        <v>1130</v>
      </c>
      <c r="H41" s="1416">
        <v>6.74</v>
      </c>
      <c r="I41" s="1422">
        <v>10.09</v>
      </c>
      <c r="J41" s="1438"/>
    </row>
    <row r="42" spans="2:10" ht="15" hidden="1" customHeight="1" x14ac:dyDescent="0.2">
      <c r="B42" s="1440">
        <v>37377</v>
      </c>
      <c r="C42" s="1437">
        <v>30</v>
      </c>
      <c r="D42" s="1237">
        <v>330</v>
      </c>
      <c r="E42" s="1415">
        <v>4300</v>
      </c>
      <c r="F42" s="1237">
        <v>143</v>
      </c>
      <c r="G42" s="1416" t="s">
        <v>1131</v>
      </c>
      <c r="H42" s="1416">
        <v>6.43</v>
      </c>
      <c r="I42" s="1422">
        <v>10.02</v>
      </c>
      <c r="J42" s="1438"/>
    </row>
    <row r="43" spans="2:10" ht="15" hidden="1" customHeight="1" x14ac:dyDescent="0.2">
      <c r="B43" s="1440">
        <v>37408</v>
      </c>
      <c r="C43" s="1437">
        <v>10</v>
      </c>
      <c r="D43" s="1237">
        <v>390</v>
      </c>
      <c r="E43" s="1415">
        <v>2970</v>
      </c>
      <c r="F43" s="1237">
        <v>149</v>
      </c>
      <c r="G43" s="1416" t="s">
        <v>1132</v>
      </c>
      <c r="H43" s="1416">
        <v>6.5</v>
      </c>
      <c r="I43" s="1422">
        <v>9.92</v>
      </c>
      <c r="J43" s="1438"/>
    </row>
    <row r="44" spans="2:10" ht="15" hidden="1" customHeight="1" x14ac:dyDescent="0.2">
      <c r="B44" s="1440">
        <v>37438</v>
      </c>
      <c r="C44" s="1437">
        <v>10</v>
      </c>
      <c r="D44" s="1237">
        <v>735</v>
      </c>
      <c r="E44" s="1415">
        <v>7661</v>
      </c>
      <c r="F44" s="1237">
        <v>255</v>
      </c>
      <c r="G44" s="1416" t="s">
        <v>1133</v>
      </c>
      <c r="H44" s="1416">
        <v>5.73</v>
      </c>
      <c r="I44" s="1422">
        <v>9.89</v>
      </c>
      <c r="J44" s="1438"/>
    </row>
    <row r="45" spans="2:10" ht="15" hidden="1" customHeight="1" x14ac:dyDescent="0.2">
      <c r="B45" s="1440">
        <v>37469</v>
      </c>
      <c r="C45" s="1437">
        <v>10</v>
      </c>
      <c r="D45" s="1237">
        <v>455</v>
      </c>
      <c r="E45" s="1415">
        <v>8185</v>
      </c>
      <c r="F45" s="1237">
        <v>264</v>
      </c>
      <c r="G45" s="1416" t="s">
        <v>1134</v>
      </c>
      <c r="H45" s="1416">
        <v>7.37</v>
      </c>
      <c r="I45" s="1422">
        <v>9.73</v>
      </c>
    </row>
    <row r="46" spans="2:10" ht="15" hidden="1" customHeight="1" x14ac:dyDescent="0.2">
      <c r="B46" s="1440">
        <v>37500</v>
      </c>
      <c r="C46" s="1437">
        <v>205</v>
      </c>
      <c r="D46" s="1237">
        <v>627</v>
      </c>
      <c r="E46" s="1415">
        <v>9421</v>
      </c>
      <c r="F46" s="1237">
        <v>314</v>
      </c>
      <c r="G46" s="1416" t="s">
        <v>1135</v>
      </c>
      <c r="H46" s="1416">
        <v>7.74</v>
      </c>
      <c r="I46" s="1422">
        <v>9.65</v>
      </c>
    </row>
    <row r="47" spans="2:10" ht="15" hidden="1" customHeight="1" x14ac:dyDescent="0.2">
      <c r="B47" s="1440">
        <v>37530</v>
      </c>
      <c r="C47" s="1437">
        <v>250</v>
      </c>
      <c r="D47" s="1237">
        <v>812</v>
      </c>
      <c r="E47" s="1415">
        <v>17979</v>
      </c>
      <c r="F47" s="1237">
        <v>580</v>
      </c>
      <c r="G47" s="1416" t="s">
        <v>1134</v>
      </c>
      <c r="H47" s="1416">
        <v>7.67</v>
      </c>
      <c r="I47" s="1422">
        <v>10.07</v>
      </c>
    </row>
    <row r="48" spans="2:10" ht="15" hidden="1" customHeight="1" x14ac:dyDescent="0.2">
      <c r="B48" s="1440">
        <v>37561</v>
      </c>
      <c r="C48" s="1437">
        <v>20</v>
      </c>
      <c r="D48" s="1237">
        <v>695</v>
      </c>
      <c r="E48" s="1415">
        <v>6205</v>
      </c>
      <c r="F48" s="1237">
        <v>270</v>
      </c>
      <c r="G48" s="1416" t="s">
        <v>1135</v>
      </c>
      <c r="H48" s="1416">
        <v>7.42</v>
      </c>
      <c r="I48" s="1422">
        <v>9.59</v>
      </c>
    </row>
    <row r="49" spans="2:9" ht="15" hidden="1" customHeight="1" x14ac:dyDescent="0.2">
      <c r="B49" s="1440">
        <v>37591</v>
      </c>
      <c r="C49" s="1437">
        <v>10</v>
      </c>
      <c r="D49" s="1237">
        <v>235</v>
      </c>
      <c r="E49" s="1415">
        <v>2869</v>
      </c>
      <c r="F49" s="1237">
        <v>125</v>
      </c>
      <c r="G49" s="1416" t="s">
        <v>1136</v>
      </c>
      <c r="H49" s="1416">
        <v>4.92</v>
      </c>
      <c r="I49" s="1422">
        <v>9.17</v>
      </c>
    </row>
    <row r="50" spans="2:9" ht="15" hidden="1" customHeight="1" x14ac:dyDescent="0.2">
      <c r="B50" s="1440">
        <v>37622</v>
      </c>
      <c r="C50" s="1437">
        <v>90</v>
      </c>
      <c r="D50" s="1237">
        <v>425</v>
      </c>
      <c r="E50" s="1415">
        <v>4318</v>
      </c>
      <c r="F50" s="1237">
        <v>254</v>
      </c>
      <c r="G50" s="1416" t="s">
        <v>1137</v>
      </c>
      <c r="H50" s="1416">
        <v>3.72</v>
      </c>
      <c r="I50" s="1422">
        <v>9.0399999999999991</v>
      </c>
    </row>
    <row r="51" spans="2:9" ht="15" hidden="1" customHeight="1" x14ac:dyDescent="0.2">
      <c r="B51" s="1440">
        <v>37653</v>
      </c>
      <c r="C51" s="1437">
        <v>15</v>
      </c>
      <c r="D51" s="1237">
        <v>545</v>
      </c>
      <c r="E51" s="1415">
        <v>6869</v>
      </c>
      <c r="F51" s="1237">
        <v>275</v>
      </c>
      <c r="G51" s="1416" t="s">
        <v>1138</v>
      </c>
      <c r="H51" s="1416">
        <v>4.75</v>
      </c>
      <c r="I51" s="1422">
        <v>8.59</v>
      </c>
    </row>
    <row r="52" spans="2:9" ht="15" hidden="1" customHeight="1" x14ac:dyDescent="0.2">
      <c r="B52" s="1440">
        <v>37681</v>
      </c>
      <c r="C52" s="1437">
        <v>30</v>
      </c>
      <c r="D52" s="1237">
        <v>200</v>
      </c>
      <c r="E52" s="1415">
        <v>2485</v>
      </c>
      <c r="F52" s="1237">
        <v>124</v>
      </c>
      <c r="G52" s="1416" t="s">
        <v>1139</v>
      </c>
      <c r="H52" s="1416">
        <v>3.64</v>
      </c>
      <c r="I52" s="1422">
        <v>8.5500000000000007</v>
      </c>
    </row>
    <row r="53" spans="2:9" ht="15" hidden="1" customHeight="1" x14ac:dyDescent="0.2">
      <c r="B53" s="1440">
        <v>37712</v>
      </c>
      <c r="C53" s="1437">
        <v>5</v>
      </c>
      <c r="D53" s="1237">
        <v>530</v>
      </c>
      <c r="E53" s="1415">
        <v>4181</v>
      </c>
      <c r="F53" s="1237">
        <v>144</v>
      </c>
      <c r="G53" s="1416" t="s">
        <v>1140</v>
      </c>
      <c r="H53" s="1416">
        <v>3.66</v>
      </c>
      <c r="I53" s="1422">
        <v>8.5073333333333316</v>
      </c>
    </row>
    <row r="54" spans="2:9" ht="15" hidden="1" customHeight="1" x14ac:dyDescent="0.2">
      <c r="B54" s="1440">
        <v>37742</v>
      </c>
      <c r="C54" s="1437">
        <v>10</v>
      </c>
      <c r="D54" s="1237">
        <v>565</v>
      </c>
      <c r="E54" s="1415">
        <v>6318</v>
      </c>
      <c r="F54" s="1237">
        <v>218</v>
      </c>
      <c r="G54" s="1416" t="s">
        <v>1141</v>
      </c>
      <c r="H54" s="1416">
        <v>4.12</v>
      </c>
      <c r="I54" s="1422">
        <v>8.3699999999999992</v>
      </c>
    </row>
    <row r="55" spans="2:9" ht="15" hidden="1" customHeight="1" x14ac:dyDescent="0.2">
      <c r="B55" s="1440">
        <v>37773</v>
      </c>
      <c r="C55" s="1437">
        <v>28</v>
      </c>
      <c r="D55" s="1237">
        <v>275</v>
      </c>
      <c r="E55" s="1415">
        <v>2768</v>
      </c>
      <c r="F55" s="1237">
        <v>115</v>
      </c>
      <c r="G55" s="1416" t="s">
        <v>1138</v>
      </c>
      <c r="H55" s="1416">
        <v>4.45</v>
      </c>
      <c r="I55" s="1422">
        <v>8.3699999999999992</v>
      </c>
    </row>
    <row r="56" spans="2:9" ht="15" hidden="1" customHeight="1" x14ac:dyDescent="0.2">
      <c r="B56" s="1440">
        <v>37803</v>
      </c>
      <c r="C56" s="1437">
        <v>20</v>
      </c>
      <c r="D56" s="1237">
        <v>975</v>
      </c>
      <c r="E56" s="1415">
        <v>12795</v>
      </c>
      <c r="F56" s="1237">
        <v>413</v>
      </c>
      <c r="G56" s="1416" t="s">
        <v>1142</v>
      </c>
      <c r="H56" s="1416">
        <v>4.08</v>
      </c>
      <c r="I56" s="1422">
        <v>8.33</v>
      </c>
    </row>
    <row r="57" spans="2:9" ht="15" hidden="1" customHeight="1" x14ac:dyDescent="0.2">
      <c r="B57" s="1440">
        <v>37834</v>
      </c>
      <c r="C57" s="1437">
        <v>110</v>
      </c>
      <c r="D57" s="1237">
        <v>595</v>
      </c>
      <c r="E57" s="1415">
        <v>5646</v>
      </c>
      <c r="F57" s="1237">
        <v>268.85000000000002</v>
      </c>
      <c r="G57" s="1416" t="s">
        <v>1143</v>
      </c>
      <c r="H57" s="1416">
        <v>3.89</v>
      </c>
      <c r="I57" s="1422">
        <v>8.42</v>
      </c>
    </row>
    <row r="58" spans="2:9" ht="15.75" hidden="1" customHeight="1" x14ac:dyDescent="0.2">
      <c r="B58" s="1440">
        <v>37865</v>
      </c>
      <c r="C58" s="1437">
        <v>20</v>
      </c>
      <c r="D58" s="1237">
        <v>130</v>
      </c>
      <c r="E58" s="1415">
        <v>668</v>
      </c>
      <c r="F58" s="1237">
        <v>67</v>
      </c>
      <c r="G58" s="1416" t="s">
        <v>1144</v>
      </c>
      <c r="H58" s="1416">
        <v>2.78</v>
      </c>
      <c r="I58" s="1422">
        <v>8.2799999999999994</v>
      </c>
    </row>
    <row r="59" spans="2:9" ht="15" hidden="1" customHeight="1" x14ac:dyDescent="0.2">
      <c r="B59" s="1440">
        <v>37895</v>
      </c>
      <c r="C59" s="1437">
        <v>10</v>
      </c>
      <c r="D59" s="1237">
        <v>552</v>
      </c>
      <c r="E59" s="1415">
        <v>3155</v>
      </c>
      <c r="F59" s="1237">
        <v>186</v>
      </c>
      <c r="G59" s="1416" t="s">
        <v>1145</v>
      </c>
      <c r="H59" s="1416">
        <v>1.96</v>
      </c>
      <c r="I59" s="1422">
        <v>7.83</v>
      </c>
    </row>
    <row r="60" spans="2:9" ht="15" hidden="1" customHeight="1" x14ac:dyDescent="0.2">
      <c r="B60" s="1440">
        <v>37926</v>
      </c>
      <c r="C60" s="1437">
        <v>10</v>
      </c>
      <c r="D60" s="1237">
        <v>431</v>
      </c>
      <c r="E60" s="1415">
        <v>2211</v>
      </c>
      <c r="F60" s="1237">
        <v>130</v>
      </c>
      <c r="G60" s="1416" t="s">
        <v>1146</v>
      </c>
      <c r="H60" s="1416">
        <v>1.26</v>
      </c>
      <c r="I60" s="1422">
        <v>7.806</v>
      </c>
    </row>
    <row r="61" spans="2:9" ht="15" hidden="1" customHeight="1" x14ac:dyDescent="0.2">
      <c r="B61" s="1440">
        <v>37956</v>
      </c>
      <c r="C61" s="1437">
        <v>50</v>
      </c>
      <c r="D61" s="1237">
        <v>695</v>
      </c>
      <c r="E61" s="1415">
        <v>5392</v>
      </c>
      <c r="F61" s="1237">
        <v>174</v>
      </c>
      <c r="G61" s="1416" t="s">
        <v>1147</v>
      </c>
      <c r="H61" s="1416">
        <v>1.4</v>
      </c>
      <c r="I61" s="1422">
        <v>7.35</v>
      </c>
    </row>
    <row r="62" spans="2:9" ht="15" hidden="1" customHeight="1" x14ac:dyDescent="0.2">
      <c r="B62" s="1440">
        <v>37987</v>
      </c>
      <c r="C62" s="1437">
        <v>1</v>
      </c>
      <c r="D62" s="1237">
        <v>695</v>
      </c>
      <c r="E62" s="1415">
        <v>5670</v>
      </c>
      <c r="F62" s="1237">
        <v>247</v>
      </c>
      <c r="G62" s="1416" t="s">
        <v>1147</v>
      </c>
      <c r="H62" s="1416">
        <v>1.27</v>
      </c>
      <c r="I62" s="1422">
        <v>7.1</v>
      </c>
    </row>
    <row r="63" spans="2:9" ht="15" hidden="1" customHeight="1" x14ac:dyDescent="0.2">
      <c r="B63" s="1440">
        <v>38018</v>
      </c>
      <c r="C63" s="1437">
        <v>15</v>
      </c>
      <c r="D63" s="1237">
        <v>875</v>
      </c>
      <c r="E63" s="1415">
        <v>6570</v>
      </c>
      <c r="F63" s="1237">
        <v>365</v>
      </c>
      <c r="G63" s="1416" t="s">
        <v>1148</v>
      </c>
      <c r="H63" s="1416">
        <v>1.45</v>
      </c>
      <c r="I63" s="1422">
        <v>6.3</v>
      </c>
    </row>
    <row r="64" spans="2:9" ht="15" hidden="1" customHeight="1" x14ac:dyDescent="0.2">
      <c r="B64" s="1440">
        <v>38047</v>
      </c>
      <c r="C64" s="1437">
        <v>25</v>
      </c>
      <c r="D64" s="1237">
        <v>190</v>
      </c>
      <c r="E64" s="1415">
        <v>2405</v>
      </c>
      <c r="F64" s="1237">
        <v>93</v>
      </c>
      <c r="G64" s="1416" t="s">
        <v>1149</v>
      </c>
      <c r="H64" s="1416">
        <v>1</v>
      </c>
      <c r="I64" s="1422">
        <v>5.31</v>
      </c>
    </row>
    <row r="65" spans="2:9" ht="15" hidden="1" customHeight="1" x14ac:dyDescent="0.2">
      <c r="B65" s="1440">
        <v>38078</v>
      </c>
      <c r="C65" s="1437">
        <v>10</v>
      </c>
      <c r="D65" s="1237">
        <v>695</v>
      </c>
      <c r="E65" s="1415">
        <v>4911</v>
      </c>
      <c r="F65" s="1237">
        <v>163.69999999999999</v>
      </c>
      <c r="G65" s="1416" t="s">
        <v>1150</v>
      </c>
      <c r="H65" s="1416">
        <v>1.0026999999999999</v>
      </c>
      <c r="I65" s="1422">
        <v>4.25</v>
      </c>
    </row>
    <row r="66" spans="2:9" ht="15" hidden="1" customHeight="1" x14ac:dyDescent="0.2">
      <c r="B66" s="1440">
        <v>38108</v>
      </c>
      <c r="C66" s="1437">
        <v>10</v>
      </c>
      <c r="D66" s="1237">
        <v>350</v>
      </c>
      <c r="E66" s="1415">
        <v>2915</v>
      </c>
      <c r="F66" s="1237">
        <v>101</v>
      </c>
      <c r="G66" s="1416">
        <v>1</v>
      </c>
      <c r="H66" s="1416">
        <v>1</v>
      </c>
      <c r="I66" s="1422">
        <v>3.43</v>
      </c>
    </row>
    <row r="67" spans="2:9" ht="15" hidden="1" customHeight="1" x14ac:dyDescent="0.2">
      <c r="B67" s="1440">
        <v>38139</v>
      </c>
      <c r="C67" s="1437">
        <v>40</v>
      </c>
      <c r="D67" s="1237">
        <v>1100</v>
      </c>
      <c r="E67" s="1415">
        <v>7232</v>
      </c>
      <c r="F67" s="1237">
        <v>241.1</v>
      </c>
      <c r="G67" s="1416" t="s">
        <v>1151</v>
      </c>
      <c r="H67" s="1416">
        <v>1.02</v>
      </c>
      <c r="I67" s="1422">
        <v>4.55</v>
      </c>
    </row>
    <row r="68" spans="2:9" ht="15" hidden="1" customHeight="1" x14ac:dyDescent="0.2">
      <c r="B68" s="1440">
        <v>38169</v>
      </c>
      <c r="C68" s="1437">
        <v>40</v>
      </c>
      <c r="D68" s="1237">
        <v>375</v>
      </c>
      <c r="E68" s="1415">
        <v>5978</v>
      </c>
      <c r="F68" s="1237">
        <v>193</v>
      </c>
      <c r="G68" s="1416" t="s">
        <v>1152</v>
      </c>
      <c r="H68" s="1416">
        <v>1.07</v>
      </c>
      <c r="I68" s="1422">
        <v>5.03</v>
      </c>
    </row>
    <row r="69" spans="2:9" ht="15" hidden="1" customHeight="1" x14ac:dyDescent="0.2">
      <c r="B69" s="1440">
        <v>38200</v>
      </c>
      <c r="C69" s="1437">
        <v>20</v>
      </c>
      <c r="D69" s="1237">
        <v>870</v>
      </c>
      <c r="E69" s="1415">
        <v>11835</v>
      </c>
      <c r="F69" s="1237">
        <v>438.3</v>
      </c>
      <c r="G69" s="1416" t="s">
        <v>1153</v>
      </c>
      <c r="H69" s="1416">
        <v>1</v>
      </c>
      <c r="I69" s="1422">
        <v>5.26</v>
      </c>
    </row>
    <row r="70" spans="2:9" ht="15" hidden="1" customHeight="1" x14ac:dyDescent="0.2">
      <c r="B70" s="1440">
        <v>38231</v>
      </c>
      <c r="C70" s="1437">
        <v>200</v>
      </c>
      <c r="D70" s="1237">
        <v>1170</v>
      </c>
      <c r="E70" s="1415">
        <v>11979</v>
      </c>
      <c r="F70" s="1237">
        <v>444</v>
      </c>
      <c r="G70" s="1416" t="s">
        <v>1154</v>
      </c>
      <c r="H70" s="1416">
        <v>1</v>
      </c>
      <c r="I70" s="1422">
        <v>5.38</v>
      </c>
    </row>
    <row r="71" spans="2:9" ht="15" hidden="1" customHeight="1" x14ac:dyDescent="0.2">
      <c r="B71" s="1440">
        <v>38261</v>
      </c>
      <c r="C71" s="1437">
        <v>220</v>
      </c>
      <c r="D71" s="1237">
        <v>1090</v>
      </c>
      <c r="E71" s="1415">
        <v>19154</v>
      </c>
      <c r="F71" s="1237">
        <v>617.87</v>
      </c>
      <c r="G71" s="1416" t="s">
        <v>1147</v>
      </c>
      <c r="H71" s="1416">
        <v>1.35</v>
      </c>
      <c r="I71" s="1422">
        <v>5.3606451612903223</v>
      </c>
    </row>
    <row r="72" spans="2:9" ht="15" hidden="1" customHeight="1" x14ac:dyDescent="0.2">
      <c r="B72" s="1440">
        <v>38292</v>
      </c>
      <c r="C72" s="1437">
        <v>8</v>
      </c>
      <c r="D72" s="1237">
        <v>715</v>
      </c>
      <c r="E72" s="1415">
        <v>4458</v>
      </c>
      <c r="F72" s="1237">
        <v>186</v>
      </c>
      <c r="G72" s="1416" t="s">
        <v>1155</v>
      </c>
      <c r="H72" s="1416">
        <v>3.51</v>
      </c>
      <c r="I72" s="1422">
        <v>5.64</v>
      </c>
    </row>
    <row r="73" spans="2:9" ht="15" hidden="1" customHeight="1" x14ac:dyDescent="0.2">
      <c r="B73" s="1440">
        <v>38322</v>
      </c>
      <c r="C73" s="1437">
        <v>30</v>
      </c>
      <c r="D73" s="1237">
        <v>860</v>
      </c>
      <c r="E73" s="1415">
        <v>10355</v>
      </c>
      <c r="F73" s="1237">
        <v>334.03</v>
      </c>
      <c r="G73" s="1416" t="s">
        <v>1155</v>
      </c>
      <c r="H73" s="1416">
        <v>1.69</v>
      </c>
      <c r="I73" s="1422">
        <v>5.6</v>
      </c>
    </row>
    <row r="74" spans="2:9" ht="15" hidden="1" customHeight="1" x14ac:dyDescent="0.2">
      <c r="B74" s="1440">
        <v>38353</v>
      </c>
      <c r="C74" s="1437">
        <v>15</v>
      </c>
      <c r="D74" s="1237">
        <v>553</v>
      </c>
      <c r="E74" s="1415">
        <v>7391</v>
      </c>
      <c r="F74" s="1237">
        <v>238.4</v>
      </c>
      <c r="G74" s="1416" t="s">
        <v>1156</v>
      </c>
      <c r="H74" s="1416">
        <v>1.67</v>
      </c>
      <c r="I74" s="1422">
        <v>5.5</v>
      </c>
    </row>
    <row r="75" spans="2:9" ht="15" hidden="1" customHeight="1" x14ac:dyDescent="0.2">
      <c r="B75" s="1440">
        <v>38384</v>
      </c>
      <c r="C75" s="1437">
        <v>135</v>
      </c>
      <c r="D75" s="1237">
        <v>915</v>
      </c>
      <c r="E75" s="1415">
        <v>11798.5</v>
      </c>
      <c r="F75" s="1237">
        <v>437</v>
      </c>
      <c r="G75" s="1416" t="s">
        <v>1157</v>
      </c>
      <c r="H75" s="1416">
        <v>2.08</v>
      </c>
      <c r="I75" s="1422">
        <v>5.7</v>
      </c>
    </row>
    <row r="76" spans="2:9" ht="15" hidden="1" customHeight="1" x14ac:dyDescent="0.2">
      <c r="B76" s="1440">
        <v>38412</v>
      </c>
      <c r="C76" s="1437">
        <v>93</v>
      </c>
      <c r="D76" s="1237">
        <v>468</v>
      </c>
      <c r="E76" s="1415">
        <v>7692</v>
      </c>
      <c r="F76" s="1237">
        <v>248</v>
      </c>
      <c r="G76" s="1443" t="s">
        <v>1158</v>
      </c>
      <c r="H76" s="1416">
        <v>1.89</v>
      </c>
      <c r="I76" s="1422">
        <v>6.14</v>
      </c>
    </row>
    <row r="77" spans="2:9" ht="15" hidden="1" customHeight="1" x14ac:dyDescent="0.2">
      <c r="B77" s="1440">
        <v>38443</v>
      </c>
      <c r="C77" s="1437">
        <v>5</v>
      </c>
      <c r="D77" s="1237">
        <v>665</v>
      </c>
      <c r="E77" s="1415">
        <v>6352</v>
      </c>
      <c r="F77" s="1237">
        <v>244.3</v>
      </c>
      <c r="G77" s="1443" t="s">
        <v>1159</v>
      </c>
      <c r="H77" s="1416">
        <v>1.49</v>
      </c>
      <c r="I77" s="1422">
        <v>6.01</v>
      </c>
    </row>
    <row r="78" spans="2:9" ht="15" hidden="1" customHeight="1" x14ac:dyDescent="0.2">
      <c r="B78" s="1440">
        <v>38473</v>
      </c>
      <c r="C78" s="1437">
        <v>80</v>
      </c>
      <c r="D78" s="1237">
        <v>545</v>
      </c>
      <c r="E78" s="1415">
        <v>6923</v>
      </c>
      <c r="F78" s="1237">
        <v>223.3</v>
      </c>
      <c r="G78" s="1416" t="s">
        <v>1146</v>
      </c>
      <c r="H78" s="1416">
        <v>1.43</v>
      </c>
      <c r="I78" s="1422">
        <v>6.01</v>
      </c>
    </row>
    <row r="79" spans="2:9" ht="15" hidden="1" customHeight="1" x14ac:dyDescent="0.2">
      <c r="B79" s="1440">
        <v>38504</v>
      </c>
      <c r="C79" s="1437">
        <v>10</v>
      </c>
      <c r="D79" s="1237">
        <v>465</v>
      </c>
      <c r="E79" s="1415">
        <v>5208</v>
      </c>
      <c r="F79" s="1237">
        <v>179.6</v>
      </c>
      <c r="G79" s="1416" t="s">
        <v>1160</v>
      </c>
      <c r="H79" s="1416">
        <v>1.62</v>
      </c>
      <c r="I79" s="1422">
        <v>5.98</v>
      </c>
    </row>
    <row r="80" spans="2:9" ht="15" hidden="1" customHeight="1" x14ac:dyDescent="0.2">
      <c r="B80" s="1440">
        <v>38534</v>
      </c>
      <c r="C80" s="1437">
        <v>35</v>
      </c>
      <c r="D80" s="1237">
        <v>1080</v>
      </c>
      <c r="E80" s="1415">
        <v>9733</v>
      </c>
      <c r="F80" s="1237">
        <v>361</v>
      </c>
      <c r="G80" s="1416" t="s">
        <v>1161</v>
      </c>
      <c r="H80" s="1416">
        <v>1.74</v>
      </c>
      <c r="I80" s="1422">
        <v>5.94</v>
      </c>
    </row>
    <row r="81" spans="2:16" ht="15" hidden="1" customHeight="1" x14ac:dyDescent="0.2">
      <c r="B81" s="1440">
        <v>38565</v>
      </c>
      <c r="C81" s="1437">
        <v>45</v>
      </c>
      <c r="D81" s="1237">
        <v>635</v>
      </c>
      <c r="E81" s="1415">
        <v>8734</v>
      </c>
      <c r="F81" s="1237">
        <v>281.7</v>
      </c>
      <c r="G81" s="1416" t="s">
        <v>1162</v>
      </c>
      <c r="H81" s="1416">
        <v>4.9000000000000004</v>
      </c>
      <c r="I81" s="1422">
        <v>6.22</v>
      </c>
    </row>
    <row r="82" spans="2:16" ht="15" hidden="1" customHeight="1" x14ac:dyDescent="0.2">
      <c r="B82" s="1440">
        <v>38596</v>
      </c>
      <c r="C82" s="1437">
        <v>20</v>
      </c>
      <c r="D82" s="1237">
        <v>525</v>
      </c>
      <c r="E82" s="1415">
        <v>5817</v>
      </c>
      <c r="F82" s="1237">
        <v>232.7</v>
      </c>
      <c r="G82" s="1416" t="s">
        <v>1163</v>
      </c>
      <c r="H82" s="1416">
        <v>2.98</v>
      </c>
      <c r="I82" s="1422">
        <v>6.4</v>
      </c>
    </row>
    <row r="83" spans="2:16" ht="15" hidden="1" customHeight="1" x14ac:dyDescent="0.2">
      <c r="B83" s="1440">
        <v>38626</v>
      </c>
      <c r="C83" s="1437">
        <v>140</v>
      </c>
      <c r="D83" s="1237">
        <v>965</v>
      </c>
      <c r="E83" s="1415">
        <v>14032</v>
      </c>
      <c r="F83" s="1237">
        <v>452.6</v>
      </c>
      <c r="G83" s="1416" t="s">
        <v>1164</v>
      </c>
      <c r="H83" s="1416">
        <v>2.82</v>
      </c>
      <c r="I83" s="1422">
        <v>6.38</v>
      </c>
      <c r="L83" s="1444"/>
      <c r="M83" s="1427"/>
      <c r="N83" s="1427"/>
      <c r="O83" s="1427"/>
      <c r="P83" s="1427"/>
    </row>
    <row r="84" spans="2:16" ht="15" hidden="1" customHeight="1" x14ac:dyDescent="0.2">
      <c r="B84" s="1440">
        <v>38657</v>
      </c>
      <c r="C84" s="1437">
        <v>100</v>
      </c>
      <c r="D84" s="1237">
        <v>690</v>
      </c>
      <c r="E84" s="1415">
        <v>6927</v>
      </c>
      <c r="F84" s="1237">
        <v>238.9</v>
      </c>
      <c r="G84" s="1416" t="s">
        <v>1164</v>
      </c>
      <c r="H84" s="1416">
        <v>2.89</v>
      </c>
      <c r="I84" s="1422">
        <v>6.42</v>
      </c>
      <c r="L84" s="1427"/>
      <c r="M84" s="1427"/>
      <c r="N84" s="1427"/>
      <c r="O84" s="1427"/>
      <c r="P84" s="1427"/>
    </row>
    <row r="85" spans="2:16" ht="15" hidden="1" customHeight="1" x14ac:dyDescent="0.2">
      <c r="B85" s="1440">
        <v>38687</v>
      </c>
      <c r="C85" s="1437">
        <v>40</v>
      </c>
      <c r="D85" s="1237">
        <v>1175</v>
      </c>
      <c r="E85" s="1415">
        <v>10982</v>
      </c>
      <c r="F85" s="1237">
        <v>366.1</v>
      </c>
      <c r="G85" s="1416" t="s">
        <v>1165</v>
      </c>
      <c r="H85" s="1416">
        <v>3.87</v>
      </c>
      <c r="I85" s="1422">
        <v>7.16</v>
      </c>
      <c r="L85" s="1427"/>
      <c r="M85" s="1427"/>
      <c r="N85" s="1427"/>
      <c r="O85" s="1427"/>
      <c r="P85" s="1427"/>
    </row>
    <row r="86" spans="2:16" ht="15" hidden="1" customHeight="1" x14ac:dyDescent="0.2">
      <c r="B86" s="1440">
        <v>38718</v>
      </c>
      <c r="C86" s="1437">
        <v>40</v>
      </c>
      <c r="D86" s="1237">
        <v>1175</v>
      </c>
      <c r="E86" s="1415">
        <v>11848</v>
      </c>
      <c r="F86" s="1237">
        <v>382.19</v>
      </c>
      <c r="G86" s="1416" t="s">
        <v>1166</v>
      </c>
      <c r="H86" s="1416">
        <v>5.68</v>
      </c>
      <c r="I86" s="1422">
        <v>7.53</v>
      </c>
      <c r="L86" s="1427"/>
      <c r="M86" s="1427"/>
      <c r="N86" s="1427"/>
      <c r="O86" s="1427"/>
      <c r="P86" s="1427"/>
    </row>
    <row r="87" spans="2:16" ht="15" hidden="1" customHeight="1" x14ac:dyDescent="0.2">
      <c r="B87" s="1440">
        <v>38749</v>
      </c>
      <c r="C87" s="1437">
        <v>30</v>
      </c>
      <c r="D87" s="1237">
        <v>725</v>
      </c>
      <c r="E87" s="1415">
        <v>5512</v>
      </c>
      <c r="F87" s="1237">
        <v>220</v>
      </c>
      <c r="G87" s="1416" t="s">
        <v>1167</v>
      </c>
      <c r="H87" s="1416">
        <v>3.87</v>
      </c>
      <c r="I87" s="1422">
        <v>7.44</v>
      </c>
      <c r="L87" s="1427"/>
      <c r="M87" s="1427"/>
      <c r="N87" s="1427"/>
      <c r="O87" s="1427"/>
      <c r="P87" s="1427"/>
    </row>
    <row r="88" spans="2:16" ht="15" hidden="1" customHeight="1" x14ac:dyDescent="0.2">
      <c r="B88" s="1440">
        <v>38777</v>
      </c>
      <c r="C88" s="1437">
        <v>19</v>
      </c>
      <c r="D88" s="1237">
        <v>280</v>
      </c>
      <c r="E88" s="1415">
        <v>2453</v>
      </c>
      <c r="F88" s="1237">
        <v>82</v>
      </c>
      <c r="G88" s="1416" t="s">
        <v>1167</v>
      </c>
      <c r="H88" s="1416">
        <v>3.83</v>
      </c>
      <c r="I88" s="1422">
        <v>7.52</v>
      </c>
      <c r="L88" s="1427"/>
      <c r="M88" s="1427"/>
      <c r="N88" s="1427"/>
      <c r="O88" s="1427"/>
      <c r="P88" s="1427"/>
    </row>
    <row r="89" spans="2:16" ht="15" hidden="1" customHeight="1" x14ac:dyDescent="0.2">
      <c r="B89" s="1440">
        <v>38808</v>
      </c>
      <c r="C89" s="1437">
        <v>44</v>
      </c>
      <c r="D89" s="1237">
        <v>630</v>
      </c>
      <c r="E89" s="1415">
        <v>10167</v>
      </c>
      <c r="F89" s="1237">
        <v>363.1</v>
      </c>
      <c r="G89" s="1416" t="s">
        <v>1168</v>
      </c>
      <c r="H89" s="1416">
        <v>3.88</v>
      </c>
      <c r="I89" s="1422">
        <v>7.51</v>
      </c>
      <c r="L89" s="1427"/>
      <c r="M89" s="1439"/>
      <c r="N89" s="1427"/>
      <c r="O89" s="1439"/>
      <c r="P89" s="1428"/>
    </row>
    <row r="90" spans="2:16" ht="15" hidden="1" customHeight="1" x14ac:dyDescent="0.2">
      <c r="B90" s="1440">
        <v>38838</v>
      </c>
      <c r="C90" s="1437">
        <v>15</v>
      </c>
      <c r="D90" s="1237">
        <v>1050</v>
      </c>
      <c r="E90" s="1415">
        <v>10439</v>
      </c>
      <c r="F90" s="1237">
        <v>336.7</v>
      </c>
      <c r="G90" s="1416" t="s">
        <v>1002</v>
      </c>
      <c r="H90" s="1416">
        <v>3.52</v>
      </c>
      <c r="I90" s="1422">
        <v>7.47</v>
      </c>
    </row>
    <row r="91" spans="2:16" ht="15" hidden="1" customHeight="1" x14ac:dyDescent="0.2">
      <c r="B91" s="1440">
        <v>38869</v>
      </c>
      <c r="C91" s="1437">
        <v>6</v>
      </c>
      <c r="D91" s="1237">
        <v>625</v>
      </c>
      <c r="E91" s="1415">
        <v>4852</v>
      </c>
      <c r="F91" s="1237">
        <v>194.08</v>
      </c>
      <c r="G91" s="1416" t="s">
        <v>1169</v>
      </c>
      <c r="H91" s="1416">
        <v>3.54</v>
      </c>
      <c r="I91" s="1422">
        <v>7.34</v>
      </c>
    </row>
    <row r="92" spans="2:16" ht="15" hidden="1" customHeight="1" x14ac:dyDescent="0.2">
      <c r="B92" s="1440">
        <v>38899</v>
      </c>
      <c r="C92" s="1437">
        <v>25</v>
      </c>
      <c r="D92" s="1237">
        <v>718.5</v>
      </c>
      <c r="E92" s="1415">
        <v>6063.5</v>
      </c>
      <c r="F92" s="1237">
        <v>209.09</v>
      </c>
      <c r="G92" s="1416" t="s">
        <v>1169</v>
      </c>
      <c r="H92" s="1416">
        <v>3.65</v>
      </c>
      <c r="I92" s="1422">
        <v>7.34</v>
      </c>
    </row>
    <row r="93" spans="2:16" ht="15" hidden="1" customHeight="1" x14ac:dyDescent="0.2">
      <c r="B93" s="1440">
        <v>38930</v>
      </c>
      <c r="C93" s="1437">
        <v>205</v>
      </c>
      <c r="D93" s="1237">
        <v>1651</v>
      </c>
      <c r="E93" s="1415">
        <v>15286</v>
      </c>
      <c r="F93" s="1237">
        <v>493.09699999999998</v>
      </c>
      <c r="G93" s="1416" t="s">
        <v>1170</v>
      </c>
      <c r="H93" s="1416">
        <v>5.15</v>
      </c>
      <c r="I93" s="1422">
        <v>7.26</v>
      </c>
    </row>
    <row r="94" spans="2:16" ht="15" hidden="1" customHeight="1" x14ac:dyDescent="0.2">
      <c r="B94" s="1440">
        <v>38961</v>
      </c>
      <c r="C94" s="1437">
        <v>40</v>
      </c>
      <c r="D94" s="1237">
        <v>1075</v>
      </c>
      <c r="E94" s="1415">
        <v>14115</v>
      </c>
      <c r="F94" s="1237">
        <v>470</v>
      </c>
      <c r="G94" s="1416" t="s">
        <v>1171</v>
      </c>
      <c r="H94" s="1416">
        <v>8.0399999999999991</v>
      </c>
      <c r="I94" s="1422">
        <v>8.7899999999999991</v>
      </c>
    </row>
    <row r="95" spans="2:16" ht="15" hidden="1" customHeight="1" x14ac:dyDescent="0.2">
      <c r="B95" s="1440">
        <v>38991</v>
      </c>
      <c r="C95" s="1445">
        <v>450</v>
      </c>
      <c r="D95" s="1237">
        <v>1290</v>
      </c>
      <c r="E95" s="1237">
        <v>24863</v>
      </c>
      <c r="F95" s="1249">
        <v>802</v>
      </c>
      <c r="G95" s="1249" t="s">
        <v>1172</v>
      </c>
      <c r="H95" s="1249">
        <v>10.83</v>
      </c>
      <c r="I95" s="1446">
        <v>10.17</v>
      </c>
    </row>
    <row r="96" spans="2:16" ht="15" hidden="1" customHeight="1" x14ac:dyDescent="0.2">
      <c r="B96" s="1440">
        <v>39022</v>
      </c>
      <c r="C96" s="1437">
        <v>197</v>
      </c>
      <c r="D96" s="1237">
        <v>1005</v>
      </c>
      <c r="E96" s="1415">
        <v>17569.5</v>
      </c>
      <c r="F96" s="1237">
        <v>585.65</v>
      </c>
      <c r="G96" s="1416" t="s">
        <v>1173</v>
      </c>
      <c r="H96" s="1416">
        <v>8.98</v>
      </c>
      <c r="I96" s="1422">
        <v>10.66</v>
      </c>
    </row>
    <row r="97" spans="2:12" ht="15" hidden="1" customHeight="1" x14ac:dyDescent="0.2">
      <c r="B97" s="1440">
        <v>39052</v>
      </c>
      <c r="C97" s="1437">
        <v>10</v>
      </c>
      <c r="D97" s="1237">
        <v>595</v>
      </c>
      <c r="E97" s="1415">
        <v>6183.5</v>
      </c>
      <c r="F97" s="1237">
        <v>237.8</v>
      </c>
      <c r="G97" s="1416" t="s">
        <v>1174</v>
      </c>
      <c r="H97" s="1416">
        <v>8.86</v>
      </c>
      <c r="I97" s="1422">
        <v>11.84</v>
      </c>
    </row>
    <row r="98" spans="2:12" ht="15" hidden="1" customHeight="1" x14ac:dyDescent="0.2">
      <c r="B98" s="1440">
        <v>39083</v>
      </c>
      <c r="C98" s="1437">
        <v>100</v>
      </c>
      <c r="D98" s="1237">
        <v>918</v>
      </c>
      <c r="E98" s="1415">
        <v>13445</v>
      </c>
      <c r="F98" s="1237">
        <v>433.7</v>
      </c>
      <c r="G98" s="1416" t="s">
        <v>1175</v>
      </c>
      <c r="H98" s="1416">
        <v>8.5500000000000007</v>
      </c>
      <c r="I98" s="1422">
        <v>12.99</v>
      </c>
    </row>
    <row r="99" spans="2:12" ht="15" hidden="1" customHeight="1" x14ac:dyDescent="0.2">
      <c r="B99" s="1440">
        <v>39114</v>
      </c>
      <c r="C99" s="1437">
        <v>113.5</v>
      </c>
      <c r="D99" s="1237">
        <v>730</v>
      </c>
      <c r="E99" s="1415">
        <v>8733</v>
      </c>
      <c r="F99" s="1237">
        <v>311.89999999999998</v>
      </c>
      <c r="G99" s="1416" t="s">
        <v>1176</v>
      </c>
      <c r="H99" s="1416">
        <v>9.0399999999999991</v>
      </c>
      <c r="I99" s="1422">
        <v>13.25</v>
      </c>
    </row>
    <row r="100" spans="2:12" ht="15" hidden="1" customHeight="1" x14ac:dyDescent="0.2">
      <c r="B100" s="1440">
        <v>39142</v>
      </c>
      <c r="C100" s="1445">
        <v>26</v>
      </c>
      <c r="D100" s="1237">
        <v>1094</v>
      </c>
      <c r="E100" s="1237">
        <v>8516</v>
      </c>
      <c r="F100" s="1249">
        <v>284</v>
      </c>
      <c r="G100" s="1249" t="s">
        <v>1177</v>
      </c>
      <c r="H100" s="1249">
        <v>8.31</v>
      </c>
      <c r="I100" s="1446">
        <v>12.11</v>
      </c>
      <c r="K100" s="1447"/>
      <c r="L100" s="1425"/>
    </row>
    <row r="101" spans="2:12" ht="15" hidden="1" customHeight="1" x14ac:dyDescent="0.2">
      <c r="B101" s="1440">
        <v>39173</v>
      </c>
      <c r="C101" s="1437">
        <v>18</v>
      </c>
      <c r="D101" s="1237">
        <v>730</v>
      </c>
      <c r="E101" s="1415">
        <v>6819.5</v>
      </c>
      <c r="F101" s="1237">
        <v>227.3</v>
      </c>
      <c r="G101" s="1416" t="s">
        <v>1178</v>
      </c>
      <c r="H101" s="1416">
        <v>8.1</v>
      </c>
      <c r="I101" s="1422">
        <v>11.47</v>
      </c>
      <c r="K101" s="1447"/>
      <c r="L101" s="1425"/>
    </row>
    <row r="102" spans="2:12" ht="15" hidden="1" customHeight="1" x14ac:dyDescent="0.2">
      <c r="B102" s="1440">
        <v>39203</v>
      </c>
      <c r="C102" s="1437">
        <v>30</v>
      </c>
      <c r="D102" s="1237">
        <v>1095</v>
      </c>
      <c r="E102" s="1415">
        <v>11416.5</v>
      </c>
      <c r="F102" s="1237">
        <v>368</v>
      </c>
      <c r="G102" s="1416" t="s">
        <v>1177</v>
      </c>
      <c r="H102" s="1416">
        <v>8.3699999999999992</v>
      </c>
      <c r="I102" s="1422">
        <v>11.67</v>
      </c>
      <c r="K102" s="1447"/>
      <c r="L102" s="1425"/>
    </row>
    <row r="103" spans="2:12" ht="15" hidden="1" customHeight="1" x14ac:dyDescent="0.2">
      <c r="B103" s="1440">
        <v>39240</v>
      </c>
      <c r="C103" s="1437">
        <v>35</v>
      </c>
      <c r="D103" s="1237">
        <v>520</v>
      </c>
      <c r="E103" s="1415">
        <v>7316</v>
      </c>
      <c r="F103" s="1237">
        <v>252.3</v>
      </c>
      <c r="G103" s="1416" t="s">
        <v>1179</v>
      </c>
      <c r="H103" s="1416">
        <v>8.31</v>
      </c>
      <c r="I103" s="1422">
        <v>11.08</v>
      </c>
      <c r="K103" s="1447"/>
      <c r="L103" s="1425"/>
    </row>
    <row r="104" spans="2:12" ht="15" hidden="1" customHeight="1" x14ac:dyDescent="0.2">
      <c r="B104" s="1440">
        <v>39270</v>
      </c>
      <c r="C104" s="1437">
        <v>35</v>
      </c>
      <c r="D104" s="1237">
        <v>1300</v>
      </c>
      <c r="E104" s="1415">
        <v>11424</v>
      </c>
      <c r="F104" s="1237">
        <v>369</v>
      </c>
      <c r="G104" s="1416" t="s">
        <v>1180</v>
      </c>
      <c r="H104" s="1416">
        <v>8.77</v>
      </c>
      <c r="I104" s="1422">
        <v>11.23</v>
      </c>
      <c r="K104" s="1447"/>
      <c r="L104" s="1425"/>
    </row>
    <row r="105" spans="2:12" ht="15" hidden="1" customHeight="1" x14ac:dyDescent="0.2">
      <c r="B105" s="1440">
        <v>39301</v>
      </c>
      <c r="C105" s="1437">
        <v>102</v>
      </c>
      <c r="D105" s="1237">
        <v>1355</v>
      </c>
      <c r="E105" s="1415">
        <v>14748</v>
      </c>
      <c r="F105" s="1237">
        <v>508.6</v>
      </c>
      <c r="G105" s="1416" t="s">
        <v>1181</v>
      </c>
      <c r="H105" s="1416">
        <v>8.77</v>
      </c>
      <c r="I105" s="1422">
        <v>10.199999999999999</v>
      </c>
    </row>
    <row r="106" spans="2:12" ht="15" hidden="1" customHeight="1" x14ac:dyDescent="0.2">
      <c r="B106" s="1440">
        <v>39332</v>
      </c>
      <c r="C106" s="1437">
        <v>180</v>
      </c>
      <c r="D106" s="1237">
        <v>1355</v>
      </c>
      <c r="E106" s="1415">
        <v>19377</v>
      </c>
      <c r="F106" s="1237">
        <v>645.9</v>
      </c>
      <c r="G106" s="1416" t="s">
        <v>1182</v>
      </c>
      <c r="H106" s="1416">
        <v>8.94</v>
      </c>
      <c r="I106" s="1422">
        <v>9.49</v>
      </c>
    </row>
    <row r="107" spans="2:12" ht="15" hidden="1" customHeight="1" x14ac:dyDescent="0.2">
      <c r="B107" s="1440">
        <v>39362</v>
      </c>
      <c r="C107" s="1437">
        <v>20</v>
      </c>
      <c r="D107" s="1237">
        <v>580</v>
      </c>
      <c r="E107" s="1415">
        <v>5229</v>
      </c>
      <c r="F107" s="1237">
        <v>169</v>
      </c>
      <c r="G107" s="1416" t="s">
        <v>1182</v>
      </c>
      <c r="H107" s="1416">
        <v>9.2200000000000006</v>
      </c>
      <c r="I107" s="1422">
        <v>9.24</v>
      </c>
    </row>
    <row r="108" spans="2:12" ht="15" hidden="1" customHeight="1" x14ac:dyDescent="0.2">
      <c r="B108" s="1440">
        <v>39393</v>
      </c>
      <c r="C108" s="1437">
        <v>15</v>
      </c>
      <c r="D108" s="1237">
        <v>765</v>
      </c>
      <c r="E108" s="1415">
        <v>7274</v>
      </c>
      <c r="F108" s="1237">
        <v>291</v>
      </c>
      <c r="G108" s="1416" t="s">
        <v>1183</v>
      </c>
      <c r="H108" s="1416">
        <v>8.6</v>
      </c>
      <c r="I108" s="1422">
        <v>9.07</v>
      </c>
    </row>
    <row r="109" spans="2:12" ht="15" hidden="1" customHeight="1" x14ac:dyDescent="0.2">
      <c r="B109" s="1440">
        <v>39423</v>
      </c>
      <c r="C109" s="1437">
        <v>50</v>
      </c>
      <c r="D109" s="1237">
        <v>570</v>
      </c>
      <c r="E109" s="1415">
        <v>8113</v>
      </c>
      <c r="F109" s="1237">
        <v>262</v>
      </c>
      <c r="G109" s="1416" t="s">
        <v>1184</v>
      </c>
      <c r="H109" s="1416">
        <v>8.75</v>
      </c>
      <c r="I109" s="1422">
        <v>9.93</v>
      </c>
    </row>
    <row r="110" spans="2:12" ht="15" hidden="1" customHeight="1" x14ac:dyDescent="0.2">
      <c r="B110" s="1440">
        <v>39454</v>
      </c>
      <c r="C110" s="1437">
        <v>100</v>
      </c>
      <c r="D110" s="1237">
        <v>494</v>
      </c>
      <c r="E110" s="1415">
        <v>9109</v>
      </c>
      <c r="F110" s="1237">
        <v>293.8</v>
      </c>
      <c r="G110" s="1416" t="s">
        <v>1177</v>
      </c>
      <c r="H110" s="1416">
        <v>8.67</v>
      </c>
      <c r="I110" s="1422">
        <v>9.82</v>
      </c>
    </row>
    <row r="111" spans="2:12" ht="15" hidden="1" customHeight="1" x14ac:dyDescent="0.2">
      <c r="B111" s="1440">
        <v>39485</v>
      </c>
      <c r="C111" s="1437">
        <v>210</v>
      </c>
      <c r="D111" s="1237">
        <v>985</v>
      </c>
      <c r="E111" s="1415">
        <v>19697</v>
      </c>
      <c r="F111" s="1237">
        <v>679.2</v>
      </c>
      <c r="G111" s="1416" t="s">
        <v>1185</v>
      </c>
      <c r="H111" s="1416">
        <v>8.0500000000000007</v>
      </c>
      <c r="I111" s="1422">
        <v>8.6300000000000008</v>
      </c>
    </row>
    <row r="112" spans="2:12" ht="15" hidden="1" customHeight="1" x14ac:dyDescent="0.2">
      <c r="B112" s="1440">
        <v>39514</v>
      </c>
      <c r="C112" s="1437">
        <v>40</v>
      </c>
      <c r="D112" s="1237">
        <v>1270</v>
      </c>
      <c r="E112" s="1415">
        <v>16270</v>
      </c>
      <c r="F112" s="1237">
        <v>524.79999999999995</v>
      </c>
      <c r="G112" s="1416" t="s">
        <v>1186</v>
      </c>
      <c r="H112" s="1416">
        <v>7.48</v>
      </c>
      <c r="I112" s="1422">
        <v>7.6</v>
      </c>
    </row>
    <row r="113" spans="2:9" ht="15" hidden="1" customHeight="1" x14ac:dyDescent="0.2">
      <c r="B113" s="1440">
        <v>39545</v>
      </c>
      <c r="C113" s="1437">
        <v>23</v>
      </c>
      <c r="D113" s="1237">
        <v>673</v>
      </c>
      <c r="E113" s="1415">
        <v>3832</v>
      </c>
      <c r="F113" s="1237">
        <v>128</v>
      </c>
      <c r="G113" s="1416" t="s">
        <v>1187</v>
      </c>
      <c r="H113" s="1416">
        <v>6.84</v>
      </c>
      <c r="I113" s="1422">
        <v>7.49</v>
      </c>
    </row>
    <row r="114" spans="2:9" ht="15" hidden="1" customHeight="1" x14ac:dyDescent="0.2">
      <c r="B114" s="1440">
        <v>39575</v>
      </c>
      <c r="C114" s="1437">
        <v>35</v>
      </c>
      <c r="D114" s="1237">
        <v>750</v>
      </c>
      <c r="E114" s="1415">
        <v>11303</v>
      </c>
      <c r="F114" s="1237">
        <v>364.61</v>
      </c>
      <c r="G114" s="1416" t="s">
        <v>1188</v>
      </c>
      <c r="H114" s="1416">
        <v>6.67</v>
      </c>
      <c r="I114" s="1422">
        <v>7.34</v>
      </c>
    </row>
    <row r="115" spans="2:9" ht="15" hidden="1" customHeight="1" x14ac:dyDescent="0.2">
      <c r="B115" s="1440">
        <v>39606</v>
      </c>
      <c r="C115" s="1437">
        <v>79</v>
      </c>
      <c r="D115" s="1237">
        <v>1014</v>
      </c>
      <c r="E115" s="1415">
        <v>9849</v>
      </c>
      <c r="F115" s="1237">
        <v>328.3</v>
      </c>
      <c r="G115" s="1416" t="s">
        <v>1189</v>
      </c>
      <c r="H115" s="1416">
        <v>6.54</v>
      </c>
      <c r="I115" s="1422">
        <v>7.35</v>
      </c>
    </row>
    <row r="116" spans="2:9" ht="15" hidden="1" customHeight="1" x14ac:dyDescent="0.2">
      <c r="B116" s="1440">
        <v>39636</v>
      </c>
      <c r="C116" s="1437">
        <v>120</v>
      </c>
      <c r="D116" s="1237">
        <v>2085</v>
      </c>
      <c r="E116" s="1415">
        <v>23482</v>
      </c>
      <c r="F116" s="1237">
        <v>757.5</v>
      </c>
      <c r="G116" s="1416" t="s">
        <v>1190</v>
      </c>
      <c r="H116" s="1416">
        <v>6.82</v>
      </c>
      <c r="I116" s="1422">
        <v>7.37</v>
      </c>
    </row>
    <row r="117" spans="2:9" ht="15" hidden="1" customHeight="1" x14ac:dyDescent="0.2">
      <c r="B117" s="1440">
        <v>39667</v>
      </c>
      <c r="C117" s="1437">
        <v>15</v>
      </c>
      <c r="D117" s="1237">
        <v>975</v>
      </c>
      <c r="E117" s="1415">
        <v>10122</v>
      </c>
      <c r="F117" s="1237">
        <v>326.52</v>
      </c>
      <c r="G117" s="1416" t="s">
        <v>1127</v>
      </c>
      <c r="H117" s="1416">
        <v>6.78</v>
      </c>
      <c r="I117" s="1422">
        <v>7.83</v>
      </c>
    </row>
    <row r="118" spans="2:9" ht="15" hidden="1" customHeight="1" x14ac:dyDescent="0.2">
      <c r="B118" s="1440">
        <v>39698</v>
      </c>
      <c r="C118" s="1437">
        <v>650</v>
      </c>
      <c r="D118" s="1237">
        <v>2070</v>
      </c>
      <c r="E118" s="1415">
        <v>39405</v>
      </c>
      <c r="F118" s="1237">
        <v>1313.5</v>
      </c>
      <c r="G118" s="1416" t="s">
        <v>1191</v>
      </c>
      <c r="H118" s="1416">
        <v>8.9700000000000006</v>
      </c>
      <c r="I118" s="1422">
        <v>8.6999999999999993</v>
      </c>
    </row>
    <row r="119" spans="2:9" ht="15" hidden="1" customHeight="1" x14ac:dyDescent="0.2">
      <c r="B119" s="1440">
        <v>39728</v>
      </c>
      <c r="C119" s="1437">
        <v>125</v>
      </c>
      <c r="D119" s="1237">
        <v>2310</v>
      </c>
      <c r="E119" s="1415">
        <v>25466</v>
      </c>
      <c r="F119" s="1237">
        <v>821</v>
      </c>
      <c r="G119" s="1416" t="s">
        <v>1192</v>
      </c>
      <c r="H119" s="1416">
        <v>8.94</v>
      </c>
      <c r="I119" s="1422">
        <v>9.39</v>
      </c>
    </row>
    <row r="120" spans="2:9" ht="15" hidden="1" customHeight="1" x14ac:dyDescent="0.2">
      <c r="B120" s="1440">
        <v>39759</v>
      </c>
      <c r="C120" s="1437">
        <v>59</v>
      </c>
      <c r="D120" s="1237">
        <v>1324</v>
      </c>
      <c r="E120" s="1415">
        <v>14905</v>
      </c>
      <c r="F120" s="1237">
        <v>496.84</v>
      </c>
      <c r="G120" s="1416" t="s">
        <v>1191</v>
      </c>
      <c r="H120" s="1416">
        <v>8.89</v>
      </c>
      <c r="I120" s="1422">
        <v>9.2799999999999994</v>
      </c>
    </row>
    <row r="121" spans="2:9" ht="15" hidden="1" customHeight="1" x14ac:dyDescent="0.2">
      <c r="B121" s="1440">
        <v>39789</v>
      </c>
      <c r="C121" s="1437">
        <v>19.34</v>
      </c>
      <c r="D121" s="1237">
        <v>1549.34</v>
      </c>
      <c r="E121" s="1415">
        <v>12040.54</v>
      </c>
      <c r="F121" s="1237">
        <v>388.4</v>
      </c>
      <c r="G121" s="1416" t="s">
        <v>1193</v>
      </c>
      <c r="H121" s="1416">
        <v>7.24</v>
      </c>
      <c r="I121" s="1422">
        <v>9.06</v>
      </c>
    </row>
    <row r="122" spans="2:9" ht="15" hidden="1" customHeight="1" x14ac:dyDescent="0.2">
      <c r="B122" s="1440">
        <v>39820</v>
      </c>
      <c r="C122" s="1437">
        <v>14.5</v>
      </c>
      <c r="D122" s="1237">
        <v>1504.34</v>
      </c>
      <c r="E122" s="1415">
        <v>19368.099999999999</v>
      </c>
      <c r="F122" s="1237">
        <v>624.78</v>
      </c>
      <c r="G122" s="1416" t="s">
        <v>1194</v>
      </c>
      <c r="H122" s="1416">
        <v>6.96</v>
      </c>
      <c r="I122" s="1422">
        <v>8.2100000000000009</v>
      </c>
    </row>
    <row r="123" spans="2:9" ht="15" hidden="1" customHeight="1" x14ac:dyDescent="0.2">
      <c r="B123" s="1440">
        <v>39851</v>
      </c>
      <c r="C123" s="1437">
        <v>4.5</v>
      </c>
      <c r="D123" s="1237">
        <v>1229.5</v>
      </c>
      <c r="E123" s="1415">
        <v>11511</v>
      </c>
      <c r="F123" s="1237">
        <v>411</v>
      </c>
      <c r="G123" s="1416" t="s">
        <v>1195</v>
      </c>
      <c r="H123" s="1416">
        <v>6.53</v>
      </c>
      <c r="I123" s="1422">
        <v>7.17</v>
      </c>
    </row>
    <row r="124" spans="2:9" ht="15" hidden="1" customHeight="1" x14ac:dyDescent="0.2">
      <c r="B124" s="1440">
        <v>39879</v>
      </c>
      <c r="C124" s="1437">
        <v>5</v>
      </c>
      <c r="D124" s="1237">
        <v>1020</v>
      </c>
      <c r="E124" s="1415">
        <v>12544.5</v>
      </c>
      <c r="F124" s="1237">
        <v>404.7</v>
      </c>
      <c r="G124" s="1416" t="s">
        <v>1196</v>
      </c>
      <c r="H124" s="1416">
        <v>5.77</v>
      </c>
      <c r="I124" s="1422">
        <v>6.31</v>
      </c>
    </row>
    <row r="125" spans="2:9" ht="15" hidden="1" customHeight="1" x14ac:dyDescent="0.2">
      <c r="B125" s="1440">
        <v>39910</v>
      </c>
      <c r="C125" s="1437">
        <v>44.5</v>
      </c>
      <c r="D125" s="1237">
        <v>619.5</v>
      </c>
      <c r="E125" s="1415">
        <v>9119.5</v>
      </c>
      <c r="F125" s="1237">
        <v>303.98</v>
      </c>
      <c r="G125" s="1416" t="s">
        <v>1197</v>
      </c>
      <c r="H125" s="1416">
        <v>4.8099999999999996</v>
      </c>
      <c r="I125" s="1422">
        <v>5.0999999999999996</v>
      </c>
    </row>
    <row r="126" spans="2:9" ht="15" hidden="1" customHeight="1" x14ac:dyDescent="0.2">
      <c r="B126" s="1440">
        <v>39940</v>
      </c>
      <c r="C126" s="1437">
        <v>144.5</v>
      </c>
      <c r="D126" s="1237">
        <v>839.5</v>
      </c>
      <c r="E126" s="1415">
        <v>10281.5</v>
      </c>
      <c r="F126" s="1237">
        <v>331.66</v>
      </c>
      <c r="G126" s="1416" t="s">
        <v>1198</v>
      </c>
      <c r="H126" s="1416">
        <v>4.7</v>
      </c>
      <c r="I126" s="1422">
        <v>4.8099999999999996</v>
      </c>
    </row>
    <row r="127" spans="2:9" ht="15" hidden="1" customHeight="1" x14ac:dyDescent="0.2">
      <c r="B127" s="1440">
        <v>39971</v>
      </c>
      <c r="C127" s="1437">
        <v>104.5</v>
      </c>
      <c r="D127" s="1237">
        <v>1119.5</v>
      </c>
      <c r="E127" s="1415">
        <v>11690</v>
      </c>
      <c r="F127" s="1237">
        <v>389.67</v>
      </c>
      <c r="G127" s="1416" t="s">
        <v>1199</v>
      </c>
      <c r="H127" s="1416">
        <v>4.28</v>
      </c>
      <c r="I127" s="1422">
        <v>4.75</v>
      </c>
    </row>
    <row r="128" spans="2:9" ht="15" hidden="1" customHeight="1" x14ac:dyDescent="0.2">
      <c r="B128" s="1440">
        <v>40001</v>
      </c>
      <c r="C128" s="1437">
        <v>4.66</v>
      </c>
      <c r="D128" s="1237">
        <v>864.5</v>
      </c>
      <c r="E128" s="1415">
        <v>10376.1</v>
      </c>
      <c r="F128" s="1237">
        <v>334.71</v>
      </c>
      <c r="G128" s="1416" t="s">
        <v>1199</v>
      </c>
      <c r="H128" s="1416">
        <v>4.05</v>
      </c>
      <c r="I128" s="1422">
        <v>4.6900000000000004</v>
      </c>
    </row>
    <row r="129" spans="2:9" ht="15" hidden="1" customHeight="1" x14ac:dyDescent="0.2">
      <c r="B129" s="1440">
        <v>40032</v>
      </c>
      <c r="C129" s="1437">
        <v>70</v>
      </c>
      <c r="D129" s="1237">
        <v>1444.6</v>
      </c>
      <c r="E129" s="1415">
        <v>16163.6</v>
      </c>
      <c r="F129" s="1237">
        <v>577.27</v>
      </c>
      <c r="G129" s="1416" t="s">
        <v>1200</v>
      </c>
      <c r="H129" s="1416">
        <v>4.0199999999999996</v>
      </c>
      <c r="I129" s="1422">
        <v>4.51</v>
      </c>
    </row>
    <row r="130" spans="2:9" ht="15" hidden="1" customHeight="1" x14ac:dyDescent="0.2">
      <c r="B130" s="1440">
        <v>40063</v>
      </c>
      <c r="C130" s="1437">
        <v>100</v>
      </c>
      <c r="D130" s="1237">
        <v>1090</v>
      </c>
      <c r="E130" s="1415">
        <v>16460</v>
      </c>
      <c r="F130" s="1237">
        <v>549</v>
      </c>
      <c r="G130" s="1416" t="s">
        <v>1004</v>
      </c>
      <c r="H130" s="1416">
        <v>4.0599999999999996</v>
      </c>
      <c r="I130" s="1422">
        <v>4.4400000000000004</v>
      </c>
    </row>
    <row r="131" spans="2:9" ht="15" hidden="1" customHeight="1" x14ac:dyDescent="0.2">
      <c r="B131" s="1440">
        <v>40093</v>
      </c>
      <c r="C131" s="1437">
        <v>175</v>
      </c>
      <c r="D131" s="1237">
        <v>1255</v>
      </c>
      <c r="E131" s="1415">
        <v>14700</v>
      </c>
      <c r="F131" s="1237">
        <v>474.19</v>
      </c>
      <c r="G131" s="1416" t="s">
        <v>1004</v>
      </c>
      <c r="H131" s="1416">
        <v>4.04</v>
      </c>
      <c r="I131" s="1422">
        <v>4.7300000000000004</v>
      </c>
    </row>
    <row r="132" spans="2:9" ht="15" hidden="1" customHeight="1" x14ac:dyDescent="0.2">
      <c r="B132" s="1440">
        <v>40124</v>
      </c>
      <c r="C132" s="1437">
        <v>55</v>
      </c>
      <c r="D132" s="1237">
        <v>895</v>
      </c>
      <c r="E132" s="1415">
        <v>13796</v>
      </c>
      <c r="F132" s="1237">
        <v>459.87</v>
      </c>
      <c r="G132" s="1416" t="s">
        <v>1201</v>
      </c>
      <c r="H132" s="1416">
        <v>4.0199999999999996</v>
      </c>
      <c r="I132" s="1422">
        <v>4.53</v>
      </c>
    </row>
    <row r="133" spans="2:9" ht="15" hidden="1" customHeight="1" x14ac:dyDescent="0.2">
      <c r="B133" s="1440">
        <v>40148</v>
      </c>
      <c r="C133" s="1437">
        <v>75</v>
      </c>
      <c r="D133" s="1237">
        <v>1932.5</v>
      </c>
      <c r="E133" s="1415">
        <v>23618.5</v>
      </c>
      <c r="F133" s="1237">
        <v>761.89</v>
      </c>
      <c r="G133" s="1416" t="s">
        <v>1202</v>
      </c>
      <c r="H133" s="1416">
        <v>4.26</v>
      </c>
      <c r="I133" s="1422">
        <v>4.4000000000000004</v>
      </c>
    </row>
    <row r="134" spans="2:9" ht="15" hidden="1" customHeight="1" x14ac:dyDescent="0.2">
      <c r="B134" s="1440">
        <v>40179</v>
      </c>
      <c r="C134" s="1437">
        <v>70.400000000000006</v>
      </c>
      <c r="D134" s="1237">
        <v>1245.4000000000001</v>
      </c>
      <c r="E134" s="1415">
        <v>16488.2</v>
      </c>
      <c r="F134" s="1237">
        <v>531.88</v>
      </c>
      <c r="G134" s="1416" t="s">
        <v>1202</v>
      </c>
      <c r="H134" s="1416">
        <v>4.26</v>
      </c>
      <c r="I134" s="1422">
        <v>4.51</v>
      </c>
    </row>
    <row r="135" spans="2:9" ht="15" hidden="1" customHeight="1" x14ac:dyDescent="0.2">
      <c r="B135" s="1440">
        <v>40210</v>
      </c>
      <c r="C135" s="1437">
        <v>70.400000000000006</v>
      </c>
      <c r="D135" s="1237">
        <v>1245</v>
      </c>
      <c r="E135" s="1415">
        <v>16179.2</v>
      </c>
      <c r="F135" s="1237">
        <v>577.83000000000004</v>
      </c>
      <c r="G135" s="1416" t="s">
        <v>1203</v>
      </c>
      <c r="H135" s="1416">
        <v>3.91</v>
      </c>
      <c r="I135" s="1422">
        <v>4.5</v>
      </c>
    </row>
    <row r="136" spans="2:9" ht="15" hidden="1" customHeight="1" x14ac:dyDescent="0.2">
      <c r="B136" s="1440">
        <v>40238</v>
      </c>
      <c r="C136" s="1437">
        <v>20.399999999999999</v>
      </c>
      <c r="D136" s="1237">
        <v>800.4</v>
      </c>
      <c r="E136" s="1415">
        <v>4135.3999999999996</v>
      </c>
      <c r="F136" s="1237">
        <v>133.4</v>
      </c>
      <c r="G136" s="1416" t="s">
        <v>1204</v>
      </c>
      <c r="H136" s="1416">
        <v>3.88</v>
      </c>
      <c r="I136" s="1422">
        <v>4.3099999999999996</v>
      </c>
    </row>
    <row r="137" spans="2:9" ht="15" hidden="1" customHeight="1" x14ac:dyDescent="0.2">
      <c r="B137" s="1440">
        <v>40269</v>
      </c>
      <c r="C137" s="1437">
        <v>20.399999999999999</v>
      </c>
      <c r="D137" s="1237">
        <v>655.4</v>
      </c>
      <c r="E137" s="1415">
        <v>7522</v>
      </c>
      <c r="F137" s="1237">
        <v>250.73</v>
      </c>
      <c r="G137" s="1416" t="s">
        <v>1205</v>
      </c>
      <c r="H137" s="1416">
        <v>3.94</v>
      </c>
      <c r="I137" s="1422">
        <v>4.51</v>
      </c>
    </row>
    <row r="138" spans="2:9" ht="15" hidden="1" customHeight="1" x14ac:dyDescent="0.2">
      <c r="B138" s="1440">
        <v>40299</v>
      </c>
      <c r="C138" s="1437">
        <v>20.399999999999999</v>
      </c>
      <c r="D138" s="1237">
        <v>915.4</v>
      </c>
      <c r="E138" s="1415">
        <v>9407.4</v>
      </c>
      <c r="F138" s="1237">
        <v>303.45999999999998</v>
      </c>
      <c r="G138" s="1416" t="s">
        <v>1204</v>
      </c>
      <c r="H138" s="1416">
        <v>3.74</v>
      </c>
      <c r="I138" s="1422">
        <v>4.04</v>
      </c>
    </row>
    <row r="139" spans="2:9" ht="15" hidden="1" customHeight="1" x14ac:dyDescent="0.2">
      <c r="B139" s="1440">
        <v>40330</v>
      </c>
      <c r="C139" s="1437">
        <v>20.399999999999999</v>
      </c>
      <c r="D139" s="1237">
        <v>1515.4</v>
      </c>
      <c r="E139" s="1415">
        <v>10598</v>
      </c>
      <c r="F139" s="1237">
        <v>353.3</v>
      </c>
      <c r="G139" s="1416" t="s">
        <v>1206</v>
      </c>
      <c r="H139" s="1416">
        <v>3.36</v>
      </c>
      <c r="I139" s="1422">
        <v>3.47</v>
      </c>
    </row>
    <row r="140" spans="2:9" ht="15" hidden="1" customHeight="1" x14ac:dyDescent="0.2">
      <c r="B140" s="1440">
        <v>40360</v>
      </c>
      <c r="C140" s="1437">
        <v>5</v>
      </c>
      <c r="D140" s="1237">
        <v>1150</v>
      </c>
      <c r="E140" s="1415">
        <v>7431</v>
      </c>
      <c r="F140" s="1237">
        <v>239.71</v>
      </c>
      <c r="G140" s="1416" t="s">
        <v>1207</v>
      </c>
      <c r="H140" s="1416">
        <v>3.45</v>
      </c>
      <c r="I140" s="1422">
        <v>3.87</v>
      </c>
    </row>
    <row r="141" spans="2:9" ht="15" hidden="1" customHeight="1" x14ac:dyDescent="0.2">
      <c r="B141" s="1440">
        <v>40391</v>
      </c>
      <c r="C141" s="1437">
        <v>15</v>
      </c>
      <c r="D141" s="1237">
        <v>360</v>
      </c>
      <c r="E141" s="1415">
        <v>2422</v>
      </c>
      <c r="F141" s="1237">
        <v>100.92</v>
      </c>
      <c r="G141" s="1416" t="s">
        <v>1208</v>
      </c>
      <c r="H141" s="1416">
        <v>2.52</v>
      </c>
      <c r="I141" s="1422">
        <v>3.02</v>
      </c>
    </row>
    <row r="142" spans="2:9" ht="15" hidden="1" customHeight="1" x14ac:dyDescent="0.2">
      <c r="B142" s="1440">
        <v>40422</v>
      </c>
      <c r="C142" s="1437">
        <v>60</v>
      </c>
      <c r="D142" s="1237">
        <v>490</v>
      </c>
      <c r="E142" s="1415">
        <v>7090</v>
      </c>
      <c r="F142" s="1237">
        <v>253</v>
      </c>
      <c r="G142" s="1416" t="s">
        <v>1209</v>
      </c>
      <c r="H142" s="1416">
        <v>2.0699999999999998</v>
      </c>
      <c r="I142" s="1422">
        <v>2.73</v>
      </c>
    </row>
    <row r="143" spans="2:9" ht="15" hidden="1" customHeight="1" x14ac:dyDescent="0.2">
      <c r="B143" s="1440">
        <v>40452</v>
      </c>
      <c r="C143" s="1437">
        <v>95</v>
      </c>
      <c r="D143" s="1237">
        <v>670</v>
      </c>
      <c r="E143" s="1415">
        <v>11070</v>
      </c>
      <c r="F143" s="1237">
        <v>357.1</v>
      </c>
      <c r="G143" s="1416" t="s">
        <v>1210</v>
      </c>
      <c r="H143" s="1416">
        <v>2.27</v>
      </c>
      <c r="I143" s="1422">
        <v>4.3099999999999996</v>
      </c>
    </row>
    <row r="144" spans="2:9" ht="15" hidden="1" customHeight="1" x14ac:dyDescent="0.2">
      <c r="B144" s="1440">
        <v>40483</v>
      </c>
      <c r="C144" s="1437">
        <v>157</v>
      </c>
      <c r="D144" s="1237">
        <v>730</v>
      </c>
      <c r="E144" s="1415">
        <v>9951</v>
      </c>
      <c r="F144" s="1237">
        <v>331.7</v>
      </c>
      <c r="G144" s="1416" t="s">
        <v>1209</v>
      </c>
      <c r="H144" s="1416">
        <v>2.17</v>
      </c>
      <c r="I144" s="1422">
        <v>3.95</v>
      </c>
    </row>
    <row r="145" spans="2:9" ht="15" hidden="1" customHeight="1" x14ac:dyDescent="0.2">
      <c r="B145" s="1440">
        <v>40513</v>
      </c>
      <c r="C145" s="1437">
        <v>235</v>
      </c>
      <c r="D145" s="1237">
        <v>772</v>
      </c>
      <c r="E145" s="1415">
        <v>15575</v>
      </c>
      <c r="F145" s="1237">
        <v>502.4</v>
      </c>
      <c r="G145" s="1416" t="s">
        <v>1211</v>
      </c>
      <c r="H145" s="1416">
        <v>2.04</v>
      </c>
      <c r="I145" s="1422">
        <v>3.11</v>
      </c>
    </row>
    <row r="146" spans="2:9" ht="15" hidden="1" customHeight="1" x14ac:dyDescent="0.2">
      <c r="B146" s="1440">
        <v>40544</v>
      </c>
      <c r="C146" s="1437">
        <v>220</v>
      </c>
      <c r="D146" s="1237">
        <v>985</v>
      </c>
      <c r="E146" s="1415">
        <v>14845</v>
      </c>
      <c r="F146" s="1237">
        <v>478.87</v>
      </c>
      <c r="G146" s="1416" t="s">
        <v>1212</v>
      </c>
      <c r="H146" s="1416">
        <v>2.0099999999999998</v>
      </c>
      <c r="I146" s="1422">
        <v>3.02</v>
      </c>
    </row>
    <row r="147" spans="2:9" ht="15" hidden="1" customHeight="1" x14ac:dyDescent="0.2">
      <c r="B147" s="1440">
        <v>40575</v>
      </c>
      <c r="C147" s="1437">
        <v>335</v>
      </c>
      <c r="D147" s="1237">
        <v>2350</v>
      </c>
      <c r="E147" s="1415">
        <v>25115</v>
      </c>
      <c r="F147" s="1237">
        <v>896.96</v>
      </c>
      <c r="G147" s="1416" t="s">
        <v>1213</v>
      </c>
      <c r="H147" s="1416">
        <v>1.86</v>
      </c>
      <c r="I147" s="1422">
        <v>2.83</v>
      </c>
    </row>
    <row r="148" spans="2:9" ht="15" hidden="1" customHeight="1" x14ac:dyDescent="0.2">
      <c r="B148" s="1440">
        <v>40603</v>
      </c>
      <c r="C148" s="1437">
        <v>20</v>
      </c>
      <c r="D148" s="1237">
        <v>2420</v>
      </c>
      <c r="E148" s="1415">
        <v>16505</v>
      </c>
      <c r="F148" s="1237">
        <v>611</v>
      </c>
      <c r="G148" s="1416" t="s">
        <v>1214</v>
      </c>
      <c r="H148" s="1416">
        <v>1.64</v>
      </c>
      <c r="I148" s="1422">
        <v>2.41</v>
      </c>
    </row>
    <row r="149" spans="2:9" ht="15" hidden="1" customHeight="1" x14ac:dyDescent="0.2">
      <c r="B149" s="1440">
        <v>40634</v>
      </c>
      <c r="C149" s="1437">
        <v>630</v>
      </c>
      <c r="D149" s="1237">
        <v>2200</v>
      </c>
      <c r="E149" s="1415">
        <v>40323</v>
      </c>
      <c r="F149" s="1237">
        <v>1344</v>
      </c>
      <c r="G149" s="1416" t="s">
        <v>1215</v>
      </c>
      <c r="H149" s="1416">
        <v>1.51</v>
      </c>
      <c r="I149" s="1422">
        <v>4.12</v>
      </c>
    </row>
    <row r="150" spans="2:9" ht="15" hidden="1" customHeight="1" x14ac:dyDescent="0.2">
      <c r="B150" s="1440">
        <v>40664</v>
      </c>
      <c r="C150" s="1437">
        <v>100</v>
      </c>
      <c r="D150" s="1237">
        <v>1975</v>
      </c>
      <c r="E150" s="1415">
        <v>25594</v>
      </c>
      <c r="F150" s="1237">
        <v>947.93</v>
      </c>
      <c r="G150" s="1416" t="s">
        <v>1216</v>
      </c>
      <c r="H150" s="1416">
        <v>1.4</v>
      </c>
      <c r="I150" s="1422">
        <v>4.0599999999999996</v>
      </c>
    </row>
    <row r="151" spans="2:9" ht="15" hidden="1" customHeight="1" x14ac:dyDescent="0.2">
      <c r="B151" s="1440">
        <v>40695</v>
      </c>
      <c r="C151" s="1437">
        <v>100</v>
      </c>
      <c r="D151" s="1237">
        <v>1595</v>
      </c>
      <c r="E151" s="1415">
        <v>15057</v>
      </c>
      <c r="F151" s="1237">
        <v>501.9</v>
      </c>
      <c r="G151" s="1416" t="s">
        <v>1217</v>
      </c>
      <c r="H151" s="1416">
        <v>2.63</v>
      </c>
      <c r="I151" s="1422">
        <v>4.29</v>
      </c>
    </row>
    <row r="152" spans="2:9" ht="15" hidden="1" customHeight="1" x14ac:dyDescent="0.2">
      <c r="B152" s="1440">
        <v>40725</v>
      </c>
      <c r="C152" s="1437">
        <v>425</v>
      </c>
      <c r="D152" s="1237">
        <v>1525</v>
      </c>
      <c r="E152" s="1415">
        <v>34075</v>
      </c>
      <c r="F152" s="1237">
        <v>1099.19</v>
      </c>
      <c r="G152" s="1416" t="s">
        <v>1218</v>
      </c>
      <c r="H152" s="1416">
        <v>1.95</v>
      </c>
      <c r="I152" s="1422">
        <v>4.41</v>
      </c>
    </row>
    <row r="153" spans="2:9" ht="15" hidden="1" customHeight="1" x14ac:dyDescent="0.2">
      <c r="B153" s="1440">
        <v>40756</v>
      </c>
      <c r="C153" s="1437">
        <v>25</v>
      </c>
      <c r="D153" s="1237">
        <v>1895</v>
      </c>
      <c r="E153" s="1415">
        <v>34690</v>
      </c>
      <c r="F153" s="1237">
        <v>1156.33</v>
      </c>
      <c r="G153" s="1416" t="s">
        <v>1219</v>
      </c>
      <c r="H153" s="1416">
        <v>3.58</v>
      </c>
      <c r="I153" s="1422">
        <v>4.3899999999999997</v>
      </c>
    </row>
    <row r="154" spans="2:9" ht="15" hidden="1" customHeight="1" x14ac:dyDescent="0.2">
      <c r="B154" s="1440">
        <v>40787</v>
      </c>
      <c r="C154" s="1437">
        <v>40</v>
      </c>
      <c r="D154" s="1237">
        <v>2025</v>
      </c>
      <c r="E154" s="1415">
        <v>15795</v>
      </c>
      <c r="F154" s="1237">
        <v>658.13</v>
      </c>
      <c r="G154" s="1416" t="s">
        <v>1220</v>
      </c>
      <c r="H154" s="1416">
        <v>3.27</v>
      </c>
      <c r="I154" s="1422">
        <v>4.46</v>
      </c>
    </row>
    <row r="155" spans="2:9" ht="15" hidden="1" customHeight="1" x14ac:dyDescent="0.2">
      <c r="B155" s="1440">
        <v>40817</v>
      </c>
      <c r="C155" s="1437">
        <v>100</v>
      </c>
      <c r="D155" s="1237">
        <v>2105</v>
      </c>
      <c r="E155" s="1415">
        <v>31715</v>
      </c>
      <c r="F155" s="1237">
        <v>1023.06</v>
      </c>
      <c r="G155" s="1416" t="s">
        <v>1221</v>
      </c>
      <c r="H155" s="1416">
        <v>2.61</v>
      </c>
      <c r="I155" s="1422">
        <v>4.43</v>
      </c>
    </row>
    <row r="156" spans="2:9" ht="15" hidden="1" customHeight="1" x14ac:dyDescent="0.2">
      <c r="B156" s="1440">
        <v>40848</v>
      </c>
      <c r="C156" s="1437">
        <v>50</v>
      </c>
      <c r="D156" s="1237">
        <v>2480</v>
      </c>
      <c r="E156" s="1415">
        <v>40844</v>
      </c>
      <c r="F156" s="1237">
        <v>1361</v>
      </c>
      <c r="G156" s="1416" t="s">
        <v>1164</v>
      </c>
      <c r="H156" s="1416">
        <v>2.96</v>
      </c>
      <c r="I156" s="1422">
        <v>4.42</v>
      </c>
    </row>
    <row r="157" spans="2:9" ht="15" hidden="1" customHeight="1" x14ac:dyDescent="0.2">
      <c r="B157" s="1440">
        <v>40878</v>
      </c>
      <c r="C157" s="1437">
        <v>30</v>
      </c>
      <c r="D157" s="1237">
        <v>2125</v>
      </c>
      <c r="E157" s="1415">
        <v>30845</v>
      </c>
      <c r="F157" s="1237">
        <v>1186.3499999999999</v>
      </c>
      <c r="G157" s="1416" t="s">
        <v>1222</v>
      </c>
      <c r="H157" s="1416">
        <v>3.32</v>
      </c>
      <c r="I157" s="1422">
        <v>4.5199999999999996</v>
      </c>
    </row>
    <row r="158" spans="2:9" ht="15" hidden="1" customHeight="1" x14ac:dyDescent="0.2">
      <c r="B158" s="1440">
        <v>40909</v>
      </c>
      <c r="C158" s="1437">
        <v>110</v>
      </c>
      <c r="D158" s="1237">
        <v>1065</v>
      </c>
      <c r="E158" s="1415">
        <v>10195</v>
      </c>
      <c r="F158" s="1237">
        <v>407.8</v>
      </c>
      <c r="G158" s="1416" t="s">
        <v>1223</v>
      </c>
      <c r="H158" s="1416">
        <v>2.4</v>
      </c>
      <c r="I158" s="1422">
        <v>4.33</v>
      </c>
    </row>
    <row r="159" spans="2:9" ht="15" hidden="1" customHeight="1" x14ac:dyDescent="0.2">
      <c r="B159" s="1440">
        <v>40940</v>
      </c>
      <c r="C159" s="1437">
        <v>45</v>
      </c>
      <c r="D159" s="1237">
        <v>1485</v>
      </c>
      <c r="E159" s="1415">
        <v>17085</v>
      </c>
      <c r="F159" s="1237">
        <v>589.14</v>
      </c>
      <c r="G159" s="1416" t="s">
        <v>1224</v>
      </c>
      <c r="H159" s="1416">
        <v>2.34</v>
      </c>
      <c r="I159" s="1422">
        <v>4.22</v>
      </c>
    </row>
    <row r="160" spans="2:9" ht="15" hidden="1" customHeight="1" x14ac:dyDescent="0.2">
      <c r="B160" s="1440">
        <v>40969</v>
      </c>
      <c r="C160" s="1437">
        <v>40</v>
      </c>
      <c r="D160" s="1237">
        <v>1155</v>
      </c>
      <c r="E160" s="1415">
        <v>9890</v>
      </c>
      <c r="F160" s="1237">
        <v>353.21</v>
      </c>
      <c r="G160" s="1416" t="s">
        <v>1225</v>
      </c>
      <c r="H160" s="1416">
        <v>1.97</v>
      </c>
      <c r="I160" s="1422">
        <v>4.0999999999999996</v>
      </c>
    </row>
    <row r="161" spans="2:9" ht="15" hidden="1" customHeight="1" x14ac:dyDescent="0.2">
      <c r="B161" s="1440">
        <v>41000</v>
      </c>
      <c r="C161" s="1437">
        <v>170</v>
      </c>
      <c r="D161" s="1237">
        <v>1685</v>
      </c>
      <c r="E161" s="1415">
        <v>22085</v>
      </c>
      <c r="F161" s="1237">
        <v>736.17</v>
      </c>
      <c r="G161" s="1416" t="s">
        <v>1226</v>
      </c>
      <c r="H161" s="1416">
        <v>1.87</v>
      </c>
      <c r="I161" s="1422">
        <v>3.7</v>
      </c>
    </row>
    <row r="162" spans="2:9" ht="15" hidden="1" customHeight="1" x14ac:dyDescent="0.2">
      <c r="B162" s="1440">
        <v>41030</v>
      </c>
      <c r="C162" s="1437">
        <v>50</v>
      </c>
      <c r="D162" s="1237">
        <v>1680</v>
      </c>
      <c r="E162" s="1415">
        <v>15635</v>
      </c>
      <c r="F162" s="1237">
        <v>504.35</v>
      </c>
      <c r="G162" s="1416" t="s">
        <v>1227</v>
      </c>
      <c r="H162" s="1416">
        <v>1.59</v>
      </c>
      <c r="I162" s="1422">
        <v>3.64</v>
      </c>
    </row>
    <row r="163" spans="2:9" ht="15" hidden="1" customHeight="1" x14ac:dyDescent="0.2">
      <c r="B163" s="1440">
        <v>41061</v>
      </c>
      <c r="C163" s="1437">
        <v>140</v>
      </c>
      <c r="D163" s="1237">
        <v>2230</v>
      </c>
      <c r="E163" s="1415">
        <v>27510</v>
      </c>
      <c r="F163" s="1237">
        <v>917</v>
      </c>
      <c r="G163" s="1416" t="s">
        <v>1228</v>
      </c>
      <c r="H163" s="1416">
        <v>1.75</v>
      </c>
      <c r="I163" s="1422">
        <v>3.51</v>
      </c>
    </row>
    <row r="164" spans="2:9" ht="15" hidden="1" customHeight="1" x14ac:dyDescent="0.2">
      <c r="B164" s="1440">
        <v>41122</v>
      </c>
      <c r="C164" s="1437">
        <v>65</v>
      </c>
      <c r="D164" s="1237">
        <v>1630</v>
      </c>
      <c r="E164" s="1415">
        <v>22930</v>
      </c>
      <c r="F164" s="1237">
        <v>739.68</v>
      </c>
      <c r="G164" s="1416" t="s">
        <v>1229</v>
      </c>
      <c r="H164" s="1416">
        <v>1.85</v>
      </c>
      <c r="I164" s="1422">
        <v>3.43</v>
      </c>
    </row>
    <row r="165" spans="2:9" ht="15" hidden="1" customHeight="1" x14ac:dyDescent="0.2">
      <c r="B165" s="1440">
        <v>41153</v>
      </c>
      <c r="C165" s="1437">
        <v>15</v>
      </c>
      <c r="D165" s="1237">
        <v>575</v>
      </c>
      <c r="E165" s="1415">
        <v>6885</v>
      </c>
      <c r="F165" s="1237">
        <v>286.88</v>
      </c>
      <c r="G165" s="1416" t="s">
        <v>1230</v>
      </c>
      <c r="H165" s="1416">
        <v>1.67</v>
      </c>
      <c r="I165" s="1422">
        <v>3.47</v>
      </c>
    </row>
    <row r="166" spans="2:9" ht="15" hidden="1" customHeight="1" x14ac:dyDescent="0.2">
      <c r="B166" s="1440">
        <v>41183</v>
      </c>
      <c r="C166" s="1437">
        <v>60</v>
      </c>
      <c r="D166" s="1237">
        <v>980</v>
      </c>
      <c r="E166" s="1415">
        <v>12570</v>
      </c>
      <c r="F166" s="1237">
        <v>433.45</v>
      </c>
      <c r="G166" s="1416" t="s">
        <v>1231</v>
      </c>
      <c r="H166" s="1416">
        <v>1.57</v>
      </c>
      <c r="I166" s="1422">
        <v>3.26</v>
      </c>
    </row>
    <row r="167" spans="2:9" ht="15" hidden="1" customHeight="1" x14ac:dyDescent="0.2">
      <c r="B167" s="1440">
        <v>41214</v>
      </c>
      <c r="C167" s="1437">
        <v>415</v>
      </c>
      <c r="D167" s="1237">
        <v>2180</v>
      </c>
      <c r="E167" s="1415">
        <v>37795</v>
      </c>
      <c r="F167" s="1237">
        <v>1259.83</v>
      </c>
      <c r="G167" s="1416" t="s">
        <v>1232</v>
      </c>
      <c r="H167" s="1416">
        <v>1.53</v>
      </c>
      <c r="I167" s="1422">
        <v>3.08</v>
      </c>
    </row>
    <row r="168" spans="2:9" ht="15" hidden="1" customHeight="1" x14ac:dyDescent="0.2">
      <c r="B168" s="1440">
        <v>41244</v>
      </c>
      <c r="C168" s="1437">
        <v>160</v>
      </c>
      <c r="D168" s="1237">
        <v>1650</v>
      </c>
      <c r="E168" s="1415">
        <v>26110</v>
      </c>
      <c r="F168" s="1237">
        <v>842.26</v>
      </c>
      <c r="G168" s="1416" t="s">
        <v>1233</v>
      </c>
      <c r="H168" s="1416">
        <v>1.61</v>
      </c>
      <c r="I168" s="1422">
        <v>2.95</v>
      </c>
    </row>
    <row r="169" spans="2:9" ht="15" hidden="1" customHeight="1" x14ac:dyDescent="0.2">
      <c r="B169" s="1440">
        <v>41275</v>
      </c>
      <c r="C169" s="1437">
        <v>75</v>
      </c>
      <c r="D169" s="1237">
        <v>1210</v>
      </c>
      <c r="E169" s="1415">
        <v>9470</v>
      </c>
      <c r="F169" s="1237">
        <v>305.48</v>
      </c>
      <c r="G169" s="1416" t="s">
        <v>1234</v>
      </c>
      <c r="H169" s="1416">
        <v>1.49</v>
      </c>
      <c r="I169" s="1422">
        <v>2.84</v>
      </c>
    </row>
    <row r="170" spans="2:9" ht="15" hidden="1" customHeight="1" x14ac:dyDescent="0.2">
      <c r="B170" s="1440">
        <v>41306</v>
      </c>
      <c r="C170" s="1437">
        <v>50</v>
      </c>
      <c r="D170" s="1237">
        <v>1655</v>
      </c>
      <c r="E170" s="1415">
        <v>22350</v>
      </c>
      <c r="F170" s="1237">
        <v>798.21</v>
      </c>
      <c r="G170" s="1416" t="s">
        <v>1156</v>
      </c>
      <c r="H170" s="1416">
        <v>1.42</v>
      </c>
      <c r="I170" s="1422">
        <v>2.74</v>
      </c>
    </row>
    <row r="171" spans="2:9" ht="15" hidden="1" customHeight="1" x14ac:dyDescent="0.2">
      <c r="B171" s="1440">
        <v>41334</v>
      </c>
      <c r="C171" s="1437">
        <v>30</v>
      </c>
      <c r="D171" s="1237">
        <v>2200</v>
      </c>
      <c r="E171" s="1415">
        <v>27940</v>
      </c>
      <c r="F171" s="1237">
        <v>901.29</v>
      </c>
      <c r="G171" s="1416" t="s">
        <v>1235</v>
      </c>
      <c r="H171" s="1416">
        <v>1.36</v>
      </c>
      <c r="I171" s="1422">
        <v>2.46</v>
      </c>
    </row>
    <row r="172" spans="2:9" ht="15" hidden="1" customHeight="1" x14ac:dyDescent="0.2">
      <c r="B172" s="1440">
        <v>41365</v>
      </c>
      <c r="C172" s="1437">
        <v>265</v>
      </c>
      <c r="D172" s="1237">
        <v>1855</v>
      </c>
      <c r="E172" s="1415">
        <v>28346</v>
      </c>
      <c r="F172" s="1237">
        <v>944.87</v>
      </c>
      <c r="G172" s="1416" t="s">
        <v>1236</v>
      </c>
      <c r="H172" s="1416">
        <v>1.36</v>
      </c>
      <c r="I172" s="1422">
        <v>2.33</v>
      </c>
    </row>
    <row r="173" spans="2:9" ht="15" hidden="1" customHeight="1" x14ac:dyDescent="0.2">
      <c r="B173" s="1440">
        <v>41395</v>
      </c>
      <c r="C173" s="1437">
        <v>70</v>
      </c>
      <c r="D173" s="1237">
        <v>1735</v>
      </c>
      <c r="E173" s="1415">
        <v>24695</v>
      </c>
      <c r="F173" s="1237">
        <v>796.61</v>
      </c>
      <c r="G173" s="1416" t="s">
        <v>1236</v>
      </c>
      <c r="H173" s="1416">
        <v>1.36</v>
      </c>
      <c r="I173" s="1422">
        <v>2.29</v>
      </c>
    </row>
    <row r="174" spans="2:9" ht="15" hidden="1" customHeight="1" x14ac:dyDescent="0.2">
      <c r="B174" s="1440">
        <v>41426</v>
      </c>
      <c r="C174" s="1437">
        <v>405</v>
      </c>
      <c r="D174" s="1237">
        <v>1325</v>
      </c>
      <c r="E174" s="1415">
        <v>21281.5</v>
      </c>
      <c r="F174" s="1237">
        <v>709.38</v>
      </c>
      <c r="G174" s="1416" t="s">
        <v>1237</v>
      </c>
      <c r="H174" s="1416">
        <v>1.99</v>
      </c>
      <c r="I174" s="1422">
        <v>2.52</v>
      </c>
    </row>
    <row r="175" spans="2:9" ht="15" hidden="1" customHeight="1" x14ac:dyDescent="0.2">
      <c r="B175" s="1440">
        <v>41456</v>
      </c>
      <c r="C175" s="1437">
        <v>125</v>
      </c>
      <c r="D175" s="1237">
        <v>1910</v>
      </c>
      <c r="E175" s="1415">
        <v>31140</v>
      </c>
      <c r="F175" s="1237">
        <v>1004.52</v>
      </c>
      <c r="G175" s="1416" t="s">
        <v>1238</v>
      </c>
      <c r="H175" s="1416">
        <v>2.0099999999999998</v>
      </c>
      <c r="I175" s="1422">
        <v>2.77</v>
      </c>
    </row>
    <row r="176" spans="2:9" ht="15" hidden="1" customHeight="1" x14ac:dyDescent="0.2">
      <c r="B176" s="1440">
        <v>41487</v>
      </c>
      <c r="C176" s="1437">
        <v>140</v>
      </c>
      <c r="D176" s="1237">
        <v>920</v>
      </c>
      <c r="E176" s="1415">
        <v>17510</v>
      </c>
      <c r="F176" s="1237">
        <v>564.84</v>
      </c>
      <c r="G176" s="1416" t="s">
        <v>1239</v>
      </c>
      <c r="H176" s="1416">
        <v>1.68</v>
      </c>
      <c r="I176" s="1422">
        <v>2.8</v>
      </c>
    </row>
    <row r="177" spans="2:9" ht="15" hidden="1" customHeight="1" x14ac:dyDescent="0.2">
      <c r="B177" s="1440">
        <v>41518</v>
      </c>
      <c r="C177" s="1437">
        <v>60</v>
      </c>
      <c r="D177" s="1237">
        <v>1625</v>
      </c>
      <c r="E177" s="1415">
        <v>23310</v>
      </c>
      <c r="F177" s="1237">
        <v>777</v>
      </c>
      <c r="G177" s="1416" t="s">
        <v>1239</v>
      </c>
      <c r="H177" s="1416">
        <v>1.64</v>
      </c>
      <c r="I177" s="1422">
        <v>2.75</v>
      </c>
    </row>
    <row r="178" spans="2:9" ht="15" hidden="1" customHeight="1" x14ac:dyDescent="0.2">
      <c r="B178" s="1440">
        <v>41548</v>
      </c>
      <c r="C178" s="1437">
        <v>990</v>
      </c>
      <c r="D178" s="1237">
        <v>2560</v>
      </c>
      <c r="E178" s="1415">
        <v>56785</v>
      </c>
      <c r="F178" s="1237">
        <v>1831.77</v>
      </c>
      <c r="G178" s="1416" t="s">
        <v>1240</v>
      </c>
      <c r="H178" s="1416">
        <v>2.5299999999999998</v>
      </c>
      <c r="I178" s="1422">
        <v>2.87</v>
      </c>
    </row>
    <row r="179" spans="2:9" ht="15" hidden="1" customHeight="1" x14ac:dyDescent="0.2">
      <c r="B179" s="1440">
        <v>41579</v>
      </c>
      <c r="C179" s="1437">
        <v>225</v>
      </c>
      <c r="D179" s="1237">
        <v>2780</v>
      </c>
      <c r="E179" s="1415">
        <v>48017</v>
      </c>
      <c r="F179" s="1237">
        <v>1600.57</v>
      </c>
      <c r="G179" s="1416" t="s">
        <v>1241</v>
      </c>
      <c r="H179" s="1416">
        <v>3.58</v>
      </c>
      <c r="I179" s="1422">
        <v>3.35</v>
      </c>
    </row>
    <row r="180" spans="2:9" ht="15" hidden="1" customHeight="1" x14ac:dyDescent="0.2">
      <c r="B180" s="1440">
        <v>41609</v>
      </c>
      <c r="C180" s="1437">
        <v>310</v>
      </c>
      <c r="D180" s="1237">
        <v>2825</v>
      </c>
      <c r="E180" s="1415">
        <v>47480</v>
      </c>
      <c r="F180" s="1237">
        <v>1531.61</v>
      </c>
      <c r="G180" s="1416" t="s">
        <v>1242</v>
      </c>
      <c r="H180" s="1416">
        <v>3.52</v>
      </c>
      <c r="I180" s="1422">
        <v>3.54</v>
      </c>
    </row>
    <row r="181" spans="2:9" ht="15" hidden="1" customHeight="1" x14ac:dyDescent="0.2">
      <c r="B181" s="1440">
        <v>41640</v>
      </c>
      <c r="C181" s="1437">
        <v>5</v>
      </c>
      <c r="D181" s="1237">
        <v>2000</v>
      </c>
      <c r="E181" s="1415">
        <v>12670</v>
      </c>
      <c r="F181" s="1237">
        <v>436.9</v>
      </c>
      <c r="G181" s="1416" t="s">
        <v>1243</v>
      </c>
      <c r="H181" s="1416">
        <v>3.63</v>
      </c>
      <c r="I181" s="1422">
        <v>3.54</v>
      </c>
    </row>
    <row r="182" spans="2:9" ht="15" hidden="1" customHeight="1" x14ac:dyDescent="0.2">
      <c r="B182" s="1440">
        <v>41671</v>
      </c>
      <c r="C182" s="1437">
        <v>30</v>
      </c>
      <c r="D182" s="1237">
        <v>520</v>
      </c>
      <c r="E182" s="1415">
        <v>6385</v>
      </c>
      <c r="F182" s="1237">
        <v>228.04</v>
      </c>
      <c r="G182" s="1416" t="s">
        <v>1244</v>
      </c>
      <c r="H182" s="1416">
        <v>2.6</v>
      </c>
      <c r="I182" s="1422">
        <v>3.36</v>
      </c>
    </row>
    <row r="183" spans="2:9" ht="15" hidden="1" customHeight="1" x14ac:dyDescent="0.2">
      <c r="B183" s="1440">
        <v>41699</v>
      </c>
      <c r="C183" s="1437">
        <v>10</v>
      </c>
      <c r="D183" s="1237">
        <v>260</v>
      </c>
      <c r="E183" s="1415">
        <v>1660</v>
      </c>
      <c r="F183" s="1237">
        <v>111</v>
      </c>
      <c r="G183" s="1416" t="s">
        <v>1245</v>
      </c>
      <c r="H183" s="1416">
        <v>2.35</v>
      </c>
      <c r="I183" s="1422">
        <v>3.16</v>
      </c>
    </row>
    <row r="184" spans="2:9" ht="15" hidden="1" customHeight="1" x14ac:dyDescent="0.2">
      <c r="B184" s="1440">
        <v>41730</v>
      </c>
      <c r="C184" s="1437">
        <v>25</v>
      </c>
      <c r="D184" s="1237">
        <v>550</v>
      </c>
      <c r="E184" s="1415">
        <v>2815</v>
      </c>
      <c r="F184" s="1237">
        <v>112.6</v>
      </c>
      <c r="G184" s="1416" t="s">
        <v>1246</v>
      </c>
      <c r="H184" s="1416">
        <v>2.0299999999999998</v>
      </c>
      <c r="I184" s="1422">
        <v>2.95</v>
      </c>
    </row>
    <row r="185" spans="2:9" ht="15" hidden="1" customHeight="1" x14ac:dyDescent="0.2">
      <c r="B185" s="1440">
        <v>41760</v>
      </c>
      <c r="C185" s="1437">
        <v>105</v>
      </c>
      <c r="D185" s="1237">
        <v>1100</v>
      </c>
      <c r="E185" s="1415">
        <v>9525</v>
      </c>
      <c r="F185" s="1237">
        <v>340.18</v>
      </c>
      <c r="G185" s="1416" t="s">
        <v>1247</v>
      </c>
      <c r="H185" s="1416">
        <v>1.77</v>
      </c>
      <c r="I185" s="1422">
        <v>2.83</v>
      </c>
    </row>
    <row r="186" spans="2:9" ht="15" hidden="1" customHeight="1" x14ac:dyDescent="0.2">
      <c r="B186" s="1440">
        <v>41791</v>
      </c>
      <c r="C186" s="1437">
        <v>100</v>
      </c>
      <c r="D186" s="1237">
        <v>1195</v>
      </c>
      <c r="E186" s="1415">
        <v>8640</v>
      </c>
      <c r="F186" s="1237">
        <v>360</v>
      </c>
      <c r="G186" s="1416" t="s">
        <v>1248</v>
      </c>
      <c r="H186" s="1416">
        <v>1.49</v>
      </c>
      <c r="I186" s="1422">
        <v>2.61</v>
      </c>
    </row>
    <row r="187" spans="2:9" ht="15" hidden="1" customHeight="1" x14ac:dyDescent="0.2">
      <c r="B187" s="1440">
        <v>41821</v>
      </c>
      <c r="C187" s="1437">
        <v>20</v>
      </c>
      <c r="D187" s="1237">
        <v>2385</v>
      </c>
      <c r="E187" s="1415">
        <v>20495</v>
      </c>
      <c r="F187" s="1237">
        <v>683.17</v>
      </c>
      <c r="G187" s="1416" t="s">
        <v>1249</v>
      </c>
      <c r="H187" s="1416">
        <v>1.2</v>
      </c>
      <c r="I187" s="1422"/>
    </row>
    <row r="188" spans="2:9" ht="15" hidden="1" customHeight="1" x14ac:dyDescent="0.2">
      <c r="B188" s="1440">
        <v>41852</v>
      </c>
      <c r="C188" s="1437">
        <v>200</v>
      </c>
      <c r="D188" s="1237">
        <v>2475</v>
      </c>
      <c r="E188" s="1415">
        <v>47715</v>
      </c>
      <c r="F188" s="1237">
        <v>1539.19</v>
      </c>
      <c r="G188" s="1416" t="s">
        <v>1250</v>
      </c>
      <c r="H188" s="1416">
        <v>0.98</v>
      </c>
      <c r="I188" s="1422"/>
    </row>
    <row r="189" spans="2:9" ht="15" hidden="1" customHeight="1" x14ac:dyDescent="0.2">
      <c r="B189" s="1440">
        <v>41883</v>
      </c>
      <c r="C189" s="1437">
        <v>1070</v>
      </c>
      <c r="D189" s="1237">
        <v>2840</v>
      </c>
      <c r="E189" s="1415">
        <v>57825</v>
      </c>
      <c r="F189" s="1237">
        <v>1927.5</v>
      </c>
      <c r="G189" s="1416" t="s">
        <v>1251</v>
      </c>
      <c r="H189" s="1416">
        <v>0.75</v>
      </c>
      <c r="I189" s="1422"/>
    </row>
    <row r="190" spans="2:9" ht="15" hidden="1" customHeight="1" x14ac:dyDescent="0.2">
      <c r="B190" s="1440">
        <v>41913</v>
      </c>
      <c r="C190" s="1437">
        <v>290</v>
      </c>
      <c r="D190" s="1237">
        <v>2710</v>
      </c>
      <c r="E190" s="1415">
        <v>53324</v>
      </c>
      <c r="F190" s="1237">
        <v>1720.13</v>
      </c>
      <c r="G190" s="1416" t="s">
        <v>1252</v>
      </c>
      <c r="H190" s="1416">
        <v>0.72</v>
      </c>
      <c r="I190" s="1422"/>
    </row>
    <row r="191" spans="2:9" ht="15" hidden="1" customHeight="1" x14ac:dyDescent="0.2">
      <c r="B191" s="1440">
        <v>41944</v>
      </c>
      <c r="C191" s="1437">
        <v>125</v>
      </c>
      <c r="D191" s="1237">
        <v>1800</v>
      </c>
      <c r="E191" s="1415">
        <v>30475</v>
      </c>
      <c r="F191" s="1237">
        <v>1015.83</v>
      </c>
      <c r="G191" s="1416" t="s">
        <v>1253</v>
      </c>
      <c r="H191" s="1416">
        <v>0.63</v>
      </c>
      <c r="I191" s="1422"/>
    </row>
    <row r="192" spans="2:9" ht="15" hidden="1" customHeight="1" x14ac:dyDescent="0.2">
      <c r="B192" s="1440">
        <v>41974</v>
      </c>
      <c r="C192" s="1437">
        <v>1105</v>
      </c>
      <c r="D192" s="1237">
        <v>2880</v>
      </c>
      <c r="E192" s="1415">
        <v>62445</v>
      </c>
      <c r="F192" s="1237">
        <v>2014.35</v>
      </c>
      <c r="G192" s="1416" t="s">
        <v>1254</v>
      </c>
      <c r="H192" s="1416">
        <v>2.2999999999999998</v>
      </c>
      <c r="I192" s="1422"/>
    </row>
    <row r="193" spans="2:9" ht="15" hidden="1" customHeight="1" x14ac:dyDescent="0.2">
      <c r="B193" s="1440">
        <v>42005</v>
      </c>
      <c r="C193" s="1437">
        <v>175</v>
      </c>
      <c r="D193" s="1237">
        <v>1150</v>
      </c>
      <c r="E193" s="1415">
        <v>18123</v>
      </c>
      <c r="F193" s="1237">
        <v>584.61</v>
      </c>
      <c r="G193" s="1416" t="s">
        <v>1255</v>
      </c>
      <c r="H193" s="1416">
        <v>2.5299999999999998</v>
      </c>
      <c r="I193" s="1422"/>
    </row>
    <row r="194" spans="2:9" ht="15" hidden="1" customHeight="1" x14ac:dyDescent="0.2">
      <c r="B194" s="1440">
        <v>42036</v>
      </c>
      <c r="C194" s="1437">
        <v>95</v>
      </c>
      <c r="D194" s="1237">
        <v>1460</v>
      </c>
      <c r="E194" s="1415">
        <v>20972</v>
      </c>
      <c r="F194" s="1237">
        <v>749</v>
      </c>
      <c r="G194" s="1416" t="s">
        <v>1256</v>
      </c>
      <c r="H194" s="1416">
        <v>2.0299999999999998</v>
      </c>
      <c r="I194" s="1422"/>
    </row>
    <row r="195" spans="2:9" ht="15" hidden="1" customHeight="1" x14ac:dyDescent="0.2">
      <c r="B195" s="1440">
        <v>42064</v>
      </c>
      <c r="C195" s="1437">
        <v>50</v>
      </c>
      <c r="D195" s="1237">
        <v>1175</v>
      </c>
      <c r="E195" s="1415">
        <v>10260</v>
      </c>
      <c r="F195" s="1237">
        <v>330.97</v>
      </c>
      <c r="G195" s="1416" t="s">
        <v>1257</v>
      </c>
      <c r="H195" s="1416">
        <v>1.91</v>
      </c>
      <c r="I195" s="1422"/>
    </row>
    <row r="196" spans="2:9" ht="15" hidden="1" customHeight="1" x14ac:dyDescent="0.2">
      <c r="B196" s="1440">
        <v>42095</v>
      </c>
      <c r="C196" s="1437">
        <v>100</v>
      </c>
      <c r="D196" s="1237">
        <v>800</v>
      </c>
      <c r="E196" s="1415">
        <v>9785</v>
      </c>
      <c r="F196" s="1237">
        <v>349.46</v>
      </c>
      <c r="G196" s="1416" t="s">
        <v>1258</v>
      </c>
      <c r="H196" s="1416">
        <v>1.68</v>
      </c>
      <c r="I196" s="1422"/>
    </row>
    <row r="197" spans="2:9" ht="15" customHeight="1" x14ac:dyDescent="0.2">
      <c r="B197" s="1440">
        <v>42125</v>
      </c>
      <c r="C197" s="1437">
        <v>40</v>
      </c>
      <c r="D197" s="1237">
        <v>165</v>
      </c>
      <c r="E197" s="1415">
        <v>960</v>
      </c>
      <c r="F197" s="1237">
        <v>120</v>
      </c>
      <c r="G197" s="1416" t="s">
        <v>1259</v>
      </c>
      <c r="H197" s="1416">
        <v>1.47</v>
      </c>
      <c r="I197" s="1422"/>
    </row>
    <row r="198" spans="2:9" ht="15" customHeight="1" x14ac:dyDescent="0.2">
      <c r="B198" s="1440">
        <v>42156</v>
      </c>
      <c r="C198" s="1437">
        <v>25</v>
      </c>
      <c r="D198" s="1237">
        <v>425</v>
      </c>
      <c r="E198" s="1415">
        <v>2335</v>
      </c>
      <c r="F198" s="1237">
        <v>194.58</v>
      </c>
      <c r="G198" s="1416" t="s">
        <v>1153</v>
      </c>
      <c r="H198" s="1416">
        <v>1.06</v>
      </c>
      <c r="I198" s="1422"/>
    </row>
    <row r="199" spans="2:9" ht="15" customHeight="1" x14ac:dyDescent="0.2">
      <c r="B199" s="1440">
        <v>42186</v>
      </c>
      <c r="C199" s="1437">
        <v>25</v>
      </c>
      <c r="D199" s="1237">
        <v>100</v>
      </c>
      <c r="E199" s="1415">
        <v>445</v>
      </c>
      <c r="F199" s="1237">
        <v>55.63</v>
      </c>
      <c r="G199" s="1416" t="s">
        <v>1149</v>
      </c>
      <c r="H199" s="1416">
        <v>0.99</v>
      </c>
      <c r="I199" s="1422"/>
    </row>
    <row r="200" spans="2:9" ht="15" customHeight="1" x14ac:dyDescent="0.2">
      <c r="B200" s="1440">
        <v>42217</v>
      </c>
      <c r="C200" s="1437">
        <v>250</v>
      </c>
      <c r="D200" s="1237">
        <v>1880</v>
      </c>
      <c r="E200" s="1415">
        <v>7560</v>
      </c>
      <c r="F200" s="1237">
        <v>687.27</v>
      </c>
      <c r="G200" s="1416" t="s">
        <v>1260</v>
      </c>
      <c r="H200" s="1416">
        <v>1.1000000000000001</v>
      </c>
      <c r="I200" s="1422"/>
    </row>
    <row r="201" spans="2:9" ht="15" customHeight="1" x14ac:dyDescent="0.2">
      <c r="B201" s="1440">
        <v>42248</v>
      </c>
      <c r="C201" s="1437">
        <v>16</v>
      </c>
      <c r="D201" s="1237">
        <v>530</v>
      </c>
      <c r="E201" s="1415">
        <v>5116</v>
      </c>
      <c r="F201" s="1237">
        <v>222.43</v>
      </c>
      <c r="G201" s="1416" t="s">
        <v>1261</v>
      </c>
      <c r="H201" s="1416">
        <v>1.18</v>
      </c>
      <c r="I201" s="1422"/>
    </row>
    <row r="202" spans="2:9" ht="15" customHeight="1" x14ac:dyDescent="0.2">
      <c r="B202" s="1440">
        <v>42278</v>
      </c>
      <c r="C202" s="1437">
        <v>25</v>
      </c>
      <c r="D202" s="1237">
        <v>1095</v>
      </c>
      <c r="E202" s="1415">
        <v>6250</v>
      </c>
      <c r="F202" s="1237">
        <v>297.62</v>
      </c>
      <c r="G202" s="1416" t="s">
        <v>1262</v>
      </c>
      <c r="H202" s="1416">
        <v>1.1100000000000001</v>
      </c>
      <c r="I202" s="1422"/>
    </row>
    <row r="203" spans="2:9" ht="15" customHeight="1" x14ac:dyDescent="0.2">
      <c r="B203" s="1440">
        <v>42309</v>
      </c>
      <c r="C203" s="1437">
        <v>80</v>
      </c>
      <c r="D203" s="1237">
        <v>515</v>
      </c>
      <c r="E203" s="1415">
        <v>8780</v>
      </c>
      <c r="F203" s="1237">
        <v>313.57</v>
      </c>
      <c r="G203" s="1416" t="s">
        <v>1263</v>
      </c>
      <c r="H203" s="1416">
        <v>1.1100000000000001</v>
      </c>
      <c r="I203" s="1422"/>
    </row>
    <row r="204" spans="2:9" ht="15" customHeight="1" x14ac:dyDescent="0.2">
      <c r="B204" s="1440">
        <v>42339</v>
      </c>
      <c r="C204" s="1437">
        <v>100</v>
      </c>
      <c r="D204" s="1237">
        <v>555</v>
      </c>
      <c r="E204" s="1415">
        <v>9405</v>
      </c>
      <c r="F204" s="1237">
        <v>303.39</v>
      </c>
      <c r="G204" s="1416" t="s">
        <v>1146</v>
      </c>
      <c r="H204" s="1416">
        <v>1.28</v>
      </c>
      <c r="I204" s="1422"/>
    </row>
    <row r="205" spans="2:9" ht="15" customHeight="1" x14ac:dyDescent="0.2">
      <c r="B205" s="1440">
        <v>42370</v>
      </c>
      <c r="C205" s="1437">
        <v>20</v>
      </c>
      <c r="D205" s="1237">
        <v>420</v>
      </c>
      <c r="E205" s="1415">
        <v>5370</v>
      </c>
      <c r="F205" s="1237">
        <v>173.23</v>
      </c>
      <c r="G205" s="1416" t="s">
        <v>1264</v>
      </c>
      <c r="H205" s="1416">
        <v>1.6</v>
      </c>
      <c r="I205" s="1422"/>
    </row>
    <row r="206" spans="2:9" ht="15" customHeight="1" x14ac:dyDescent="0.2">
      <c r="B206" s="1440">
        <v>42401</v>
      </c>
      <c r="C206" s="1437">
        <v>105</v>
      </c>
      <c r="D206" s="1237">
        <v>1830</v>
      </c>
      <c r="E206" s="1415">
        <v>20405</v>
      </c>
      <c r="F206" s="1237">
        <v>703.62</v>
      </c>
      <c r="G206" s="1416" t="s">
        <v>1265</v>
      </c>
      <c r="H206" s="1416">
        <v>1.56</v>
      </c>
      <c r="I206" s="1422"/>
    </row>
    <row r="207" spans="2:9" ht="15" customHeight="1" x14ac:dyDescent="0.2">
      <c r="B207" s="1440">
        <v>42430</v>
      </c>
      <c r="C207" s="1437">
        <v>125</v>
      </c>
      <c r="D207" s="1237">
        <v>775</v>
      </c>
      <c r="E207" s="1415">
        <v>8305</v>
      </c>
      <c r="F207" s="1237">
        <v>319.42</v>
      </c>
      <c r="G207" s="1416" t="s">
        <v>1266</v>
      </c>
      <c r="H207" s="1416">
        <v>1.46</v>
      </c>
      <c r="I207" s="1422"/>
    </row>
    <row r="208" spans="2:9" ht="15" customHeight="1" x14ac:dyDescent="0.2">
      <c r="B208" s="1440">
        <v>42461</v>
      </c>
      <c r="C208" s="1437">
        <v>250</v>
      </c>
      <c r="D208" s="1237">
        <v>1980</v>
      </c>
      <c r="E208" s="1415">
        <v>24710</v>
      </c>
      <c r="F208" s="1237">
        <v>823.67</v>
      </c>
      <c r="G208" s="1416" t="s">
        <v>1267</v>
      </c>
      <c r="H208" s="1416">
        <v>1.45</v>
      </c>
      <c r="I208" s="1422"/>
    </row>
    <row r="209" spans="2:14" ht="15" customHeight="1" x14ac:dyDescent="0.2">
      <c r="B209" s="1440">
        <v>42491</v>
      </c>
      <c r="C209" s="1437">
        <v>30</v>
      </c>
      <c r="D209" s="1237">
        <v>1980</v>
      </c>
      <c r="E209" s="1415">
        <v>4920</v>
      </c>
      <c r="F209" s="1237">
        <v>378.46</v>
      </c>
      <c r="G209" s="1416" t="s">
        <v>1159</v>
      </c>
      <c r="H209" s="1416">
        <v>1.58</v>
      </c>
      <c r="I209" s="1422"/>
    </row>
    <row r="210" spans="2:14" ht="15" customHeight="1" thickBot="1" x14ac:dyDescent="0.25">
      <c r="B210" s="1448"/>
      <c r="C210" s="1449"/>
      <c r="D210" s="1450"/>
      <c r="E210" s="1451"/>
      <c r="F210" s="1450"/>
      <c r="G210" s="1452"/>
      <c r="H210" s="1453"/>
      <c r="I210" s="1454"/>
    </row>
    <row r="211" spans="2:14" ht="18" customHeight="1" thickTop="1" x14ac:dyDescent="0.2">
      <c r="B211" s="1455" t="s">
        <v>1268</v>
      </c>
      <c r="C211" s="1456"/>
      <c r="D211" s="1456"/>
      <c r="E211" s="1456"/>
      <c r="G211" s="1457" t="s">
        <v>1269</v>
      </c>
      <c r="H211" s="1458"/>
      <c r="I211" s="1458"/>
    </row>
    <row r="212" spans="2:14" ht="18.75" customHeight="1" x14ac:dyDescent="0.2">
      <c r="B212" s="701" t="s">
        <v>1270</v>
      </c>
      <c r="C212" s="867"/>
      <c r="D212" s="867"/>
      <c r="E212" s="1459"/>
      <c r="G212" s="701"/>
      <c r="H212" s="1458"/>
      <c r="I212" s="1458"/>
    </row>
    <row r="213" spans="2:14" s="1460" customFormat="1" x14ac:dyDescent="0.2">
      <c r="B213" s="867" t="s">
        <v>680</v>
      </c>
      <c r="G213" s="701"/>
      <c r="H213" s="1458"/>
      <c r="I213" s="1458"/>
    </row>
    <row r="214" spans="2:14" s="1460" customFormat="1" x14ac:dyDescent="0.2">
      <c r="B214" s="867"/>
      <c r="G214" s="701"/>
      <c r="H214" s="1458"/>
      <c r="I214" s="1458"/>
    </row>
    <row r="215" spans="2:14" x14ac:dyDescent="0.2">
      <c r="B215" s="867"/>
      <c r="D215" s="867"/>
    </row>
    <row r="216" spans="2:14" ht="18.75" customHeight="1" x14ac:dyDescent="0.2">
      <c r="B216" s="1227" t="s">
        <v>1271</v>
      </c>
    </row>
    <row r="217" spans="2:14" ht="18.75" customHeight="1" x14ac:dyDescent="0.2">
      <c r="B217" s="1227" t="s">
        <v>1272</v>
      </c>
    </row>
    <row r="218" spans="2:14" ht="9.75" customHeight="1" thickBot="1" x14ac:dyDescent="0.25">
      <c r="B218" s="865"/>
    </row>
    <row r="219" spans="2:14" ht="15" customHeight="1" x14ac:dyDescent="0.2">
      <c r="B219" s="1461" t="s">
        <v>211</v>
      </c>
      <c r="C219" s="1462" t="s">
        <v>1089</v>
      </c>
      <c r="D219" s="1463"/>
      <c r="E219" s="1463"/>
      <c r="F219" s="1464" t="s">
        <v>1090</v>
      </c>
      <c r="G219" s="1464" t="s">
        <v>1091</v>
      </c>
      <c r="H219" s="1464" t="s">
        <v>1056</v>
      </c>
      <c r="I219" s="863" t="s">
        <v>25</v>
      </c>
    </row>
    <row r="220" spans="2:14" ht="17.25" customHeight="1" thickBot="1" x14ac:dyDescent="0.25">
      <c r="B220" s="1404"/>
      <c r="C220" s="1400"/>
      <c r="D220" s="1401"/>
      <c r="E220" s="1402"/>
      <c r="F220" s="1403" t="s">
        <v>1094</v>
      </c>
      <c r="G220" s="1403" t="s">
        <v>243</v>
      </c>
      <c r="H220" s="1403" t="s">
        <v>1273</v>
      </c>
      <c r="L220" s="863" t="s">
        <v>25</v>
      </c>
    </row>
    <row r="221" spans="2:14" ht="17.25" customHeight="1" thickBot="1" x14ac:dyDescent="0.25">
      <c r="B221" s="1404"/>
      <c r="C221" s="1405" t="s">
        <v>765</v>
      </c>
      <c r="D221" s="1406" t="s">
        <v>767</v>
      </c>
      <c r="E221" s="1407" t="s">
        <v>197</v>
      </c>
      <c r="F221" s="1408"/>
      <c r="G221" s="1408" t="s">
        <v>1097</v>
      </c>
      <c r="H221" s="1408" t="s">
        <v>1274</v>
      </c>
    </row>
    <row r="222" spans="2:14" ht="14.1" customHeight="1" thickBot="1" x14ac:dyDescent="0.25">
      <c r="B222" s="1409"/>
      <c r="C222" s="1465" t="s">
        <v>73</v>
      </c>
      <c r="D222" s="1466"/>
      <c r="E222" s="1467"/>
      <c r="F222" s="1468"/>
      <c r="G222" s="3364" t="s">
        <v>674</v>
      </c>
      <c r="H222" s="3365"/>
    </row>
    <row r="223" spans="2:14" ht="17.25" customHeight="1" x14ac:dyDescent="0.2">
      <c r="B223" s="1412">
        <v>42491</v>
      </c>
      <c r="C223" s="1437"/>
      <c r="D223" s="1237"/>
      <c r="E223" s="1415"/>
      <c r="F223" s="1237"/>
      <c r="G223" s="1416"/>
      <c r="H223" s="1416"/>
    </row>
    <row r="224" spans="2:14" ht="15" customHeight="1" x14ac:dyDescent="0.2">
      <c r="B224" s="1418" t="s">
        <v>1099</v>
      </c>
      <c r="C224" s="1419">
        <v>575</v>
      </c>
      <c r="D224" s="1469">
        <v>1980</v>
      </c>
      <c r="E224" s="1237">
        <v>3560</v>
      </c>
      <c r="F224" s="1237">
        <v>1186.67</v>
      </c>
      <c r="G224" s="1421" t="s">
        <v>1100</v>
      </c>
      <c r="H224" s="1421">
        <v>1.65</v>
      </c>
      <c r="I224" s="1423"/>
      <c r="J224" s="1427"/>
      <c r="K224" s="1427"/>
      <c r="L224" s="1423"/>
      <c r="M224" s="1427"/>
      <c r="N224" s="1428"/>
    </row>
    <row r="225" spans="2:14" ht="15" customHeight="1" x14ac:dyDescent="0.2">
      <c r="B225" s="1418" t="s">
        <v>1101</v>
      </c>
      <c r="C225" s="1419">
        <v>130</v>
      </c>
      <c r="D225" s="1469">
        <v>400</v>
      </c>
      <c r="E225" s="1237">
        <v>1130</v>
      </c>
      <c r="F225" s="1237">
        <v>226</v>
      </c>
      <c r="G225" s="1421" t="s">
        <v>1102</v>
      </c>
      <c r="H225" s="1421">
        <v>1.42</v>
      </c>
      <c r="I225" s="1423"/>
      <c r="J225" s="1427"/>
      <c r="K225" s="1427"/>
      <c r="L225" s="1423"/>
      <c r="M225" s="1427"/>
      <c r="N225" s="1428"/>
    </row>
    <row r="226" spans="2:14" ht="15" customHeight="1" x14ac:dyDescent="0.2">
      <c r="B226" s="1418" t="s">
        <v>1103</v>
      </c>
      <c r="C226" s="1419">
        <v>50</v>
      </c>
      <c r="D226" s="1469">
        <v>50</v>
      </c>
      <c r="E226" s="1237">
        <v>200</v>
      </c>
      <c r="F226" s="1237">
        <v>50</v>
      </c>
      <c r="G226" s="1421">
        <v>1.35</v>
      </c>
      <c r="H226" s="1421">
        <v>1.35</v>
      </c>
      <c r="I226" s="1423"/>
      <c r="J226" s="1427"/>
      <c r="K226" s="1427"/>
      <c r="L226" s="1423"/>
      <c r="M226" s="1427"/>
      <c r="N226" s="1428"/>
    </row>
    <row r="227" spans="2:14" ht="15" customHeight="1" x14ac:dyDescent="0.2">
      <c r="B227" s="1418" t="s">
        <v>1104</v>
      </c>
      <c r="C227" s="1419" t="s">
        <v>664</v>
      </c>
      <c r="D227" s="1469" t="s">
        <v>664</v>
      </c>
      <c r="E227" s="1237" t="s">
        <v>664</v>
      </c>
      <c r="F227" s="1237" t="s">
        <v>664</v>
      </c>
      <c r="G227" s="1421" t="s">
        <v>664</v>
      </c>
      <c r="H227" s="1421" t="s">
        <v>664</v>
      </c>
      <c r="I227" s="1423"/>
      <c r="J227" s="1427"/>
      <c r="K227" s="1427"/>
      <c r="L227" s="1423"/>
      <c r="M227" s="1427"/>
      <c r="N227" s="1428"/>
    </row>
    <row r="228" spans="2:14" ht="15" customHeight="1" x14ac:dyDescent="0.2">
      <c r="B228" s="1418" t="s">
        <v>1105</v>
      </c>
      <c r="C228" s="1419">
        <v>30</v>
      </c>
      <c r="D228" s="1469">
        <v>30</v>
      </c>
      <c r="E228" s="1237">
        <v>30</v>
      </c>
      <c r="F228" s="1237">
        <v>30</v>
      </c>
      <c r="G228" s="1470">
        <v>1.25</v>
      </c>
      <c r="H228" s="1421">
        <v>1.25</v>
      </c>
      <c r="I228" s="1423"/>
      <c r="J228" s="1427"/>
      <c r="K228" s="1427"/>
      <c r="L228" s="1423"/>
      <c r="M228" s="1427"/>
      <c r="N228" s="1428"/>
    </row>
    <row r="229" spans="2:14" ht="15" hidden="1" customHeight="1" x14ac:dyDescent="0.2">
      <c r="B229" s="1418"/>
      <c r="C229" s="1419" t="s">
        <v>664</v>
      </c>
      <c r="D229" s="1469" t="s">
        <v>664</v>
      </c>
      <c r="E229" s="1237" t="s">
        <v>664</v>
      </c>
      <c r="F229" s="1237" t="s">
        <v>664</v>
      </c>
      <c r="G229" s="1421" t="s">
        <v>664</v>
      </c>
      <c r="H229" s="1421" t="s">
        <v>664</v>
      </c>
      <c r="I229" s="1423"/>
      <c r="J229" s="1427"/>
      <c r="K229" s="1427"/>
      <c r="L229" s="1423"/>
      <c r="M229" s="1427"/>
      <c r="N229" s="1428"/>
    </row>
    <row r="230" spans="2:14" ht="9" customHeight="1" x14ac:dyDescent="0.2">
      <c r="B230" s="1471"/>
      <c r="C230" s="1430"/>
      <c r="D230" s="1431"/>
      <c r="E230" s="1432"/>
      <c r="F230" s="1431"/>
      <c r="G230" s="1472"/>
      <c r="H230" s="1433"/>
      <c r="I230" s="1423"/>
      <c r="J230" s="1427"/>
      <c r="K230" s="1427"/>
      <c r="L230" s="1423"/>
      <c r="M230" s="1427"/>
      <c r="N230" s="1428"/>
    </row>
    <row r="231" spans="2:14" ht="15" hidden="1" customHeight="1" x14ac:dyDescent="0.2">
      <c r="B231" s="1473"/>
      <c r="C231" s="1474"/>
      <c r="D231" s="1475"/>
      <c r="E231" s="1415"/>
      <c r="F231" s="1237"/>
      <c r="G231" s="1416"/>
      <c r="H231" s="1416"/>
      <c r="I231" s="1438"/>
      <c r="J231" s="1427"/>
      <c r="K231" s="1439">
        <f>SUM(K224:K230)</f>
        <v>0</v>
      </c>
      <c r="L231" s="1427"/>
      <c r="M231" s="1439">
        <f>SUM(M224:M230)</f>
        <v>0</v>
      </c>
      <c r="N231" s="1428" t="e">
        <f>M231/K231</f>
        <v>#DIV/0!</v>
      </c>
    </row>
    <row r="232" spans="2:14" ht="15" hidden="1" customHeight="1" x14ac:dyDescent="0.2">
      <c r="B232" s="1476">
        <v>36312</v>
      </c>
      <c r="C232" s="1474">
        <v>10</v>
      </c>
      <c r="D232" s="1475">
        <v>230</v>
      </c>
      <c r="E232" s="1415">
        <v>2385</v>
      </c>
      <c r="F232" s="1237">
        <v>80</v>
      </c>
      <c r="G232" s="1416" t="s">
        <v>1106</v>
      </c>
      <c r="H232" s="1416">
        <v>9.9600000000000009</v>
      </c>
      <c r="I232" s="1438"/>
    </row>
    <row r="233" spans="2:14" ht="15" hidden="1" customHeight="1" x14ac:dyDescent="0.2">
      <c r="B233" s="1476">
        <v>36404</v>
      </c>
      <c r="C233" s="1474">
        <v>10</v>
      </c>
      <c r="D233" s="1475">
        <v>120</v>
      </c>
      <c r="E233" s="1415">
        <v>1223</v>
      </c>
      <c r="F233" s="1237">
        <v>52.96</v>
      </c>
      <c r="G233" s="1416" t="s">
        <v>1107</v>
      </c>
      <c r="H233" s="1416">
        <v>9.5630000000000006</v>
      </c>
      <c r="I233" s="1438"/>
    </row>
    <row r="234" spans="2:14" ht="15" hidden="1" customHeight="1" thickBot="1" x14ac:dyDescent="0.25">
      <c r="B234" s="1476">
        <v>36495</v>
      </c>
      <c r="C234" s="1474">
        <v>85</v>
      </c>
      <c r="D234" s="1475">
        <v>500</v>
      </c>
      <c r="E234" s="1415">
        <v>6285</v>
      </c>
      <c r="F234" s="1237">
        <v>273</v>
      </c>
      <c r="G234" s="1416" t="s">
        <v>1108</v>
      </c>
      <c r="H234" s="1416">
        <v>9.67</v>
      </c>
      <c r="I234" s="1438"/>
    </row>
    <row r="235" spans="2:14" ht="15" hidden="1" customHeight="1" thickTop="1" x14ac:dyDescent="0.2">
      <c r="B235" s="1476">
        <v>36586</v>
      </c>
      <c r="C235" s="1474">
        <v>10</v>
      </c>
      <c r="D235" s="1475">
        <v>255</v>
      </c>
      <c r="E235" s="1415">
        <v>3163.2</v>
      </c>
      <c r="F235" s="1237">
        <v>102</v>
      </c>
      <c r="G235" s="1416" t="s">
        <v>1109</v>
      </c>
      <c r="H235" s="1416">
        <v>9.1199999999999992</v>
      </c>
      <c r="I235" s="1438"/>
    </row>
    <row r="236" spans="2:14" ht="15" hidden="1" customHeight="1" x14ac:dyDescent="0.2">
      <c r="B236" s="1476">
        <v>36678</v>
      </c>
      <c r="C236" s="1474">
        <v>20</v>
      </c>
      <c r="D236" s="1475">
        <v>600</v>
      </c>
      <c r="E236" s="1237">
        <v>3421</v>
      </c>
      <c r="F236" s="1237">
        <v>118</v>
      </c>
      <c r="G236" s="1416" t="s">
        <v>1110</v>
      </c>
      <c r="H236" s="1416">
        <v>7.27</v>
      </c>
      <c r="I236" s="1438"/>
    </row>
    <row r="237" spans="2:14" ht="15" hidden="1" customHeight="1" x14ac:dyDescent="0.2">
      <c r="B237" s="1476">
        <v>36708</v>
      </c>
      <c r="C237" s="1474">
        <v>10</v>
      </c>
      <c r="D237" s="1475">
        <v>830</v>
      </c>
      <c r="E237" s="1237">
        <v>6813</v>
      </c>
      <c r="F237" s="1237">
        <v>243</v>
      </c>
      <c r="G237" s="1416" t="s">
        <v>1111</v>
      </c>
      <c r="H237" s="1416">
        <v>7.46</v>
      </c>
      <c r="I237" s="1438"/>
    </row>
    <row r="238" spans="2:14" ht="15" hidden="1" customHeight="1" x14ac:dyDescent="0.2">
      <c r="B238" s="1476">
        <v>36739</v>
      </c>
      <c r="C238" s="1474">
        <v>25</v>
      </c>
      <c r="D238" s="1475">
        <v>460</v>
      </c>
      <c r="E238" s="1237">
        <v>6528</v>
      </c>
      <c r="F238" s="1237">
        <v>211</v>
      </c>
      <c r="G238" s="1416" t="s">
        <v>1112</v>
      </c>
      <c r="H238" s="1416">
        <v>7.03</v>
      </c>
      <c r="I238" s="1438"/>
    </row>
    <row r="239" spans="2:14" ht="15" hidden="1" customHeight="1" x14ac:dyDescent="0.2">
      <c r="B239" s="1476">
        <v>36770</v>
      </c>
      <c r="C239" s="1474">
        <v>30</v>
      </c>
      <c r="D239" s="1475">
        <v>168</v>
      </c>
      <c r="E239" s="1237">
        <v>2859</v>
      </c>
      <c r="F239" s="1237">
        <v>95</v>
      </c>
      <c r="G239" s="1416" t="s">
        <v>1113</v>
      </c>
      <c r="H239" s="1416">
        <v>7.13</v>
      </c>
      <c r="I239" s="1438"/>
    </row>
    <row r="240" spans="2:14" ht="15" hidden="1" customHeight="1" x14ac:dyDescent="0.2">
      <c r="B240" s="1476">
        <v>36800</v>
      </c>
      <c r="C240" s="1474">
        <v>30</v>
      </c>
      <c r="D240" s="1475">
        <v>270</v>
      </c>
      <c r="E240" s="1237">
        <v>3581</v>
      </c>
      <c r="F240" s="1237">
        <v>138</v>
      </c>
      <c r="G240" s="1416" t="s">
        <v>1114</v>
      </c>
      <c r="H240" s="1416">
        <v>7.48</v>
      </c>
      <c r="I240" s="1438"/>
    </row>
    <row r="241" spans="2:9" ht="15" hidden="1" customHeight="1" x14ac:dyDescent="0.2">
      <c r="B241" s="1476">
        <v>36831</v>
      </c>
      <c r="C241" s="1474">
        <v>40</v>
      </c>
      <c r="D241" s="1475">
        <v>201</v>
      </c>
      <c r="E241" s="1237">
        <v>2859</v>
      </c>
      <c r="F241" s="1237">
        <v>95</v>
      </c>
      <c r="G241" s="1416" t="s">
        <v>1115</v>
      </c>
      <c r="H241" s="1416">
        <v>7.98</v>
      </c>
      <c r="I241" s="1438"/>
    </row>
    <row r="242" spans="2:9" ht="15" hidden="1" customHeight="1" x14ac:dyDescent="0.2">
      <c r="B242" s="1476">
        <v>36861</v>
      </c>
      <c r="C242" s="1474">
        <v>16</v>
      </c>
      <c r="D242" s="1475">
        <v>398</v>
      </c>
      <c r="E242" s="1237">
        <v>5734</v>
      </c>
      <c r="F242" s="1237">
        <v>185</v>
      </c>
      <c r="G242" s="1416" t="s">
        <v>1116</v>
      </c>
      <c r="H242" s="1416">
        <v>7.96</v>
      </c>
      <c r="I242" s="1438"/>
    </row>
    <row r="243" spans="2:9" ht="15" hidden="1" customHeight="1" x14ac:dyDescent="0.2">
      <c r="B243" s="1476">
        <v>36892</v>
      </c>
      <c r="C243" s="1474">
        <v>10</v>
      </c>
      <c r="D243" s="1475">
        <v>590</v>
      </c>
      <c r="E243" s="1237">
        <v>4252</v>
      </c>
      <c r="F243" s="1237">
        <v>185</v>
      </c>
      <c r="G243" s="1416" t="s">
        <v>1117</v>
      </c>
      <c r="H243" s="1416">
        <v>6.8</v>
      </c>
      <c r="I243" s="1438"/>
    </row>
    <row r="244" spans="2:9" ht="15" hidden="1" customHeight="1" x14ac:dyDescent="0.2">
      <c r="B244" s="1476">
        <v>36923</v>
      </c>
      <c r="C244" s="1474">
        <v>30</v>
      </c>
      <c r="D244" s="1475">
        <v>594</v>
      </c>
      <c r="E244" s="1237">
        <v>4815</v>
      </c>
      <c r="F244" s="1237">
        <v>172</v>
      </c>
      <c r="G244" s="1416" t="s">
        <v>1118</v>
      </c>
      <c r="H244" s="1416">
        <v>7.2584999999999997</v>
      </c>
      <c r="I244" s="1438"/>
    </row>
    <row r="245" spans="2:9" ht="15" hidden="1" customHeight="1" x14ac:dyDescent="0.2">
      <c r="B245" s="1476">
        <v>36951</v>
      </c>
      <c r="C245" s="1474">
        <v>40</v>
      </c>
      <c r="D245" s="1475">
        <v>410</v>
      </c>
      <c r="E245" s="1237">
        <v>4583</v>
      </c>
      <c r="F245" s="1237">
        <v>148</v>
      </c>
      <c r="G245" s="1416" t="s">
        <v>1119</v>
      </c>
      <c r="H245" s="1416">
        <v>7.5</v>
      </c>
      <c r="I245" s="1438"/>
    </row>
    <row r="246" spans="2:9" ht="15" hidden="1" customHeight="1" x14ac:dyDescent="0.2">
      <c r="B246" s="1476">
        <v>36982</v>
      </c>
      <c r="C246" s="1474">
        <v>50</v>
      </c>
      <c r="D246" s="1475">
        <v>560</v>
      </c>
      <c r="E246" s="1237">
        <v>8724</v>
      </c>
      <c r="F246" s="1237">
        <v>291</v>
      </c>
      <c r="G246" s="1416" t="s">
        <v>1120</v>
      </c>
      <c r="H246" s="1416">
        <v>7.8</v>
      </c>
      <c r="I246" s="1438"/>
    </row>
    <row r="247" spans="2:9" ht="15" hidden="1" customHeight="1" x14ac:dyDescent="0.2">
      <c r="B247" s="1476">
        <v>37012</v>
      </c>
      <c r="C247" s="1474">
        <v>80</v>
      </c>
      <c r="D247" s="1475">
        <v>435</v>
      </c>
      <c r="E247" s="1237">
        <v>5942</v>
      </c>
      <c r="F247" s="1237">
        <v>192</v>
      </c>
      <c r="G247" s="1416" t="s">
        <v>1121</v>
      </c>
      <c r="H247" s="1416">
        <v>8.43</v>
      </c>
      <c r="I247" s="1438"/>
    </row>
    <row r="248" spans="2:9" ht="15" hidden="1" customHeight="1" x14ac:dyDescent="0.2">
      <c r="B248" s="1476">
        <v>37043</v>
      </c>
      <c r="C248" s="1474">
        <v>10</v>
      </c>
      <c r="D248" s="1475">
        <v>570</v>
      </c>
      <c r="E248" s="1237">
        <v>5355</v>
      </c>
      <c r="F248" s="1237">
        <v>178.5</v>
      </c>
      <c r="G248" s="1416" t="s">
        <v>1122</v>
      </c>
      <c r="H248" s="1416">
        <v>7.29</v>
      </c>
      <c r="I248" s="1438"/>
    </row>
    <row r="249" spans="2:9" ht="15" hidden="1" customHeight="1" x14ac:dyDescent="0.2">
      <c r="B249" s="1476">
        <v>37073</v>
      </c>
      <c r="C249" s="1474">
        <v>50</v>
      </c>
      <c r="D249" s="1475">
        <v>570</v>
      </c>
      <c r="E249" s="1237">
        <v>6170</v>
      </c>
      <c r="F249" s="1237">
        <v>199</v>
      </c>
      <c r="G249" s="1416" t="s">
        <v>1113</v>
      </c>
      <c r="H249" s="1416">
        <v>7.18</v>
      </c>
      <c r="I249" s="1438"/>
    </row>
    <row r="250" spans="2:9" ht="15" hidden="1" customHeight="1" x14ac:dyDescent="0.2">
      <c r="B250" s="1476">
        <v>37104</v>
      </c>
      <c r="C250" s="1474">
        <v>35</v>
      </c>
      <c r="D250" s="1475">
        <v>482</v>
      </c>
      <c r="E250" s="1237">
        <v>4954</v>
      </c>
      <c r="F250" s="1237">
        <v>160</v>
      </c>
      <c r="G250" s="1416" t="s">
        <v>1123</v>
      </c>
      <c r="H250" s="1416">
        <v>7.28</v>
      </c>
      <c r="I250" s="1438"/>
    </row>
    <row r="251" spans="2:9" ht="15" hidden="1" customHeight="1" x14ac:dyDescent="0.2">
      <c r="B251" s="1476">
        <v>37135</v>
      </c>
      <c r="C251" s="1474">
        <v>3</v>
      </c>
      <c r="D251" s="1475">
        <v>333</v>
      </c>
      <c r="E251" s="1237">
        <v>4828</v>
      </c>
      <c r="F251" s="1237">
        <v>161</v>
      </c>
      <c r="G251" s="1416" t="s">
        <v>1124</v>
      </c>
      <c r="H251" s="1416">
        <v>7.13</v>
      </c>
      <c r="I251" s="1438"/>
    </row>
    <row r="252" spans="2:9" ht="15" hidden="1" customHeight="1" x14ac:dyDescent="0.2">
      <c r="B252" s="1476">
        <v>37165</v>
      </c>
      <c r="C252" s="1474">
        <v>115</v>
      </c>
      <c r="D252" s="1475">
        <v>615</v>
      </c>
      <c r="E252" s="1237">
        <v>9010</v>
      </c>
      <c r="F252" s="1237">
        <v>291</v>
      </c>
      <c r="G252" s="1416" t="s">
        <v>1125</v>
      </c>
      <c r="H252" s="1416">
        <v>7.12</v>
      </c>
      <c r="I252" s="1438"/>
    </row>
    <row r="253" spans="2:9" ht="15" hidden="1" customHeight="1" x14ac:dyDescent="0.2">
      <c r="B253" s="1476">
        <v>37196</v>
      </c>
      <c r="C253" s="1474">
        <v>50</v>
      </c>
      <c r="D253" s="1475">
        <v>720</v>
      </c>
      <c r="E253" s="1237">
        <v>7487</v>
      </c>
      <c r="F253" s="1237">
        <v>267</v>
      </c>
      <c r="G253" s="1416" t="s">
        <v>1126</v>
      </c>
      <c r="H253" s="1416">
        <v>6.86</v>
      </c>
      <c r="I253" s="1438"/>
    </row>
    <row r="254" spans="2:9" ht="15" hidden="1" customHeight="1" x14ac:dyDescent="0.2">
      <c r="B254" s="1476">
        <v>37226</v>
      </c>
      <c r="C254" s="1474">
        <v>30</v>
      </c>
      <c r="D254" s="1475">
        <v>895</v>
      </c>
      <c r="E254" s="1237">
        <v>9060</v>
      </c>
      <c r="F254" s="1237">
        <v>292</v>
      </c>
      <c r="G254" s="1416" t="s">
        <v>1127</v>
      </c>
      <c r="H254" s="1416">
        <v>6.95</v>
      </c>
      <c r="I254" s="1438"/>
    </row>
    <row r="255" spans="2:9" ht="15" hidden="1" customHeight="1" x14ac:dyDescent="0.2">
      <c r="B255" s="1476">
        <v>37257</v>
      </c>
      <c r="C255" s="1474">
        <v>5</v>
      </c>
      <c r="D255" s="1475">
        <v>310</v>
      </c>
      <c r="E255" s="1415">
        <v>3355</v>
      </c>
      <c r="F255" s="1237">
        <v>116</v>
      </c>
      <c r="G255" s="1416" t="s">
        <v>1128</v>
      </c>
      <c r="H255" s="1416">
        <v>6.69</v>
      </c>
      <c r="I255" s="1438"/>
    </row>
    <row r="256" spans="2:9" ht="15" hidden="1" customHeight="1" x14ac:dyDescent="0.2">
      <c r="B256" s="1476">
        <v>37316</v>
      </c>
      <c r="C256" s="1474">
        <v>5</v>
      </c>
      <c r="D256" s="1475">
        <v>418</v>
      </c>
      <c r="E256" s="1415">
        <v>7338</v>
      </c>
      <c r="F256" s="1237">
        <v>237</v>
      </c>
      <c r="G256" s="1416" t="s">
        <v>1129</v>
      </c>
      <c r="H256" s="1416">
        <v>6.63</v>
      </c>
      <c r="I256" s="1438"/>
    </row>
    <row r="257" spans="2:9" ht="15" hidden="1" customHeight="1" x14ac:dyDescent="0.2">
      <c r="B257" s="1476">
        <v>37347</v>
      </c>
      <c r="C257" s="1474">
        <v>70</v>
      </c>
      <c r="D257" s="1475">
        <v>310</v>
      </c>
      <c r="E257" s="1415">
        <v>5516</v>
      </c>
      <c r="F257" s="1237">
        <v>184</v>
      </c>
      <c r="G257" s="1416" t="s">
        <v>1130</v>
      </c>
      <c r="H257" s="1416">
        <v>6.74</v>
      </c>
      <c r="I257" s="1438"/>
    </row>
    <row r="258" spans="2:9" ht="15" hidden="1" customHeight="1" x14ac:dyDescent="0.2">
      <c r="B258" s="1476">
        <v>37377</v>
      </c>
      <c r="C258" s="1474">
        <v>30</v>
      </c>
      <c r="D258" s="1475">
        <v>330</v>
      </c>
      <c r="E258" s="1415">
        <v>4300</v>
      </c>
      <c r="F258" s="1237">
        <v>143</v>
      </c>
      <c r="G258" s="1416" t="s">
        <v>1131</v>
      </c>
      <c r="H258" s="1416">
        <v>6.43</v>
      </c>
      <c r="I258" s="1438"/>
    </row>
    <row r="259" spans="2:9" ht="15" hidden="1" customHeight="1" x14ac:dyDescent="0.2">
      <c r="B259" s="1476">
        <v>37408</v>
      </c>
      <c r="C259" s="1474">
        <v>10</v>
      </c>
      <c r="D259" s="1475">
        <v>390</v>
      </c>
      <c r="E259" s="1415">
        <v>2970</v>
      </c>
      <c r="F259" s="1237">
        <v>149</v>
      </c>
      <c r="G259" s="1416" t="s">
        <v>1132</v>
      </c>
      <c r="H259" s="1416">
        <v>6.5</v>
      </c>
      <c r="I259" s="1438"/>
    </row>
    <row r="260" spans="2:9" ht="15" hidden="1" customHeight="1" x14ac:dyDescent="0.2">
      <c r="B260" s="1476">
        <v>37438</v>
      </c>
      <c r="C260" s="1474">
        <v>10</v>
      </c>
      <c r="D260" s="1475">
        <v>735</v>
      </c>
      <c r="E260" s="1415">
        <v>7661</v>
      </c>
      <c r="F260" s="1237">
        <v>255</v>
      </c>
      <c r="G260" s="1416" t="s">
        <v>1133</v>
      </c>
      <c r="H260" s="1416">
        <v>5.73</v>
      </c>
      <c r="I260" s="1438"/>
    </row>
    <row r="261" spans="2:9" ht="15" hidden="1" customHeight="1" x14ac:dyDescent="0.2">
      <c r="B261" s="1476">
        <v>37469</v>
      </c>
      <c r="C261" s="1474">
        <v>10</v>
      </c>
      <c r="D261" s="1475">
        <v>455</v>
      </c>
      <c r="E261" s="1415">
        <v>8185</v>
      </c>
      <c r="F261" s="1237">
        <v>264</v>
      </c>
      <c r="G261" s="1416" t="s">
        <v>1134</v>
      </c>
      <c r="H261" s="1416">
        <v>7.37</v>
      </c>
    </row>
    <row r="262" spans="2:9" ht="15" hidden="1" customHeight="1" x14ac:dyDescent="0.2">
      <c r="B262" s="1476">
        <v>37500</v>
      </c>
      <c r="C262" s="1474">
        <v>205</v>
      </c>
      <c r="D262" s="1475">
        <v>627</v>
      </c>
      <c r="E262" s="1415">
        <v>9421</v>
      </c>
      <c r="F262" s="1237">
        <v>314</v>
      </c>
      <c r="G262" s="1416" t="s">
        <v>1135</v>
      </c>
      <c r="H262" s="1416">
        <v>7.74</v>
      </c>
    </row>
    <row r="263" spans="2:9" ht="15" hidden="1" customHeight="1" x14ac:dyDescent="0.2">
      <c r="B263" s="1476">
        <v>37530</v>
      </c>
      <c r="C263" s="1474">
        <v>250</v>
      </c>
      <c r="D263" s="1475">
        <v>812</v>
      </c>
      <c r="E263" s="1415">
        <v>17979</v>
      </c>
      <c r="F263" s="1237">
        <v>580</v>
      </c>
      <c r="G263" s="1416" t="s">
        <v>1134</v>
      </c>
      <c r="H263" s="1416">
        <v>7.67</v>
      </c>
    </row>
    <row r="264" spans="2:9" ht="15" hidden="1" customHeight="1" x14ac:dyDescent="0.2">
      <c r="B264" s="1476">
        <v>37561</v>
      </c>
      <c r="C264" s="1474">
        <v>20</v>
      </c>
      <c r="D264" s="1475">
        <v>695</v>
      </c>
      <c r="E264" s="1415">
        <v>6205</v>
      </c>
      <c r="F264" s="1237">
        <v>270</v>
      </c>
      <c r="G264" s="1416" t="s">
        <v>1135</v>
      </c>
      <c r="H264" s="1416">
        <v>7.42</v>
      </c>
    </row>
    <row r="265" spans="2:9" ht="15" hidden="1" customHeight="1" x14ac:dyDescent="0.2">
      <c r="B265" s="1476">
        <v>37591</v>
      </c>
      <c r="C265" s="1474">
        <v>10</v>
      </c>
      <c r="D265" s="1475">
        <v>235</v>
      </c>
      <c r="E265" s="1415">
        <v>2869</v>
      </c>
      <c r="F265" s="1237">
        <v>125</v>
      </c>
      <c r="G265" s="1416" t="s">
        <v>1136</v>
      </c>
      <c r="H265" s="1416">
        <v>4.92</v>
      </c>
    </row>
    <row r="266" spans="2:9" ht="15" hidden="1" customHeight="1" x14ac:dyDescent="0.2">
      <c r="B266" s="1476">
        <v>37622</v>
      </c>
      <c r="C266" s="1474">
        <v>90</v>
      </c>
      <c r="D266" s="1475">
        <v>425</v>
      </c>
      <c r="E266" s="1415">
        <v>4318</v>
      </c>
      <c r="F266" s="1237">
        <v>254</v>
      </c>
      <c r="G266" s="1416" t="s">
        <v>1137</v>
      </c>
      <c r="H266" s="1416">
        <v>3.72</v>
      </c>
    </row>
    <row r="267" spans="2:9" ht="15" hidden="1" customHeight="1" x14ac:dyDescent="0.2">
      <c r="B267" s="1476">
        <v>37653</v>
      </c>
      <c r="C267" s="1474">
        <v>15</v>
      </c>
      <c r="D267" s="1475">
        <v>545</v>
      </c>
      <c r="E267" s="1415">
        <v>6869</v>
      </c>
      <c r="F267" s="1237">
        <v>275</v>
      </c>
      <c r="G267" s="1416" t="s">
        <v>1138</v>
      </c>
      <c r="H267" s="1416">
        <v>4.75</v>
      </c>
    </row>
    <row r="268" spans="2:9" ht="15" hidden="1" customHeight="1" x14ac:dyDescent="0.2">
      <c r="B268" s="1476">
        <v>37681</v>
      </c>
      <c r="C268" s="1474">
        <v>30</v>
      </c>
      <c r="D268" s="1475">
        <v>200</v>
      </c>
      <c r="E268" s="1415">
        <v>2485</v>
      </c>
      <c r="F268" s="1237">
        <v>124</v>
      </c>
      <c r="G268" s="1416" t="s">
        <v>1139</v>
      </c>
      <c r="H268" s="1416">
        <v>3.64</v>
      </c>
    </row>
    <row r="269" spans="2:9" ht="15" hidden="1" customHeight="1" x14ac:dyDescent="0.2">
      <c r="B269" s="1476">
        <v>37712</v>
      </c>
      <c r="C269" s="1474">
        <v>5</v>
      </c>
      <c r="D269" s="1475">
        <v>530</v>
      </c>
      <c r="E269" s="1415">
        <v>4181</v>
      </c>
      <c r="F269" s="1237">
        <v>144</v>
      </c>
      <c r="G269" s="1416" t="s">
        <v>1140</v>
      </c>
      <c r="H269" s="1416">
        <v>3.66</v>
      </c>
    </row>
    <row r="270" spans="2:9" ht="15" hidden="1" customHeight="1" x14ac:dyDescent="0.2">
      <c r="B270" s="1476">
        <v>37742</v>
      </c>
      <c r="C270" s="1474">
        <v>10</v>
      </c>
      <c r="D270" s="1475">
        <v>565</v>
      </c>
      <c r="E270" s="1415">
        <v>6318</v>
      </c>
      <c r="F270" s="1237">
        <v>218</v>
      </c>
      <c r="G270" s="1416" t="s">
        <v>1141</v>
      </c>
      <c r="H270" s="1416">
        <v>4.12</v>
      </c>
    </row>
    <row r="271" spans="2:9" ht="15" hidden="1" customHeight="1" x14ac:dyDescent="0.2">
      <c r="B271" s="1476">
        <v>37773</v>
      </c>
      <c r="C271" s="1474">
        <v>28</v>
      </c>
      <c r="D271" s="1475">
        <v>275</v>
      </c>
      <c r="E271" s="1415">
        <v>2768</v>
      </c>
      <c r="F271" s="1237">
        <v>115</v>
      </c>
      <c r="G271" s="1416" t="s">
        <v>1138</v>
      </c>
      <c r="H271" s="1416">
        <v>4.45</v>
      </c>
    </row>
    <row r="272" spans="2:9" ht="15" hidden="1" customHeight="1" x14ac:dyDescent="0.2">
      <c r="B272" s="1476">
        <v>37803</v>
      </c>
      <c r="C272" s="1474">
        <v>20</v>
      </c>
      <c r="D272" s="1475">
        <v>975</v>
      </c>
      <c r="E272" s="1415">
        <v>12795</v>
      </c>
      <c r="F272" s="1237">
        <v>413</v>
      </c>
      <c r="G272" s="1416" t="s">
        <v>1142</v>
      </c>
      <c r="H272" s="1416">
        <v>4.08</v>
      </c>
    </row>
    <row r="273" spans="2:8" ht="15" hidden="1" customHeight="1" x14ac:dyDescent="0.2">
      <c r="B273" s="1476">
        <v>37834</v>
      </c>
      <c r="C273" s="1474">
        <v>110</v>
      </c>
      <c r="D273" s="1475">
        <v>595</v>
      </c>
      <c r="E273" s="1415">
        <v>5646</v>
      </c>
      <c r="F273" s="1237">
        <v>268.85000000000002</v>
      </c>
      <c r="G273" s="1416" t="s">
        <v>1143</v>
      </c>
      <c r="H273" s="1416">
        <v>3.89</v>
      </c>
    </row>
    <row r="274" spans="2:8" ht="15.75" hidden="1" customHeight="1" x14ac:dyDescent="0.2">
      <c r="B274" s="1476">
        <v>37865</v>
      </c>
      <c r="C274" s="1474">
        <v>20</v>
      </c>
      <c r="D274" s="1475">
        <v>130</v>
      </c>
      <c r="E274" s="1415">
        <v>668</v>
      </c>
      <c r="F274" s="1237">
        <v>67</v>
      </c>
      <c r="G274" s="1416" t="s">
        <v>1144</v>
      </c>
      <c r="H274" s="1416">
        <v>2.78</v>
      </c>
    </row>
    <row r="275" spans="2:8" ht="15" hidden="1" customHeight="1" x14ac:dyDescent="0.2">
      <c r="B275" s="1476">
        <v>37895</v>
      </c>
      <c r="C275" s="1474">
        <v>10</v>
      </c>
      <c r="D275" s="1475">
        <v>552</v>
      </c>
      <c r="E275" s="1415">
        <v>3155</v>
      </c>
      <c r="F275" s="1237">
        <v>186</v>
      </c>
      <c r="G275" s="1416" t="s">
        <v>1145</v>
      </c>
      <c r="H275" s="1416">
        <v>1.96</v>
      </c>
    </row>
    <row r="276" spans="2:8" ht="15" hidden="1" customHeight="1" x14ac:dyDescent="0.2">
      <c r="B276" s="1476">
        <v>37926</v>
      </c>
      <c r="C276" s="1474">
        <v>10</v>
      </c>
      <c r="D276" s="1475">
        <v>431</v>
      </c>
      <c r="E276" s="1415">
        <v>2211</v>
      </c>
      <c r="F276" s="1237">
        <v>130</v>
      </c>
      <c r="G276" s="1416" t="s">
        <v>1146</v>
      </c>
      <c r="H276" s="1416">
        <v>1.26</v>
      </c>
    </row>
    <row r="277" spans="2:8" ht="15" hidden="1" customHeight="1" x14ac:dyDescent="0.2">
      <c r="B277" s="1476">
        <v>37956</v>
      </c>
      <c r="C277" s="1474">
        <v>50</v>
      </c>
      <c r="D277" s="1475">
        <v>695</v>
      </c>
      <c r="E277" s="1415">
        <v>5392</v>
      </c>
      <c r="F277" s="1237">
        <v>174</v>
      </c>
      <c r="G277" s="1416" t="s">
        <v>1147</v>
      </c>
      <c r="H277" s="1416">
        <v>1.4</v>
      </c>
    </row>
    <row r="278" spans="2:8" ht="15" hidden="1" customHeight="1" x14ac:dyDescent="0.2">
      <c r="B278" s="1476">
        <v>37987</v>
      </c>
      <c r="C278" s="1474">
        <v>1</v>
      </c>
      <c r="D278" s="1475">
        <v>695</v>
      </c>
      <c r="E278" s="1415">
        <v>5670</v>
      </c>
      <c r="F278" s="1237">
        <v>247</v>
      </c>
      <c r="G278" s="1416" t="s">
        <v>1147</v>
      </c>
      <c r="H278" s="1416">
        <v>1.27</v>
      </c>
    </row>
    <row r="279" spans="2:8" ht="15" hidden="1" customHeight="1" x14ac:dyDescent="0.2">
      <c r="B279" s="1476">
        <v>38018</v>
      </c>
      <c r="C279" s="1474">
        <v>15</v>
      </c>
      <c r="D279" s="1475">
        <v>875</v>
      </c>
      <c r="E279" s="1415">
        <v>6570</v>
      </c>
      <c r="F279" s="1237">
        <v>365</v>
      </c>
      <c r="G279" s="1416" t="s">
        <v>1148</v>
      </c>
      <c r="H279" s="1416">
        <v>1.45</v>
      </c>
    </row>
    <row r="280" spans="2:8" ht="15" hidden="1" customHeight="1" x14ac:dyDescent="0.2">
      <c r="B280" s="1476">
        <v>38047</v>
      </c>
      <c r="C280" s="1474">
        <v>25</v>
      </c>
      <c r="D280" s="1475">
        <v>190</v>
      </c>
      <c r="E280" s="1415">
        <v>2405</v>
      </c>
      <c r="F280" s="1237">
        <v>93</v>
      </c>
      <c r="G280" s="1416" t="s">
        <v>1149</v>
      </c>
      <c r="H280" s="1416">
        <v>1</v>
      </c>
    </row>
    <row r="281" spans="2:8" ht="15" hidden="1" customHeight="1" x14ac:dyDescent="0.2">
      <c r="B281" s="1476">
        <v>38078</v>
      </c>
      <c r="C281" s="1474">
        <v>10</v>
      </c>
      <c r="D281" s="1475">
        <v>695</v>
      </c>
      <c r="E281" s="1415">
        <v>4911</v>
      </c>
      <c r="F281" s="1237">
        <v>163.69999999999999</v>
      </c>
      <c r="G281" s="1416" t="s">
        <v>1150</v>
      </c>
      <c r="H281" s="1416">
        <v>1.0026999999999999</v>
      </c>
    </row>
    <row r="282" spans="2:8" ht="15" hidden="1" customHeight="1" x14ac:dyDescent="0.2">
      <c r="B282" s="1476">
        <v>38108</v>
      </c>
      <c r="C282" s="1474">
        <v>10</v>
      </c>
      <c r="D282" s="1475">
        <v>350</v>
      </c>
      <c r="E282" s="1415">
        <v>2915</v>
      </c>
      <c r="F282" s="1237">
        <v>101</v>
      </c>
      <c r="G282" s="1416">
        <v>1</v>
      </c>
      <c r="H282" s="1416">
        <v>1</v>
      </c>
    </row>
    <row r="283" spans="2:8" ht="15" hidden="1" customHeight="1" x14ac:dyDescent="0.2">
      <c r="B283" s="1476">
        <v>38139</v>
      </c>
      <c r="C283" s="1474">
        <v>40</v>
      </c>
      <c r="D283" s="1475">
        <v>1100</v>
      </c>
      <c r="E283" s="1415">
        <v>7232</v>
      </c>
      <c r="F283" s="1237">
        <v>241.1</v>
      </c>
      <c r="G283" s="1416" t="s">
        <v>1151</v>
      </c>
      <c r="H283" s="1416">
        <v>1.02</v>
      </c>
    </row>
    <row r="284" spans="2:8" ht="15" hidden="1" customHeight="1" x14ac:dyDescent="0.2">
      <c r="B284" s="1476">
        <v>38169</v>
      </c>
      <c r="C284" s="1474">
        <v>40</v>
      </c>
      <c r="D284" s="1475">
        <v>375</v>
      </c>
      <c r="E284" s="1415">
        <v>5978</v>
      </c>
      <c r="F284" s="1237">
        <v>193</v>
      </c>
      <c r="G284" s="1416" t="s">
        <v>1152</v>
      </c>
      <c r="H284" s="1416">
        <v>1.07</v>
      </c>
    </row>
    <row r="285" spans="2:8" ht="15" hidden="1" customHeight="1" x14ac:dyDescent="0.2">
      <c r="B285" s="1476">
        <v>38200</v>
      </c>
      <c r="C285" s="1474">
        <v>20</v>
      </c>
      <c r="D285" s="1475">
        <v>870</v>
      </c>
      <c r="E285" s="1415">
        <v>11835</v>
      </c>
      <c r="F285" s="1237">
        <v>438.3</v>
      </c>
      <c r="G285" s="1416" t="s">
        <v>1153</v>
      </c>
      <c r="H285" s="1416">
        <v>1</v>
      </c>
    </row>
    <row r="286" spans="2:8" ht="15" hidden="1" customHeight="1" x14ac:dyDescent="0.2">
      <c r="B286" s="1476">
        <v>38231</v>
      </c>
      <c r="C286" s="1474">
        <v>200</v>
      </c>
      <c r="D286" s="1475">
        <v>1170</v>
      </c>
      <c r="E286" s="1415">
        <v>11979</v>
      </c>
      <c r="F286" s="1237">
        <v>444</v>
      </c>
      <c r="G286" s="1416" t="s">
        <v>1154</v>
      </c>
      <c r="H286" s="1416">
        <v>1</v>
      </c>
    </row>
    <row r="287" spans="2:8" ht="15" hidden="1" customHeight="1" x14ac:dyDescent="0.2">
      <c r="B287" s="1476">
        <v>38261</v>
      </c>
      <c r="C287" s="1474">
        <v>220</v>
      </c>
      <c r="D287" s="1475">
        <v>1090</v>
      </c>
      <c r="E287" s="1415">
        <v>19154</v>
      </c>
      <c r="F287" s="1237">
        <v>617.87</v>
      </c>
      <c r="G287" s="1416" t="s">
        <v>1147</v>
      </c>
      <c r="H287" s="1416">
        <v>1.35</v>
      </c>
    </row>
    <row r="288" spans="2:8" ht="15" hidden="1" customHeight="1" x14ac:dyDescent="0.2">
      <c r="B288" s="1476">
        <v>38292</v>
      </c>
      <c r="C288" s="1474">
        <v>8</v>
      </c>
      <c r="D288" s="1475">
        <v>715</v>
      </c>
      <c r="E288" s="1415">
        <v>4458</v>
      </c>
      <c r="F288" s="1237">
        <v>186</v>
      </c>
      <c r="G288" s="1416" t="s">
        <v>1155</v>
      </c>
      <c r="H288" s="1416">
        <v>3.51</v>
      </c>
    </row>
    <row r="289" spans="2:8" ht="15" hidden="1" customHeight="1" x14ac:dyDescent="0.2">
      <c r="B289" s="1476">
        <v>38322</v>
      </c>
      <c r="C289" s="1474">
        <v>30</v>
      </c>
      <c r="D289" s="1475">
        <v>860</v>
      </c>
      <c r="E289" s="1415">
        <v>10355</v>
      </c>
      <c r="F289" s="1237">
        <v>334.03</v>
      </c>
      <c r="G289" s="1416" t="s">
        <v>1155</v>
      </c>
      <c r="H289" s="1416">
        <v>1.69</v>
      </c>
    </row>
    <row r="290" spans="2:8" ht="15" hidden="1" customHeight="1" x14ac:dyDescent="0.2">
      <c r="B290" s="1476">
        <v>39083</v>
      </c>
      <c r="C290" s="1474">
        <v>90</v>
      </c>
      <c r="D290" s="1475">
        <v>888</v>
      </c>
      <c r="E290" s="1415">
        <v>12415</v>
      </c>
      <c r="F290" s="1237">
        <v>400.48</v>
      </c>
      <c r="G290" s="1443" t="s">
        <v>1177</v>
      </c>
      <c r="H290" s="1416">
        <v>8.41</v>
      </c>
    </row>
    <row r="291" spans="2:8" ht="15" hidden="1" customHeight="1" x14ac:dyDescent="0.2">
      <c r="B291" s="1476">
        <v>39114</v>
      </c>
      <c r="C291" s="1474">
        <v>80</v>
      </c>
      <c r="D291" s="1475">
        <v>680</v>
      </c>
      <c r="E291" s="1415">
        <v>7783</v>
      </c>
      <c r="F291" s="1237">
        <v>278</v>
      </c>
      <c r="G291" s="1416" t="s">
        <v>1177</v>
      </c>
      <c r="H291" s="1416">
        <v>8.6999999999999993</v>
      </c>
    </row>
    <row r="292" spans="2:8" ht="15" hidden="1" customHeight="1" x14ac:dyDescent="0.2">
      <c r="B292" s="1476">
        <v>39142</v>
      </c>
      <c r="C292" s="1474">
        <v>1</v>
      </c>
      <c r="D292" s="1475">
        <v>944</v>
      </c>
      <c r="E292" s="1415">
        <v>6495</v>
      </c>
      <c r="F292" s="1237">
        <v>231.96</v>
      </c>
      <c r="G292" s="1416" t="s">
        <v>1275</v>
      </c>
      <c r="H292" s="1416">
        <v>8.18</v>
      </c>
    </row>
    <row r="293" spans="2:8" ht="15" hidden="1" customHeight="1" x14ac:dyDescent="0.2">
      <c r="B293" s="1476">
        <v>39173</v>
      </c>
      <c r="C293" s="1477">
        <v>18</v>
      </c>
      <c r="D293" s="1478">
        <v>730</v>
      </c>
      <c r="E293" s="1415">
        <v>6620</v>
      </c>
      <c r="F293" s="1479">
        <v>220.65</v>
      </c>
      <c r="G293" s="1249" t="s">
        <v>1178</v>
      </c>
      <c r="H293" s="1416">
        <v>8.1</v>
      </c>
    </row>
    <row r="294" spans="2:8" ht="15" hidden="1" customHeight="1" x14ac:dyDescent="0.2">
      <c r="B294" s="1476">
        <v>39203</v>
      </c>
      <c r="C294" s="1477">
        <v>30</v>
      </c>
      <c r="D294" s="1478">
        <v>895</v>
      </c>
      <c r="E294" s="1415">
        <v>11016.5</v>
      </c>
      <c r="F294" s="1479">
        <v>355.37</v>
      </c>
      <c r="G294" s="1249" t="s">
        <v>1177</v>
      </c>
      <c r="H294" s="1416">
        <v>8.3699999999999992</v>
      </c>
    </row>
    <row r="295" spans="2:8" ht="15" hidden="1" customHeight="1" x14ac:dyDescent="0.2">
      <c r="B295" s="1476">
        <v>39240</v>
      </c>
      <c r="C295" s="1477">
        <v>25</v>
      </c>
      <c r="D295" s="1478">
        <v>430</v>
      </c>
      <c r="E295" s="1415">
        <v>5366</v>
      </c>
      <c r="F295" s="1479">
        <v>185</v>
      </c>
      <c r="G295" s="1249" t="s">
        <v>1275</v>
      </c>
      <c r="H295" s="1416">
        <v>8.11</v>
      </c>
    </row>
    <row r="296" spans="2:8" ht="15" hidden="1" customHeight="1" x14ac:dyDescent="0.2">
      <c r="B296" s="1476">
        <v>39270</v>
      </c>
      <c r="C296" s="1477">
        <v>35</v>
      </c>
      <c r="D296" s="1478">
        <v>710</v>
      </c>
      <c r="E296" s="1415">
        <v>8364</v>
      </c>
      <c r="F296" s="1479">
        <v>279</v>
      </c>
      <c r="G296" s="1249" t="s">
        <v>1177</v>
      </c>
      <c r="H296" s="1416">
        <v>8.7200000000000006</v>
      </c>
    </row>
    <row r="297" spans="2:8" ht="15" hidden="1" customHeight="1" x14ac:dyDescent="0.2">
      <c r="B297" s="1476">
        <v>39301</v>
      </c>
      <c r="C297" s="1477">
        <v>102</v>
      </c>
      <c r="D297" s="1480">
        <v>1210</v>
      </c>
      <c r="E297" s="1415">
        <v>13418</v>
      </c>
      <c r="F297" s="1479">
        <v>462.69</v>
      </c>
      <c r="G297" s="1249" t="s">
        <v>1276</v>
      </c>
      <c r="H297" s="1416">
        <v>8.76</v>
      </c>
    </row>
    <row r="298" spans="2:8" ht="15" hidden="1" customHeight="1" x14ac:dyDescent="0.2">
      <c r="B298" s="1476">
        <v>39332</v>
      </c>
      <c r="C298" s="1477">
        <v>80</v>
      </c>
      <c r="D298" s="1478">
        <v>955</v>
      </c>
      <c r="E298" s="1415">
        <v>13447</v>
      </c>
      <c r="F298" s="1479">
        <v>464</v>
      </c>
      <c r="G298" s="1249" t="s">
        <v>1277</v>
      </c>
      <c r="H298" s="1416">
        <v>8.8699999999999992</v>
      </c>
    </row>
    <row r="299" spans="2:8" ht="15" hidden="1" customHeight="1" x14ac:dyDescent="0.2">
      <c r="B299" s="1476">
        <v>39362</v>
      </c>
      <c r="C299" s="1474">
        <v>9</v>
      </c>
      <c r="D299" s="1475">
        <v>380</v>
      </c>
      <c r="E299" s="1415">
        <v>3029</v>
      </c>
      <c r="F299" s="1237">
        <v>104</v>
      </c>
      <c r="G299" s="1249" t="s">
        <v>1278</v>
      </c>
      <c r="H299" s="1416">
        <v>8.84</v>
      </c>
    </row>
    <row r="300" spans="2:8" ht="15" hidden="1" customHeight="1" x14ac:dyDescent="0.2">
      <c r="B300" s="1476">
        <v>39393</v>
      </c>
      <c r="C300" s="1474">
        <v>15</v>
      </c>
      <c r="D300" s="1475">
        <v>765</v>
      </c>
      <c r="E300" s="1415">
        <v>5220</v>
      </c>
      <c r="F300" s="1237">
        <v>209</v>
      </c>
      <c r="G300" s="1249" t="s">
        <v>1279</v>
      </c>
      <c r="H300" s="1416">
        <v>8.4700000000000006</v>
      </c>
    </row>
    <row r="301" spans="2:8" ht="15" hidden="1" customHeight="1" x14ac:dyDescent="0.2">
      <c r="B301" s="1473">
        <v>39423</v>
      </c>
      <c r="C301" s="1474">
        <v>20</v>
      </c>
      <c r="D301" s="1475">
        <v>500</v>
      </c>
      <c r="E301" s="1415">
        <v>4350</v>
      </c>
      <c r="F301" s="1237">
        <v>207</v>
      </c>
      <c r="G301" s="1249" t="s">
        <v>1279</v>
      </c>
      <c r="H301" s="1416">
        <v>8.6300000000000008</v>
      </c>
    </row>
    <row r="302" spans="2:8" ht="15" hidden="1" customHeight="1" x14ac:dyDescent="0.2">
      <c r="B302" s="1473">
        <v>39454</v>
      </c>
      <c r="C302" s="1474">
        <v>10</v>
      </c>
      <c r="D302" s="1475">
        <v>494</v>
      </c>
      <c r="E302" s="1415">
        <v>2734</v>
      </c>
      <c r="F302" s="1237">
        <v>124.3</v>
      </c>
      <c r="G302" s="1249" t="s">
        <v>1275</v>
      </c>
      <c r="H302" s="1416">
        <v>8.2100000000000009</v>
      </c>
    </row>
    <row r="303" spans="2:8" ht="15" hidden="1" customHeight="1" x14ac:dyDescent="0.2">
      <c r="B303" s="1473">
        <v>39485</v>
      </c>
      <c r="C303" s="1474">
        <v>50</v>
      </c>
      <c r="D303" s="1475">
        <v>685</v>
      </c>
      <c r="E303" s="1415">
        <v>11547</v>
      </c>
      <c r="F303" s="1237">
        <v>398</v>
      </c>
      <c r="G303" s="1249" t="s">
        <v>1185</v>
      </c>
      <c r="H303" s="1416">
        <v>8.0299999999999994</v>
      </c>
    </row>
    <row r="304" spans="2:8" ht="15" hidden="1" customHeight="1" x14ac:dyDescent="0.2">
      <c r="B304" s="1473">
        <v>39514</v>
      </c>
      <c r="C304" s="1474">
        <v>20</v>
      </c>
      <c r="D304" s="1475">
        <v>845</v>
      </c>
      <c r="E304" s="1415">
        <v>7775</v>
      </c>
      <c r="F304" s="1237">
        <v>388.75</v>
      </c>
      <c r="G304" s="1249" t="s">
        <v>1280</v>
      </c>
      <c r="H304" s="1416">
        <v>7.36</v>
      </c>
    </row>
    <row r="305" spans="2:8" ht="15" hidden="1" customHeight="1" x14ac:dyDescent="0.2">
      <c r="B305" s="1473">
        <v>39545</v>
      </c>
      <c r="C305" s="1474">
        <v>25</v>
      </c>
      <c r="D305" s="1475">
        <v>650</v>
      </c>
      <c r="E305" s="1415">
        <v>2825</v>
      </c>
      <c r="F305" s="1237">
        <v>113</v>
      </c>
      <c r="G305" s="1249" t="s">
        <v>1281</v>
      </c>
      <c r="H305" s="1416">
        <v>6.79</v>
      </c>
    </row>
    <row r="306" spans="2:8" ht="15" hidden="1" customHeight="1" x14ac:dyDescent="0.2">
      <c r="B306" s="1473">
        <v>39575</v>
      </c>
      <c r="C306" s="1474">
        <v>45</v>
      </c>
      <c r="D306" s="1475">
        <v>650</v>
      </c>
      <c r="E306" s="1415">
        <v>8081</v>
      </c>
      <c r="F306" s="1237">
        <v>279</v>
      </c>
      <c r="G306" s="1249" t="s">
        <v>1282</v>
      </c>
      <c r="H306" s="1416">
        <v>6.56</v>
      </c>
    </row>
    <row r="307" spans="2:8" ht="15" hidden="1" customHeight="1" x14ac:dyDescent="0.2">
      <c r="B307" s="1473">
        <v>39606</v>
      </c>
      <c r="C307" s="1474">
        <v>27</v>
      </c>
      <c r="D307" s="1475">
        <v>815</v>
      </c>
      <c r="E307" s="1415">
        <v>6878</v>
      </c>
      <c r="F307" s="1237">
        <v>229.27</v>
      </c>
      <c r="G307" s="1249" t="s">
        <v>1283</v>
      </c>
      <c r="H307" s="1416">
        <v>6.43</v>
      </c>
    </row>
    <row r="308" spans="2:8" ht="15" hidden="1" customHeight="1" x14ac:dyDescent="0.2">
      <c r="B308" s="1473">
        <v>39636</v>
      </c>
      <c r="C308" s="1474">
        <v>50</v>
      </c>
      <c r="D308" s="1475">
        <v>1110</v>
      </c>
      <c r="E308" s="1415">
        <v>7742</v>
      </c>
      <c r="F308" s="1237">
        <v>266.97000000000003</v>
      </c>
      <c r="G308" s="1249" t="s">
        <v>1284</v>
      </c>
      <c r="H308" s="1416">
        <v>6.48</v>
      </c>
    </row>
    <row r="309" spans="2:8" ht="15" hidden="1" customHeight="1" x14ac:dyDescent="0.2">
      <c r="B309" s="1473">
        <v>39667</v>
      </c>
      <c r="C309" s="1474">
        <v>15</v>
      </c>
      <c r="D309" s="1475">
        <v>960</v>
      </c>
      <c r="E309" s="1415">
        <v>6627</v>
      </c>
      <c r="F309" s="1237">
        <v>229</v>
      </c>
      <c r="G309" s="1249" t="s">
        <v>1127</v>
      </c>
      <c r="H309" s="1416">
        <v>6.71</v>
      </c>
    </row>
    <row r="310" spans="2:8" ht="15" hidden="1" customHeight="1" x14ac:dyDescent="0.2">
      <c r="B310" s="1473">
        <v>39698</v>
      </c>
      <c r="C310" s="1474">
        <v>70</v>
      </c>
      <c r="D310" s="1475">
        <v>1170</v>
      </c>
      <c r="E310" s="1415">
        <v>16415</v>
      </c>
      <c r="F310" s="1237">
        <v>547.20000000000005</v>
      </c>
      <c r="G310" s="1249" t="s">
        <v>1285</v>
      </c>
      <c r="H310" s="1416">
        <v>8.7899999999999991</v>
      </c>
    </row>
    <row r="311" spans="2:8" ht="15" hidden="1" customHeight="1" x14ac:dyDescent="0.2">
      <c r="B311" s="1473">
        <v>39728</v>
      </c>
      <c r="C311" s="1474">
        <v>30</v>
      </c>
      <c r="D311" s="1475">
        <v>1130</v>
      </c>
      <c r="E311" s="1415">
        <v>12280</v>
      </c>
      <c r="F311" s="1237">
        <v>396.13</v>
      </c>
      <c r="G311" s="1249" t="s">
        <v>1286</v>
      </c>
      <c r="H311" s="1416">
        <v>8.76</v>
      </c>
    </row>
    <row r="312" spans="2:8" ht="15" hidden="1" customHeight="1" x14ac:dyDescent="0.2">
      <c r="B312" s="1473">
        <v>39759</v>
      </c>
      <c r="C312" s="1474">
        <v>40</v>
      </c>
      <c r="D312" s="1475">
        <v>425</v>
      </c>
      <c r="E312" s="1415">
        <v>5215</v>
      </c>
      <c r="F312" s="1237">
        <v>173.83</v>
      </c>
      <c r="G312" s="1249" t="s">
        <v>1287</v>
      </c>
      <c r="H312" s="1416">
        <v>8.8699999999999992</v>
      </c>
    </row>
    <row r="313" spans="2:8" ht="15" hidden="1" customHeight="1" x14ac:dyDescent="0.2">
      <c r="B313" s="1481">
        <v>39789</v>
      </c>
      <c r="C313" s="1482">
        <v>15</v>
      </c>
      <c r="D313" s="1483">
        <v>1545</v>
      </c>
      <c r="E313" s="1415">
        <v>11281</v>
      </c>
      <c r="F313" s="1237">
        <v>402.89</v>
      </c>
      <c r="G313" s="1249" t="s">
        <v>1193</v>
      </c>
      <c r="H313" s="1416">
        <v>7.23</v>
      </c>
    </row>
    <row r="314" spans="2:8" ht="15" hidden="1" customHeight="1" x14ac:dyDescent="0.2">
      <c r="B314" s="1436">
        <v>39820</v>
      </c>
      <c r="C314" s="1437">
        <v>10</v>
      </c>
      <c r="D314" s="1237">
        <v>1325</v>
      </c>
      <c r="E314" s="1415">
        <v>9211</v>
      </c>
      <c r="F314" s="1237">
        <v>297.13</v>
      </c>
      <c r="G314" s="1249" t="s">
        <v>1288</v>
      </c>
      <c r="H314" s="1416">
        <v>6.53</v>
      </c>
    </row>
    <row r="315" spans="2:8" ht="15" hidden="1" customHeight="1" x14ac:dyDescent="0.2">
      <c r="B315" s="1436">
        <v>39851</v>
      </c>
      <c r="C315" s="1437">
        <v>30</v>
      </c>
      <c r="D315" s="1237">
        <v>567</v>
      </c>
      <c r="E315" s="1415">
        <v>5759.5</v>
      </c>
      <c r="F315" s="1237">
        <v>221.52</v>
      </c>
      <c r="G315" s="1249" t="s">
        <v>1289</v>
      </c>
      <c r="H315" s="1416">
        <v>6.17</v>
      </c>
    </row>
    <row r="316" spans="2:8" ht="15" hidden="1" customHeight="1" x14ac:dyDescent="0.2">
      <c r="B316" s="1436">
        <v>39879</v>
      </c>
      <c r="C316" s="1437">
        <v>15</v>
      </c>
      <c r="D316" s="1237">
        <v>500</v>
      </c>
      <c r="E316" s="1415">
        <v>6110</v>
      </c>
      <c r="F316" s="1237">
        <v>265.64999999999998</v>
      </c>
      <c r="G316" s="1249" t="s">
        <v>1290</v>
      </c>
      <c r="H316" s="1416">
        <v>5.68</v>
      </c>
    </row>
    <row r="317" spans="2:8" ht="15" hidden="1" customHeight="1" x14ac:dyDescent="0.2">
      <c r="B317" s="1436">
        <v>39910</v>
      </c>
      <c r="C317" s="1437">
        <v>10</v>
      </c>
      <c r="D317" s="1237">
        <v>600</v>
      </c>
      <c r="E317" s="1415">
        <v>3759.5</v>
      </c>
      <c r="F317" s="1237">
        <v>139.24</v>
      </c>
      <c r="G317" s="1249" t="s">
        <v>1291</v>
      </c>
      <c r="H317" s="1416">
        <v>4.49</v>
      </c>
    </row>
    <row r="318" spans="2:8" ht="15" hidden="1" customHeight="1" x14ac:dyDescent="0.2">
      <c r="B318" s="1436">
        <v>39940</v>
      </c>
      <c r="C318" s="1437">
        <v>15</v>
      </c>
      <c r="D318" s="1237">
        <v>690</v>
      </c>
      <c r="E318" s="1415">
        <v>5517</v>
      </c>
      <c r="F318" s="1237">
        <v>197</v>
      </c>
      <c r="G318" s="1249" t="s">
        <v>1292</v>
      </c>
      <c r="H318" s="1416">
        <v>4.4400000000000004</v>
      </c>
    </row>
    <row r="319" spans="2:8" ht="15" hidden="1" customHeight="1" x14ac:dyDescent="0.2">
      <c r="B319" s="1436">
        <v>39971</v>
      </c>
      <c r="C319" s="1437">
        <v>40</v>
      </c>
      <c r="D319" s="1237">
        <v>965</v>
      </c>
      <c r="E319" s="1415">
        <v>9240</v>
      </c>
      <c r="F319" s="1237">
        <v>308</v>
      </c>
      <c r="G319" s="1249" t="s">
        <v>1293</v>
      </c>
      <c r="H319" s="1416">
        <v>4.21</v>
      </c>
    </row>
    <row r="320" spans="2:8" ht="15" hidden="1" customHeight="1" x14ac:dyDescent="0.2">
      <c r="B320" s="1436">
        <v>40001</v>
      </c>
      <c r="C320" s="1437">
        <v>10</v>
      </c>
      <c r="D320" s="1237">
        <v>840</v>
      </c>
      <c r="E320" s="1415">
        <v>8734</v>
      </c>
      <c r="F320" s="1237">
        <v>301.17</v>
      </c>
      <c r="G320" s="1249" t="s">
        <v>1294</v>
      </c>
      <c r="H320" s="1416">
        <v>4.01</v>
      </c>
    </row>
    <row r="321" spans="2:9" ht="15" hidden="1" customHeight="1" x14ac:dyDescent="0.2">
      <c r="B321" s="1436">
        <v>40032</v>
      </c>
      <c r="C321" s="1437">
        <v>45</v>
      </c>
      <c r="D321" s="1237">
        <v>740</v>
      </c>
      <c r="E321" s="1415">
        <v>7939</v>
      </c>
      <c r="F321" s="1237">
        <v>305.35000000000002</v>
      </c>
      <c r="G321" s="1249" t="s">
        <v>1295</v>
      </c>
      <c r="H321" s="1416">
        <v>4</v>
      </c>
    </row>
    <row r="322" spans="2:9" ht="15" hidden="1" customHeight="1" x14ac:dyDescent="0.2">
      <c r="B322" s="1436">
        <v>40063</v>
      </c>
      <c r="C322" s="1437">
        <v>30</v>
      </c>
      <c r="D322" s="1237">
        <v>685</v>
      </c>
      <c r="E322" s="1415">
        <v>10975</v>
      </c>
      <c r="F322" s="1237">
        <v>378</v>
      </c>
      <c r="G322" s="1249" t="s">
        <v>1296</v>
      </c>
      <c r="H322" s="1416">
        <v>4.01</v>
      </c>
    </row>
    <row r="323" spans="2:9" ht="15" hidden="1" customHeight="1" x14ac:dyDescent="0.2">
      <c r="B323" s="1436">
        <v>40093</v>
      </c>
      <c r="C323" s="1437">
        <v>50</v>
      </c>
      <c r="D323" s="1237">
        <v>1055</v>
      </c>
      <c r="E323" s="1415">
        <v>12300</v>
      </c>
      <c r="F323" s="1237">
        <v>396.77</v>
      </c>
      <c r="G323" s="1249" t="s">
        <v>1297</v>
      </c>
      <c r="H323" s="1416">
        <v>4</v>
      </c>
    </row>
    <row r="324" spans="2:9" ht="15" hidden="1" customHeight="1" x14ac:dyDescent="0.2">
      <c r="B324" s="1436">
        <v>40124</v>
      </c>
      <c r="C324" s="1437">
        <v>25</v>
      </c>
      <c r="D324" s="1237">
        <v>850</v>
      </c>
      <c r="E324" s="1415">
        <v>6765</v>
      </c>
      <c r="F324" s="1237">
        <v>241.61</v>
      </c>
      <c r="G324" s="1249" t="s">
        <v>1298</v>
      </c>
      <c r="H324" s="1416">
        <v>3.97</v>
      </c>
    </row>
    <row r="325" spans="2:9" ht="15" hidden="1" customHeight="1" x14ac:dyDescent="0.2">
      <c r="B325" s="1436">
        <v>40154</v>
      </c>
      <c r="C325" s="1437">
        <v>25</v>
      </c>
      <c r="D325" s="1237">
        <v>1409.5</v>
      </c>
      <c r="E325" s="1415">
        <v>9239.5</v>
      </c>
      <c r="F325" s="1237">
        <v>307.98</v>
      </c>
      <c r="G325" s="1249" t="s">
        <v>1200</v>
      </c>
      <c r="H325" s="1416">
        <v>4.08</v>
      </c>
    </row>
    <row r="326" spans="2:9" ht="15" hidden="1" customHeight="1" x14ac:dyDescent="0.2">
      <c r="B326" s="1436">
        <v>40185</v>
      </c>
      <c r="C326" s="1437">
        <v>15</v>
      </c>
      <c r="D326" s="1237">
        <v>1225</v>
      </c>
      <c r="E326" s="1415">
        <v>8920</v>
      </c>
      <c r="F326" s="1237">
        <v>343.08</v>
      </c>
      <c r="G326" s="1249" t="s">
        <v>1299</v>
      </c>
      <c r="H326" s="1416">
        <v>3.96</v>
      </c>
    </row>
    <row r="327" spans="2:9" ht="15" hidden="1" customHeight="1" x14ac:dyDescent="0.2">
      <c r="B327" s="1436">
        <v>40216</v>
      </c>
      <c r="C327" s="1437">
        <v>164</v>
      </c>
      <c r="D327" s="1237">
        <v>1225</v>
      </c>
      <c r="E327" s="1415">
        <v>12568</v>
      </c>
      <c r="F327" s="1237">
        <v>502.72</v>
      </c>
      <c r="G327" s="1249" t="s">
        <v>1300</v>
      </c>
      <c r="H327" s="1416">
        <v>3.89</v>
      </c>
    </row>
    <row r="328" spans="2:9" ht="15" hidden="1" customHeight="1" x14ac:dyDescent="0.2">
      <c r="B328" s="1436">
        <v>40244</v>
      </c>
      <c r="C328" s="1437">
        <v>5</v>
      </c>
      <c r="D328" s="1237">
        <v>750</v>
      </c>
      <c r="E328" s="1415">
        <v>3153</v>
      </c>
      <c r="F328" s="1237">
        <v>210.2</v>
      </c>
      <c r="G328" s="1249" t="s">
        <v>1301</v>
      </c>
      <c r="H328" s="1416">
        <v>3.8</v>
      </c>
    </row>
    <row r="329" spans="2:9" ht="15" hidden="1" customHeight="1" x14ac:dyDescent="0.2">
      <c r="B329" s="1436">
        <v>40275</v>
      </c>
      <c r="C329" s="1437">
        <v>45</v>
      </c>
      <c r="D329" s="1237">
        <v>580</v>
      </c>
      <c r="E329" s="1415">
        <v>6465</v>
      </c>
      <c r="F329" s="1237">
        <v>281.08999999999997</v>
      </c>
      <c r="G329" s="1249" t="s">
        <v>1302</v>
      </c>
      <c r="H329" s="1416">
        <v>3.9</v>
      </c>
    </row>
    <row r="330" spans="2:9" ht="15" hidden="1" customHeight="1" x14ac:dyDescent="0.2">
      <c r="B330" s="1436">
        <v>40305</v>
      </c>
      <c r="C330" s="1437">
        <v>50</v>
      </c>
      <c r="D330" s="1237">
        <v>895</v>
      </c>
      <c r="E330" s="1415">
        <v>8285</v>
      </c>
      <c r="F330" s="1237">
        <v>285.69</v>
      </c>
      <c r="G330" s="1416" t="s">
        <v>1303</v>
      </c>
      <c r="H330" s="1416">
        <v>3.69</v>
      </c>
      <c r="I330" s="1484"/>
    </row>
    <row r="331" spans="2:9" ht="15" hidden="1" customHeight="1" x14ac:dyDescent="0.2">
      <c r="B331" s="1436">
        <v>40336</v>
      </c>
      <c r="C331" s="1437">
        <v>15</v>
      </c>
      <c r="D331" s="1237">
        <v>1245</v>
      </c>
      <c r="E331" s="1415">
        <v>6730</v>
      </c>
      <c r="F331" s="1237">
        <v>336.5</v>
      </c>
      <c r="G331" s="1416" t="s">
        <v>987</v>
      </c>
      <c r="H331" s="1416">
        <v>3.26</v>
      </c>
      <c r="I331" s="1485"/>
    </row>
    <row r="332" spans="2:9" ht="15" hidden="1" customHeight="1" x14ac:dyDescent="0.2">
      <c r="B332" s="1436">
        <v>40366</v>
      </c>
      <c r="C332" s="1437">
        <v>5</v>
      </c>
      <c r="D332" s="1237">
        <v>1075</v>
      </c>
      <c r="E332" s="1415">
        <v>6536</v>
      </c>
      <c r="F332" s="1237">
        <v>217.87</v>
      </c>
      <c r="G332" s="1416" t="s">
        <v>1207</v>
      </c>
      <c r="H332" s="1416">
        <v>3.41</v>
      </c>
      <c r="I332" s="1485"/>
    </row>
    <row r="333" spans="2:9" ht="15" hidden="1" customHeight="1" x14ac:dyDescent="0.2">
      <c r="B333" s="1436">
        <v>40397</v>
      </c>
      <c r="C333" s="1437">
        <v>15</v>
      </c>
      <c r="D333" s="1237">
        <v>360</v>
      </c>
      <c r="E333" s="1415">
        <v>2422</v>
      </c>
      <c r="F333" s="1237">
        <v>100.92</v>
      </c>
      <c r="G333" s="1416" t="s">
        <v>1208</v>
      </c>
      <c r="H333" s="1416">
        <v>2.52</v>
      </c>
      <c r="I333" s="1485"/>
    </row>
    <row r="334" spans="2:9" ht="15" hidden="1" customHeight="1" x14ac:dyDescent="0.2">
      <c r="B334" s="1436">
        <v>40428</v>
      </c>
      <c r="C334" s="1437">
        <v>50</v>
      </c>
      <c r="D334" s="1237">
        <v>385</v>
      </c>
      <c r="E334" s="1415">
        <v>5570</v>
      </c>
      <c r="F334" s="1237">
        <v>206</v>
      </c>
      <c r="G334" s="1416" t="s">
        <v>1304</v>
      </c>
      <c r="H334" s="1416">
        <v>2.04</v>
      </c>
      <c r="I334" s="1485"/>
    </row>
    <row r="335" spans="2:9" ht="15" hidden="1" customHeight="1" x14ac:dyDescent="0.2">
      <c r="B335" s="1436">
        <v>40458</v>
      </c>
      <c r="C335" s="1437">
        <v>15</v>
      </c>
      <c r="D335" s="1237">
        <v>585</v>
      </c>
      <c r="E335" s="1415">
        <v>9410</v>
      </c>
      <c r="F335" s="1237">
        <v>313.67</v>
      </c>
      <c r="G335" s="1416" t="s">
        <v>1305</v>
      </c>
      <c r="H335" s="1416">
        <v>2.23</v>
      </c>
      <c r="I335" s="1485"/>
    </row>
    <row r="336" spans="2:9" ht="15" hidden="1" customHeight="1" x14ac:dyDescent="0.2">
      <c r="B336" s="1436">
        <v>40489</v>
      </c>
      <c r="C336" s="1437">
        <v>157</v>
      </c>
      <c r="D336" s="1237">
        <v>730</v>
      </c>
      <c r="E336" s="1415">
        <v>9921</v>
      </c>
      <c r="F336" s="1237">
        <v>330.7</v>
      </c>
      <c r="G336" s="1416" t="s">
        <v>1209</v>
      </c>
      <c r="H336" s="1416">
        <v>2.17</v>
      </c>
      <c r="I336" s="1485"/>
    </row>
    <row r="337" spans="2:9" ht="15" hidden="1" customHeight="1" x14ac:dyDescent="0.2">
      <c r="B337" s="1436">
        <v>40519</v>
      </c>
      <c r="C337" s="1437">
        <v>185</v>
      </c>
      <c r="D337" s="1237">
        <v>692</v>
      </c>
      <c r="E337" s="1415">
        <v>13025</v>
      </c>
      <c r="F337" s="1237">
        <v>420.16</v>
      </c>
      <c r="G337" s="1416" t="s">
        <v>1306</v>
      </c>
      <c r="H337" s="1416">
        <v>1.99</v>
      </c>
      <c r="I337" s="1485"/>
    </row>
    <row r="338" spans="2:9" ht="15" hidden="1" customHeight="1" x14ac:dyDescent="0.2">
      <c r="B338" s="1436">
        <v>40550</v>
      </c>
      <c r="C338" s="1437">
        <v>170</v>
      </c>
      <c r="D338" s="1237">
        <v>520</v>
      </c>
      <c r="E338" s="1415">
        <v>9505</v>
      </c>
      <c r="F338" s="1237">
        <v>306.61</v>
      </c>
      <c r="G338" s="1416" t="s">
        <v>1307</v>
      </c>
      <c r="H338" s="1416">
        <v>1.93</v>
      </c>
      <c r="I338" s="1485"/>
    </row>
    <row r="339" spans="2:9" ht="15" hidden="1" customHeight="1" x14ac:dyDescent="0.2">
      <c r="B339" s="1436">
        <v>40581</v>
      </c>
      <c r="C339" s="1437">
        <v>30</v>
      </c>
      <c r="D339" s="1237">
        <v>325</v>
      </c>
      <c r="E339" s="1415">
        <v>2755</v>
      </c>
      <c r="F339" s="1237">
        <v>162.06</v>
      </c>
      <c r="G339" s="1416" t="s">
        <v>1308</v>
      </c>
      <c r="H339" s="1416">
        <v>1.75</v>
      </c>
      <c r="I339" s="1485"/>
    </row>
    <row r="340" spans="2:9" ht="15" hidden="1" customHeight="1" x14ac:dyDescent="0.2">
      <c r="B340" s="1436">
        <v>40609</v>
      </c>
      <c r="C340" s="1437">
        <v>10</v>
      </c>
      <c r="D340" s="1237">
        <v>940</v>
      </c>
      <c r="E340" s="1415">
        <v>5445</v>
      </c>
      <c r="F340" s="1237">
        <v>217.8</v>
      </c>
      <c r="G340" s="1416" t="s">
        <v>1309</v>
      </c>
      <c r="H340" s="1416">
        <v>1.61</v>
      </c>
      <c r="I340" s="1485"/>
    </row>
    <row r="341" spans="2:9" ht="15" hidden="1" customHeight="1" x14ac:dyDescent="0.2">
      <c r="B341" s="1436">
        <v>40640</v>
      </c>
      <c r="C341" s="1437">
        <v>320</v>
      </c>
      <c r="D341" s="1237">
        <v>1900</v>
      </c>
      <c r="E341" s="1415">
        <v>37173</v>
      </c>
      <c r="F341" s="1237">
        <v>1239</v>
      </c>
      <c r="G341" s="1416" t="s">
        <v>1310</v>
      </c>
      <c r="H341" s="1416">
        <v>1.5</v>
      </c>
      <c r="I341" s="1485"/>
    </row>
    <row r="342" spans="2:9" ht="15" hidden="1" customHeight="1" x14ac:dyDescent="0.2">
      <c r="B342" s="1436">
        <v>40670</v>
      </c>
      <c r="C342" s="1437">
        <v>100</v>
      </c>
      <c r="D342" s="1237">
        <v>1279</v>
      </c>
      <c r="E342" s="1415">
        <v>17494</v>
      </c>
      <c r="F342" s="1237">
        <v>647.92999999999995</v>
      </c>
      <c r="G342" s="1416" t="s">
        <v>1216</v>
      </c>
      <c r="H342" s="1416">
        <v>1.37</v>
      </c>
      <c r="I342" s="1485"/>
    </row>
    <row r="343" spans="2:9" ht="15" hidden="1" customHeight="1" x14ac:dyDescent="0.2">
      <c r="B343" s="1436">
        <v>40701</v>
      </c>
      <c r="C343" s="1437">
        <v>50</v>
      </c>
      <c r="D343" s="1237">
        <v>975</v>
      </c>
      <c r="E343" s="1415">
        <v>6367</v>
      </c>
      <c r="F343" s="1237">
        <v>397.94</v>
      </c>
      <c r="G343" s="1416" t="s">
        <v>1311</v>
      </c>
      <c r="H343" s="1416">
        <v>2.66</v>
      </c>
      <c r="I343" s="1485"/>
    </row>
    <row r="344" spans="2:9" ht="15" hidden="1" customHeight="1" x14ac:dyDescent="0.2">
      <c r="B344" s="1436">
        <v>40731</v>
      </c>
      <c r="C344" s="1437">
        <v>290</v>
      </c>
      <c r="D344" s="1237">
        <v>1300</v>
      </c>
      <c r="E344" s="1415">
        <v>23100</v>
      </c>
      <c r="F344" s="1237">
        <v>796.55</v>
      </c>
      <c r="G344" s="1416" t="s">
        <v>1218</v>
      </c>
      <c r="H344" s="1416">
        <v>1.86</v>
      </c>
      <c r="I344" s="1485"/>
    </row>
    <row r="345" spans="2:9" ht="15" hidden="1" customHeight="1" x14ac:dyDescent="0.2">
      <c r="B345" s="1436">
        <v>40762</v>
      </c>
      <c r="C345" s="1437">
        <v>25</v>
      </c>
      <c r="D345" s="1237">
        <v>1645</v>
      </c>
      <c r="E345" s="1415">
        <v>26465</v>
      </c>
      <c r="F345" s="1237">
        <v>882.17</v>
      </c>
      <c r="G345" s="1416" t="s">
        <v>1219</v>
      </c>
      <c r="H345" s="1416">
        <v>3.48</v>
      </c>
      <c r="I345" s="1485"/>
    </row>
    <row r="346" spans="2:9" ht="15" hidden="1" customHeight="1" x14ac:dyDescent="0.2">
      <c r="B346" s="1436">
        <v>40793</v>
      </c>
      <c r="C346" s="1437">
        <v>40</v>
      </c>
      <c r="D346" s="1237">
        <v>1360</v>
      </c>
      <c r="E346" s="1415">
        <v>11395</v>
      </c>
      <c r="F346" s="1237">
        <v>474.8</v>
      </c>
      <c r="G346" s="1416" t="s">
        <v>1312</v>
      </c>
      <c r="H346" s="1416">
        <v>3.06</v>
      </c>
      <c r="I346" s="1485"/>
    </row>
    <row r="347" spans="2:9" ht="15" hidden="1" customHeight="1" x14ac:dyDescent="0.2">
      <c r="B347" s="1436">
        <v>40823</v>
      </c>
      <c r="C347" s="1437">
        <v>100</v>
      </c>
      <c r="D347" s="1237">
        <v>1680</v>
      </c>
      <c r="E347" s="1415">
        <v>27435</v>
      </c>
      <c r="F347" s="1237">
        <v>885</v>
      </c>
      <c r="G347" s="1416" t="s">
        <v>1313</v>
      </c>
      <c r="H347" s="1416">
        <v>2.5499999999999998</v>
      </c>
      <c r="I347" s="1485"/>
    </row>
    <row r="348" spans="2:9" ht="15" hidden="1" customHeight="1" x14ac:dyDescent="0.2">
      <c r="B348" s="1436">
        <v>40854</v>
      </c>
      <c r="C348" s="1437">
        <v>50</v>
      </c>
      <c r="D348" s="1237">
        <v>2045</v>
      </c>
      <c r="E348" s="1415">
        <v>34454</v>
      </c>
      <c r="F348" s="1237">
        <v>1148</v>
      </c>
      <c r="G348" s="1416" t="s">
        <v>1164</v>
      </c>
      <c r="H348" s="1416">
        <v>2.85</v>
      </c>
      <c r="I348" s="1485"/>
    </row>
    <row r="349" spans="2:9" ht="15" hidden="1" customHeight="1" x14ac:dyDescent="0.2">
      <c r="B349" s="1436">
        <v>40884</v>
      </c>
      <c r="C349" s="1437">
        <v>30</v>
      </c>
      <c r="D349" s="1237">
        <v>2125</v>
      </c>
      <c r="E349" s="1415">
        <v>29645</v>
      </c>
      <c r="F349" s="1237">
        <v>1140.19</v>
      </c>
      <c r="G349" s="1416" t="s">
        <v>1222</v>
      </c>
      <c r="H349" s="1416">
        <v>3.31</v>
      </c>
      <c r="I349" s="1485"/>
    </row>
    <row r="350" spans="2:9" ht="15" hidden="1" customHeight="1" x14ac:dyDescent="0.2">
      <c r="B350" s="1436">
        <v>40915</v>
      </c>
      <c r="C350" s="1437">
        <v>110</v>
      </c>
      <c r="D350" s="1237">
        <v>1065</v>
      </c>
      <c r="E350" s="1415">
        <v>10195</v>
      </c>
      <c r="F350" s="1237">
        <v>407.8</v>
      </c>
      <c r="G350" s="1416" t="s">
        <v>1223</v>
      </c>
      <c r="H350" s="1416">
        <v>2.4</v>
      </c>
      <c r="I350" s="1485"/>
    </row>
    <row r="351" spans="2:9" ht="15" hidden="1" customHeight="1" x14ac:dyDescent="0.2">
      <c r="B351" s="1436">
        <v>40946</v>
      </c>
      <c r="C351" s="1437">
        <v>45</v>
      </c>
      <c r="D351" s="1237">
        <v>1350</v>
      </c>
      <c r="E351" s="1415">
        <v>15885</v>
      </c>
      <c r="F351" s="1237">
        <v>547.76</v>
      </c>
      <c r="G351" s="1416" t="s">
        <v>1223</v>
      </c>
      <c r="H351" s="1416">
        <v>2.3199999999999998</v>
      </c>
      <c r="I351" s="1485"/>
    </row>
    <row r="352" spans="2:9" ht="15" hidden="1" customHeight="1" x14ac:dyDescent="0.2">
      <c r="B352" s="1436">
        <v>40975</v>
      </c>
      <c r="C352" s="1437">
        <v>40</v>
      </c>
      <c r="D352" s="1237">
        <v>1155</v>
      </c>
      <c r="E352" s="1415">
        <v>9890</v>
      </c>
      <c r="F352" s="1237">
        <v>353.21</v>
      </c>
      <c r="G352" s="1416" t="s">
        <v>1225</v>
      </c>
      <c r="H352" s="1416">
        <v>1.97</v>
      </c>
      <c r="I352" s="1485"/>
    </row>
    <row r="353" spans="2:9" ht="15" hidden="1" customHeight="1" x14ac:dyDescent="0.2">
      <c r="B353" s="1436">
        <v>41006</v>
      </c>
      <c r="C353" s="1437">
        <v>170</v>
      </c>
      <c r="D353" s="1237">
        <v>1685</v>
      </c>
      <c r="E353" s="1415">
        <v>22085</v>
      </c>
      <c r="F353" s="1237">
        <v>736.17</v>
      </c>
      <c r="G353" s="1416" t="s">
        <v>1226</v>
      </c>
      <c r="H353" s="1416">
        <v>1.87</v>
      </c>
      <c r="I353" s="1485"/>
    </row>
    <row r="354" spans="2:9" ht="15" hidden="1" customHeight="1" x14ac:dyDescent="0.2">
      <c r="B354" s="1436">
        <v>41036</v>
      </c>
      <c r="C354" s="1437">
        <v>50</v>
      </c>
      <c r="D354" s="1237">
        <v>1680</v>
      </c>
      <c r="E354" s="1415">
        <v>15375</v>
      </c>
      <c r="F354" s="1237">
        <v>495.97</v>
      </c>
      <c r="G354" s="1416" t="s">
        <v>1314</v>
      </c>
      <c r="H354" s="1416">
        <v>1.59</v>
      </c>
      <c r="I354" s="1485"/>
    </row>
    <row r="355" spans="2:9" ht="15" hidden="1" customHeight="1" x14ac:dyDescent="0.2">
      <c r="B355" s="1436">
        <v>41067</v>
      </c>
      <c r="C355" s="1437">
        <v>80</v>
      </c>
      <c r="D355" s="1237">
        <v>2170</v>
      </c>
      <c r="E355" s="1415">
        <v>25770</v>
      </c>
      <c r="F355" s="1237">
        <v>859</v>
      </c>
      <c r="G355" s="1416" t="s">
        <v>1315</v>
      </c>
      <c r="H355" s="1416">
        <v>1.65</v>
      </c>
      <c r="I355" s="1485"/>
    </row>
    <row r="356" spans="2:9" ht="15" hidden="1" customHeight="1" x14ac:dyDescent="0.2">
      <c r="B356" s="1436">
        <v>41128</v>
      </c>
      <c r="C356" s="1437">
        <v>65</v>
      </c>
      <c r="D356" s="1237">
        <v>1630</v>
      </c>
      <c r="E356" s="1415">
        <v>19250</v>
      </c>
      <c r="F356" s="1237">
        <v>621</v>
      </c>
      <c r="G356" s="1416" t="s">
        <v>1316</v>
      </c>
      <c r="H356" s="1416">
        <v>1.81</v>
      </c>
      <c r="I356" s="1485"/>
    </row>
    <row r="357" spans="2:9" ht="15" hidden="1" customHeight="1" x14ac:dyDescent="0.2">
      <c r="B357" s="1436">
        <v>41159</v>
      </c>
      <c r="C357" s="1437">
        <v>15</v>
      </c>
      <c r="D357" s="1237">
        <v>575</v>
      </c>
      <c r="E357" s="1415">
        <v>6885</v>
      </c>
      <c r="F357" s="1237">
        <v>286.89999999999998</v>
      </c>
      <c r="G357" s="1416" t="s">
        <v>1230</v>
      </c>
      <c r="H357" s="1416">
        <v>1.67</v>
      </c>
      <c r="I357" s="1485"/>
    </row>
    <row r="358" spans="2:9" ht="15" hidden="1" customHeight="1" x14ac:dyDescent="0.2">
      <c r="B358" s="1436">
        <v>41189</v>
      </c>
      <c r="C358" s="1437">
        <v>60</v>
      </c>
      <c r="D358" s="1237">
        <v>980</v>
      </c>
      <c r="E358" s="1415">
        <v>12570</v>
      </c>
      <c r="F358" s="1237">
        <v>433.45</v>
      </c>
      <c r="G358" s="1416" t="s">
        <v>1231</v>
      </c>
      <c r="H358" s="1416">
        <v>1.57</v>
      </c>
      <c r="I358" s="1485"/>
    </row>
    <row r="359" spans="2:9" ht="15" hidden="1" customHeight="1" x14ac:dyDescent="0.2">
      <c r="B359" s="1436">
        <v>41220</v>
      </c>
      <c r="C359" s="1437">
        <v>415</v>
      </c>
      <c r="D359" s="1237">
        <v>2180</v>
      </c>
      <c r="E359" s="1415">
        <v>37495</v>
      </c>
      <c r="F359" s="1237">
        <v>1249.83</v>
      </c>
      <c r="G359" s="1416" t="s">
        <v>1232</v>
      </c>
      <c r="H359" s="1416">
        <v>1.53</v>
      </c>
      <c r="I359" s="1485"/>
    </row>
    <row r="360" spans="2:9" ht="15" hidden="1" customHeight="1" x14ac:dyDescent="0.2">
      <c r="B360" s="1436">
        <v>41250</v>
      </c>
      <c r="C360" s="1437">
        <v>160</v>
      </c>
      <c r="D360" s="1237">
        <v>1650</v>
      </c>
      <c r="E360" s="1415">
        <v>26110</v>
      </c>
      <c r="F360" s="1237">
        <v>842.26</v>
      </c>
      <c r="G360" s="1416" t="s">
        <v>1233</v>
      </c>
      <c r="H360" s="1416">
        <v>1.61</v>
      </c>
      <c r="I360" s="1485"/>
    </row>
    <row r="361" spans="2:9" ht="15" hidden="1" customHeight="1" x14ac:dyDescent="0.2">
      <c r="B361" s="1436">
        <v>41281</v>
      </c>
      <c r="C361" s="1437">
        <v>10</v>
      </c>
      <c r="D361" s="1237">
        <v>1085</v>
      </c>
      <c r="E361" s="1415">
        <v>8660</v>
      </c>
      <c r="F361" s="1237">
        <v>298.62</v>
      </c>
      <c r="G361" s="1416" t="s">
        <v>1235</v>
      </c>
      <c r="H361" s="1416">
        <v>1.46</v>
      </c>
      <c r="I361" s="1485"/>
    </row>
    <row r="362" spans="2:9" ht="15" hidden="1" customHeight="1" x14ac:dyDescent="0.2">
      <c r="B362" s="1436">
        <v>41312</v>
      </c>
      <c r="C362" s="1437">
        <v>30</v>
      </c>
      <c r="D362" s="1237">
        <v>1105</v>
      </c>
      <c r="E362" s="1415">
        <v>17545</v>
      </c>
      <c r="F362" s="1237">
        <v>674.81</v>
      </c>
      <c r="G362" s="1416" t="s">
        <v>1317</v>
      </c>
      <c r="H362" s="1416">
        <v>1.37</v>
      </c>
      <c r="I362" s="1485"/>
    </row>
    <row r="363" spans="2:9" ht="15" hidden="1" customHeight="1" x14ac:dyDescent="0.2">
      <c r="B363" s="1436">
        <v>41340</v>
      </c>
      <c r="C363" s="1437">
        <v>30</v>
      </c>
      <c r="D363" s="1237">
        <v>2000</v>
      </c>
      <c r="E363" s="1415">
        <v>25680</v>
      </c>
      <c r="F363" s="1237">
        <v>917.14</v>
      </c>
      <c r="G363" s="1416" t="s">
        <v>1317</v>
      </c>
      <c r="H363" s="1416">
        <v>1.35</v>
      </c>
      <c r="I363" s="1485"/>
    </row>
    <row r="364" spans="2:9" ht="15" hidden="1" customHeight="1" x14ac:dyDescent="0.2">
      <c r="B364" s="1436">
        <v>41371</v>
      </c>
      <c r="C364" s="1437">
        <v>160</v>
      </c>
      <c r="D364" s="1237">
        <v>1455</v>
      </c>
      <c r="E364" s="1415">
        <v>20271</v>
      </c>
      <c r="F364" s="1237">
        <v>675.7</v>
      </c>
      <c r="G364" s="1416" t="s">
        <v>1318</v>
      </c>
      <c r="H364" s="1416">
        <v>1.26</v>
      </c>
      <c r="I364" s="1485"/>
    </row>
    <row r="365" spans="2:9" ht="15" hidden="1" customHeight="1" x14ac:dyDescent="0.2">
      <c r="B365" s="1436">
        <v>41401</v>
      </c>
      <c r="C365" s="1437">
        <v>70</v>
      </c>
      <c r="D365" s="1237">
        <v>1435</v>
      </c>
      <c r="E365" s="1415">
        <v>13190</v>
      </c>
      <c r="F365" s="1237">
        <v>439.67</v>
      </c>
      <c r="G365" s="1416" t="s">
        <v>1236</v>
      </c>
      <c r="H365" s="1416">
        <v>1.25</v>
      </c>
      <c r="I365" s="1485"/>
    </row>
    <row r="366" spans="2:9" ht="15" hidden="1" customHeight="1" x14ac:dyDescent="0.2">
      <c r="B366" s="1436">
        <v>41432</v>
      </c>
      <c r="C366" s="1437">
        <v>25</v>
      </c>
      <c r="D366" s="1237">
        <v>865</v>
      </c>
      <c r="E366" s="1415">
        <v>10471.5</v>
      </c>
      <c r="F366" s="1237">
        <v>361.09</v>
      </c>
      <c r="G366" s="1416" t="s">
        <v>1319</v>
      </c>
      <c r="H366" s="1416">
        <v>1.69</v>
      </c>
      <c r="I366" s="1485"/>
    </row>
    <row r="367" spans="2:9" ht="15" hidden="1" customHeight="1" x14ac:dyDescent="0.2">
      <c r="B367" s="1436">
        <v>41462</v>
      </c>
      <c r="C367" s="1437">
        <v>75</v>
      </c>
      <c r="D367" s="1237">
        <v>1355</v>
      </c>
      <c r="E367" s="1415">
        <v>17340</v>
      </c>
      <c r="F367" s="1237">
        <v>559.35</v>
      </c>
      <c r="G367" s="1416" t="s">
        <v>1320</v>
      </c>
      <c r="H367" s="1416">
        <v>1.75</v>
      </c>
      <c r="I367" s="1485"/>
    </row>
    <row r="368" spans="2:9" ht="15" hidden="1" customHeight="1" x14ac:dyDescent="0.2">
      <c r="B368" s="1436">
        <v>41499</v>
      </c>
      <c r="C368" s="1437">
        <v>90</v>
      </c>
      <c r="D368" s="1237">
        <v>885</v>
      </c>
      <c r="E368" s="1415">
        <v>14420</v>
      </c>
      <c r="F368" s="1237">
        <v>465</v>
      </c>
      <c r="G368" s="1416" t="s">
        <v>1321</v>
      </c>
      <c r="H368" s="1416">
        <v>1.64</v>
      </c>
      <c r="I368" s="1485"/>
    </row>
    <row r="369" spans="2:9" ht="15" hidden="1" customHeight="1" x14ac:dyDescent="0.2">
      <c r="B369" s="1436">
        <v>41530</v>
      </c>
      <c r="C369" s="1437">
        <v>60</v>
      </c>
      <c r="D369" s="1237">
        <v>1625</v>
      </c>
      <c r="E369" s="1415">
        <v>16960</v>
      </c>
      <c r="F369" s="1237">
        <v>584.79999999999995</v>
      </c>
      <c r="G369" s="1416" t="s">
        <v>1239</v>
      </c>
      <c r="H369" s="1416">
        <v>1.62</v>
      </c>
      <c r="I369" s="1485"/>
    </row>
    <row r="370" spans="2:9" ht="15" hidden="1" customHeight="1" x14ac:dyDescent="0.2">
      <c r="B370" s="1436">
        <v>41554</v>
      </c>
      <c r="C370" s="1437">
        <v>170</v>
      </c>
      <c r="D370" s="1237">
        <v>1715</v>
      </c>
      <c r="E370" s="1415">
        <v>26960</v>
      </c>
      <c r="F370" s="1237">
        <v>869.68</v>
      </c>
      <c r="G370" s="1416" t="s">
        <v>1240</v>
      </c>
      <c r="H370" s="1416">
        <v>2.35</v>
      </c>
      <c r="I370" s="1485"/>
    </row>
    <row r="371" spans="2:9" ht="15" hidden="1" customHeight="1" x14ac:dyDescent="0.2">
      <c r="B371" s="1436">
        <v>41585</v>
      </c>
      <c r="C371" s="1437">
        <v>175</v>
      </c>
      <c r="D371" s="1237">
        <v>2700</v>
      </c>
      <c r="E371" s="1415">
        <v>26637</v>
      </c>
      <c r="F371" s="1237">
        <v>887.9</v>
      </c>
      <c r="G371" s="1416" t="s">
        <v>1322</v>
      </c>
      <c r="H371" s="1416">
        <v>3.43</v>
      </c>
      <c r="I371" s="1485"/>
    </row>
    <row r="372" spans="2:9" ht="15" hidden="1" customHeight="1" x14ac:dyDescent="0.2">
      <c r="B372" s="1436">
        <v>41615</v>
      </c>
      <c r="C372" s="1437">
        <v>75</v>
      </c>
      <c r="D372" s="1237">
        <v>2525</v>
      </c>
      <c r="E372" s="1415">
        <v>21030</v>
      </c>
      <c r="F372" s="1237">
        <v>678.39</v>
      </c>
      <c r="G372" s="1416" t="s">
        <v>1323</v>
      </c>
      <c r="H372" s="1416">
        <v>3</v>
      </c>
      <c r="I372" s="1485"/>
    </row>
    <row r="373" spans="2:9" ht="15" hidden="1" customHeight="1" x14ac:dyDescent="0.2">
      <c r="B373" s="1436">
        <v>41640</v>
      </c>
      <c r="C373" s="1437">
        <v>5</v>
      </c>
      <c r="D373" s="1237">
        <v>1200</v>
      </c>
      <c r="E373" s="1415">
        <v>4845</v>
      </c>
      <c r="F373" s="1237">
        <v>220.23</v>
      </c>
      <c r="G373" s="1416" t="s">
        <v>1324</v>
      </c>
      <c r="H373" s="1416">
        <v>3.19</v>
      </c>
      <c r="I373" s="1485"/>
    </row>
    <row r="374" spans="2:9" ht="15" hidden="1" customHeight="1" x14ac:dyDescent="0.2">
      <c r="B374" s="1436">
        <v>41671</v>
      </c>
      <c r="C374" s="1437">
        <v>30</v>
      </c>
      <c r="D374" s="1237">
        <v>520</v>
      </c>
      <c r="E374" s="1415">
        <v>6385</v>
      </c>
      <c r="F374" s="1237">
        <v>228.04</v>
      </c>
      <c r="G374" s="1416" t="s">
        <v>1244</v>
      </c>
      <c r="H374" s="1416">
        <v>2.6</v>
      </c>
      <c r="I374" s="1485"/>
    </row>
    <row r="375" spans="2:9" ht="15" hidden="1" customHeight="1" x14ac:dyDescent="0.2">
      <c r="B375" s="1436">
        <v>41699</v>
      </c>
      <c r="C375" s="1437">
        <v>10</v>
      </c>
      <c r="D375" s="1237">
        <v>260</v>
      </c>
      <c r="E375" s="1415">
        <v>1660</v>
      </c>
      <c r="F375" s="1237">
        <v>110.67</v>
      </c>
      <c r="G375" s="1416" t="s">
        <v>1245</v>
      </c>
      <c r="H375" s="1416">
        <v>2.35</v>
      </c>
      <c r="I375" s="1485"/>
    </row>
    <row r="376" spans="2:9" ht="15" hidden="1" customHeight="1" x14ac:dyDescent="0.2">
      <c r="B376" s="1436">
        <v>41730</v>
      </c>
      <c r="C376" s="1437">
        <v>25</v>
      </c>
      <c r="D376" s="1237">
        <v>550</v>
      </c>
      <c r="E376" s="1415">
        <v>2815</v>
      </c>
      <c r="F376" s="1237">
        <v>112.6</v>
      </c>
      <c r="G376" s="1416" t="s">
        <v>1246</v>
      </c>
      <c r="H376" s="1416">
        <v>2.0299999999999998</v>
      </c>
      <c r="I376" s="1485"/>
    </row>
    <row r="377" spans="2:9" ht="15" hidden="1" customHeight="1" x14ac:dyDescent="0.2">
      <c r="B377" s="1436">
        <v>41760</v>
      </c>
      <c r="C377" s="1437">
        <v>105</v>
      </c>
      <c r="D377" s="1237">
        <v>1100</v>
      </c>
      <c r="E377" s="1415">
        <v>9525</v>
      </c>
      <c r="F377" s="1237">
        <v>340.18</v>
      </c>
      <c r="G377" s="1416" t="s">
        <v>1247</v>
      </c>
      <c r="H377" s="1416">
        <v>1.77</v>
      </c>
      <c r="I377" s="1485"/>
    </row>
    <row r="378" spans="2:9" ht="15" hidden="1" customHeight="1" x14ac:dyDescent="0.2">
      <c r="B378" s="1436">
        <v>41791</v>
      </c>
      <c r="C378" s="1437">
        <v>100</v>
      </c>
      <c r="D378" s="1237">
        <v>1100</v>
      </c>
      <c r="E378" s="1415">
        <v>7940</v>
      </c>
      <c r="F378" s="1237">
        <v>330.83</v>
      </c>
      <c r="G378" s="1416" t="s">
        <v>1325</v>
      </c>
      <c r="H378" s="1416">
        <v>1.46</v>
      </c>
      <c r="I378" s="1485"/>
    </row>
    <row r="379" spans="2:9" ht="15" hidden="1" customHeight="1" x14ac:dyDescent="0.2">
      <c r="B379" s="1436">
        <v>41821</v>
      </c>
      <c r="C379" s="1437">
        <v>20</v>
      </c>
      <c r="D379" s="1237">
        <v>2385</v>
      </c>
      <c r="E379" s="1415">
        <v>19795</v>
      </c>
      <c r="F379" s="1237">
        <v>733.15</v>
      </c>
      <c r="G379" s="1416" t="s">
        <v>1326</v>
      </c>
      <c r="H379" s="1416">
        <v>1.18</v>
      </c>
      <c r="I379" s="1485"/>
    </row>
    <row r="380" spans="2:9" ht="15" hidden="1" customHeight="1" x14ac:dyDescent="0.2">
      <c r="B380" s="1436">
        <v>41852</v>
      </c>
      <c r="C380" s="1437">
        <v>200</v>
      </c>
      <c r="D380" s="1237">
        <v>2440</v>
      </c>
      <c r="E380" s="1415">
        <v>42815</v>
      </c>
      <c r="F380" s="1237">
        <v>1381.13</v>
      </c>
      <c r="G380" s="1416" t="s">
        <v>1250</v>
      </c>
      <c r="H380" s="1416">
        <v>0.96</v>
      </c>
      <c r="I380" s="1485"/>
    </row>
    <row r="381" spans="2:9" ht="15" hidden="1" customHeight="1" x14ac:dyDescent="0.2">
      <c r="B381" s="1436">
        <v>41883</v>
      </c>
      <c r="C381" s="1437">
        <v>1070</v>
      </c>
      <c r="D381" s="1237">
        <v>2840</v>
      </c>
      <c r="E381" s="1415">
        <v>53825</v>
      </c>
      <c r="F381" s="1237">
        <v>1794.2</v>
      </c>
      <c r="G381" s="1416" t="s">
        <v>1251</v>
      </c>
      <c r="H381" s="1416">
        <v>0.74</v>
      </c>
      <c r="I381" s="1485"/>
    </row>
    <row r="382" spans="2:9" ht="15" hidden="1" customHeight="1" x14ac:dyDescent="0.2">
      <c r="B382" s="1436">
        <v>41913</v>
      </c>
      <c r="C382" s="1437">
        <v>260</v>
      </c>
      <c r="D382" s="1237">
        <v>2505</v>
      </c>
      <c r="E382" s="1415">
        <v>28124</v>
      </c>
      <c r="F382" s="1237">
        <v>907.23</v>
      </c>
      <c r="G382" s="1416" t="s">
        <v>1252</v>
      </c>
      <c r="H382" s="1416">
        <v>0.69</v>
      </c>
      <c r="I382" s="1485"/>
    </row>
    <row r="383" spans="2:9" ht="15" hidden="1" customHeight="1" x14ac:dyDescent="0.2">
      <c r="B383" s="1436">
        <v>41944</v>
      </c>
      <c r="C383" s="1437">
        <v>125</v>
      </c>
      <c r="D383" s="1237">
        <v>1800</v>
      </c>
      <c r="E383" s="1415">
        <v>29950</v>
      </c>
      <c r="F383" s="1237">
        <v>998.33</v>
      </c>
      <c r="G383" s="1416" t="s">
        <v>1327</v>
      </c>
      <c r="H383" s="1416">
        <v>0.63</v>
      </c>
      <c r="I383" s="1485"/>
    </row>
    <row r="384" spans="2:9" ht="15" hidden="1" customHeight="1" x14ac:dyDescent="0.2">
      <c r="B384" s="1436">
        <v>41974</v>
      </c>
      <c r="C384" s="1437">
        <v>250</v>
      </c>
      <c r="D384" s="1237">
        <v>2680</v>
      </c>
      <c r="E384" s="1415">
        <v>41585</v>
      </c>
      <c r="F384" s="1237">
        <v>1341.45</v>
      </c>
      <c r="G384" s="1416" t="s">
        <v>1254</v>
      </c>
      <c r="H384" s="1416">
        <v>2.19</v>
      </c>
      <c r="I384" s="1485"/>
    </row>
    <row r="385" spans="2:9" ht="15" hidden="1" customHeight="1" x14ac:dyDescent="0.2">
      <c r="B385" s="1436">
        <v>42005</v>
      </c>
      <c r="C385" s="1437">
        <v>135</v>
      </c>
      <c r="D385" s="1237">
        <v>629</v>
      </c>
      <c r="E385" s="1415">
        <v>10588</v>
      </c>
      <c r="F385" s="1237">
        <v>341.55</v>
      </c>
      <c r="G385" s="1416" t="s">
        <v>1255</v>
      </c>
      <c r="H385" s="1416">
        <v>2.16</v>
      </c>
      <c r="I385" s="1485"/>
    </row>
    <row r="386" spans="2:9" ht="15" hidden="1" customHeight="1" x14ac:dyDescent="0.2">
      <c r="B386" s="1436">
        <v>42036</v>
      </c>
      <c r="C386" s="1437">
        <v>35</v>
      </c>
      <c r="D386" s="1237">
        <v>1220</v>
      </c>
      <c r="E386" s="1415">
        <v>12212</v>
      </c>
      <c r="F386" s="1237">
        <v>436.14</v>
      </c>
      <c r="G386" s="1416" t="s">
        <v>1328</v>
      </c>
      <c r="H386" s="1416">
        <v>1.69</v>
      </c>
      <c r="I386" s="1485"/>
    </row>
    <row r="387" spans="2:9" ht="15" hidden="1" customHeight="1" x14ac:dyDescent="0.2">
      <c r="B387" s="1436">
        <v>42064</v>
      </c>
      <c r="C387" s="1437">
        <v>25</v>
      </c>
      <c r="D387" s="1237">
        <v>975</v>
      </c>
      <c r="E387" s="1415">
        <v>4740</v>
      </c>
      <c r="F387" s="1237">
        <v>175.55</v>
      </c>
      <c r="G387" s="1416" t="s">
        <v>1329</v>
      </c>
      <c r="H387" s="1416">
        <v>1.64</v>
      </c>
      <c r="I387" s="1485"/>
    </row>
    <row r="388" spans="2:9" ht="15" hidden="1" customHeight="1" x14ac:dyDescent="0.2">
      <c r="B388" s="1436">
        <v>42095</v>
      </c>
      <c r="C388" s="1437">
        <v>100</v>
      </c>
      <c r="D388" s="1237">
        <v>800</v>
      </c>
      <c r="E388" s="1415">
        <v>9785</v>
      </c>
      <c r="F388" s="1237">
        <v>349.46</v>
      </c>
      <c r="G388" s="1416" t="s">
        <v>1258</v>
      </c>
      <c r="H388" s="1416">
        <v>1.68</v>
      </c>
      <c r="I388" s="1485"/>
    </row>
    <row r="389" spans="2:9" ht="15" customHeight="1" x14ac:dyDescent="0.2">
      <c r="B389" s="1436">
        <v>42125</v>
      </c>
      <c r="C389" s="1437">
        <v>40</v>
      </c>
      <c r="D389" s="1237">
        <v>165</v>
      </c>
      <c r="E389" s="1415">
        <v>960</v>
      </c>
      <c r="F389" s="1237">
        <v>120</v>
      </c>
      <c r="G389" s="1416" t="s">
        <v>1259</v>
      </c>
      <c r="H389" s="1416">
        <v>1.47</v>
      </c>
      <c r="I389" s="1485"/>
    </row>
    <row r="390" spans="2:9" ht="15" customHeight="1" x14ac:dyDescent="0.2">
      <c r="B390" s="1436">
        <v>42156</v>
      </c>
      <c r="C390" s="1437">
        <v>25</v>
      </c>
      <c r="D390" s="1237">
        <v>425</v>
      </c>
      <c r="E390" s="1415">
        <v>2335</v>
      </c>
      <c r="F390" s="1237">
        <v>194.58</v>
      </c>
      <c r="G390" s="1416" t="s">
        <v>1153</v>
      </c>
      <c r="H390" s="1416">
        <v>1.06</v>
      </c>
      <c r="I390" s="1485"/>
    </row>
    <row r="391" spans="2:9" ht="15" customHeight="1" x14ac:dyDescent="0.2">
      <c r="B391" s="1436">
        <v>42186</v>
      </c>
      <c r="C391" s="1437">
        <v>25</v>
      </c>
      <c r="D391" s="1237">
        <v>100</v>
      </c>
      <c r="E391" s="1415">
        <v>445</v>
      </c>
      <c r="F391" s="1237">
        <v>55.63</v>
      </c>
      <c r="G391" s="1416" t="s">
        <v>1149</v>
      </c>
      <c r="H391" s="1416">
        <v>0.99</v>
      </c>
      <c r="I391" s="1485"/>
    </row>
    <row r="392" spans="2:9" ht="15" customHeight="1" x14ac:dyDescent="0.2">
      <c r="B392" s="1436">
        <v>42217</v>
      </c>
      <c r="C392" s="1437">
        <v>250</v>
      </c>
      <c r="D392" s="1237">
        <v>1750</v>
      </c>
      <c r="E392" s="1415">
        <v>6960</v>
      </c>
      <c r="F392" s="1237">
        <v>632.73</v>
      </c>
      <c r="G392" s="1416" t="s">
        <v>1330</v>
      </c>
      <c r="H392" s="1416">
        <v>1.05</v>
      </c>
      <c r="I392" s="1485"/>
    </row>
    <row r="393" spans="2:9" ht="15" customHeight="1" x14ac:dyDescent="0.2">
      <c r="B393" s="1436">
        <v>42248</v>
      </c>
      <c r="C393" s="1437">
        <v>16</v>
      </c>
      <c r="D393" s="1237">
        <v>415</v>
      </c>
      <c r="E393" s="1415">
        <v>4726</v>
      </c>
      <c r="F393" s="1237">
        <v>205.5</v>
      </c>
      <c r="G393" s="1416" t="s">
        <v>1152</v>
      </c>
      <c r="H393" s="1416">
        <v>1.1499999999999999</v>
      </c>
      <c r="I393" s="1485"/>
    </row>
    <row r="394" spans="2:9" ht="15" customHeight="1" x14ac:dyDescent="0.2">
      <c r="B394" s="1436">
        <v>42278</v>
      </c>
      <c r="C394" s="1437">
        <v>25</v>
      </c>
      <c r="D394" s="1237">
        <v>1070</v>
      </c>
      <c r="E394" s="1415">
        <v>5655</v>
      </c>
      <c r="F394" s="1237">
        <v>332.65</v>
      </c>
      <c r="G394" s="1416" t="s">
        <v>1153</v>
      </c>
      <c r="H394" s="1416">
        <v>1.0900000000000001</v>
      </c>
      <c r="I394" s="1485"/>
    </row>
    <row r="395" spans="2:9" ht="15" customHeight="1" x14ac:dyDescent="0.2">
      <c r="B395" s="1436">
        <v>42309</v>
      </c>
      <c r="C395" s="1437">
        <v>80</v>
      </c>
      <c r="D395" s="1237">
        <v>515</v>
      </c>
      <c r="E395" s="1415">
        <v>8780</v>
      </c>
      <c r="F395" s="1237">
        <v>314</v>
      </c>
      <c r="G395" s="1416" t="s">
        <v>1263</v>
      </c>
      <c r="H395" s="1416">
        <v>1.1100000000000001</v>
      </c>
      <c r="I395" s="1485"/>
    </row>
    <row r="396" spans="2:9" ht="15" customHeight="1" x14ac:dyDescent="0.2">
      <c r="B396" s="1436">
        <v>42339</v>
      </c>
      <c r="C396" s="1437">
        <v>100</v>
      </c>
      <c r="D396" s="1237">
        <v>555</v>
      </c>
      <c r="E396" s="1415">
        <v>8345</v>
      </c>
      <c r="F396" s="1237">
        <v>269.19</v>
      </c>
      <c r="G396" s="1416" t="s">
        <v>1146</v>
      </c>
      <c r="H396" s="1416">
        <v>1.24</v>
      </c>
      <c r="I396" s="1485"/>
    </row>
    <row r="397" spans="2:9" ht="15" customHeight="1" x14ac:dyDescent="0.2">
      <c r="B397" s="1436">
        <v>42370</v>
      </c>
      <c r="C397" s="1437">
        <v>20</v>
      </c>
      <c r="D397" s="1237">
        <v>400</v>
      </c>
      <c r="E397" s="1415">
        <v>4870</v>
      </c>
      <c r="F397" s="1237">
        <v>157.1</v>
      </c>
      <c r="G397" s="1416" t="s">
        <v>1264</v>
      </c>
      <c r="H397" s="1416">
        <v>1.58</v>
      </c>
      <c r="I397" s="1485"/>
    </row>
    <row r="398" spans="2:9" ht="15" customHeight="1" x14ac:dyDescent="0.2">
      <c r="B398" s="1436">
        <v>42401</v>
      </c>
      <c r="C398" s="1437">
        <v>25</v>
      </c>
      <c r="D398" s="1237">
        <v>1530</v>
      </c>
      <c r="E398" s="1415">
        <v>17635</v>
      </c>
      <c r="F398" s="1237">
        <v>608.1</v>
      </c>
      <c r="G398" s="1416" t="s">
        <v>1331</v>
      </c>
      <c r="H398" s="1416">
        <v>1.53</v>
      </c>
      <c r="I398" s="1485"/>
    </row>
    <row r="399" spans="2:9" ht="15" customHeight="1" x14ac:dyDescent="0.2">
      <c r="B399" s="1436">
        <v>42430</v>
      </c>
      <c r="C399" s="1437">
        <v>25</v>
      </c>
      <c r="D399" s="1237">
        <v>775</v>
      </c>
      <c r="E399" s="1415">
        <v>7705</v>
      </c>
      <c r="F399" s="1237">
        <v>296.35000000000002</v>
      </c>
      <c r="G399" s="1416" t="s">
        <v>1332</v>
      </c>
      <c r="H399" s="1416">
        <v>1.45</v>
      </c>
      <c r="I399" s="1485"/>
    </row>
    <row r="400" spans="2:9" ht="15" customHeight="1" x14ac:dyDescent="0.2">
      <c r="B400" s="1436">
        <v>42461</v>
      </c>
      <c r="C400" s="1437">
        <v>250</v>
      </c>
      <c r="D400" s="1237">
        <v>1980</v>
      </c>
      <c r="E400" s="1415">
        <v>23810</v>
      </c>
      <c r="F400" s="1237">
        <v>793.67</v>
      </c>
      <c r="G400" s="1416" t="s">
        <v>1267</v>
      </c>
      <c r="H400" s="1416">
        <v>1.44</v>
      </c>
      <c r="I400" s="1485"/>
    </row>
    <row r="401" spans="2:9" ht="15" customHeight="1" x14ac:dyDescent="0.2">
      <c r="B401" s="1436">
        <v>42491</v>
      </c>
      <c r="C401" s="1437">
        <v>30</v>
      </c>
      <c r="D401" s="1237">
        <v>1980</v>
      </c>
      <c r="E401" s="1415">
        <v>4920</v>
      </c>
      <c r="F401" s="1237">
        <v>378.46</v>
      </c>
      <c r="G401" s="1416" t="s">
        <v>1159</v>
      </c>
      <c r="H401" s="1416">
        <v>1.58</v>
      </c>
      <c r="I401" s="1485"/>
    </row>
    <row r="402" spans="2:9" ht="15" customHeight="1" thickBot="1" x14ac:dyDescent="0.25">
      <c r="B402" s="1486"/>
      <c r="C402" s="1487"/>
      <c r="D402" s="1488"/>
      <c r="E402" s="1489"/>
      <c r="F402" s="1488"/>
      <c r="G402" s="1490"/>
      <c r="H402" s="1491"/>
    </row>
    <row r="403" spans="2:9" ht="18" customHeight="1" x14ac:dyDescent="0.2">
      <c r="B403" s="1455" t="s">
        <v>1268</v>
      </c>
      <c r="C403" s="1456"/>
      <c r="D403" s="1456"/>
      <c r="E403" s="1456"/>
      <c r="G403" s="1457"/>
      <c r="H403" s="1458"/>
    </row>
    <row r="404" spans="2:9" s="1460" customFormat="1" x14ac:dyDescent="0.2">
      <c r="B404" s="867" t="s">
        <v>680</v>
      </c>
    </row>
  </sheetData>
  <mergeCells count="3">
    <mergeCell ref="C6:F6"/>
    <mergeCell ref="G6:H6"/>
    <mergeCell ref="G222:H222"/>
  </mergeCells>
  <pageMargins left="1.2598425196850394" right="0.74803149606299213" top="0.6692913385826772" bottom="0.39370078740157483" header="0.51181102362204722" footer="0.51181102362204722"/>
  <pageSetup paperSize="9" scale="69"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361"/>
  <sheetViews>
    <sheetView showGridLines="0" topLeftCell="A324" zoomScaleNormal="100" zoomScaleSheetLayoutView="90" workbookViewId="0">
      <selection activeCell="G366" sqref="G366"/>
    </sheetView>
  </sheetViews>
  <sheetFormatPr defaultRowHeight="12.75" x14ac:dyDescent="0.2"/>
  <cols>
    <col min="1" max="1" width="13.85546875" style="1493" customWidth="1"/>
    <col min="2" max="2" width="13" style="1493" customWidth="1"/>
    <col min="3" max="3" width="15.140625" style="1493" customWidth="1"/>
    <col min="4" max="4" width="19.28515625" style="1493" customWidth="1"/>
    <col min="5" max="5" width="10.28515625" style="1493" customWidth="1"/>
    <col min="6" max="6" width="10.42578125" style="1493" customWidth="1"/>
    <col min="7" max="7" width="14.140625" style="1493" customWidth="1"/>
    <col min="8" max="8" width="9.85546875" style="1494" bestFit="1" customWidth="1"/>
    <col min="9" max="16384" width="9.140625" style="1493"/>
  </cols>
  <sheetData>
    <row r="1" spans="1:9" ht="18.75" hidden="1" customHeight="1" x14ac:dyDescent="0.25">
      <c r="A1" s="1492" t="s">
        <v>1333</v>
      </c>
    </row>
    <row r="2" spans="1:9" ht="13.5" hidden="1" customHeight="1" thickBot="1" x14ac:dyDescent="0.25">
      <c r="A2" s="1495"/>
    </row>
    <row r="3" spans="1:9" ht="13.5" hidden="1" customHeight="1" thickTop="1" x14ac:dyDescent="0.2">
      <c r="A3" s="1496" t="s">
        <v>1334</v>
      </c>
      <c r="B3" s="1497" t="s">
        <v>1335</v>
      </c>
      <c r="C3" s="1498" t="s">
        <v>1336</v>
      </c>
      <c r="D3" s="1498" t="s">
        <v>1337</v>
      </c>
      <c r="E3" s="1498" t="s">
        <v>1338</v>
      </c>
      <c r="F3" s="1499" t="s">
        <v>1273</v>
      </c>
    </row>
    <row r="4" spans="1:9" ht="14.25" hidden="1" customHeight="1" x14ac:dyDescent="0.2">
      <c r="A4" s="1500" t="s">
        <v>1339</v>
      </c>
      <c r="B4" s="1501" t="s">
        <v>1340</v>
      </c>
      <c r="C4" s="1502" t="s">
        <v>1341</v>
      </c>
      <c r="D4" s="1502" t="s">
        <v>1342</v>
      </c>
      <c r="E4" s="1502" t="s">
        <v>1343</v>
      </c>
      <c r="F4" s="1503" t="s">
        <v>1343</v>
      </c>
    </row>
    <row r="5" spans="1:9" ht="12.75" hidden="1" customHeight="1" x14ac:dyDescent="0.2">
      <c r="A5" s="1504"/>
      <c r="B5" s="1501"/>
      <c r="C5" s="1502" t="s">
        <v>1344</v>
      </c>
      <c r="D5" s="1502" t="s">
        <v>1345</v>
      </c>
      <c r="E5" s="1502" t="s">
        <v>1055</v>
      </c>
      <c r="F5" s="1503" t="s">
        <v>1346</v>
      </c>
    </row>
    <row r="6" spans="1:9" ht="13.5" hidden="1" customHeight="1" thickBot="1" x14ac:dyDescent="0.25">
      <c r="A6" s="1504"/>
      <c r="B6" s="1501" t="s">
        <v>1347</v>
      </c>
      <c r="C6" s="1505">
        <v>2</v>
      </c>
      <c r="D6" s="1505">
        <v>3</v>
      </c>
      <c r="E6" s="1505" t="s">
        <v>1348</v>
      </c>
      <c r="F6" s="1506" t="s">
        <v>1349</v>
      </c>
    </row>
    <row r="7" spans="1:9" ht="13.5" hidden="1" customHeight="1" thickBot="1" x14ac:dyDescent="0.25">
      <c r="A7" s="1507"/>
      <c r="B7" s="1508" t="s">
        <v>73</v>
      </c>
      <c r="C7" s="1509"/>
      <c r="D7" s="1509"/>
      <c r="E7" s="1509"/>
      <c r="F7" s="1510" t="s">
        <v>1350</v>
      </c>
    </row>
    <row r="8" spans="1:9" ht="13.5" hidden="1" customHeight="1" thickTop="1" x14ac:dyDescent="0.2">
      <c r="A8" s="1504"/>
      <c r="B8" s="1511"/>
      <c r="C8" s="1512"/>
      <c r="D8" s="1512"/>
      <c r="E8" s="1512"/>
      <c r="F8" s="1513"/>
    </row>
    <row r="9" spans="1:9" ht="14.25" hidden="1" customHeight="1" x14ac:dyDescent="0.2">
      <c r="A9" s="1514" t="s">
        <v>1351</v>
      </c>
      <c r="B9" s="1515">
        <v>143443.1</v>
      </c>
      <c r="C9" s="1516">
        <v>8076.8</v>
      </c>
      <c r="D9" s="1516">
        <v>7889.3705</v>
      </c>
      <c r="E9" s="1516">
        <v>188.42950000000019</v>
      </c>
      <c r="F9" s="1517">
        <v>5.6306647025893897</v>
      </c>
      <c r="H9" s="1518"/>
      <c r="I9" s="1494"/>
    </row>
    <row r="10" spans="1:9" ht="14.25" hidden="1" customHeight="1" x14ac:dyDescent="0.2">
      <c r="A10" s="1514">
        <v>38547</v>
      </c>
      <c r="B10" s="1515">
        <v>142427.5</v>
      </c>
      <c r="C10" s="1516">
        <v>8607.2000000000007</v>
      </c>
      <c r="D10" s="1516">
        <v>7833.5124999999998</v>
      </c>
      <c r="E10" s="1516">
        <v>772.68750000000091</v>
      </c>
      <c r="F10" s="1517">
        <v>6.043214969019326</v>
      </c>
      <c r="H10" s="1518"/>
      <c r="I10" s="1494"/>
    </row>
    <row r="11" spans="1:9" ht="14.25" hidden="1" customHeight="1" x14ac:dyDescent="0.2">
      <c r="A11" s="1514">
        <v>38554</v>
      </c>
      <c r="B11" s="1515">
        <v>141800.29999999999</v>
      </c>
      <c r="C11" s="1516">
        <v>8499.1</v>
      </c>
      <c r="D11" s="1516">
        <v>7799.0164999999997</v>
      </c>
      <c r="E11" s="1516">
        <v>700.08350000000064</v>
      </c>
      <c r="F11" s="1517">
        <v>5.9937108736723417</v>
      </c>
      <c r="H11" s="1518"/>
      <c r="I11" s="1494"/>
    </row>
    <row r="12" spans="1:9" ht="14.25" hidden="1" customHeight="1" x14ac:dyDescent="0.2">
      <c r="A12" s="1514">
        <v>38561</v>
      </c>
      <c r="B12" s="1515">
        <v>143002.29999999999</v>
      </c>
      <c r="C12" s="1516">
        <v>7977.6</v>
      </c>
      <c r="D12" s="1516">
        <v>7865.1264999999994</v>
      </c>
      <c r="E12" s="1516">
        <v>113.47350000000097</v>
      </c>
      <c r="F12" s="1517">
        <v>5.5786515321781547</v>
      </c>
      <c r="H12" s="1518"/>
      <c r="I12" s="1494"/>
    </row>
    <row r="13" spans="1:9" ht="14.25" hidden="1" customHeight="1" x14ac:dyDescent="0.2">
      <c r="A13" s="1514">
        <v>38568</v>
      </c>
      <c r="B13" s="1515">
        <v>143929</v>
      </c>
      <c r="C13" s="1516">
        <v>8036</v>
      </c>
      <c r="D13" s="1516">
        <v>7916.0950000000003</v>
      </c>
      <c r="E13" s="1516">
        <v>119.90499999999975</v>
      </c>
      <c r="F13" s="1517">
        <v>5.5833084367986991</v>
      </c>
      <c r="H13" s="1518"/>
      <c r="I13" s="1494"/>
    </row>
    <row r="14" spans="1:9" ht="14.25" hidden="1" customHeight="1" x14ac:dyDescent="0.2">
      <c r="A14" s="1514">
        <v>38575</v>
      </c>
      <c r="B14" s="1515">
        <v>144813</v>
      </c>
      <c r="C14" s="1516">
        <v>8248</v>
      </c>
      <c r="D14" s="1516">
        <v>7964.7150000000001</v>
      </c>
      <c r="E14" s="1516">
        <v>283.28499999999985</v>
      </c>
      <c r="F14" s="1517">
        <v>5.6956212494734588</v>
      </c>
      <c r="H14" s="1518"/>
      <c r="I14" s="1494"/>
    </row>
    <row r="15" spans="1:9" ht="14.25" hidden="1" customHeight="1" x14ac:dyDescent="0.2">
      <c r="A15" s="1514">
        <v>38582</v>
      </c>
      <c r="B15" s="1515">
        <v>145671</v>
      </c>
      <c r="C15" s="1516">
        <v>8151</v>
      </c>
      <c r="D15" s="1516">
        <v>8011.9049999999997</v>
      </c>
      <c r="E15" s="1516">
        <v>139.09500000000025</v>
      </c>
      <c r="F15" s="1517">
        <v>5.5954857178161745</v>
      </c>
      <c r="H15" s="1518"/>
      <c r="I15" s="1494"/>
    </row>
    <row r="16" spans="1:9" ht="14.25" hidden="1" customHeight="1" x14ac:dyDescent="0.2">
      <c r="A16" s="1514">
        <v>38589</v>
      </c>
      <c r="B16" s="1515">
        <v>144761</v>
      </c>
      <c r="C16" s="1516">
        <v>8442</v>
      </c>
      <c r="D16" s="1516">
        <v>7961.8550000000005</v>
      </c>
      <c r="E16" s="1516">
        <v>480.14499999999953</v>
      </c>
      <c r="F16" s="1517">
        <v>5.8316811848495105</v>
      </c>
      <c r="H16" s="1518"/>
      <c r="I16" s="1494"/>
    </row>
    <row r="17" spans="1:9" ht="14.25" hidden="1" customHeight="1" x14ac:dyDescent="0.2">
      <c r="A17" s="1514">
        <v>38596</v>
      </c>
      <c r="B17" s="1515">
        <v>144530</v>
      </c>
      <c r="C17" s="1516">
        <v>9341</v>
      </c>
      <c r="D17" s="1516">
        <v>7949.15</v>
      </c>
      <c r="E17" s="1516">
        <v>1391.8500000000004</v>
      </c>
      <c r="F17" s="1517">
        <v>6.4630180585345602</v>
      </c>
      <c r="H17" s="1518"/>
      <c r="I17" s="1494"/>
    </row>
    <row r="18" spans="1:9" ht="14.25" hidden="1" customHeight="1" x14ac:dyDescent="0.2">
      <c r="A18" s="1514">
        <v>38603</v>
      </c>
      <c r="B18" s="1515">
        <v>145233</v>
      </c>
      <c r="C18" s="1516">
        <v>9254</v>
      </c>
      <c r="D18" s="1516">
        <v>7987.8149999999996</v>
      </c>
      <c r="E18" s="1516">
        <v>1266.1850000000004</v>
      </c>
      <c r="F18" s="1517">
        <v>6.3718300937114849</v>
      </c>
      <c r="H18" s="1518"/>
      <c r="I18" s="1494"/>
    </row>
    <row r="19" spans="1:9" ht="14.25" hidden="1" customHeight="1" x14ac:dyDescent="0.2">
      <c r="A19" s="1514">
        <v>38610</v>
      </c>
      <c r="B19" s="1515">
        <v>146894</v>
      </c>
      <c r="C19" s="1516">
        <v>9275</v>
      </c>
      <c r="D19" s="1516">
        <v>8079.17</v>
      </c>
      <c r="E19" s="1516">
        <v>1195.83</v>
      </c>
      <c r="F19" s="1517">
        <v>6.3140768172968267</v>
      </c>
      <c r="H19" s="1518"/>
      <c r="I19" s="1494"/>
    </row>
    <row r="20" spans="1:9" ht="14.25" hidden="1" customHeight="1" x14ac:dyDescent="0.2">
      <c r="A20" s="1514">
        <v>38617</v>
      </c>
      <c r="B20" s="1515">
        <v>146802</v>
      </c>
      <c r="C20" s="1516">
        <v>9805</v>
      </c>
      <c r="D20" s="1516">
        <v>8074.11</v>
      </c>
      <c r="E20" s="1516">
        <v>1730.8900000000003</v>
      </c>
      <c r="F20" s="1517">
        <v>6.6790643179248237</v>
      </c>
      <c r="H20" s="1518"/>
      <c r="I20" s="1494"/>
    </row>
    <row r="21" spans="1:9" ht="14.25" hidden="1" customHeight="1" x14ac:dyDescent="0.2">
      <c r="A21" s="1514">
        <v>38624</v>
      </c>
      <c r="B21" s="1515">
        <v>147249</v>
      </c>
      <c r="C21" s="1516">
        <v>9750</v>
      </c>
      <c r="D21" s="1516">
        <v>8098.6949999999997</v>
      </c>
      <c r="E21" s="1516">
        <v>1651.3050000000003</v>
      </c>
      <c r="F21" s="1517">
        <v>6.6214371574679616</v>
      </c>
      <c r="H21" s="1518"/>
      <c r="I21" s="1494"/>
    </row>
    <row r="22" spans="1:9" ht="14.25" hidden="1" customHeight="1" x14ac:dyDescent="0.2">
      <c r="A22" s="1514">
        <v>38631</v>
      </c>
      <c r="B22" s="1515">
        <v>148149</v>
      </c>
      <c r="C22" s="1516">
        <v>8939</v>
      </c>
      <c r="D22" s="1516">
        <v>8148.1949999999997</v>
      </c>
      <c r="E22" s="1516">
        <v>790.80499999999995</v>
      </c>
      <c r="F22" s="1517">
        <v>6.0337903057057423</v>
      </c>
      <c r="H22" s="1518"/>
      <c r="I22" s="1494"/>
    </row>
    <row r="23" spans="1:9" ht="14.25" hidden="1" customHeight="1" x14ac:dyDescent="0.2">
      <c r="A23" s="1514">
        <v>38638</v>
      </c>
      <c r="B23" s="1515">
        <v>149565</v>
      </c>
      <c r="C23" s="1516">
        <v>9047</v>
      </c>
      <c r="D23" s="1516">
        <v>8226.0750000000007</v>
      </c>
      <c r="E23" s="1516">
        <v>820.92499999999927</v>
      </c>
      <c r="F23" s="1517">
        <v>6.0488750710393475</v>
      </c>
      <c r="H23" s="1518"/>
      <c r="I23" s="1494"/>
    </row>
    <row r="24" spans="1:9" ht="14.25" hidden="1" customHeight="1" x14ac:dyDescent="0.2">
      <c r="A24" s="1514">
        <v>38645</v>
      </c>
      <c r="B24" s="1515">
        <v>149717</v>
      </c>
      <c r="C24" s="1516">
        <v>9003</v>
      </c>
      <c r="D24" s="1516">
        <v>8234.4349999999995</v>
      </c>
      <c r="E24" s="1516">
        <v>768.56500000000051</v>
      </c>
      <c r="F24" s="1517">
        <v>6.013345177902309</v>
      </c>
      <c r="H24" s="1518"/>
      <c r="I24" s="1494"/>
    </row>
    <row r="25" spans="1:9" ht="14.25" hidden="1" customHeight="1" x14ac:dyDescent="0.2">
      <c r="A25" s="1514">
        <v>38652</v>
      </c>
      <c r="B25" s="1515">
        <v>149128</v>
      </c>
      <c r="C25" s="1516">
        <v>9538</v>
      </c>
      <c r="D25" s="1516">
        <v>8202.0400000000009</v>
      </c>
      <c r="E25" s="1516">
        <v>1335.96</v>
      </c>
      <c r="F25" s="1517">
        <v>6.3958478622391501</v>
      </c>
      <c r="H25" s="1518"/>
      <c r="I25" s="1494"/>
    </row>
    <row r="26" spans="1:9" ht="14.25" hidden="1" customHeight="1" x14ac:dyDescent="0.2">
      <c r="A26" s="1514">
        <v>38659</v>
      </c>
      <c r="B26" s="1515">
        <v>149956</v>
      </c>
      <c r="C26" s="1516">
        <v>8650</v>
      </c>
      <c r="D26" s="1516">
        <v>8248</v>
      </c>
      <c r="E26" s="1516">
        <v>402</v>
      </c>
      <c r="F26" s="1517">
        <v>5.77</v>
      </c>
      <c r="H26" s="1518"/>
      <c r="I26" s="1494"/>
    </row>
    <row r="27" spans="1:9" ht="14.25" hidden="1" customHeight="1" x14ac:dyDescent="0.2">
      <c r="A27" s="1514">
        <v>38666</v>
      </c>
      <c r="B27" s="1515">
        <v>150523.5</v>
      </c>
      <c r="C27" s="1516">
        <v>9229</v>
      </c>
      <c r="D27" s="1516">
        <v>8279</v>
      </c>
      <c r="E27" s="1516">
        <v>950</v>
      </c>
      <c r="F27" s="1517">
        <v>6.13</v>
      </c>
      <c r="H27" s="1518"/>
      <c r="I27" s="1494"/>
    </row>
    <row r="28" spans="1:9" ht="14.25" hidden="1" customHeight="1" x14ac:dyDescent="0.2">
      <c r="A28" s="1514">
        <v>38673</v>
      </c>
      <c r="B28" s="1515">
        <v>150869</v>
      </c>
      <c r="C28" s="1516">
        <v>9735</v>
      </c>
      <c r="D28" s="1516">
        <v>8298</v>
      </c>
      <c r="E28" s="1516">
        <v>1437</v>
      </c>
      <c r="F28" s="1517">
        <v>6.45</v>
      </c>
      <c r="H28" s="1518"/>
      <c r="I28" s="1494"/>
    </row>
    <row r="29" spans="1:9" ht="14.25" hidden="1" customHeight="1" x14ac:dyDescent="0.2">
      <c r="A29" s="1514">
        <v>38680</v>
      </c>
      <c r="B29" s="1515">
        <v>151086</v>
      </c>
      <c r="C29" s="1516">
        <v>9914</v>
      </c>
      <c r="D29" s="1516">
        <v>8310</v>
      </c>
      <c r="E29" s="1516">
        <v>1604</v>
      </c>
      <c r="F29" s="1517">
        <v>6.56</v>
      </c>
      <c r="H29" s="1518"/>
      <c r="I29" s="1494"/>
    </row>
    <row r="30" spans="1:9" ht="14.25" hidden="1" customHeight="1" x14ac:dyDescent="0.2">
      <c r="A30" s="1514">
        <v>38687</v>
      </c>
      <c r="B30" s="1515">
        <v>152008</v>
      </c>
      <c r="C30" s="1516">
        <v>10406.5</v>
      </c>
      <c r="D30" s="1516">
        <v>8360.5</v>
      </c>
      <c r="E30" s="1516">
        <v>2046</v>
      </c>
      <c r="F30" s="1517">
        <v>6.85</v>
      </c>
      <c r="G30" s="1519"/>
      <c r="H30" s="1518"/>
      <c r="I30" s="1494"/>
    </row>
    <row r="31" spans="1:9" ht="14.25" hidden="1" customHeight="1" x14ac:dyDescent="0.2">
      <c r="A31" s="1514">
        <v>38694</v>
      </c>
      <c r="B31" s="1515">
        <v>153696.6</v>
      </c>
      <c r="C31" s="1516">
        <v>9754.7000000000007</v>
      </c>
      <c r="D31" s="1516">
        <v>8453.2999999999993</v>
      </c>
      <c r="E31" s="1516">
        <v>1302</v>
      </c>
      <c r="F31" s="1517">
        <v>6.35</v>
      </c>
      <c r="G31" s="1519"/>
      <c r="H31" s="1518"/>
      <c r="I31" s="1494"/>
    </row>
    <row r="32" spans="1:9" ht="14.25" hidden="1" customHeight="1" x14ac:dyDescent="0.2">
      <c r="A32" s="1514">
        <v>38701</v>
      </c>
      <c r="B32" s="1515">
        <v>153531.29999999999</v>
      </c>
      <c r="C32" s="1516">
        <v>10647.6</v>
      </c>
      <c r="D32" s="1516">
        <v>8444.2000000000007</v>
      </c>
      <c r="E32" s="1516">
        <v>2204</v>
      </c>
      <c r="F32" s="1517">
        <v>6.94</v>
      </c>
      <c r="G32" s="1519"/>
      <c r="H32" s="1518"/>
      <c r="I32" s="1494"/>
    </row>
    <row r="33" spans="1:9" ht="14.25" hidden="1" customHeight="1" x14ac:dyDescent="0.2">
      <c r="A33" s="1514">
        <v>38708</v>
      </c>
      <c r="B33" s="1515">
        <v>151790.6</v>
      </c>
      <c r="C33" s="1516">
        <v>10498.2</v>
      </c>
      <c r="D33" s="1516">
        <v>8348.2000000000007</v>
      </c>
      <c r="E33" s="1516">
        <v>2150</v>
      </c>
      <c r="F33" s="1517">
        <v>6.92</v>
      </c>
      <c r="G33" s="1519"/>
      <c r="H33" s="1518"/>
      <c r="I33" s="1494"/>
    </row>
    <row r="34" spans="1:9" ht="14.25" hidden="1" customHeight="1" x14ac:dyDescent="0.2">
      <c r="A34" s="1514">
        <v>38715</v>
      </c>
      <c r="B34" s="1515">
        <v>153075.79999999999</v>
      </c>
      <c r="C34" s="1516">
        <v>10203.1</v>
      </c>
      <c r="D34" s="1516">
        <v>8419.2000000000007</v>
      </c>
      <c r="E34" s="1516">
        <v>1784</v>
      </c>
      <c r="F34" s="1517">
        <v>6.67</v>
      </c>
      <c r="G34" s="1519"/>
      <c r="H34" s="1518"/>
      <c r="I34" s="1494"/>
    </row>
    <row r="35" spans="1:9" ht="14.25" hidden="1" customHeight="1" x14ac:dyDescent="0.2">
      <c r="A35" s="1514">
        <v>38722</v>
      </c>
      <c r="B35" s="1515">
        <v>154990.70808513797</v>
      </c>
      <c r="C35" s="1516">
        <v>10097.049401216378</v>
      </c>
      <c r="D35" s="1516">
        <v>8524.4889446825891</v>
      </c>
      <c r="E35" s="1516">
        <v>1572.560456533789</v>
      </c>
      <c r="F35" s="1517">
        <v>6.5146159572804621</v>
      </c>
      <c r="G35" s="1519"/>
      <c r="H35" s="1518"/>
      <c r="I35" s="1494"/>
    </row>
    <row r="36" spans="1:9" ht="14.25" hidden="1" customHeight="1" thickBot="1" x14ac:dyDescent="0.25">
      <c r="A36" s="1520"/>
      <c r="B36" s="1521"/>
      <c r="C36" s="1522"/>
      <c r="D36" s="1522"/>
      <c r="E36" s="1522"/>
      <c r="F36" s="1523"/>
      <c r="G36" s="1519"/>
      <c r="H36" s="1518"/>
      <c r="I36" s="1494"/>
    </row>
    <row r="37" spans="1:9" ht="14.25" hidden="1" customHeight="1" thickTop="1" x14ac:dyDescent="0.2">
      <c r="A37" s="1524" t="s">
        <v>1352</v>
      </c>
      <c r="B37" s="1525"/>
      <c r="C37" s="1526"/>
      <c r="D37" s="1526"/>
      <c r="E37" s="1526"/>
      <c r="F37" s="1527"/>
      <c r="H37" s="1518"/>
      <c r="I37" s="1494"/>
    </row>
    <row r="38" spans="1:9" ht="12.75" hidden="1" customHeight="1" x14ac:dyDescent="0.2">
      <c r="A38" s="1528" t="s">
        <v>1353</v>
      </c>
      <c r="D38" s="1494"/>
    </row>
    <row r="39" spans="1:9" ht="12.75" hidden="1" customHeight="1" x14ac:dyDescent="0.2">
      <c r="A39" s="1528" t="s">
        <v>1354</v>
      </c>
      <c r="D39" s="1494"/>
    </row>
    <row r="40" spans="1:9" ht="15" hidden="1" customHeight="1" x14ac:dyDescent="0.2">
      <c r="A40" s="1529" t="s">
        <v>1355</v>
      </c>
      <c r="D40" s="1494"/>
    </row>
    <row r="41" spans="1:9" ht="15" hidden="1" customHeight="1" x14ac:dyDescent="0.2">
      <c r="A41" s="1528"/>
      <c r="D41" s="1494"/>
    </row>
    <row r="42" spans="1:9" ht="22.5" customHeight="1" x14ac:dyDescent="0.3">
      <c r="A42" s="1530" t="s">
        <v>1356</v>
      </c>
      <c r="B42" s="1531"/>
      <c r="C42" s="1531"/>
      <c r="D42" s="1531"/>
      <c r="E42" s="1531"/>
      <c r="F42" s="1531"/>
      <c r="G42" s="1531"/>
      <c r="H42" s="1532"/>
    </row>
    <row r="43" spans="1:9" ht="15" customHeight="1" thickBot="1" x14ac:dyDescent="0.25">
      <c r="A43" s="1495"/>
    </row>
    <row r="44" spans="1:9" ht="15" customHeight="1" thickTop="1" x14ac:dyDescent="0.25">
      <c r="A44" s="1533" t="s">
        <v>1357</v>
      </c>
      <c r="B44" s="1534" t="s">
        <v>1335</v>
      </c>
      <c r="C44" s="1535" t="s">
        <v>1336</v>
      </c>
      <c r="D44" s="1535" t="s">
        <v>1337</v>
      </c>
      <c r="E44" s="1535" t="s">
        <v>1338</v>
      </c>
      <c r="F44" s="1536" t="s">
        <v>1273</v>
      </c>
    </row>
    <row r="45" spans="1:9" ht="15" customHeight="1" x14ac:dyDescent="0.25">
      <c r="A45" s="1537" t="s">
        <v>1339</v>
      </c>
      <c r="B45" s="1538" t="s">
        <v>1358</v>
      </c>
      <c r="C45" s="1539" t="s">
        <v>1341</v>
      </c>
      <c r="D45" s="1539" t="s">
        <v>1342</v>
      </c>
      <c r="E45" s="1539" t="s">
        <v>1343</v>
      </c>
      <c r="F45" s="1540" t="s">
        <v>1343</v>
      </c>
    </row>
    <row r="46" spans="1:9" ht="15" customHeight="1" x14ac:dyDescent="0.25">
      <c r="A46" s="1541"/>
      <c r="B46" s="1538"/>
      <c r="C46" s="1539" t="s">
        <v>1359</v>
      </c>
      <c r="D46" s="1539" t="s">
        <v>1360</v>
      </c>
      <c r="E46" s="1539" t="s">
        <v>1055</v>
      </c>
      <c r="F46" s="1540" t="s">
        <v>1346</v>
      </c>
    </row>
    <row r="47" spans="1:9" ht="15" customHeight="1" thickBot="1" x14ac:dyDescent="0.3">
      <c r="A47" s="1541"/>
      <c r="B47" s="1538" t="s">
        <v>1347</v>
      </c>
      <c r="C47" s="1542">
        <v>2</v>
      </c>
      <c r="D47" s="1542">
        <v>3</v>
      </c>
      <c r="E47" s="1542" t="s">
        <v>1348</v>
      </c>
      <c r="F47" s="1543" t="s">
        <v>1349</v>
      </c>
    </row>
    <row r="48" spans="1:9" ht="15" customHeight="1" thickBot="1" x14ac:dyDescent="0.3">
      <c r="A48" s="1544"/>
      <c r="B48" s="1545" t="s">
        <v>73</v>
      </c>
      <c r="C48" s="1546"/>
      <c r="D48" s="1546"/>
      <c r="E48" s="1546"/>
      <c r="F48" s="1547" t="s">
        <v>1350</v>
      </c>
    </row>
    <row r="49" spans="1:9" ht="14.25" hidden="1" customHeight="1" thickTop="1" x14ac:dyDescent="0.25">
      <c r="A49" s="1548"/>
      <c r="B49" s="1515"/>
      <c r="C49" s="1516"/>
      <c r="D49" s="1516"/>
      <c r="E49" s="1516"/>
      <c r="F49" s="1517"/>
      <c r="G49" s="1519"/>
      <c r="H49" s="1518"/>
      <c r="I49" s="1494"/>
    </row>
    <row r="50" spans="1:9" ht="14.25" hidden="1" customHeight="1" x14ac:dyDescent="0.25">
      <c r="A50" s="1548">
        <v>38729</v>
      </c>
      <c r="B50" s="1515">
        <v>153782.29360303676</v>
      </c>
      <c r="C50" s="1516">
        <v>7228.4275840328573</v>
      </c>
      <c r="D50" s="1516">
        <v>6151.2917441214704</v>
      </c>
      <c r="E50" s="1516">
        <v>1077.1358399113869</v>
      </c>
      <c r="F50" s="1517">
        <v>4.7004290381387026</v>
      </c>
      <c r="G50" s="1519"/>
      <c r="H50" s="1518"/>
      <c r="I50" s="1494"/>
    </row>
    <row r="51" spans="1:9" ht="14.25" hidden="1" customHeight="1" x14ac:dyDescent="0.25">
      <c r="A51" s="1548">
        <v>38736</v>
      </c>
      <c r="B51" s="1515">
        <v>154523.87104306812</v>
      </c>
      <c r="C51" s="1516">
        <v>8157.2500000018554</v>
      </c>
      <c r="D51" s="1516">
        <v>6180.9548417227252</v>
      </c>
      <c r="E51" s="1516">
        <v>1976.2951582791302</v>
      </c>
      <c r="F51" s="1517">
        <v>5.278957836701041</v>
      </c>
      <c r="G51" s="1519"/>
      <c r="H51" s="1518"/>
      <c r="I51" s="1494"/>
    </row>
    <row r="52" spans="1:9" ht="14.25" hidden="1" customHeight="1" x14ac:dyDescent="0.25">
      <c r="A52" s="1548">
        <v>38743</v>
      </c>
      <c r="B52" s="1515">
        <v>155377.32746078051</v>
      </c>
      <c r="C52" s="1516">
        <v>8058.3304197925554</v>
      </c>
      <c r="D52" s="1516">
        <v>6215.0930984312208</v>
      </c>
      <c r="E52" s="1516">
        <v>1843.2373213613346</v>
      </c>
      <c r="F52" s="1517">
        <v>5.1862974807740816</v>
      </c>
      <c r="G52" s="1519"/>
      <c r="H52" s="1518"/>
      <c r="I52" s="1494"/>
    </row>
    <row r="53" spans="1:9" ht="14.25" hidden="1" customHeight="1" x14ac:dyDescent="0.25">
      <c r="A53" s="1548">
        <v>38750</v>
      </c>
      <c r="B53" s="1515">
        <v>156903.38801180452</v>
      </c>
      <c r="C53" s="1516">
        <v>7948.6677768985737</v>
      </c>
      <c r="D53" s="1516">
        <v>6276.1355204721813</v>
      </c>
      <c r="E53" s="1516">
        <v>1672.5322564263925</v>
      </c>
      <c r="F53" s="1517">
        <v>5.0659631239451377</v>
      </c>
      <c r="G53" s="1519"/>
      <c r="H53" s="1518"/>
      <c r="I53" s="1494"/>
    </row>
    <row r="54" spans="1:9" ht="14.25" hidden="1" customHeight="1" x14ac:dyDescent="0.25">
      <c r="A54" s="1548">
        <v>38757</v>
      </c>
      <c r="B54" s="1515">
        <v>157942.65144743051</v>
      </c>
      <c r="C54" s="1516">
        <v>7095.3367647868563</v>
      </c>
      <c r="D54" s="1516">
        <v>6317.7060578972205</v>
      </c>
      <c r="E54" s="1516">
        <v>777</v>
      </c>
      <c r="F54" s="1517">
        <v>4.4923500395638607</v>
      </c>
      <c r="G54" s="1519"/>
      <c r="H54" s="1518"/>
      <c r="I54" s="1494"/>
    </row>
    <row r="55" spans="1:9" ht="14.25" hidden="1" customHeight="1" x14ac:dyDescent="0.25">
      <c r="A55" s="1548">
        <v>38764</v>
      </c>
      <c r="B55" s="1515">
        <v>157892.96292783719</v>
      </c>
      <c r="C55" s="1516">
        <v>6892.2547491041414</v>
      </c>
      <c r="D55" s="1516">
        <v>6315.7185171134879</v>
      </c>
      <c r="E55" s="1516">
        <v>576</v>
      </c>
      <c r="F55" s="1517">
        <v>4.3651437159071822</v>
      </c>
      <c r="G55" s="1519"/>
      <c r="H55" s="1518"/>
      <c r="I55" s="1494"/>
    </row>
    <row r="56" spans="1:9" ht="14.25" hidden="1" customHeight="1" x14ac:dyDescent="0.25">
      <c r="A56" s="1548">
        <v>38771</v>
      </c>
      <c r="B56" s="1515">
        <v>156840.653875863</v>
      </c>
      <c r="C56" s="1516">
        <v>8233.083239876476</v>
      </c>
      <c r="D56" s="1516">
        <v>6273.6261550345207</v>
      </c>
      <c r="E56" s="1516">
        <v>1959.4570848419553</v>
      </c>
      <c r="F56" s="1517">
        <v>5.2493298366333239</v>
      </c>
      <c r="G56" s="1519"/>
      <c r="H56" s="1518"/>
      <c r="I56" s="1494"/>
    </row>
    <row r="57" spans="1:9" ht="14.25" hidden="1" customHeight="1" x14ac:dyDescent="0.25">
      <c r="A57" s="1548">
        <v>38778</v>
      </c>
      <c r="B57" s="1515">
        <v>157035.26206326496</v>
      </c>
      <c r="C57" s="1516">
        <v>8415.2168169094275</v>
      </c>
      <c r="D57" s="1516">
        <v>6281.4104825305985</v>
      </c>
      <c r="E57" s="1516">
        <v>2133.806334378829</v>
      </c>
      <c r="F57" s="1517">
        <v>5.3588071279934439</v>
      </c>
      <c r="G57" s="1519"/>
      <c r="H57" s="1518"/>
      <c r="I57" s="1494"/>
    </row>
    <row r="58" spans="1:9" ht="14.25" hidden="1" customHeight="1" x14ac:dyDescent="0.25">
      <c r="A58" s="1548">
        <v>38785</v>
      </c>
      <c r="B58" s="1515">
        <v>159496.62756170644</v>
      </c>
      <c r="C58" s="1516">
        <v>8479.902991244473</v>
      </c>
      <c r="D58" s="1516">
        <v>6379.8651024682576</v>
      </c>
      <c r="E58" s="1516">
        <v>2100.0378887762154</v>
      </c>
      <c r="F58" s="1517">
        <v>5.3166660141223039</v>
      </c>
      <c r="G58" s="1519"/>
      <c r="H58" s="1518"/>
      <c r="I58" s="1494"/>
    </row>
    <row r="59" spans="1:9" ht="14.25" hidden="1" customHeight="1" x14ac:dyDescent="0.25">
      <c r="A59" s="1548">
        <v>38792</v>
      </c>
      <c r="B59" s="1515">
        <v>160653.33505307449</v>
      </c>
      <c r="C59" s="1516">
        <v>8150.7274809736573</v>
      </c>
      <c r="D59" s="1516">
        <v>6426.1334021229795</v>
      </c>
      <c r="E59" s="1516">
        <v>1724.5940788506778</v>
      </c>
      <c r="F59" s="1517">
        <v>5.0734878789045545</v>
      </c>
      <c r="G59" s="1519"/>
      <c r="H59" s="1518"/>
      <c r="I59" s="1494"/>
    </row>
    <row r="60" spans="1:9" ht="14.25" hidden="1" customHeight="1" x14ac:dyDescent="0.25">
      <c r="A60" s="1548">
        <v>38799</v>
      </c>
      <c r="B60" s="1515">
        <v>160906.33715823339</v>
      </c>
      <c r="C60" s="1516">
        <v>8127.6852659412689</v>
      </c>
      <c r="D60" s="1516">
        <v>6436.2534863293358</v>
      </c>
      <c r="E60" s="1516">
        <v>1691.83177961193</v>
      </c>
      <c r="F60" s="1517">
        <v>5.0511902821755239</v>
      </c>
      <c r="G60" s="1519"/>
      <c r="H60" s="1518"/>
      <c r="I60" s="1494"/>
    </row>
    <row r="61" spans="1:9" ht="14.25" hidden="1" customHeight="1" x14ac:dyDescent="0.25">
      <c r="A61" s="1548">
        <v>38806</v>
      </c>
      <c r="B61" s="1515">
        <v>160723.57525876223</v>
      </c>
      <c r="C61" s="1516">
        <v>8134.2152993961672</v>
      </c>
      <c r="D61" s="1516">
        <v>6428.9430103504892</v>
      </c>
      <c r="E61" s="1516">
        <v>1705.272289045678</v>
      </c>
      <c r="F61" s="1517">
        <v>5.0609969858499095</v>
      </c>
      <c r="G61" s="1519"/>
      <c r="H61" s="1518"/>
      <c r="I61" s="1494"/>
    </row>
    <row r="62" spans="1:9" ht="14.25" hidden="1" customHeight="1" x14ac:dyDescent="0.25">
      <c r="A62" s="1548">
        <v>38813</v>
      </c>
      <c r="B62" s="1515">
        <v>161090.5443426948</v>
      </c>
      <c r="C62" s="1516">
        <v>8215.7013735183355</v>
      </c>
      <c r="D62" s="1516">
        <v>6443.6217737077923</v>
      </c>
      <c r="E62" s="1516">
        <v>1772.0795998105432</v>
      </c>
      <c r="F62" s="1517">
        <v>5.1000519037546503</v>
      </c>
      <c r="G62" s="1519"/>
      <c r="H62" s="1518"/>
      <c r="I62" s="1494"/>
    </row>
    <row r="63" spans="1:9" ht="14.25" hidden="1" customHeight="1" x14ac:dyDescent="0.25">
      <c r="A63" s="1548">
        <v>38820</v>
      </c>
      <c r="B63" s="1515">
        <v>162373.00752694369</v>
      </c>
      <c r="C63" s="1516">
        <v>7925.8350080035643</v>
      </c>
      <c r="D63" s="1516">
        <v>6494.9203010777483</v>
      </c>
      <c r="E63" s="1516">
        <v>1430.9147069258161</v>
      </c>
      <c r="F63" s="1517">
        <v>4.881251587760592</v>
      </c>
      <c r="G63" s="1519"/>
      <c r="H63" s="1518"/>
      <c r="I63" s="1494"/>
    </row>
    <row r="64" spans="1:9" ht="14.25" hidden="1" customHeight="1" x14ac:dyDescent="0.25">
      <c r="A64" s="1548">
        <v>38827</v>
      </c>
      <c r="B64" s="1515">
        <v>161097.05880838764</v>
      </c>
      <c r="C64" s="1516">
        <v>8076.0716443789252</v>
      </c>
      <c r="D64" s="1516">
        <v>6443.8823523355059</v>
      </c>
      <c r="E64" s="1516">
        <v>1632.1892920434193</v>
      </c>
      <c r="F64" s="1517">
        <v>5.0131713788671846</v>
      </c>
      <c r="G64" s="1519"/>
      <c r="H64" s="1518"/>
      <c r="I64" s="1494"/>
    </row>
    <row r="65" spans="1:9" ht="14.25" hidden="1" customHeight="1" x14ac:dyDescent="0.25">
      <c r="A65" s="1548">
        <v>38834</v>
      </c>
      <c r="B65" s="1515">
        <v>161113.22089947766</v>
      </c>
      <c r="C65" s="1516">
        <v>7884.0995082156987</v>
      </c>
      <c r="D65" s="1516">
        <v>6444.5288359791066</v>
      </c>
      <c r="E65" s="1516">
        <v>1438.5706722365921</v>
      </c>
      <c r="F65" s="1517">
        <v>4.8935149233561503</v>
      </c>
      <c r="G65" s="1519"/>
      <c r="H65" s="1518"/>
      <c r="I65" s="1494"/>
    </row>
    <row r="66" spans="1:9" ht="14.25" hidden="1" customHeight="1" x14ac:dyDescent="0.25">
      <c r="A66" s="1548">
        <v>38841</v>
      </c>
      <c r="B66" s="1515">
        <v>161698.56550938345</v>
      </c>
      <c r="C66" s="1516">
        <v>7919.582225340705</v>
      </c>
      <c r="D66" s="1516">
        <v>6467.9426203753383</v>
      </c>
      <c r="E66" s="1516">
        <v>1451.6396049653667</v>
      </c>
      <c r="F66" s="1517">
        <v>4.8977442690307154</v>
      </c>
      <c r="G66" s="1519"/>
      <c r="H66" s="1518"/>
      <c r="I66" s="1494"/>
    </row>
    <row r="67" spans="1:9" ht="14.25" hidden="1" customHeight="1" x14ac:dyDescent="0.25">
      <c r="A67" s="1548">
        <v>38848</v>
      </c>
      <c r="B67" s="1515">
        <v>162608.5508347479</v>
      </c>
      <c r="C67" s="1516">
        <v>7549.8429559596707</v>
      </c>
      <c r="D67" s="1516">
        <v>6504.3420333899167</v>
      </c>
      <c r="E67" s="1516">
        <v>1045.500922569754</v>
      </c>
      <c r="F67" s="1517">
        <v>4.6429556854191834</v>
      </c>
      <c r="G67" s="1519"/>
      <c r="H67" s="1518"/>
      <c r="I67" s="1494"/>
    </row>
    <row r="68" spans="1:9" ht="14.25" hidden="1" customHeight="1" x14ac:dyDescent="0.25">
      <c r="A68" s="1548">
        <v>38855</v>
      </c>
      <c r="B68" s="1515">
        <v>162454.26037565761</v>
      </c>
      <c r="C68" s="1516">
        <v>7399.187091392273</v>
      </c>
      <c r="D68" s="1516">
        <v>6498.1704150263049</v>
      </c>
      <c r="E68" s="1516">
        <v>901.01667636596812</v>
      </c>
      <c r="F68" s="1517">
        <v>4.5546279145172717</v>
      </c>
      <c r="G68" s="1519"/>
      <c r="H68" s="1518"/>
      <c r="I68" s="1494"/>
    </row>
    <row r="69" spans="1:9" ht="14.25" hidden="1" customHeight="1" x14ac:dyDescent="0.25">
      <c r="A69" s="1548">
        <v>38862</v>
      </c>
      <c r="B69" s="1515">
        <v>158465.99687259767</v>
      </c>
      <c r="C69" s="1516">
        <v>7796.4720659952136</v>
      </c>
      <c r="D69" s="1516">
        <v>6338.6398749039072</v>
      </c>
      <c r="E69" s="1516">
        <v>1456.8321910913064</v>
      </c>
      <c r="F69" s="1517">
        <v>4.9199653047734682</v>
      </c>
      <c r="G69" s="1519"/>
      <c r="H69" s="1518"/>
      <c r="I69" s="1494"/>
    </row>
    <row r="70" spans="1:9" ht="14.25" hidden="1" customHeight="1" x14ac:dyDescent="0.25">
      <c r="A70" s="1548">
        <v>38869</v>
      </c>
      <c r="B70" s="1515">
        <v>158189.36168942397</v>
      </c>
      <c r="C70" s="1516">
        <v>7274.3285202963025</v>
      </c>
      <c r="D70" s="1516">
        <v>6327.5744675769593</v>
      </c>
      <c r="E70" s="1516">
        <v>945.75405271934324</v>
      </c>
      <c r="F70" s="1517">
        <v>4.5984941355147022</v>
      </c>
      <c r="G70" s="1519"/>
      <c r="H70" s="1518"/>
      <c r="I70" s="1494"/>
    </row>
    <row r="71" spans="1:9" ht="14.25" hidden="1" customHeight="1" thickTop="1" x14ac:dyDescent="0.25">
      <c r="A71" s="1548">
        <v>38876</v>
      </c>
      <c r="B71" s="1515">
        <v>159093.19034403467</v>
      </c>
      <c r="C71" s="1516">
        <v>7155.3168934321102</v>
      </c>
      <c r="D71" s="1516">
        <v>6363.7276137613871</v>
      </c>
      <c r="E71" s="1516">
        <v>790.58927967072304</v>
      </c>
      <c r="F71" s="1517">
        <v>4.4975632696527947</v>
      </c>
      <c r="G71" s="1519"/>
      <c r="H71" s="1518"/>
      <c r="I71" s="1494"/>
    </row>
    <row r="72" spans="1:9" ht="14.25" hidden="1" customHeight="1" x14ac:dyDescent="0.25">
      <c r="A72" s="1548">
        <v>38883</v>
      </c>
      <c r="B72" s="1515">
        <v>158591.51480510586</v>
      </c>
      <c r="C72" s="1516">
        <v>7817.6053724801659</v>
      </c>
      <c r="D72" s="1516">
        <v>6343.6605922042345</v>
      </c>
      <c r="E72" s="1516">
        <v>1473.9447802759314</v>
      </c>
      <c r="F72" s="1517">
        <v>4.9293969996359968</v>
      </c>
      <c r="G72" s="1519"/>
      <c r="H72" s="1518"/>
      <c r="I72" s="1494"/>
    </row>
    <row r="73" spans="1:9" ht="14.25" hidden="1" customHeight="1" x14ac:dyDescent="0.25">
      <c r="A73" s="1548">
        <v>38890</v>
      </c>
      <c r="B73" s="1515">
        <v>159947.79499417657</v>
      </c>
      <c r="C73" s="1516">
        <v>7862.3074926993095</v>
      </c>
      <c r="D73" s="1516">
        <v>6397.9117997670628</v>
      </c>
      <c r="E73" s="1516">
        <v>1464.3956929322467</v>
      </c>
      <c r="F73" s="1517">
        <v>4.9155460336202594</v>
      </c>
      <c r="G73" s="1519"/>
      <c r="H73" s="1518"/>
      <c r="I73" s="1494"/>
    </row>
    <row r="74" spans="1:9" ht="14.25" hidden="1" customHeight="1" x14ac:dyDescent="0.25">
      <c r="A74" s="1548">
        <v>38897</v>
      </c>
      <c r="B74" s="1515">
        <v>160467.4700069761</v>
      </c>
      <c r="C74" s="1516">
        <v>8056.7026266599287</v>
      </c>
      <c r="D74" s="1516">
        <v>6418.698800279044</v>
      </c>
      <c r="E74" s="1516">
        <v>1638.0038263808847</v>
      </c>
      <c r="F74" s="1517">
        <v>5.020770020434469</v>
      </c>
      <c r="G74" s="1519"/>
      <c r="H74" s="1518"/>
      <c r="I74" s="1494"/>
    </row>
    <row r="75" spans="1:9" ht="14.25" hidden="1" customHeight="1" x14ac:dyDescent="0.25">
      <c r="A75" s="1548">
        <v>38904</v>
      </c>
      <c r="B75" s="1515">
        <v>161149.77941564805</v>
      </c>
      <c r="C75" s="1516">
        <v>9014.3925631275943</v>
      </c>
      <c r="D75" s="1516">
        <v>6445.991176625922</v>
      </c>
      <c r="E75" s="1516">
        <v>2568.4013865016723</v>
      </c>
      <c r="F75" s="1517">
        <v>5.5937976432949892</v>
      </c>
      <c r="G75" s="1519"/>
      <c r="H75" s="1518"/>
      <c r="I75" s="1494"/>
    </row>
    <row r="76" spans="1:9" ht="14.25" hidden="1" customHeight="1" x14ac:dyDescent="0.25">
      <c r="A76" s="1548">
        <v>38911</v>
      </c>
      <c r="B76" s="1515">
        <v>165064.69805548631</v>
      </c>
      <c r="C76" s="1516">
        <v>8904.4394299534488</v>
      </c>
      <c r="D76" s="1516">
        <v>6602.5879222194526</v>
      </c>
      <c r="E76" s="1516">
        <v>2300.8515077339962</v>
      </c>
      <c r="F76" s="1517">
        <v>5.3945147174717096</v>
      </c>
      <c r="G76" s="1519"/>
      <c r="H76" s="1518"/>
      <c r="I76" s="1494"/>
    </row>
    <row r="77" spans="1:9" ht="14.25" hidden="1" customHeight="1" x14ac:dyDescent="0.25">
      <c r="A77" s="1548">
        <v>38918</v>
      </c>
      <c r="B77" s="1515">
        <v>170488.70489670167</v>
      </c>
      <c r="C77" s="1516">
        <v>8712.0113657588627</v>
      </c>
      <c r="D77" s="1516">
        <v>6819.5481958680675</v>
      </c>
      <c r="E77" s="1516">
        <v>1892.4631698907951</v>
      </c>
      <c r="F77" s="1517">
        <v>5.1100226088510849</v>
      </c>
      <c r="G77" s="1519"/>
      <c r="H77" s="1518"/>
      <c r="I77" s="1494"/>
    </row>
    <row r="78" spans="1:9" ht="14.25" hidden="1" customHeight="1" x14ac:dyDescent="0.25">
      <c r="A78" s="1548">
        <v>38925</v>
      </c>
      <c r="B78" s="1515">
        <v>171285.85861932192</v>
      </c>
      <c r="C78" s="1516">
        <v>8189.6413357018964</v>
      </c>
      <c r="D78" s="1516">
        <v>6851.434344772877</v>
      </c>
      <c r="E78" s="1516">
        <v>1339.2069909290194</v>
      </c>
      <c r="F78" s="1517">
        <v>4.781271146208951</v>
      </c>
      <c r="G78" s="1519"/>
      <c r="H78" s="1518"/>
      <c r="I78" s="1494"/>
    </row>
    <row r="79" spans="1:9" ht="14.25" hidden="1" customHeight="1" x14ac:dyDescent="0.25">
      <c r="A79" s="1548">
        <v>38932</v>
      </c>
      <c r="B79" s="1515">
        <v>173271.54989305936</v>
      </c>
      <c r="C79" s="1516">
        <v>7993.0646982967537</v>
      </c>
      <c r="D79" s="1516">
        <v>6930.8619957223746</v>
      </c>
      <c r="E79" s="1516">
        <v>1062.2027025743791</v>
      </c>
      <c r="F79" s="1517">
        <v>4.6130277608932078</v>
      </c>
      <c r="G79" s="1519"/>
      <c r="H79" s="1518"/>
      <c r="I79" s="1494"/>
    </row>
    <row r="80" spans="1:9" ht="14.25" hidden="1" customHeight="1" x14ac:dyDescent="0.25">
      <c r="A80" s="1548">
        <v>38939</v>
      </c>
      <c r="B80" s="1515">
        <v>174234.69392788576</v>
      </c>
      <c r="C80" s="1516">
        <v>7686.0319239756782</v>
      </c>
      <c r="D80" s="1516">
        <v>6969.3877571154308</v>
      </c>
      <c r="E80" s="1516">
        <v>716.64416686024742</v>
      </c>
      <c r="F80" s="1517">
        <v>4.4113096827643634</v>
      </c>
      <c r="G80" s="1519"/>
      <c r="H80" s="1518"/>
      <c r="I80" s="1494"/>
    </row>
    <row r="81" spans="1:9" ht="14.25" hidden="1" customHeight="1" x14ac:dyDescent="0.25">
      <c r="A81" s="1548">
        <v>38946</v>
      </c>
      <c r="B81" s="1515">
        <v>174004.14017262176</v>
      </c>
      <c r="C81" s="1516">
        <v>7290.47508382661</v>
      </c>
      <c r="D81" s="1516">
        <v>6960.1656069048704</v>
      </c>
      <c r="E81" s="1516">
        <v>330.30947692173959</v>
      </c>
      <c r="F81" s="1517">
        <v>4.189828515915802</v>
      </c>
      <c r="G81" s="1519"/>
      <c r="H81" s="1518"/>
      <c r="I81" s="1494"/>
    </row>
    <row r="82" spans="1:9" ht="14.25" hidden="1" customHeight="1" x14ac:dyDescent="0.25">
      <c r="A82" s="1548">
        <v>38953</v>
      </c>
      <c r="B82" s="1515">
        <v>173721.48505651942</v>
      </c>
      <c r="C82" s="1516">
        <v>7563.4244622118276</v>
      </c>
      <c r="D82" s="1516">
        <v>6948.8594022607767</v>
      </c>
      <c r="E82" s="1516">
        <v>613.5650599510509</v>
      </c>
      <c r="F82" s="1517">
        <v>4.3537645673194101</v>
      </c>
      <c r="G82" s="1519"/>
      <c r="H82" s="1518"/>
      <c r="I82" s="1494"/>
    </row>
    <row r="83" spans="1:9" ht="14.25" hidden="1" customHeight="1" x14ac:dyDescent="0.25">
      <c r="A83" s="1548">
        <v>38960</v>
      </c>
      <c r="B83" s="1515">
        <v>174605.59156800696</v>
      </c>
      <c r="C83" s="1516">
        <v>7051.4789576627199</v>
      </c>
      <c r="D83" s="1516">
        <v>6984.2236627202783</v>
      </c>
      <c r="E83" s="1516">
        <v>67.255294942441651</v>
      </c>
      <c r="F83" s="1517">
        <v>4.0385184084532861</v>
      </c>
      <c r="G83" s="1519"/>
      <c r="H83" s="1518"/>
      <c r="I83" s="1494"/>
    </row>
    <row r="84" spans="1:9" ht="14.25" hidden="1" customHeight="1" x14ac:dyDescent="0.25">
      <c r="A84" s="1548">
        <v>38967</v>
      </c>
      <c r="B84" s="1515">
        <v>175519.41155745526</v>
      </c>
      <c r="C84" s="1516">
        <v>7183.5427712820001</v>
      </c>
      <c r="D84" s="1516">
        <v>7020.7764622982104</v>
      </c>
      <c r="E84" s="1516">
        <v>162.76630898378971</v>
      </c>
      <c r="F84" s="1517">
        <v>4.092734078549773</v>
      </c>
      <c r="G84" s="1519"/>
      <c r="H84" s="1518"/>
      <c r="I84" s="1494"/>
    </row>
    <row r="85" spans="1:9" ht="14.25" hidden="1" customHeight="1" x14ac:dyDescent="0.25">
      <c r="A85" s="1548">
        <v>38974</v>
      </c>
      <c r="B85" s="1515">
        <v>176291.68867709188</v>
      </c>
      <c r="C85" s="1516">
        <v>7328.0753868838956</v>
      </c>
      <c r="D85" s="1516">
        <v>7051.6675470836753</v>
      </c>
      <c r="E85" s="1516">
        <v>276.40783980022024</v>
      </c>
      <c r="F85" s="1517">
        <v>4.1567900573614152</v>
      </c>
      <c r="G85" s="1519"/>
      <c r="H85" s="1518"/>
      <c r="I85" s="1494"/>
    </row>
    <row r="86" spans="1:9" ht="14.25" hidden="1" customHeight="1" x14ac:dyDescent="0.25">
      <c r="A86" s="1548">
        <v>38981</v>
      </c>
      <c r="B86" s="1515">
        <v>175326.74342566461</v>
      </c>
      <c r="C86" s="1516">
        <v>7748.410919611707</v>
      </c>
      <c r="D86" s="1516">
        <v>7013.0697370265843</v>
      </c>
      <c r="E86" s="1516">
        <v>735.34118258512262</v>
      </c>
      <c r="F86" s="1517">
        <v>4.4194118753462703</v>
      </c>
      <c r="G86" s="1519"/>
      <c r="H86" s="1518"/>
      <c r="I86" s="1494"/>
    </row>
    <row r="87" spans="1:9" ht="14.25" hidden="1" customHeight="1" x14ac:dyDescent="0.25">
      <c r="A87" s="1548">
        <v>38988</v>
      </c>
      <c r="B87" s="1515">
        <v>176297.54468759859</v>
      </c>
      <c r="C87" s="1516">
        <v>7878.3848199870326</v>
      </c>
      <c r="D87" s="1516">
        <v>7051.9017875039435</v>
      </c>
      <c r="E87" s="1516">
        <v>826.48303248308912</v>
      </c>
      <c r="F87" s="1517">
        <v>4.4688000811058526</v>
      </c>
      <c r="G87" s="1519"/>
      <c r="H87" s="1518"/>
      <c r="I87" s="1494"/>
    </row>
    <row r="88" spans="1:9" ht="14.25" hidden="1" customHeight="1" x14ac:dyDescent="0.25">
      <c r="A88" s="1548">
        <v>38995</v>
      </c>
      <c r="B88" s="1515">
        <v>175017.23956124578</v>
      </c>
      <c r="C88" s="1516">
        <v>7553.232730269342</v>
      </c>
      <c r="D88" s="1516">
        <v>7000.6895824498315</v>
      </c>
      <c r="E88" s="1516">
        <v>551.54314781951052</v>
      </c>
      <c r="F88" s="1517">
        <v>4.3157078406702629</v>
      </c>
      <c r="G88" s="1519"/>
      <c r="H88" s="1518"/>
      <c r="I88" s="1494"/>
    </row>
    <row r="89" spans="1:9" ht="14.25" hidden="1" customHeight="1" x14ac:dyDescent="0.25">
      <c r="A89" s="1548">
        <v>39002</v>
      </c>
      <c r="B89" s="1549">
        <v>177148.8601876598</v>
      </c>
      <c r="C89" s="1516">
        <v>7218.0139377776186</v>
      </c>
      <c r="D89" s="1516">
        <v>7085.9544075063923</v>
      </c>
      <c r="E89" s="1516">
        <v>132.05953027122632</v>
      </c>
      <c r="F89" s="1550">
        <v>4.0745472085630876</v>
      </c>
      <c r="G89" s="1519"/>
      <c r="H89" s="1518"/>
      <c r="I89" s="1494"/>
    </row>
    <row r="90" spans="1:9" ht="14.25" hidden="1" customHeight="1" x14ac:dyDescent="0.25">
      <c r="A90" s="1548">
        <v>39009</v>
      </c>
      <c r="B90" s="1549">
        <v>175199.79006843019</v>
      </c>
      <c r="C90" s="1516">
        <v>7419.4180475158346</v>
      </c>
      <c r="D90" s="1516">
        <v>7007.9916027372074</v>
      </c>
      <c r="E90" s="1516">
        <v>411.42644477862723</v>
      </c>
      <c r="F90" s="1550">
        <v>4.234832727035764</v>
      </c>
      <c r="G90" s="1519"/>
      <c r="H90" s="1518"/>
      <c r="I90" s="1494"/>
    </row>
    <row r="91" spans="1:9" ht="14.25" hidden="1" customHeight="1" x14ac:dyDescent="0.25">
      <c r="A91" s="1548">
        <v>39016</v>
      </c>
      <c r="B91" s="1549">
        <v>174732.85078069891</v>
      </c>
      <c r="C91" s="1516">
        <v>7311.6011365986033</v>
      </c>
      <c r="D91" s="1516">
        <v>6989.3140312279565</v>
      </c>
      <c r="E91" s="1516">
        <v>323.28710537064671</v>
      </c>
      <c r="F91" s="1550">
        <v>4.1844456288160368</v>
      </c>
      <c r="G91" s="1519"/>
      <c r="H91" s="1518"/>
      <c r="I91" s="1494"/>
    </row>
    <row r="92" spans="1:9" ht="14.25" hidden="1" customHeight="1" x14ac:dyDescent="0.25">
      <c r="A92" s="1548">
        <v>39023</v>
      </c>
      <c r="B92" s="1549">
        <v>173700.15988749266</v>
      </c>
      <c r="C92" s="1516">
        <v>7495.0508483375625</v>
      </c>
      <c r="D92" s="1516">
        <v>6948.0063954997067</v>
      </c>
      <c r="E92" s="1516">
        <v>547.04445283785572</v>
      </c>
      <c r="F92" s="1550">
        <v>4.3149360675270438</v>
      </c>
      <c r="G92" s="1519"/>
      <c r="H92" s="1518"/>
      <c r="I92" s="1494"/>
    </row>
    <row r="93" spans="1:9" ht="14.25" hidden="1" customHeight="1" x14ac:dyDescent="0.25">
      <c r="A93" s="1548">
        <v>39030</v>
      </c>
      <c r="B93" s="1549">
        <v>175300.75223542133</v>
      </c>
      <c r="C93" s="1516">
        <v>7633.7547077063891</v>
      </c>
      <c r="D93" s="1516">
        <v>7012.0300894168531</v>
      </c>
      <c r="E93" s="1516">
        <v>621.72461828953601</v>
      </c>
      <c r="F93" s="1550">
        <v>4.3546616944658556</v>
      </c>
      <c r="G93" s="1519"/>
      <c r="H93" s="1518"/>
      <c r="I93" s="1494"/>
    </row>
    <row r="94" spans="1:9" ht="14.25" hidden="1" customHeight="1" x14ac:dyDescent="0.25">
      <c r="A94" s="1548">
        <v>39037</v>
      </c>
      <c r="B94" s="1549">
        <v>175128.61295668042</v>
      </c>
      <c r="C94" s="1516">
        <v>7718.7052684523051</v>
      </c>
      <c r="D94" s="1516">
        <v>7005.1445182672169</v>
      </c>
      <c r="E94" s="1516">
        <v>713.56075018508818</v>
      </c>
      <c r="F94" s="1550">
        <v>4.4074495527247706</v>
      </c>
      <c r="G94" s="1519"/>
      <c r="H94" s="1518"/>
      <c r="I94" s="1494"/>
    </row>
    <row r="95" spans="1:9" ht="14.25" hidden="1" customHeight="1" x14ac:dyDescent="0.25">
      <c r="A95" s="1548">
        <v>39044</v>
      </c>
      <c r="B95" s="1549">
        <v>173699.00701796435</v>
      </c>
      <c r="C95" s="1516">
        <v>7633.6855278628136</v>
      </c>
      <c r="D95" s="1516">
        <v>6947.9602807185738</v>
      </c>
      <c r="E95" s="1516">
        <v>685.7252471442398</v>
      </c>
      <c r="F95" s="1550">
        <v>4.3947778740458316</v>
      </c>
      <c r="G95" s="1519"/>
      <c r="H95" s="1518"/>
      <c r="I95" s="1494"/>
    </row>
    <row r="96" spans="1:9" s="1557" customFormat="1" ht="14.25" hidden="1" customHeight="1" x14ac:dyDescent="0.2">
      <c r="A96" s="1551">
        <v>39051</v>
      </c>
      <c r="B96" s="1552">
        <v>175348.59575334334</v>
      </c>
      <c r="C96" s="1553">
        <v>7406.1914208299995</v>
      </c>
      <c r="D96" s="1553">
        <v>7013.9438301337341</v>
      </c>
      <c r="E96" s="1553">
        <v>392.24759069626543</v>
      </c>
      <c r="F96" s="1554">
        <v>4.2236958836260241</v>
      </c>
      <c r="G96" s="1555"/>
      <c r="H96" s="1518"/>
      <c r="I96" s="1556"/>
    </row>
    <row r="97" spans="1:9" s="1557" customFormat="1" ht="14.25" hidden="1" customHeight="1" x14ac:dyDescent="0.2">
      <c r="A97" s="1551">
        <v>39058</v>
      </c>
      <c r="B97" s="1558">
        <v>174123.62203482338</v>
      </c>
      <c r="C97" s="1553">
        <v>7165.379617132382</v>
      </c>
      <c r="D97" s="1553">
        <v>6964.9448813929348</v>
      </c>
      <c r="E97" s="1553">
        <v>200.43473573944721</v>
      </c>
      <c r="F97" s="1559">
        <v>4.115110594069403</v>
      </c>
      <c r="G97" s="1555"/>
      <c r="H97" s="1518"/>
      <c r="I97" s="1556"/>
    </row>
    <row r="98" spans="1:9" s="1557" customFormat="1" ht="14.25" hidden="1" customHeight="1" x14ac:dyDescent="0.2">
      <c r="A98" s="1551">
        <v>39065</v>
      </c>
      <c r="B98" s="1558">
        <v>175467.18460444771</v>
      </c>
      <c r="C98" s="1553">
        <v>7566.2687555857128</v>
      </c>
      <c r="D98" s="1553">
        <v>7018.6873841779088</v>
      </c>
      <c r="E98" s="1553">
        <v>546.581371407804</v>
      </c>
      <c r="F98" s="1559">
        <v>4.3120705291090218</v>
      </c>
      <c r="G98" s="1555"/>
      <c r="H98" s="1518"/>
      <c r="I98" s="1556"/>
    </row>
    <row r="99" spans="1:9" s="1557" customFormat="1" ht="14.25" hidden="1" customHeight="1" x14ac:dyDescent="0.2">
      <c r="A99" s="1551">
        <v>39072</v>
      </c>
      <c r="B99" s="1558">
        <v>174464.36429310087</v>
      </c>
      <c r="C99" s="1553">
        <v>8333.5843580790479</v>
      </c>
      <c r="D99" s="1553">
        <v>6978.5745717240352</v>
      </c>
      <c r="E99" s="1553">
        <v>1355.0097863550127</v>
      </c>
      <c r="F99" s="1559">
        <v>4.7766685144242933</v>
      </c>
      <c r="G99" s="1555"/>
      <c r="H99" s="1518"/>
      <c r="I99" s="1556"/>
    </row>
    <row r="100" spans="1:9" s="1557" customFormat="1" ht="14.25" hidden="1" customHeight="1" x14ac:dyDescent="0.2">
      <c r="A100" s="1551">
        <v>39079</v>
      </c>
      <c r="B100" s="1552">
        <v>176164.39974517582</v>
      </c>
      <c r="C100" s="1553">
        <v>8176.6953529888096</v>
      </c>
      <c r="D100" s="1553">
        <v>7046.5759898070328</v>
      </c>
      <c r="E100" s="1553">
        <v>1130.1193631817769</v>
      </c>
      <c r="F100" s="1554">
        <v>4.6415140430282786</v>
      </c>
      <c r="G100" s="1555"/>
      <c r="H100" s="1518"/>
      <c r="I100" s="1556"/>
    </row>
    <row r="101" spans="1:9" s="1557" customFormat="1" ht="14.25" hidden="1" customHeight="1" x14ac:dyDescent="0.2">
      <c r="A101" s="1551">
        <v>39086</v>
      </c>
      <c r="B101" s="1558">
        <v>178527.73221328968</v>
      </c>
      <c r="C101" s="1553">
        <v>8093.7594466471419</v>
      </c>
      <c r="D101" s="1553">
        <v>7141.1092885315875</v>
      </c>
      <c r="E101" s="1553">
        <v>952.6501581155544</v>
      </c>
      <c r="F101" s="1559">
        <v>4.5336146638424832</v>
      </c>
      <c r="G101" s="1555"/>
      <c r="H101" s="1518"/>
      <c r="I101" s="1556"/>
    </row>
    <row r="102" spans="1:9" s="1557" customFormat="1" ht="14.25" hidden="1" customHeight="1" x14ac:dyDescent="0.2">
      <c r="A102" s="1551">
        <v>39093</v>
      </c>
      <c r="B102" s="1558">
        <v>178995.59129482164</v>
      </c>
      <c r="C102" s="1553">
        <v>8582.761108815288</v>
      </c>
      <c r="D102" s="1553">
        <v>7159.8236517928663</v>
      </c>
      <c r="E102" s="1553">
        <v>1422.9374570224218</v>
      </c>
      <c r="F102" s="1559">
        <v>4.7949567063239664</v>
      </c>
      <c r="G102" s="1555"/>
      <c r="H102" s="1518"/>
      <c r="I102" s="1556"/>
    </row>
    <row r="103" spans="1:9" s="1557" customFormat="1" ht="14.25" hidden="1" customHeight="1" x14ac:dyDescent="0.2">
      <c r="A103" s="1551">
        <v>39100</v>
      </c>
      <c r="B103" s="1558">
        <v>179818.41122461425</v>
      </c>
      <c r="C103" s="1553">
        <v>7688.4964276509045</v>
      </c>
      <c r="D103" s="1553">
        <v>7192.7364489845704</v>
      </c>
      <c r="E103" s="1553">
        <v>494.75997866633406</v>
      </c>
      <c r="F103" s="1559">
        <v>4.2757003441917147</v>
      </c>
      <c r="G103" s="1555"/>
      <c r="H103" s="1518"/>
      <c r="I103" s="1556"/>
    </row>
    <row r="104" spans="1:9" s="1557" customFormat="1" ht="14.25" hidden="1" customHeight="1" x14ac:dyDescent="0.2">
      <c r="A104" s="1560" t="s">
        <v>1361</v>
      </c>
      <c r="B104" s="1558">
        <v>180088.80514806672</v>
      </c>
      <c r="C104" s="1553">
        <v>7897.0850861200397</v>
      </c>
      <c r="D104" s="1553">
        <v>7203.5522059226687</v>
      </c>
      <c r="E104" s="1553">
        <v>693</v>
      </c>
      <c r="F104" s="1559">
        <v>4.3851060478896269</v>
      </c>
      <c r="G104" s="1555"/>
      <c r="H104" s="1518"/>
      <c r="I104" s="1556"/>
    </row>
    <row r="105" spans="1:9" s="1557" customFormat="1" ht="14.25" hidden="1" customHeight="1" x14ac:dyDescent="0.2">
      <c r="A105" s="1551">
        <v>39128</v>
      </c>
      <c r="B105" s="1558">
        <v>180907.51140721224</v>
      </c>
      <c r="C105" s="1553">
        <v>7671.4459046173251</v>
      </c>
      <c r="D105" s="1553">
        <v>7236.3004562884898</v>
      </c>
      <c r="E105" s="1553">
        <v>435.1454483288353</v>
      </c>
      <c r="F105" s="1559">
        <v>4.2405347599687824</v>
      </c>
      <c r="G105" s="1555"/>
      <c r="H105" s="1518"/>
      <c r="I105" s="1556"/>
    </row>
    <row r="106" spans="1:9" s="1557" customFormat="1" ht="14.25" hidden="1" customHeight="1" x14ac:dyDescent="0.2">
      <c r="A106" s="1551">
        <v>39142</v>
      </c>
      <c r="B106" s="1558">
        <v>179981.79809869052</v>
      </c>
      <c r="C106" s="1553">
        <v>7635.8967125198715</v>
      </c>
      <c r="D106" s="1553">
        <v>7199.271923947621</v>
      </c>
      <c r="E106" s="1553">
        <v>436.62478857225051</v>
      </c>
      <c r="F106" s="1559">
        <v>4.2425938584816416</v>
      </c>
      <c r="G106" s="1555"/>
      <c r="H106" s="1518"/>
      <c r="I106" s="1556"/>
    </row>
    <row r="107" spans="1:9" s="1557" customFormat="1" ht="14.25" hidden="1" customHeight="1" x14ac:dyDescent="0.2">
      <c r="A107" s="1551">
        <v>39156</v>
      </c>
      <c r="B107" s="1558">
        <v>181648.64252537178</v>
      </c>
      <c r="C107" s="1553">
        <v>8491.6806607922299</v>
      </c>
      <c r="D107" s="1553">
        <v>7265.9457010148708</v>
      </c>
      <c r="E107" s="1553">
        <v>1225.7349597773591</v>
      </c>
      <c r="F107" s="1559">
        <v>4.6747834405677731</v>
      </c>
      <c r="G107" s="1555"/>
      <c r="H107" s="1518"/>
      <c r="I107" s="1556"/>
    </row>
    <row r="108" spans="1:9" s="1557" customFormat="1" ht="14.25" hidden="1" customHeight="1" x14ac:dyDescent="0.2">
      <c r="A108" s="1551">
        <v>39170</v>
      </c>
      <c r="B108" s="1558">
        <v>182004.52363176932</v>
      </c>
      <c r="C108" s="1553">
        <v>8210.5656804087248</v>
      </c>
      <c r="D108" s="1553">
        <v>7280.180945270773</v>
      </c>
      <c r="E108" s="1553">
        <v>931.38473513795179</v>
      </c>
      <c r="F108" s="1559">
        <v>4.5111876982905672</v>
      </c>
      <c r="G108" s="1555"/>
      <c r="H108" s="1518"/>
      <c r="I108" s="1556"/>
    </row>
    <row r="109" spans="1:9" s="1557" customFormat="1" ht="14.25" hidden="1" customHeight="1" x14ac:dyDescent="0.2">
      <c r="A109" s="1551">
        <v>39184</v>
      </c>
      <c r="B109" s="1558">
        <v>183784.21395314398</v>
      </c>
      <c r="C109" s="1553">
        <v>8325.2714346789344</v>
      </c>
      <c r="D109" s="1553">
        <v>7351.3685581257596</v>
      </c>
      <c r="E109" s="1553">
        <v>973.90287655317479</v>
      </c>
      <c r="F109" s="1559">
        <v>4.5299165013168503</v>
      </c>
      <c r="G109" s="1555"/>
      <c r="H109" s="1518"/>
      <c r="I109" s="1556"/>
    </row>
    <row r="110" spans="1:9" s="1557" customFormat="1" ht="14.25" hidden="1" customHeight="1" x14ac:dyDescent="0.2">
      <c r="A110" s="1551">
        <v>39198</v>
      </c>
      <c r="B110" s="1558">
        <v>183933.15060789618</v>
      </c>
      <c r="C110" s="1553">
        <v>7971.8589464998822</v>
      </c>
      <c r="D110" s="1553">
        <v>7357.3260243158475</v>
      </c>
      <c r="E110" s="1553">
        <v>614.53292218403476</v>
      </c>
      <c r="F110" s="1559">
        <v>4.3341066687288361</v>
      </c>
      <c r="G110" s="1555"/>
      <c r="H110" s="1518"/>
      <c r="I110" s="1556"/>
    </row>
    <row r="111" spans="1:9" s="1557" customFormat="1" ht="14.25" hidden="1" customHeight="1" x14ac:dyDescent="0.2">
      <c r="A111" s="1551">
        <v>39212</v>
      </c>
      <c r="B111" s="1558">
        <v>183584.19710951409</v>
      </c>
      <c r="C111" s="1553">
        <v>8344.9238992592946</v>
      </c>
      <c r="D111" s="1553">
        <v>7343.3678843805637</v>
      </c>
      <c r="E111" s="1553">
        <v>1001.5560148787308</v>
      </c>
      <c r="F111" s="1559">
        <v>4.5455567693995302</v>
      </c>
      <c r="G111" s="1555"/>
      <c r="H111" s="1518"/>
      <c r="I111" s="1556"/>
    </row>
    <row r="112" spans="1:9" s="1557" customFormat="1" ht="14.25" hidden="1" customHeight="1" x14ac:dyDescent="0.2">
      <c r="A112" s="1551">
        <v>39226</v>
      </c>
      <c r="B112" s="1558">
        <v>184639.3446117274</v>
      </c>
      <c r="C112" s="1553">
        <v>8296.1740094879442</v>
      </c>
      <c r="D112" s="1553">
        <v>7385.5737844690957</v>
      </c>
      <c r="E112" s="1553">
        <v>909.6002250188485</v>
      </c>
      <c r="F112" s="1559">
        <v>4.4931777823051329</v>
      </c>
      <c r="G112" s="1555"/>
      <c r="H112" s="1518"/>
      <c r="I112" s="1556"/>
    </row>
    <row r="113" spans="1:9" s="1557" customFormat="1" ht="14.25" hidden="1" customHeight="1" x14ac:dyDescent="0.2">
      <c r="A113" s="1551">
        <v>39240</v>
      </c>
      <c r="B113" s="1558">
        <v>183888.09524092436</v>
      </c>
      <c r="C113" s="1553">
        <v>8470.4872320605191</v>
      </c>
      <c r="D113" s="1553">
        <v>7355.5238096369749</v>
      </c>
      <c r="E113" s="1553">
        <v>1113.9634224235442</v>
      </c>
      <c r="F113" s="1559">
        <v>4.6063271366005258</v>
      </c>
      <c r="G113" s="1555"/>
      <c r="H113" s="1518"/>
      <c r="I113" s="1556"/>
    </row>
    <row r="114" spans="1:9" s="1557" customFormat="1" ht="14.25" hidden="1" customHeight="1" x14ac:dyDescent="0.2">
      <c r="A114" s="1551">
        <v>39254</v>
      </c>
      <c r="B114" s="1558">
        <v>186213.04903233086</v>
      </c>
      <c r="C114" s="1553">
        <v>8893.229922606226</v>
      </c>
      <c r="D114" s="1553">
        <v>7448.5219612932342</v>
      </c>
      <c r="E114" s="1553">
        <v>1443.7079613129918</v>
      </c>
      <c r="F114" s="1559">
        <v>4.7758360484512323</v>
      </c>
      <c r="G114" s="1555"/>
      <c r="H114" s="1518"/>
      <c r="I114" s="1556"/>
    </row>
    <row r="115" spans="1:9" s="1557" customFormat="1" ht="14.25" hidden="1" customHeight="1" x14ac:dyDescent="0.2">
      <c r="A115" s="1551">
        <v>39268</v>
      </c>
      <c r="B115" s="1558">
        <v>185814.30506692821</v>
      </c>
      <c r="C115" s="1553">
        <v>8924.7716441645953</v>
      </c>
      <c r="D115" s="1553">
        <v>7432.5722026771282</v>
      </c>
      <c r="E115" s="1553">
        <v>1492.1994414874671</v>
      </c>
      <c r="F115" s="1559">
        <v>4.8030595066133328</v>
      </c>
      <c r="G115" s="1555"/>
      <c r="H115" s="1518"/>
      <c r="I115" s="1556"/>
    </row>
    <row r="116" spans="1:9" s="1557" customFormat="1" ht="14.25" hidden="1" customHeight="1" x14ac:dyDescent="0.2">
      <c r="A116" s="1551">
        <v>39282</v>
      </c>
      <c r="B116" s="1558">
        <v>187405.27884961045</v>
      </c>
      <c r="C116" s="1553">
        <v>9425.3110291993708</v>
      </c>
      <c r="D116" s="1553">
        <v>7496.2111539844182</v>
      </c>
      <c r="E116" s="1553">
        <v>1929.0998752149526</v>
      </c>
      <c r="F116" s="1559">
        <v>5.0293732850305792</v>
      </c>
      <c r="G116" s="1555"/>
      <c r="H116" s="1518"/>
      <c r="I116" s="1556"/>
    </row>
    <row r="117" spans="1:9" s="1557" customFormat="1" ht="14.25" hidden="1" customHeight="1" x14ac:dyDescent="0.2">
      <c r="A117" s="1551">
        <v>39296</v>
      </c>
      <c r="B117" s="1558">
        <v>186554.36715842265</v>
      </c>
      <c r="C117" s="1553">
        <v>9445.5938117446167</v>
      </c>
      <c r="D117" s="1553">
        <v>7462.1746863369062</v>
      </c>
      <c r="E117" s="1553">
        <v>1982.4191254077105</v>
      </c>
      <c r="F117" s="1559">
        <v>5.063185577276454</v>
      </c>
      <c r="G117" s="1555"/>
      <c r="H117" s="1518"/>
      <c r="I117" s="1556"/>
    </row>
    <row r="118" spans="1:9" s="1557" customFormat="1" ht="14.25" hidden="1" customHeight="1" x14ac:dyDescent="0.2">
      <c r="A118" s="1551">
        <v>39310</v>
      </c>
      <c r="B118" s="1558">
        <v>187553.49595401279</v>
      </c>
      <c r="C118" s="1553">
        <v>8894.4741634151906</v>
      </c>
      <c r="D118" s="1553">
        <v>7502.1398381605113</v>
      </c>
      <c r="E118" s="1553">
        <v>1392.3343252546792</v>
      </c>
      <c r="F118" s="1559">
        <v>4.7423665009134632</v>
      </c>
      <c r="G118" s="1555"/>
      <c r="H118" s="1518"/>
      <c r="I118" s="1556"/>
    </row>
    <row r="119" spans="1:9" s="1557" customFormat="1" ht="14.25" hidden="1" customHeight="1" x14ac:dyDescent="0.2">
      <c r="A119" s="1551">
        <v>39324</v>
      </c>
      <c r="B119" s="1558">
        <v>188868.01526178926</v>
      </c>
      <c r="C119" s="1553">
        <v>9128.9697003747751</v>
      </c>
      <c r="D119" s="1553">
        <v>7554.7206104715706</v>
      </c>
      <c r="E119" s="1553">
        <v>1574.2490899032045</v>
      </c>
      <c r="F119" s="1559">
        <v>4.8335180987215569</v>
      </c>
      <c r="G119" s="1555"/>
      <c r="H119" s="1518"/>
      <c r="I119" s="1556"/>
    </row>
    <row r="120" spans="1:9" s="1557" customFormat="1" ht="14.25" hidden="1" customHeight="1" x14ac:dyDescent="0.2">
      <c r="A120" s="1551">
        <v>39338</v>
      </c>
      <c r="B120" s="1558">
        <v>189737.69689326899</v>
      </c>
      <c r="C120" s="1553">
        <v>8799.9877071608735</v>
      </c>
      <c r="D120" s="1553">
        <v>7589.5078757307601</v>
      </c>
      <c r="E120" s="1553">
        <v>1210.4798314301133</v>
      </c>
      <c r="F120" s="1559">
        <v>4.6379754003818396</v>
      </c>
      <c r="G120" s="1555"/>
      <c r="H120" s="1518"/>
      <c r="I120" s="1556"/>
    </row>
    <row r="121" spans="1:9" s="1557" customFormat="1" ht="14.25" hidden="1" customHeight="1" x14ac:dyDescent="0.2">
      <c r="A121" s="1551">
        <v>39352</v>
      </c>
      <c r="B121" s="1558">
        <v>192194.07155918182</v>
      </c>
      <c r="C121" s="1553">
        <v>9633.6256414249146</v>
      </c>
      <c r="D121" s="1553">
        <v>7687.7628623672726</v>
      </c>
      <c r="E121" s="1553">
        <v>1945.862779057642</v>
      </c>
      <c r="F121" s="1559">
        <v>5.0124468269347515</v>
      </c>
      <c r="G121" s="1555"/>
      <c r="H121" s="1518"/>
      <c r="I121" s="1556"/>
    </row>
    <row r="122" spans="1:9" s="1557" customFormat="1" ht="14.25" hidden="1" customHeight="1" x14ac:dyDescent="0.2">
      <c r="A122" s="1551">
        <v>39366</v>
      </c>
      <c r="B122" s="1558">
        <v>192798</v>
      </c>
      <c r="C122" s="1553">
        <v>10036</v>
      </c>
      <c r="D122" s="1553">
        <v>7712</v>
      </c>
      <c r="E122" s="1553">
        <v>2324</v>
      </c>
      <c r="F122" s="1559">
        <v>5.21</v>
      </c>
      <c r="G122" s="1555"/>
      <c r="H122" s="1518"/>
      <c r="I122" s="1556"/>
    </row>
    <row r="123" spans="1:9" s="1557" customFormat="1" ht="14.25" hidden="1" customHeight="1" x14ac:dyDescent="0.2">
      <c r="A123" s="1551">
        <v>39380</v>
      </c>
      <c r="B123" s="1558">
        <v>193721</v>
      </c>
      <c r="C123" s="1553">
        <v>11155</v>
      </c>
      <c r="D123" s="1553">
        <v>7749</v>
      </c>
      <c r="E123" s="1553">
        <v>3406</v>
      </c>
      <c r="F123" s="1559">
        <v>5.76</v>
      </c>
      <c r="G123" s="1555"/>
      <c r="H123" s="1518"/>
      <c r="I123" s="1556"/>
    </row>
    <row r="124" spans="1:9" s="1557" customFormat="1" ht="14.25" hidden="1" customHeight="1" x14ac:dyDescent="0.2">
      <c r="A124" s="1551">
        <v>39394</v>
      </c>
      <c r="B124" s="1558">
        <v>194592.3</v>
      </c>
      <c r="C124" s="1553">
        <v>11111.2</v>
      </c>
      <c r="D124" s="1553">
        <v>7783.7</v>
      </c>
      <c r="E124" s="1553">
        <v>3327</v>
      </c>
      <c r="F124" s="1559">
        <v>5.71</v>
      </c>
      <c r="G124" s="1555"/>
      <c r="H124" s="1518"/>
      <c r="I124" s="1556"/>
    </row>
    <row r="125" spans="1:9" s="1557" customFormat="1" ht="14.25" hidden="1" customHeight="1" x14ac:dyDescent="0.2">
      <c r="A125" s="1551">
        <v>39408</v>
      </c>
      <c r="B125" s="1558">
        <v>198335.7</v>
      </c>
      <c r="C125" s="1553">
        <v>10728.6</v>
      </c>
      <c r="D125" s="1553">
        <v>7934</v>
      </c>
      <c r="E125" s="1553">
        <v>2795.1</v>
      </c>
      <c r="F125" s="1559">
        <v>5.41</v>
      </c>
      <c r="G125" s="1555"/>
      <c r="H125" s="1518"/>
      <c r="I125" s="1556"/>
    </row>
    <row r="126" spans="1:9" s="1557" customFormat="1" ht="14.25" hidden="1" customHeight="1" x14ac:dyDescent="0.2">
      <c r="A126" s="1551">
        <v>39422</v>
      </c>
      <c r="B126" s="1558">
        <v>200755</v>
      </c>
      <c r="C126" s="1553">
        <v>9535</v>
      </c>
      <c r="D126" s="1553">
        <v>8030</v>
      </c>
      <c r="E126" s="1553">
        <v>1505</v>
      </c>
      <c r="F126" s="1559">
        <v>4.75</v>
      </c>
      <c r="G126" s="1555"/>
      <c r="H126" s="1518"/>
      <c r="I126" s="1556"/>
    </row>
    <row r="127" spans="1:9" s="1557" customFormat="1" ht="14.25" hidden="1" customHeight="1" thickTop="1" x14ac:dyDescent="0.2">
      <c r="A127" s="1551">
        <v>39436</v>
      </c>
      <c r="B127" s="1558">
        <v>203041</v>
      </c>
      <c r="C127" s="1553">
        <v>10964</v>
      </c>
      <c r="D127" s="1553">
        <v>8122</v>
      </c>
      <c r="E127" s="1553">
        <v>2842</v>
      </c>
      <c r="F127" s="1559">
        <v>5.4</v>
      </c>
      <c r="G127" s="1555"/>
      <c r="H127" s="1518"/>
      <c r="I127" s="1556"/>
    </row>
    <row r="128" spans="1:9" s="1557" customFormat="1" ht="14.25" hidden="1" customHeight="1" x14ac:dyDescent="0.2">
      <c r="A128" s="1561">
        <v>39450</v>
      </c>
      <c r="B128" s="1558">
        <v>208638</v>
      </c>
      <c r="C128" s="1553">
        <v>10268</v>
      </c>
      <c r="D128" s="1553">
        <v>8345</v>
      </c>
      <c r="E128" s="1553">
        <v>1923</v>
      </c>
      <c r="F128" s="1559">
        <v>4.92</v>
      </c>
      <c r="G128" s="1555"/>
      <c r="H128" s="1518"/>
      <c r="I128" s="1556"/>
    </row>
    <row r="129" spans="1:9" s="1557" customFormat="1" ht="14.25" hidden="1" customHeight="1" x14ac:dyDescent="0.2">
      <c r="A129" s="1561">
        <v>39464</v>
      </c>
      <c r="B129" s="1558">
        <v>210356</v>
      </c>
      <c r="C129" s="1553">
        <v>11245</v>
      </c>
      <c r="D129" s="1553">
        <v>8414</v>
      </c>
      <c r="E129" s="1553">
        <v>2831</v>
      </c>
      <c r="F129" s="1559">
        <v>5.35</v>
      </c>
      <c r="G129" s="1555"/>
      <c r="H129" s="1518"/>
      <c r="I129" s="1556"/>
    </row>
    <row r="130" spans="1:9" s="1557" customFormat="1" ht="14.25" hidden="1" customHeight="1" x14ac:dyDescent="0.2">
      <c r="A130" s="1561">
        <v>39478</v>
      </c>
      <c r="B130" s="1558">
        <v>210771</v>
      </c>
      <c r="C130" s="1553">
        <v>11357</v>
      </c>
      <c r="D130" s="1553">
        <v>8431</v>
      </c>
      <c r="E130" s="1553">
        <v>2926</v>
      </c>
      <c r="F130" s="1559">
        <v>5.39</v>
      </c>
      <c r="G130" s="1555"/>
      <c r="H130" s="1518"/>
      <c r="I130" s="1556"/>
    </row>
    <row r="131" spans="1:9" s="1557" customFormat="1" ht="14.25" hidden="1" customHeight="1" x14ac:dyDescent="0.2">
      <c r="A131" s="1561">
        <v>39492</v>
      </c>
      <c r="B131" s="1558">
        <v>211310</v>
      </c>
      <c r="C131" s="1553">
        <v>10221</v>
      </c>
      <c r="D131" s="1553">
        <v>8452</v>
      </c>
      <c r="E131" s="1553">
        <v>1769</v>
      </c>
      <c r="F131" s="1559">
        <v>4.84</v>
      </c>
      <c r="G131" s="1555"/>
      <c r="H131" s="1518"/>
      <c r="I131" s="1556"/>
    </row>
    <row r="132" spans="1:9" s="1557" customFormat="1" ht="14.25" hidden="1" customHeight="1" x14ac:dyDescent="0.2">
      <c r="A132" s="1561">
        <v>39506</v>
      </c>
      <c r="B132" s="1558">
        <v>211420</v>
      </c>
      <c r="C132" s="1553">
        <v>10683</v>
      </c>
      <c r="D132" s="1553">
        <v>8457</v>
      </c>
      <c r="E132" s="1553">
        <v>2226</v>
      </c>
      <c r="F132" s="1559">
        <v>5.05</v>
      </c>
      <c r="G132" s="1555"/>
      <c r="H132" s="1518"/>
      <c r="I132" s="1556"/>
    </row>
    <row r="133" spans="1:9" s="1557" customFormat="1" ht="14.25" hidden="1" customHeight="1" x14ac:dyDescent="0.2">
      <c r="A133" s="1561">
        <v>39520</v>
      </c>
      <c r="B133" s="1558">
        <v>213067</v>
      </c>
      <c r="C133" s="1553">
        <v>9448.9</v>
      </c>
      <c r="D133" s="1553">
        <v>8522.7000000000007</v>
      </c>
      <c r="E133" s="1553">
        <v>926.2</v>
      </c>
      <c r="F133" s="1559">
        <v>4.43</v>
      </c>
      <c r="G133" s="1555"/>
      <c r="H133" s="1518"/>
      <c r="I133" s="1556"/>
    </row>
    <row r="134" spans="1:9" s="1557" customFormat="1" ht="14.25" hidden="1" customHeight="1" x14ac:dyDescent="0.2">
      <c r="A134" s="1561">
        <v>39534</v>
      </c>
      <c r="B134" s="1558">
        <v>215975</v>
      </c>
      <c r="C134" s="1553">
        <v>11184</v>
      </c>
      <c r="D134" s="1553">
        <v>8639</v>
      </c>
      <c r="E134" s="1553">
        <v>2545</v>
      </c>
      <c r="F134" s="1559">
        <v>5.18</v>
      </c>
      <c r="G134" s="1555"/>
      <c r="H134" s="1518"/>
      <c r="I134" s="1556"/>
    </row>
    <row r="135" spans="1:9" s="1557" customFormat="1" ht="14.25" hidden="1" customHeight="1" x14ac:dyDescent="0.2">
      <c r="A135" s="1561">
        <v>39548</v>
      </c>
      <c r="B135" s="1558">
        <v>213909</v>
      </c>
      <c r="C135" s="1553">
        <v>10320</v>
      </c>
      <c r="D135" s="1553">
        <v>8556</v>
      </c>
      <c r="E135" s="1553">
        <v>1764</v>
      </c>
      <c r="F135" s="1559">
        <v>4.82</v>
      </c>
      <c r="G135" s="1555"/>
      <c r="H135" s="1518"/>
      <c r="I135" s="1556"/>
    </row>
    <row r="136" spans="1:9" s="1557" customFormat="1" ht="14.25" hidden="1" customHeight="1" x14ac:dyDescent="0.2">
      <c r="A136" s="1561">
        <v>39562</v>
      </c>
      <c r="B136" s="1558">
        <v>213244</v>
      </c>
      <c r="C136" s="1553">
        <v>10618</v>
      </c>
      <c r="D136" s="1553">
        <v>8530</v>
      </c>
      <c r="E136" s="1553">
        <v>2088</v>
      </c>
      <c r="F136" s="1559">
        <v>4.9800000000000004</v>
      </c>
      <c r="G136" s="1555"/>
      <c r="H136" s="1518"/>
      <c r="I136" s="1556"/>
    </row>
    <row r="137" spans="1:9" s="1557" customFormat="1" ht="14.25" hidden="1" customHeight="1" x14ac:dyDescent="0.2">
      <c r="A137" s="1561">
        <v>39576</v>
      </c>
      <c r="B137" s="1558">
        <v>214288</v>
      </c>
      <c r="C137" s="1553">
        <v>9848</v>
      </c>
      <c r="D137" s="1553">
        <v>8572</v>
      </c>
      <c r="E137" s="1553">
        <v>1276</v>
      </c>
      <c r="F137" s="1559">
        <v>4.5999999999999996</v>
      </c>
      <c r="G137" s="1555"/>
      <c r="H137" s="1518"/>
      <c r="I137" s="1556"/>
    </row>
    <row r="138" spans="1:9" s="1557" customFormat="1" ht="14.25" hidden="1" customHeight="1" x14ac:dyDescent="0.2">
      <c r="A138" s="1561">
        <v>39590</v>
      </c>
      <c r="B138" s="1558">
        <v>214734</v>
      </c>
      <c r="C138" s="1553">
        <v>10195</v>
      </c>
      <c r="D138" s="1553">
        <v>8589</v>
      </c>
      <c r="E138" s="1553">
        <v>1606</v>
      </c>
      <c r="F138" s="1559">
        <v>4.75</v>
      </c>
      <c r="G138" s="1555"/>
      <c r="H138" s="1518"/>
      <c r="I138" s="1556"/>
    </row>
    <row r="139" spans="1:9" s="1557" customFormat="1" ht="14.25" hidden="1" customHeight="1" x14ac:dyDescent="0.2">
      <c r="A139" s="1561">
        <v>39604</v>
      </c>
      <c r="B139" s="1558">
        <v>217284</v>
      </c>
      <c r="C139" s="1553">
        <v>10025</v>
      </c>
      <c r="D139" s="1553">
        <v>8691</v>
      </c>
      <c r="E139" s="1553">
        <v>1334</v>
      </c>
      <c r="F139" s="1559">
        <v>4.6100000000000003</v>
      </c>
      <c r="G139" s="1555"/>
      <c r="H139" s="1518"/>
      <c r="I139" s="1556"/>
    </row>
    <row r="140" spans="1:9" s="1557" customFormat="1" ht="14.25" hidden="1" customHeight="1" x14ac:dyDescent="0.2">
      <c r="A140" s="1561">
        <v>39618</v>
      </c>
      <c r="B140" s="1558">
        <v>220286</v>
      </c>
      <c r="C140" s="1553">
        <v>10956</v>
      </c>
      <c r="D140" s="1553">
        <v>8811</v>
      </c>
      <c r="E140" s="1553">
        <v>2145</v>
      </c>
      <c r="F140" s="1559">
        <v>4.97</v>
      </c>
      <c r="G140" s="1555"/>
      <c r="H140" s="1518"/>
      <c r="I140" s="1556"/>
    </row>
    <row r="141" spans="1:9" s="1557" customFormat="1" ht="14.25" hidden="1" customHeight="1" x14ac:dyDescent="0.2">
      <c r="A141" s="1561">
        <v>39632</v>
      </c>
      <c r="B141" s="1558">
        <v>220018</v>
      </c>
      <c r="C141" s="1553">
        <v>10966</v>
      </c>
      <c r="D141" s="1553">
        <v>8801</v>
      </c>
      <c r="E141" s="1553">
        <v>2165</v>
      </c>
      <c r="F141" s="1559">
        <v>4.9800000000000004</v>
      </c>
      <c r="G141" s="1555"/>
      <c r="H141" s="1518"/>
      <c r="I141" s="1556"/>
    </row>
    <row r="142" spans="1:9" s="1557" customFormat="1" ht="14.25" hidden="1" customHeight="1" x14ac:dyDescent="0.2">
      <c r="A142" s="1561">
        <v>39646</v>
      </c>
      <c r="B142" s="1558">
        <v>222013</v>
      </c>
      <c r="C142" s="1553">
        <v>11724</v>
      </c>
      <c r="D142" s="1553">
        <v>8881</v>
      </c>
      <c r="E142" s="1553">
        <v>2843</v>
      </c>
      <c r="F142" s="1559">
        <v>5.28</v>
      </c>
      <c r="G142" s="1555"/>
      <c r="H142" s="1518"/>
      <c r="I142" s="1556"/>
    </row>
    <row r="143" spans="1:9" s="1557" customFormat="1" ht="14.25" hidden="1" customHeight="1" x14ac:dyDescent="0.2">
      <c r="A143" s="1561">
        <v>39660</v>
      </c>
      <c r="B143" s="1558">
        <v>225500</v>
      </c>
      <c r="C143" s="1553">
        <v>11021</v>
      </c>
      <c r="D143" s="1553">
        <v>9020</v>
      </c>
      <c r="E143" s="1553">
        <v>2001</v>
      </c>
      <c r="F143" s="1559">
        <v>4.8899999999999997</v>
      </c>
      <c r="G143" s="1555"/>
      <c r="H143" s="1518"/>
      <c r="I143" s="1556"/>
    </row>
    <row r="144" spans="1:9" s="1557" customFormat="1" ht="14.25" hidden="1" customHeight="1" x14ac:dyDescent="0.2">
      <c r="A144" s="1562" t="s">
        <v>1362</v>
      </c>
      <c r="B144" s="1558">
        <v>227806</v>
      </c>
      <c r="C144" s="1553">
        <v>11532</v>
      </c>
      <c r="D144" s="1553">
        <v>9112</v>
      </c>
      <c r="E144" s="1553">
        <v>2420</v>
      </c>
      <c r="F144" s="1559">
        <v>5.0599999999999996</v>
      </c>
      <c r="G144" s="1555"/>
      <c r="H144" s="1518"/>
      <c r="I144" s="1556"/>
    </row>
    <row r="145" spans="1:9" ht="19.5" hidden="1" thickTop="1" x14ac:dyDescent="0.2">
      <c r="A145" s="1562" t="s">
        <v>1363</v>
      </c>
      <c r="B145" s="1558">
        <v>226337</v>
      </c>
      <c r="C145" s="1553">
        <v>14936</v>
      </c>
      <c r="D145" s="1553">
        <v>13580</v>
      </c>
      <c r="E145" s="1553">
        <v>1356</v>
      </c>
      <c r="F145" s="1559">
        <v>6.6</v>
      </c>
      <c r="I145" s="1494"/>
    </row>
    <row r="146" spans="1:9" ht="16.5" hidden="1" thickTop="1" x14ac:dyDescent="0.2">
      <c r="A146" s="1561">
        <v>39702</v>
      </c>
      <c r="B146" s="1558">
        <v>227229</v>
      </c>
      <c r="C146" s="1553">
        <v>14033</v>
      </c>
      <c r="D146" s="1553">
        <v>13634</v>
      </c>
      <c r="E146" s="1553">
        <v>399</v>
      </c>
      <c r="F146" s="1559">
        <v>6.18</v>
      </c>
      <c r="I146" s="1494"/>
    </row>
    <row r="147" spans="1:9" ht="16.5" hidden="1" thickTop="1" x14ac:dyDescent="0.2">
      <c r="A147" s="1561">
        <v>39716</v>
      </c>
      <c r="B147" s="1558">
        <v>228419</v>
      </c>
      <c r="C147" s="1553">
        <v>14515</v>
      </c>
      <c r="D147" s="1553">
        <v>13705</v>
      </c>
      <c r="E147" s="1553">
        <v>810</v>
      </c>
      <c r="F147" s="1559">
        <v>6.35</v>
      </c>
      <c r="I147" s="1494"/>
    </row>
    <row r="148" spans="1:9" ht="16.5" hidden="1" thickTop="1" x14ac:dyDescent="0.2">
      <c r="A148" s="1561">
        <v>39730</v>
      </c>
      <c r="B148" s="1558">
        <v>229588</v>
      </c>
      <c r="C148" s="1553">
        <v>15199.1</v>
      </c>
      <c r="D148" s="1553">
        <v>13775</v>
      </c>
      <c r="E148" s="1553">
        <v>1423.9</v>
      </c>
      <c r="F148" s="1559">
        <v>6.62</v>
      </c>
      <c r="I148" s="1494"/>
    </row>
    <row r="149" spans="1:9" ht="16.5" hidden="1" thickTop="1" x14ac:dyDescent="0.2">
      <c r="A149" s="1561">
        <v>39744</v>
      </c>
      <c r="B149" s="1558">
        <v>230830</v>
      </c>
      <c r="C149" s="1553">
        <v>16362</v>
      </c>
      <c r="D149" s="1553">
        <v>13850</v>
      </c>
      <c r="E149" s="1553">
        <v>2512</v>
      </c>
      <c r="F149" s="1559">
        <v>7.09</v>
      </c>
      <c r="I149" s="1494"/>
    </row>
    <row r="150" spans="1:9" ht="16.5" hidden="1" thickTop="1" x14ac:dyDescent="0.2">
      <c r="A150" s="1562" t="s">
        <v>1364</v>
      </c>
      <c r="B150" s="1558">
        <v>230371</v>
      </c>
      <c r="C150" s="1553">
        <v>14668</v>
      </c>
      <c r="D150" s="1553">
        <v>13822</v>
      </c>
      <c r="E150" s="1553">
        <v>846</v>
      </c>
      <c r="F150" s="1559">
        <v>6.37</v>
      </c>
      <c r="I150" s="1494"/>
    </row>
    <row r="151" spans="1:9" ht="19.5" hidden="1" thickTop="1" x14ac:dyDescent="0.2">
      <c r="A151" s="1562" t="s">
        <v>1365</v>
      </c>
      <c r="B151" s="1558">
        <v>232852</v>
      </c>
      <c r="C151" s="1553">
        <v>13146</v>
      </c>
      <c r="D151" s="1553">
        <v>11643</v>
      </c>
      <c r="E151" s="1553">
        <v>1503</v>
      </c>
      <c r="F151" s="1559">
        <v>5.65</v>
      </c>
    </row>
    <row r="152" spans="1:9" ht="16.5" hidden="1" thickTop="1" x14ac:dyDescent="0.2">
      <c r="A152" s="1561">
        <v>39786</v>
      </c>
      <c r="B152" s="1558">
        <v>233352</v>
      </c>
      <c r="C152" s="1553">
        <v>12522</v>
      </c>
      <c r="D152" s="1553">
        <v>11668</v>
      </c>
      <c r="E152" s="1553">
        <v>854</v>
      </c>
      <c r="F152" s="1559">
        <v>5.37</v>
      </c>
    </row>
    <row r="153" spans="1:9" ht="16.5" hidden="1" thickTop="1" x14ac:dyDescent="0.2">
      <c r="A153" s="1562" t="s">
        <v>1366</v>
      </c>
      <c r="B153" s="1558">
        <v>236070</v>
      </c>
      <c r="C153" s="1553">
        <v>13781</v>
      </c>
      <c r="D153" s="1553">
        <v>11804</v>
      </c>
      <c r="E153" s="1553">
        <v>1977</v>
      </c>
      <c r="F153" s="1559">
        <v>5.84</v>
      </c>
    </row>
    <row r="154" spans="1:9" ht="19.5" hidden="1" thickTop="1" x14ac:dyDescent="0.2">
      <c r="A154" s="1562" t="s">
        <v>1367</v>
      </c>
      <c r="B154" s="1558">
        <v>238077</v>
      </c>
      <c r="C154" s="1553">
        <v>13045.2</v>
      </c>
      <c r="D154" s="1553">
        <v>10713.7</v>
      </c>
      <c r="E154" s="1553">
        <v>2331.4</v>
      </c>
      <c r="F154" s="1559">
        <v>5.48</v>
      </c>
    </row>
    <row r="155" spans="1:9" ht="16.5" hidden="1" thickTop="1" x14ac:dyDescent="0.2">
      <c r="A155" s="1561">
        <v>39828</v>
      </c>
      <c r="B155" s="1558">
        <v>243515</v>
      </c>
      <c r="C155" s="1553">
        <v>14479</v>
      </c>
      <c r="D155" s="1553">
        <v>10958</v>
      </c>
      <c r="E155" s="1553">
        <v>3521</v>
      </c>
      <c r="F155" s="1559">
        <v>5.95</v>
      </c>
    </row>
    <row r="156" spans="1:9" ht="16.5" hidden="1" thickTop="1" x14ac:dyDescent="0.2">
      <c r="A156" s="1561">
        <v>39842</v>
      </c>
      <c r="B156" s="1558">
        <v>242838</v>
      </c>
      <c r="C156" s="1553">
        <v>14710</v>
      </c>
      <c r="D156" s="1553">
        <v>10928</v>
      </c>
      <c r="E156" s="1553">
        <v>3782</v>
      </c>
      <c r="F156" s="1559">
        <v>6.06</v>
      </c>
    </row>
    <row r="157" spans="1:9" ht="16.5" hidden="1" thickTop="1" x14ac:dyDescent="0.2">
      <c r="A157" s="1561">
        <v>39856</v>
      </c>
      <c r="B157" s="1558">
        <v>242719</v>
      </c>
      <c r="C157" s="1553">
        <v>13556</v>
      </c>
      <c r="D157" s="1553">
        <v>10922</v>
      </c>
      <c r="E157" s="1553">
        <v>2634</v>
      </c>
      <c r="F157" s="1559">
        <v>5.59</v>
      </c>
    </row>
    <row r="158" spans="1:9" ht="16.5" hidden="1" thickTop="1" x14ac:dyDescent="0.2">
      <c r="A158" s="1561">
        <v>39870</v>
      </c>
      <c r="B158" s="1558">
        <v>244289</v>
      </c>
      <c r="C158" s="1553">
        <v>13427</v>
      </c>
      <c r="D158" s="1553">
        <v>10993</v>
      </c>
      <c r="E158" s="1553">
        <v>2434</v>
      </c>
      <c r="F158" s="1559">
        <v>5.5</v>
      </c>
    </row>
    <row r="159" spans="1:9" ht="16.5" hidden="1" thickTop="1" x14ac:dyDescent="0.2">
      <c r="A159" s="1561">
        <v>39884</v>
      </c>
      <c r="B159" s="1558">
        <v>245313</v>
      </c>
      <c r="C159" s="1553">
        <v>12869</v>
      </c>
      <c r="D159" s="1553">
        <v>11039</v>
      </c>
      <c r="E159" s="1553">
        <v>1829.7</v>
      </c>
      <c r="F159" s="1559">
        <v>5.25</v>
      </c>
    </row>
    <row r="160" spans="1:9" ht="16.5" hidden="1" thickTop="1" x14ac:dyDescent="0.2">
      <c r="A160" s="1561">
        <v>39898</v>
      </c>
      <c r="B160" s="1558">
        <v>248637</v>
      </c>
      <c r="C160" s="1553">
        <v>13626</v>
      </c>
      <c r="D160" s="1553">
        <v>11189</v>
      </c>
      <c r="E160" s="1553">
        <v>2437</v>
      </c>
      <c r="F160" s="1559">
        <v>5.48</v>
      </c>
    </row>
    <row r="161" spans="1:6" ht="16.5" hidden="1" thickTop="1" x14ac:dyDescent="0.2">
      <c r="A161" s="1561">
        <v>39912</v>
      </c>
      <c r="B161" s="1558">
        <v>249016</v>
      </c>
      <c r="C161" s="1553">
        <v>13101</v>
      </c>
      <c r="D161" s="1553">
        <v>11206</v>
      </c>
      <c r="E161" s="1553">
        <v>1895</v>
      </c>
      <c r="F161" s="1559">
        <v>5.26</v>
      </c>
    </row>
    <row r="162" spans="1:6" ht="16.5" hidden="1" thickTop="1" x14ac:dyDescent="0.2">
      <c r="A162" s="1561">
        <v>39926</v>
      </c>
      <c r="B162" s="1558">
        <v>250123</v>
      </c>
      <c r="C162" s="1553">
        <v>13271</v>
      </c>
      <c r="D162" s="1553">
        <v>11255</v>
      </c>
      <c r="E162" s="1553">
        <v>2016</v>
      </c>
      <c r="F162" s="1559">
        <v>5.31</v>
      </c>
    </row>
    <row r="163" spans="1:6" ht="16.5" hidden="1" thickTop="1" x14ac:dyDescent="0.2">
      <c r="A163" s="1561">
        <v>39940</v>
      </c>
      <c r="B163" s="1558">
        <v>250490</v>
      </c>
      <c r="C163" s="1553">
        <v>12173</v>
      </c>
      <c r="D163" s="1553">
        <v>11272</v>
      </c>
      <c r="E163" s="1553">
        <v>901</v>
      </c>
      <c r="F163" s="1559">
        <v>4.8600000000000003</v>
      </c>
    </row>
    <row r="164" spans="1:6" ht="16.5" hidden="1" thickTop="1" x14ac:dyDescent="0.2">
      <c r="A164" s="1561">
        <v>39954</v>
      </c>
      <c r="B164" s="1558">
        <v>249804</v>
      </c>
      <c r="C164" s="1553">
        <v>12739</v>
      </c>
      <c r="D164" s="1553">
        <v>11241</v>
      </c>
      <c r="E164" s="1553">
        <v>1498</v>
      </c>
      <c r="F164" s="1559">
        <v>5.0999999999999996</v>
      </c>
    </row>
    <row r="165" spans="1:6" ht="16.5" hidden="1" thickTop="1" x14ac:dyDescent="0.2">
      <c r="A165" s="1561">
        <v>39968</v>
      </c>
      <c r="B165" s="1558">
        <v>252211</v>
      </c>
      <c r="C165" s="1553">
        <v>12296</v>
      </c>
      <c r="D165" s="1553">
        <v>11350</v>
      </c>
      <c r="E165" s="1553">
        <v>946</v>
      </c>
      <c r="F165" s="1559">
        <v>4.88</v>
      </c>
    </row>
    <row r="166" spans="1:6" ht="16.5" hidden="1" thickTop="1" x14ac:dyDescent="0.2">
      <c r="A166" s="1561">
        <v>39982</v>
      </c>
      <c r="B166" s="1558">
        <v>253062</v>
      </c>
      <c r="C166" s="1553">
        <v>16909</v>
      </c>
      <c r="D166" s="1553">
        <v>11388</v>
      </c>
      <c r="E166" s="1553">
        <v>5521</v>
      </c>
      <c r="F166" s="1559">
        <v>6.68</v>
      </c>
    </row>
    <row r="167" spans="1:6" ht="16.5" hidden="1" thickTop="1" x14ac:dyDescent="0.2">
      <c r="A167" s="1561">
        <v>39996</v>
      </c>
      <c r="B167" s="1558">
        <v>256812.6</v>
      </c>
      <c r="C167" s="1553">
        <v>14772.5</v>
      </c>
      <c r="D167" s="1553">
        <v>11556.6</v>
      </c>
      <c r="E167" s="1553">
        <v>3216</v>
      </c>
      <c r="F167" s="1559">
        <v>5.75</v>
      </c>
    </row>
    <row r="168" spans="1:6" ht="16.5" hidden="1" thickTop="1" x14ac:dyDescent="0.2">
      <c r="A168" s="1561">
        <v>40010</v>
      </c>
      <c r="B168" s="1558">
        <v>261743.3</v>
      </c>
      <c r="C168" s="1553">
        <v>14100.9</v>
      </c>
      <c r="D168" s="1553">
        <v>11778.4</v>
      </c>
      <c r="E168" s="1553">
        <v>2322.5</v>
      </c>
      <c r="F168" s="1559">
        <v>5.39</v>
      </c>
    </row>
    <row r="169" spans="1:6" ht="16.5" hidden="1" thickTop="1" x14ac:dyDescent="0.2">
      <c r="A169" s="1561">
        <v>40024</v>
      </c>
      <c r="B169" s="1558">
        <v>260676</v>
      </c>
      <c r="C169" s="1553">
        <v>13972</v>
      </c>
      <c r="D169" s="1553">
        <v>11730</v>
      </c>
      <c r="E169" s="1553">
        <v>2242</v>
      </c>
      <c r="F169" s="1559">
        <v>5.36</v>
      </c>
    </row>
    <row r="170" spans="1:6" ht="16.5" hidden="1" thickTop="1" x14ac:dyDescent="0.2">
      <c r="A170" s="1561">
        <v>40038</v>
      </c>
      <c r="B170" s="1558">
        <v>260252</v>
      </c>
      <c r="C170" s="1553">
        <v>12778</v>
      </c>
      <c r="D170" s="1553">
        <v>11711</v>
      </c>
      <c r="E170" s="1553">
        <v>1067</v>
      </c>
      <c r="F170" s="1559">
        <v>4.91</v>
      </c>
    </row>
    <row r="171" spans="1:6" ht="16.5" hidden="1" thickTop="1" x14ac:dyDescent="0.2">
      <c r="A171" s="1561">
        <v>40052</v>
      </c>
      <c r="B171" s="1558">
        <v>258676</v>
      </c>
      <c r="C171" s="1553">
        <v>13255</v>
      </c>
      <c r="D171" s="1553">
        <v>11640</v>
      </c>
      <c r="E171" s="1553">
        <v>1615</v>
      </c>
      <c r="F171" s="1559">
        <v>5.12</v>
      </c>
    </row>
    <row r="172" spans="1:6" ht="16.5" hidden="1" thickTop="1" x14ac:dyDescent="0.2">
      <c r="A172" s="1561">
        <v>40066</v>
      </c>
      <c r="B172" s="1558">
        <v>256295</v>
      </c>
      <c r="C172" s="1553">
        <v>12827</v>
      </c>
      <c r="D172" s="1553">
        <v>11533</v>
      </c>
      <c r="E172" s="1553">
        <v>1294</v>
      </c>
      <c r="F172" s="1559">
        <v>5.01</v>
      </c>
    </row>
    <row r="173" spans="1:6" ht="16.5" hidden="1" thickTop="1" x14ac:dyDescent="0.2">
      <c r="A173" s="1561">
        <v>40080</v>
      </c>
      <c r="B173" s="1558">
        <v>255445</v>
      </c>
      <c r="C173" s="1553">
        <v>13810</v>
      </c>
      <c r="D173" s="1553">
        <v>11495</v>
      </c>
      <c r="E173" s="1553">
        <v>2315</v>
      </c>
      <c r="F173" s="1559">
        <v>5.41</v>
      </c>
    </row>
    <row r="174" spans="1:6" ht="16.5" hidden="1" thickTop="1" x14ac:dyDescent="0.2">
      <c r="A174" s="1561">
        <v>40094</v>
      </c>
      <c r="B174" s="1558">
        <v>253997</v>
      </c>
      <c r="C174" s="1553">
        <v>12834</v>
      </c>
      <c r="D174" s="1553">
        <v>11430</v>
      </c>
      <c r="E174" s="1553">
        <v>1404</v>
      </c>
      <c r="F174" s="1559">
        <v>5.05</v>
      </c>
    </row>
    <row r="175" spans="1:6" ht="16.5" hidden="1" thickTop="1" x14ac:dyDescent="0.2">
      <c r="A175" s="1561">
        <v>40108</v>
      </c>
      <c r="B175" s="1558">
        <v>253658</v>
      </c>
      <c r="C175" s="1553">
        <v>12912</v>
      </c>
      <c r="D175" s="1553">
        <v>11415</v>
      </c>
      <c r="E175" s="1553">
        <v>1497</v>
      </c>
      <c r="F175" s="1559">
        <v>5.09</v>
      </c>
    </row>
    <row r="176" spans="1:6" ht="16.5" hidden="1" thickTop="1" x14ac:dyDescent="0.2">
      <c r="A176" s="1561">
        <v>40122</v>
      </c>
      <c r="B176" s="1558">
        <v>254063</v>
      </c>
      <c r="C176" s="1553">
        <v>12448</v>
      </c>
      <c r="D176" s="1553">
        <v>11433</v>
      </c>
      <c r="E176" s="1553">
        <v>1015</v>
      </c>
      <c r="F176" s="1559">
        <v>4.9000000000000004</v>
      </c>
    </row>
    <row r="177" spans="1:6" ht="16.5" hidden="1" thickTop="1" x14ac:dyDescent="0.2">
      <c r="A177" s="1561">
        <v>40136</v>
      </c>
      <c r="B177" s="1558">
        <v>254313</v>
      </c>
      <c r="C177" s="1553">
        <v>13075</v>
      </c>
      <c r="D177" s="1553">
        <v>11444</v>
      </c>
      <c r="E177" s="1553">
        <v>1631</v>
      </c>
      <c r="F177" s="1559">
        <v>5.14</v>
      </c>
    </row>
    <row r="178" spans="1:6" ht="16.5" hidden="1" thickTop="1" x14ac:dyDescent="0.2">
      <c r="A178" s="1561">
        <v>40150</v>
      </c>
      <c r="B178" s="1558">
        <v>253774</v>
      </c>
      <c r="C178" s="1553">
        <v>12711</v>
      </c>
      <c r="D178" s="1553">
        <v>11420</v>
      </c>
      <c r="E178" s="1553">
        <v>1291</v>
      </c>
      <c r="F178" s="1559">
        <v>5.01</v>
      </c>
    </row>
    <row r="179" spans="1:6" ht="16.5" hidden="1" thickTop="1" x14ac:dyDescent="0.2">
      <c r="A179" s="1561">
        <v>40164</v>
      </c>
      <c r="B179" s="1558">
        <v>256159</v>
      </c>
      <c r="C179" s="1553">
        <v>13206</v>
      </c>
      <c r="D179" s="1553">
        <v>11527</v>
      </c>
      <c r="E179" s="1553">
        <v>1679</v>
      </c>
      <c r="F179" s="1559">
        <v>5.16</v>
      </c>
    </row>
    <row r="180" spans="1:6" ht="16.5" hidden="1" thickTop="1" x14ac:dyDescent="0.2">
      <c r="A180" s="1561">
        <v>40178</v>
      </c>
      <c r="B180" s="1558">
        <v>259197</v>
      </c>
      <c r="C180" s="1553">
        <v>13223</v>
      </c>
      <c r="D180" s="1553">
        <v>11664</v>
      </c>
      <c r="E180" s="1553">
        <v>1559</v>
      </c>
      <c r="F180" s="1559">
        <v>5.0999999999999996</v>
      </c>
    </row>
    <row r="181" spans="1:6" ht="18.95" hidden="1" customHeight="1" x14ac:dyDescent="0.2">
      <c r="A181" s="1563">
        <v>40192</v>
      </c>
      <c r="B181" s="1558">
        <v>263116</v>
      </c>
      <c r="C181" s="1553">
        <v>15672</v>
      </c>
      <c r="D181" s="1553">
        <v>11840</v>
      </c>
      <c r="E181" s="1553">
        <v>3832</v>
      </c>
      <c r="F181" s="1559">
        <v>5.96</v>
      </c>
    </row>
    <row r="182" spans="1:6" ht="18.95" hidden="1" customHeight="1" x14ac:dyDescent="0.2">
      <c r="A182" s="1563">
        <v>40206</v>
      </c>
      <c r="B182" s="1558">
        <v>266268</v>
      </c>
      <c r="C182" s="1553">
        <v>14976</v>
      </c>
      <c r="D182" s="1553">
        <v>11982</v>
      </c>
      <c r="E182" s="1553">
        <v>2994</v>
      </c>
      <c r="F182" s="1559">
        <v>5.62</v>
      </c>
    </row>
    <row r="183" spans="1:6" ht="18.95" hidden="1" customHeight="1" x14ac:dyDescent="0.2">
      <c r="A183" s="1563">
        <v>40220</v>
      </c>
      <c r="B183" s="1558">
        <v>262935</v>
      </c>
      <c r="C183" s="1553">
        <v>13361</v>
      </c>
      <c r="D183" s="1553">
        <v>11832</v>
      </c>
      <c r="E183" s="1553">
        <v>1529</v>
      </c>
      <c r="F183" s="1559">
        <v>5.08</v>
      </c>
    </row>
    <row r="184" spans="1:6" ht="18.95" hidden="1" customHeight="1" x14ac:dyDescent="0.2">
      <c r="A184" s="1563" t="s">
        <v>1368</v>
      </c>
      <c r="B184" s="1558">
        <v>261810</v>
      </c>
      <c r="C184" s="1553">
        <v>14158</v>
      </c>
      <c r="D184" s="1553">
        <v>11781</v>
      </c>
      <c r="E184" s="1553">
        <v>2377</v>
      </c>
      <c r="F184" s="1559">
        <v>5.41</v>
      </c>
    </row>
    <row r="185" spans="1:6" ht="18.95" hidden="1" customHeight="1" x14ac:dyDescent="0.2">
      <c r="A185" s="1563">
        <v>40248</v>
      </c>
      <c r="B185" s="1558">
        <v>263041</v>
      </c>
      <c r="C185" s="1553">
        <v>15396</v>
      </c>
      <c r="D185" s="1553">
        <v>11837</v>
      </c>
      <c r="E185" s="1553">
        <v>3559</v>
      </c>
      <c r="F185" s="1559">
        <v>5.85</v>
      </c>
    </row>
    <row r="186" spans="1:6" ht="18.95" hidden="1" customHeight="1" x14ac:dyDescent="0.2">
      <c r="A186" s="1563">
        <v>40262</v>
      </c>
      <c r="B186" s="1558">
        <v>266778</v>
      </c>
      <c r="C186" s="1553">
        <v>17050</v>
      </c>
      <c r="D186" s="1553">
        <v>12005</v>
      </c>
      <c r="E186" s="1553">
        <v>5045</v>
      </c>
      <c r="F186" s="1559">
        <v>6.39</v>
      </c>
    </row>
    <row r="187" spans="1:6" ht="18.95" hidden="1" customHeight="1" x14ac:dyDescent="0.2">
      <c r="A187" s="1563">
        <v>40276</v>
      </c>
      <c r="B187" s="1558">
        <v>268115</v>
      </c>
      <c r="C187" s="1553">
        <v>15262</v>
      </c>
      <c r="D187" s="1553">
        <v>12065</v>
      </c>
      <c r="E187" s="1553">
        <v>3497</v>
      </c>
      <c r="F187" s="1559">
        <v>5.8</v>
      </c>
    </row>
    <row r="188" spans="1:6" ht="18.95" hidden="1" customHeight="1" x14ac:dyDescent="0.2">
      <c r="A188" s="1563">
        <v>40290</v>
      </c>
      <c r="B188" s="1558">
        <v>269478</v>
      </c>
      <c r="C188" s="1553">
        <v>16204</v>
      </c>
      <c r="D188" s="1553">
        <v>12126</v>
      </c>
      <c r="E188" s="1553">
        <v>4078</v>
      </c>
      <c r="F188" s="1559">
        <v>6.01</v>
      </c>
    </row>
    <row r="189" spans="1:6" ht="18.95" hidden="1" customHeight="1" x14ac:dyDescent="0.2">
      <c r="A189" s="1563">
        <v>40304</v>
      </c>
      <c r="B189" s="1558">
        <v>267804</v>
      </c>
      <c r="C189" s="1553">
        <v>15599</v>
      </c>
      <c r="D189" s="1553">
        <v>12051</v>
      </c>
      <c r="E189" s="1553">
        <v>3548</v>
      </c>
      <c r="F189" s="1559">
        <v>5.82</v>
      </c>
    </row>
    <row r="190" spans="1:6" ht="18.95" hidden="1" customHeight="1" x14ac:dyDescent="0.2">
      <c r="A190" s="1563">
        <v>40318</v>
      </c>
      <c r="B190" s="1558">
        <v>268531</v>
      </c>
      <c r="C190" s="1553">
        <v>16094</v>
      </c>
      <c r="D190" s="1553">
        <v>12084</v>
      </c>
      <c r="E190" s="1553">
        <v>4010</v>
      </c>
      <c r="F190" s="1559">
        <v>5.99</v>
      </c>
    </row>
    <row r="191" spans="1:6" ht="18.95" hidden="1" customHeight="1" x14ac:dyDescent="0.2">
      <c r="A191" s="1563">
        <v>40332</v>
      </c>
      <c r="B191" s="1558">
        <v>269953</v>
      </c>
      <c r="C191" s="1553">
        <v>17039</v>
      </c>
      <c r="D191" s="1553">
        <v>12148</v>
      </c>
      <c r="E191" s="1553">
        <v>4891</v>
      </c>
      <c r="F191" s="1559">
        <v>6.31</v>
      </c>
    </row>
    <row r="192" spans="1:6" ht="18.95" hidden="1" customHeight="1" x14ac:dyDescent="0.2">
      <c r="A192" s="1563">
        <v>40346</v>
      </c>
      <c r="B192" s="1558">
        <v>273110</v>
      </c>
      <c r="C192" s="1553">
        <v>16832</v>
      </c>
      <c r="D192" s="1553">
        <v>12290</v>
      </c>
      <c r="E192" s="1553">
        <v>4542</v>
      </c>
      <c r="F192" s="1559">
        <v>6.16</v>
      </c>
    </row>
    <row r="193" spans="1:6" ht="18.95" hidden="1" customHeight="1" x14ac:dyDescent="0.2">
      <c r="A193" s="1563" t="s">
        <v>1369</v>
      </c>
      <c r="B193" s="1558">
        <v>274796</v>
      </c>
      <c r="C193" s="1553">
        <v>17935</v>
      </c>
      <c r="D193" s="1553">
        <v>13740</v>
      </c>
      <c r="E193" s="1553">
        <v>4195</v>
      </c>
      <c r="F193" s="1559">
        <v>6.53</v>
      </c>
    </row>
    <row r="194" spans="1:6" ht="18.95" hidden="1" customHeight="1" x14ac:dyDescent="0.2">
      <c r="A194" s="1563">
        <v>40374</v>
      </c>
      <c r="B194" s="1558">
        <v>276772</v>
      </c>
      <c r="C194" s="1553">
        <v>17780</v>
      </c>
      <c r="D194" s="1553">
        <v>13839</v>
      </c>
      <c r="E194" s="1553">
        <v>3941</v>
      </c>
      <c r="F194" s="1559">
        <v>6.42</v>
      </c>
    </row>
    <row r="195" spans="1:6" ht="18.95" hidden="1" customHeight="1" x14ac:dyDescent="0.2">
      <c r="A195" s="1563">
        <v>40388</v>
      </c>
      <c r="B195" s="1558">
        <v>275835</v>
      </c>
      <c r="C195" s="1553">
        <v>18510</v>
      </c>
      <c r="D195" s="1553">
        <v>13792</v>
      </c>
      <c r="E195" s="1553">
        <v>4718</v>
      </c>
      <c r="F195" s="1559">
        <v>6.71</v>
      </c>
    </row>
    <row r="196" spans="1:6" ht="18.95" hidden="1" customHeight="1" x14ac:dyDescent="0.2">
      <c r="A196" s="1563">
        <v>40402</v>
      </c>
      <c r="B196" s="1558">
        <v>274120</v>
      </c>
      <c r="C196" s="1553">
        <v>19159</v>
      </c>
      <c r="D196" s="1553">
        <v>13706</v>
      </c>
      <c r="E196" s="1553">
        <v>5453</v>
      </c>
      <c r="F196" s="1559">
        <v>6.99</v>
      </c>
    </row>
    <row r="197" spans="1:6" ht="18.95" hidden="1" customHeight="1" x14ac:dyDescent="0.2">
      <c r="A197" s="1563">
        <v>40416</v>
      </c>
      <c r="B197" s="1558">
        <v>273813</v>
      </c>
      <c r="C197" s="1553">
        <v>20434</v>
      </c>
      <c r="D197" s="1553">
        <v>13691</v>
      </c>
      <c r="E197" s="1553">
        <v>6743</v>
      </c>
      <c r="F197" s="1559">
        <v>7.46</v>
      </c>
    </row>
    <row r="198" spans="1:6" ht="18.95" hidden="1" customHeight="1" x14ac:dyDescent="0.2">
      <c r="A198" s="1563">
        <v>40430</v>
      </c>
      <c r="B198" s="1558">
        <v>273429</v>
      </c>
      <c r="C198" s="1553">
        <v>17834</v>
      </c>
      <c r="D198" s="1553">
        <v>13671</v>
      </c>
      <c r="E198" s="1553">
        <v>4163</v>
      </c>
      <c r="F198" s="1559">
        <v>6.52</v>
      </c>
    </row>
    <row r="199" spans="1:6" ht="18.95" hidden="1" customHeight="1" x14ac:dyDescent="0.2">
      <c r="A199" s="1563">
        <v>40444</v>
      </c>
      <c r="B199" s="1558">
        <v>274674</v>
      </c>
      <c r="C199" s="1553">
        <v>17763</v>
      </c>
      <c r="D199" s="1553">
        <v>13734</v>
      </c>
      <c r="E199" s="1553">
        <v>4029</v>
      </c>
      <c r="F199" s="1559">
        <v>6.47</v>
      </c>
    </row>
    <row r="200" spans="1:6" ht="18.95" hidden="1" customHeight="1" x14ac:dyDescent="0.2">
      <c r="A200" s="1563">
        <v>40458</v>
      </c>
      <c r="B200" s="1558">
        <v>276592</v>
      </c>
      <c r="C200" s="1553">
        <v>17950</v>
      </c>
      <c r="D200" s="1553">
        <v>13830</v>
      </c>
      <c r="E200" s="1553">
        <v>4120</v>
      </c>
      <c r="F200" s="1559">
        <v>6.49</v>
      </c>
    </row>
    <row r="201" spans="1:6" ht="18.95" hidden="1" customHeight="1" x14ac:dyDescent="0.2">
      <c r="A201" s="1563" t="s">
        <v>1370</v>
      </c>
      <c r="B201" s="1558">
        <v>277399</v>
      </c>
      <c r="C201" s="1553">
        <v>19435</v>
      </c>
      <c r="D201" s="1553">
        <v>16644</v>
      </c>
      <c r="E201" s="1553">
        <v>2791</v>
      </c>
      <c r="F201" s="1559">
        <v>7.01</v>
      </c>
    </row>
    <row r="202" spans="1:6" ht="18.95" hidden="1" customHeight="1" x14ac:dyDescent="0.2">
      <c r="A202" s="1563">
        <v>40486</v>
      </c>
      <c r="B202" s="1558">
        <v>277740</v>
      </c>
      <c r="C202" s="1553">
        <v>19670</v>
      </c>
      <c r="D202" s="1553">
        <v>16665</v>
      </c>
      <c r="E202" s="1553">
        <v>3005</v>
      </c>
      <c r="F202" s="1559">
        <v>7.08</v>
      </c>
    </row>
    <row r="203" spans="1:6" ht="18.95" hidden="1" customHeight="1" x14ac:dyDescent="0.2">
      <c r="A203" s="1563">
        <v>40500</v>
      </c>
      <c r="B203" s="1558">
        <v>278718</v>
      </c>
      <c r="C203" s="1553">
        <v>19801</v>
      </c>
      <c r="D203" s="1553">
        <v>16723</v>
      </c>
      <c r="E203" s="1553">
        <v>3078</v>
      </c>
      <c r="F203" s="1559">
        <v>7.1</v>
      </c>
    </row>
    <row r="204" spans="1:6" ht="18.95" hidden="1" customHeight="1" x14ac:dyDescent="0.2">
      <c r="A204" s="1563">
        <v>40514</v>
      </c>
      <c r="B204" s="1558">
        <v>280046</v>
      </c>
      <c r="C204" s="1553">
        <v>20809</v>
      </c>
      <c r="D204" s="1553">
        <v>16803</v>
      </c>
      <c r="E204" s="1553">
        <v>4006</v>
      </c>
      <c r="F204" s="1559">
        <v>7.43</v>
      </c>
    </row>
    <row r="205" spans="1:6" ht="18.95" hidden="1" customHeight="1" x14ac:dyDescent="0.2">
      <c r="A205" s="1563">
        <v>40528</v>
      </c>
      <c r="B205" s="1558">
        <v>282723</v>
      </c>
      <c r="C205" s="1553">
        <v>20939</v>
      </c>
      <c r="D205" s="1553">
        <v>16963</v>
      </c>
      <c r="E205" s="1553">
        <v>3976</v>
      </c>
      <c r="F205" s="1559">
        <v>7.41</v>
      </c>
    </row>
    <row r="206" spans="1:6" ht="15" hidden="1" customHeight="1" x14ac:dyDescent="0.2">
      <c r="A206" s="1563">
        <v>40542</v>
      </c>
      <c r="B206" s="1558">
        <v>284395</v>
      </c>
      <c r="C206" s="1553">
        <v>22146</v>
      </c>
      <c r="D206" s="1553">
        <v>17064</v>
      </c>
      <c r="E206" s="1553">
        <v>5082</v>
      </c>
      <c r="F206" s="1559">
        <v>7.79</v>
      </c>
    </row>
    <row r="207" spans="1:6" ht="18.95" hidden="1" customHeight="1" x14ac:dyDescent="0.2">
      <c r="A207" s="1563">
        <v>40556</v>
      </c>
      <c r="B207" s="1558">
        <v>288891</v>
      </c>
      <c r="C207" s="1553">
        <v>22077</v>
      </c>
      <c r="D207" s="1553">
        <v>17333</v>
      </c>
      <c r="E207" s="1553">
        <v>4744</v>
      </c>
      <c r="F207" s="1559">
        <v>7.64</v>
      </c>
    </row>
    <row r="208" spans="1:6" ht="18.95" hidden="1" customHeight="1" x14ac:dyDescent="0.2">
      <c r="A208" s="1563">
        <v>40570</v>
      </c>
      <c r="B208" s="1558">
        <v>290395</v>
      </c>
      <c r="C208" s="1553">
        <v>23653</v>
      </c>
      <c r="D208" s="1553">
        <v>17424</v>
      </c>
      <c r="E208" s="1553">
        <v>6229</v>
      </c>
      <c r="F208" s="1559">
        <v>8.15</v>
      </c>
    </row>
    <row r="209" spans="1:9" ht="18.95" hidden="1" customHeight="1" x14ac:dyDescent="0.2">
      <c r="A209" s="1563">
        <v>40584</v>
      </c>
      <c r="B209" s="1558">
        <v>289585</v>
      </c>
      <c r="C209" s="1553">
        <v>23044</v>
      </c>
      <c r="D209" s="1553">
        <v>17375</v>
      </c>
      <c r="E209" s="1553">
        <v>5669</v>
      </c>
      <c r="F209" s="1559">
        <v>7.96</v>
      </c>
    </row>
    <row r="210" spans="1:9" ht="18.95" hidden="1" customHeight="1" x14ac:dyDescent="0.2">
      <c r="A210" s="1563">
        <v>40598</v>
      </c>
      <c r="B210" s="1558">
        <v>288172</v>
      </c>
      <c r="C210" s="1553">
        <v>24186</v>
      </c>
      <c r="D210" s="1553">
        <v>17290</v>
      </c>
      <c r="E210" s="1553">
        <v>6896</v>
      </c>
      <c r="F210" s="1559">
        <v>8.39</v>
      </c>
    </row>
    <row r="211" spans="1:9" ht="18.95" hidden="1" customHeight="1" x14ac:dyDescent="0.2">
      <c r="A211" s="1563" t="s">
        <v>1371</v>
      </c>
      <c r="B211" s="1558">
        <v>287134</v>
      </c>
      <c r="C211" s="1553">
        <v>23464</v>
      </c>
      <c r="D211" s="1553">
        <v>20099</v>
      </c>
      <c r="E211" s="1553">
        <v>3365</v>
      </c>
      <c r="F211" s="1559">
        <v>8.17</v>
      </c>
      <c r="I211" s="1519"/>
    </row>
    <row r="212" spans="1:9" ht="18.95" hidden="1" customHeight="1" x14ac:dyDescent="0.2">
      <c r="A212" s="1563">
        <v>40626</v>
      </c>
      <c r="B212" s="1558">
        <v>287246</v>
      </c>
      <c r="C212" s="1553">
        <v>24326</v>
      </c>
      <c r="D212" s="1553">
        <v>20107</v>
      </c>
      <c r="E212" s="1553">
        <v>4219</v>
      </c>
      <c r="F212" s="1559">
        <v>8.4700000000000006</v>
      </c>
      <c r="I212" s="1519"/>
    </row>
    <row r="213" spans="1:9" ht="18.95" hidden="1" customHeight="1" x14ac:dyDescent="0.2">
      <c r="A213" s="1563" t="s">
        <v>1372</v>
      </c>
      <c r="B213" s="1558">
        <v>286005</v>
      </c>
      <c r="C213" s="1553">
        <v>23476</v>
      </c>
      <c r="D213" s="1553">
        <v>20020</v>
      </c>
      <c r="E213" s="1553">
        <v>3456</v>
      </c>
      <c r="F213" s="1559">
        <v>8.2100000000000009</v>
      </c>
      <c r="G213" s="1564"/>
      <c r="I213" s="1519"/>
    </row>
    <row r="214" spans="1:9" ht="18.95" hidden="1" customHeight="1" x14ac:dyDescent="0.2">
      <c r="A214" s="1563">
        <v>40654</v>
      </c>
      <c r="B214" s="1558">
        <v>286741</v>
      </c>
      <c r="C214" s="1553">
        <v>24180</v>
      </c>
      <c r="D214" s="1553">
        <v>20072</v>
      </c>
      <c r="E214" s="1553">
        <v>4108</v>
      </c>
      <c r="F214" s="1559">
        <v>8.43</v>
      </c>
      <c r="G214" s="1564"/>
      <c r="I214" s="1519"/>
    </row>
    <row r="215" spans="1:9" ht="18.95" hidden="1" customHeight="1" x14ac:dyDescent="0.2">
      <c r="A215" s="1563">
        <v>40668</v>
      </c>
      <c r="B215" s="1558">
        <v>284572</v>
      </c>
      <c r="C215" s="1553">
        <v>22981</v>
      </c>
      <c r="D215" s="1553">
        <v>19920</v>
      </c>
      <c r="E215" s="1553">
        <v>3061</v>
      </c>
      <c r="F215" s="1559">
        <v>8.08</v>
      </c>
      <c r="G215" s="1564"/>
      <c r="I215" s="1519"/>
    </row>
    <row r="216" spans="1:9" ht="18.95" hidden="1" customHeight="1" x14ac:dyDescent="0.2">
      <c r="A216" s="1563">
        <v>40682</v>
      </c>
      <c r="B216" s="1558">
        <v>284906</v>
      </c>
      <c r="C216" s="1553">
        <v>23797</v>
      </c>
      <c r="D216" s="1553">
        <v>19943</v>
      </c>
      <c r="E216" s="1553">
        <v>3854</v>
      </c>
      <c r="F216" s="1559">
        <v>8.35</v>
      </c>
      <c r="G216" s="1564"/>
      <c r="I216" s="1519"/>
    </row>
    <row r="217" spans="1:9" ht="18.95" hidden="1" customHeight="1" x14ac:dyDescent="0.2">
      <c r="A217" s="1563">
        <v>40696</v>
      </c>
      <c r="B217" s="1558">
        <v>284733</v>
      </c>
      <c r="C217" s="1553">
        <v>21702</v>
      </c>
      <c r="D217" s="1553">
        <v>19931</v>
      </c>
      <c r="E217" s="1553">
        <v>1771</v>
      </c>
      <c r="F217" s="1559">
        <v>7.62</v>
      </c>
      <c r="G217" s="1564"/>
      <c r="I217" s="1519"/>
    </row>
    <row r="218" spans="1:9" ht="18.95" hidden="1" customHeight="1" x14ac:dyDescent="0.2">
      <c r="A218" s="1563">
        <v>40710</v>
      </c>
      <c r="B218" s="1558">
        <v>285256</v>
      </c>
      <c r="C218" s="1553">
        <v>22688</v>
      </c>
      <c r="D218" s="1553">
        <v>19968</v>
      </c>
      <c r="E218" s="1553">
        <v>2720</v>
      </c>
      <c r="F218" s="1559">
        <v>7.95</v>
      </c>
      <c r="G218" s="1564"/>
      <c r="I218" s="1519"/>
    </row>
    <row r="219" spans="1:9" ht="18.95" hidden="1" customHeight="1" x14ac:dyDescent="0.2">
      <c r="A219" s="1563">
        <v>40724</v>
      </c>
      <c r="B219" s="1558">
        <v>285872</v>
      </c>
      <c r="C219" s="1553">
        <v>23530</v>
      </c>
      <c r="D219" s="1553">
        <v>20011</v>
      </c>
      <c r="E219" s="1553">
        <v>3519</v>
      </c>
      <c r="F219" s="1559">
        <v>8.23</v>
      </c>
      <c r="G219" s="1564"/>
      <c r="I219" s="1519"/>
    </row>
    <row r="220" spans="1:9" ht="18.95" hidden="1" customHeight="1" x14ac:dyDescent="0.2">
      <c r="A220" s="1563">
        <v>40738</v>
      </c>
      <c r="B220" s="1558">
        <v>289142</v>
      </c>
      <c r="C220" s="1553">
        <v>21972</v>
      </c>
      <c r="D220" s="1553">
        <v>20240</v>
      </c>
      <c r="E220" s="1553">
        <v>1732</v>
      </c>
      <c r="F220" s="1559">
        <v>7.6</v>
      </c>
      <c r="G220" s="1564"/>
      <c r="I220" s="1519"/>
    </row>
    <row r="221" spans="1:9" ht="18.95" hidden="1" customHeight="1" x14ac:dyDescent="0.2">
      <c r="A221" s="1563">
        <v>40752</v>
      </c>
      <c r="B221" s="1558">
        <v>285832</v>
      </c>
      <c r="C221" s="1553">
        <v>21384</v>
      </c>
      <c r="D221" s="1553">
        <v>20008</v>
      </c>
      <c r="E221" s="1553">
        <v>1376</v>
      </c>
      <c r="F221" s="1559">
        <v>7.48</v>
      </c>
      <c r="G221" s="1564"/>
      <c r="I221" s="1519"/>
    </row>
    <row r="222" spans="1:9" ht="18.95" hidden="1" customHeight="1" x14ac:dyDescent="0.2">
      <c r="A222" s="1563">
        <v>40766</v>
      </c>
      <c r="B222" s="1558">
        <v>285455</v>
      </c>
      <c r="C222" s="1553">
        <v>20817</v>
      </c>
      <c r="D222" s="1553">
        <v>19982</v>
      </c>
      <c r="E222" s="1553">
        <v>835</v>
      </c>
      <c r="F222" s="1559">
        <v>7.29</v>
      </c>
      <c r="G222" s="1564"/>
      <c r="I222" s="1519"/>
    </row>
    <row r="223" spans="1:9" ht="18.95" hidden="1" customHeight="1" x14ac:dyDescent="0.2">
      <c r="A223" s="1563">
        <v>40780</v>
      </c>
      <c r="B223" s="1558">
        <v>284668</v>
      </c>
      <c r="C223" s="1553">
        <v>21975</v>
      </c>
      <c r="D223" s="1553">
        <v>19927</v>
      </c>
      <c r="E223" s="1553">
        <v>2048</v>
      </c>
      <c r="F223" s="1559">
        <v>7.72</v>
      </c>
      <c r="G223" s="1564"/>
      <c r="I223" s="1519"/>
    </row>
    <row r="224" spans="1:9" ht="18.95" hidden="1" customHeight="1" x14ac:dyDescent="0.2">
      <c r="A224" s="1563">
        <v>40794</v>
      </c>
      <c r="B224" s="1558">
        <v>284880</v>
      </c>
      <c r="C224" s="1553">
        <v>21902</v>
      </c>
      <c r="D224" s="1553">
        <v>19942</v>
      </c>
      <c r="E224" s="1553">
        <v>1960</v>
      </c>
      <c r="F224" s="1559">
        <v>7.69</v>
      </c>
      <c r="G224" s="1564"/>
      <c r="I224" s="1519"/>
    </row>
    <row r="225" spans="1:12" ht="18.95" hidden="1" customHeight="1" x14ac:dyDescent="0.2">
      <c r="A225" s="1563">
        <v>40808</v>
      </c>
      <c r="B225" s="1558">
        <v>287761</v>
      </c>
      <c r="C225" s="1553">
        <v>24062</v>
      </c>
      <c r="D225" s="1553">
        <v>20143</v>
      </c>
      <c r="E225" s="1553">
        <v>3919</v>
      </c>
      <c r="F225" s="1559">
        <v>8.36</v>
      </c>
      <c r="G225" s="1564"/>
      <c r="I225" s="1519"/>
    </row>
    <row r="226" spans="1:12" ht="18.95" hidden="1" customHeight="1" x14ac:dyDescent="0.2">
      <c r="A226" s="1563">
        <v>40822</v>
      </c>
      <c r="B226" s="1558">
        <v>286084</v>
      </c>
      <c r="C226" s="1553">
        <v>22766</v>
      </c>
      <c r="D226" s="1553">
        <v>20026</v>
      </c>
      <c r="E226" s="1553">
        <v>2740</v>
      </c>
      <c r="F226" s="1559">
        <v>7.96</v>
      </c>
      <c r="G226" s="1564"/>
      <c r="I226" s="1519"/>
    </row>
    <row r="227" spans="1:12" ht="18.95" hidden="1" customHeight="1" x14ac:dyDescent="0.2">
      <c r="A227" s="1563">
        <v>40836</v>
      </c>
      <c r="B227" s="1558">
        <v>287324</v>
      </c>
      <c r="C227" s="1553">
        <v>22206</v>
      </c>
      <c r="D227" s="1553">
        <v>20113</v>
      </c>
      <c r="E227" s="1553">
        <v>2093</v>
      </c>
      <c r="F227" s="1559">
        <v>7.73</v>
      </c>
      <c r="G227" s="1564"/>
      <c r="I227" s="1519"/>
    </row>
    <row r="228" spans="1:12" ht="18.95" hidden="1" customHeight="1" x14ac:dyDescent="0.2">
      <c r="A228" s="1563">
        <v>40850</v>
      </c>
      <c r="B228" s="1558">
        <v>289607</v>
      </c>
      <c r="C228" s="1553">
        <v>21163</v>
      </c>
      <c r="D228" s="1553">
        <v>20272</v>
      </c>
      <c r="E228" s="1553">
        <v>891</v>
      </c>
      <c r="F228" s="1559">
        <v>7.31</v>
      </c>
      <c r="G228" s="1564"/>
      <c r="I228" s="1519"/>
    </row>
    <row r="229" spans="1:12" ht="18.95" hidden="1" customHeight="1" x14ac:dyDescent="0.2">
      <c r="A229" s="1563">
        <v>40864</v>
      </c>
      <c r="B229" s="1558">
        <v>284710</v>
      </c>
      <c r="C229" s="1553">
        <v>21312</v>
      </c>
      <c r="D229" s="1553">
        <v>19930</v>
      </c>
      <c r="E229" s="1553">
        <v>1382</v>
      </c>
      <c r="F229" s="1559">
        <v>7.49</v>
      </c>
      <c r="G229" s="1564"/>
      <c r="I229" s="1519"/>
    </row>
    <row r="230" spans="1:12" ht="18.95" hidden="1" customHeight="1" x14ac:dyDescent="0.2">
      <c r="A230" s="1563">
        <v>40878</v>
      </c>
      <c r="B230" s="1558">
        <v>286353</v>
      </c>
      <c r="C230" s="1553">
        <v>21613</v>
      </c>
      <c r="D230" s="1553">
        <v>20045</v>
      </c>
      <c r="E230" s="1553">
        <v>1568</v>
      </c>
      <c r="F230" s="1559">
        <v>7.55</v>
      </c>
      <c r="G230" s="1564"/>
      <c r="I230" s="1519"/>
    </row>
    <row r="231" spans="1:12" ht="18.95" hidden="1" customHeight="1" x14ac:dyDescent="0.2">
      <c r="A231" s="1563">
        <v>40892</v>
      </c>
      <c r="B231" s="1558">
        <v>286057</v>
      </c>
      <c r="C231" s="1553">
        <v>21193</v>
      </c>
      <c r="D231" s="1553">
        <v>20024</v>
      </c>
      <c r="E231" s="1553">
        <v>1169</v>
      </c>
      <c r="F231" s="1559">
        <v>7.41</v>
      </c>
      <c r="G231" s="1564"/>
      <c r="I231" s="1519"/>
    </row>
    <row r="232" spans="1:12" ht="18.95" hidden="1" customHeight="1" x14ac:dyDescent="0.2">
      <c r="A232" s="1563">
        <v>40934</v>
      </c>
      <c r="B232" s="1558">
        <v>295071</v>
      </c>
      <c r="C232" s="1553">
        <v>23736</v>
      </c>
      <c r="D232" s="1553">
        <v>20655</v>
      </c>
      <c r="E232" s="1553">
        <v>3081</v>
      </c>
      <c r="F232" s="1559">
        <v>8.0399999999999991</v>
      </c>
      <c r="G232" s="1494"/>
      <c r="I232" s="1519"/>
      <c r="J232" s="1494"/>
      <c r="K232" s="1519"/>
      <c r="L232" s="1494"/>
    </row>
    <row r="233" spans="1:12" ht="18.95" hidden="1" customHeight="1" thickTop="1" x14ac:dyDescent="0.2">
      <c r="A233" s="1563">
        <v>40948</v>
      </c>
      <c r="B233" s="1558">
        <v>296350</v>
      </c>
      <c r="C233" s="1553">
        <v>22160</v>
      </c>
      <c r="D233" s="1553">
        <v>20744</v>
      </c>
      <c r="E233" s="1553">
        <v>1416</v>
      </c>
      <c r="F233" s="1559">
        <v>7.48</v>
      </c>
      <c r="G233" s="1494"/>
      <c r="I233" s="1519"/>
      <c r="J233" s="1494"/>
      <c r="K233" s="1519"/>
      <c r="L233" s="1494"/>
    </row>
    <row r="234" spans="1:12" ht="18.95" hidden="1" customHeight="1" thickTop="1" x14ac:dyDescent="0.2">
      <c r="A234" s="1563">
        <v>40962</v>
      </c>
      <c r="B234" s="1558">
        <v>295119</v>
      </c>
      <c r="C234" s="1553">
        <v>23246</v>
      </c>
      <c r="D234" s="1553">
        <v>20658</v>
      </c>
      <c r="E234" s="1553">
        <v>2588</v>
      </c>
      <c r="F234" s="1559">
        <v>7.88</v>
      </c>
      <c r="G234" s="1494"/>
      <c r="I234" s="1519"/>
      <c r="J234" s="1494"/>
      <c r="K234" s="1519"/>
      <c r="L234" s="1494"/>
    </row>
    <row r="235" spans="1:12" ht="18.95" hidden="1" customHeight="1" thickTop="1" x14ac:dyDescent="0.2">
      <c r="A235" s="1563">
        <v>40976</v>
      </c>
      <c r="B235" s="1558">
        <v>291715</v>
      </c>
      <c r="C235" s="1553">
        <v>23136</v>
      </c>
      <c r="D235" s="1553">
        <v>20420</v>
      </c>
      <c r="E235" s="1553">
        <v>2716</v>
      </c>
      <c r="F235" s="1559">
        <v>7.93</v>
      </c>
      <c r="G235" s="1494"/>
      <c r="I235" s="1519"/>
      <c r="J235" s="1494"/>
      <c r="K235" s="1519"/>
      <c r="L235" s="1494"/>
    </row>
    <row r="236" spans="1:12" ht="18.95" hidden="1" customHeight="1" x14ac:dyDescent="0.2">
      <c r="A236" s="1563">
        <v>40990</v>
      </c>
      <c r="B236" s="1558">
        <v>291814</v>
      </c>
      <c r="C236" s="1553">
        <v>23420</v>
      </c>
      <c r="D236" s="1553">
        <v>20427</v>
      </c>
      <c r="E236" s="1553">
        <v>2993</v>
      </c>
      <c r="F236" s="1559">
        <v>8.0299999999999994</v>
      </c>
      <c r="G236" s="1494"/>
      <c r="I236" s="1519"/>
      <c r="J236" s="1494"/>
      <c r="K236" s="1519"/>
      <c r="L236" s="1494"/>
    </row>
    <row r="237" spans="1:12" ht="18.95" hidden="1" customHeight="1" thickTop="1" x14ac:dyDescent="0.2">
      <c r="A237" s="1563">
        <v>41004</v>
      </c>
      <c r="B237" s="1558">
        <v>293662</v>
      </c>
      <c r="C237" s="1553">
        <v>23285</v>
      </c>
      <c r="D237" s="1553">
        <v>20556</v>
      </c>
      <c r="E237" s="1553">
        <v>2729</v>
      </c>
      <c r="F237" s="1559">
        <v>7.93</v>
      </c>
      <c r="G237" s="1494"/>
      <c r="I237" s="1519"/>
      <c r="J237" s="1494"/>
      <c r="K237" s="1519"/>
      <c r="L237" s="1494"/>
    </row>
    <row r="238" spans="1:12" ht="18.95" hidden="1" customHeight="1" x14ac:dyDescent="0.2">
      <c r="A238" s="1563">
        <v>41018</v>
      </c>
      <c r="B238" s="1558">
        <v>294377</v>
      </c>
      <c r="C238" s="1553">
        <v>22617</v>
      </c>
      <c r="D238" s="1553">
        <v>20606</v>
      </c>
      <c r="E238" s="1553">
        <v>2011</v>
      </c>
      <c r="F238" s="1559">
        <v>7.68</v>
      </c>
      <c r="G238" s="1494"/>
      <c r="I238" s="1519"/>
      <c r="J238" s="1494"/>
      <c r="K238" s="1519"/>
      <c r="L238" s="1494"/>
    </row>
    <row r="239" spans="1:12" ht="18.95" hidden="1" customHeight="1" x14ac:dyDescent="0.2">
      <c r="A239" s="1563">
        <v>41032</v>
      </c>
      <c r="B239" s="1558">
        <v>292516</v>
      </c>
      <c r="C239" s="1553">
        <v>23050</v>
      </c>
      <c r="D239" s="1553">
        <v>20476</v>
      </c>
      <c r="E239" s="1553">
        <v>2574</v>
      </c>
      <c r="F239" s="1559">
        <v>7.88</v>
      </c>
      <c r="G239" s="1494"/>
      <c r="I239" s="1519"/>
      <c r="J239" s="1494"/>
      <c r="K239" s="1519"/>
      <c r="L239" s="1494"/>
    </row>
    <row r="240" spans="1:12" ht="18.95" hidden="1" customHeight="1" x14ac:dyDescent="0.2">
      <c r="A240" s="1563">
        <v>41046</v>
      </c>
      <c r="B240" s="1558">
        <v>294307</v>
      </c>
      <c r="C240" s="1553">
        <v>24033</v>
      </c>
      <c r="D240" s="1553">
        <v>20601</v>
      </c>
      <c r="E240" s="1553">
        <v>3432</v>
      </c>
      <c r="F240" s="1559">
        <v>8.17</v>
      </c>
      <c r="G240" s="1494"/>
      <c r="I240" s="1519"/>
      <c r="J240" s="1494"/>
      <c r="K240" s="1519"/>
      <c r="L240" s="1494"/>
    </row>
    <row r="241" spans="1:12" ht="18.95" hidden="1" customHeight="1" thickTop="1" x14ac:dyDescent="0.2">
      <c r="A241" s="1565">
        <v>41060</v>
      </c>
      <c r="B241" s="1566">
        <v>296267</v>
      </c>
      <c r="C241" s="1567">
        <v>24967</v>
      </c>
      <c r="D241" s="1567">
        <v>20739</v>
      </c>
      <c r="E241" s="1567">
        <v>4228</v>
      </c>
      <c r="F241" s="1568">
        <v>8.43</v>
      </c>
      <c r="G241" s="1494"/>
      <c r="I241" s="1519"/>
      <c r="J241" s="1494"/>
      <c r="K241" s="1519"/>
      <c r="L241" s="1494"/>
    </row>
    <row r="242" spans="1:12" ht="18.95" hidden="1" customHeight="1" x14ac:dyDescent="0.2">
      <c r="A242" s="1565">
        <v>41074</v>
      </c>
      <c r="B242" s="1566">
        <v>298111</v>
      </c>
      <c r="C242" s="1567">
        <v>24242</v>
      </c>
      <c r="D242" s="1567">
        <v>20868</v>
      </c>
      <c r="E242" s="1567">
        <v>3374</v>
      </c>
      <c r="F242" s="1568">
        <v>8.1300000000000008</v>
      </c>
      <c r="G242" s="1494"/>
      <c r="I242" s="1519"/>
      <c r="J242" s="1494"/>
      <c r="K242" s="1519"/>
      <c r="L242" s="1494"/>
    </row>
    <row r="243" spans="1:12" ht="18.95" hidden="1" customHeight="1" x14ac:dyDescent="0.2">
      <c r="A243" s="1565">
        <v>41088</v>
      </c>
      <c r="B243" s="1566">
        <v>299964</v>
      </c>
      <c r="C243" s="1567">
        <v>25777</v>
      </c>
      <c r="D243" s="1567">
        <v>20997</v>
      </c>
      <c r="E243" s="1567">
        <v>4780</v>
      </c>
      <c r="F243" s="1568">
        <v>8.59</v>
      </c>
      <c r="G243" s="1494"/>
      <c r="I243" s="1519"/>
      <c r="J243" s="1494"/>
      <c r="K243" s="1519"/>
      <c r="L243" s="1494"/>
    </row>
    <row r="244" spans="1:12" ht="18.95" hidden="1" customHeight="1" x14ac:dyDescent="0.2">
      <c r="A244" s="1565">
        <v>41102</v>
      </c>
      <c r="B244" s="1566">
        <v>301568</v>
      </c>
      <c r="C244" s="1567">
        <v>23265</v>
      </c>
      <c r="D244" s="1567">
        <v>21110</v>
      </c>
      <c r="E244" s="1567">
        <v>2155</v>
      </c>
      <c r="F244" s="1568">
        <v>7.71</v>
      </c>
      <c r="G244" s="1494"/>
      <c r="I244" s="1519"/>
      <c r="J244" s="1494"/>
      <c r="K244" s="1519"/>
      <c r="L244" s="1494"/>
    </row>
    <row r="245" spans="1:12" ht="18.95" hidden="1" customHeight="1" x14ac:dyDescent="0.2">
      <c r="A245" s="1565">
        <v>41116</v>
      </c>
      <c r="B245" s="1566">
        <v>302297</v>
      </c>
      <c r="C245" s="1567">
        <v>24363</v>
      </c>
      <c r="D245" s="1567">
        <v>21161</v>
      </c>
      <c r="E245" s="1567">
        <v>3202</v>
      </c>
      <c r="F245" s="1568">
        <v>8.06</v>
      </c>
      <c r="G245" s="1494"/>
      <c r="I245" s="1519"/>
      <c r="J245" s="1494"/>
      <c r="K245" s="1519"/>
      <c r="L245" s="1494"/>
    </row>
    <row r="246" spans="1:12" ht="18.95" hidden="1" customHeight="1" x14ac:dyDescent="0.2">
      <c r="A246" s="1565">
        <v>41130</v>
      </c>
      <c r="B246" s="1566">
        <v>301015</v>
      </c>
      <c r="C246" s="1567">
        <v>23719</v>
      </c>
      <c r="D246" s="1567">
        <v>21071</v>
      </c>
      <c r="E246" s="1567">
        <v>2648</v>
      </c>
      <c r="F246" s="1568">
        <v>7.88</v>
      </c>
      <c r="G246" s="1494"/>
      <c r="I246" s="1519"/>
      <c r="J246" s="1494"/>
      <c r="K246" s="1519"/>
      <c r="L246" s="1494"/>
    </row>
    <row r="247" spans="1:12" ht="18.95" hidden="1" customHeight="1" x14ac:dyDescent="0.2">
      <c r="A247" s="1565">
        <v>41144</v>
      </c>
      <c r="B247" s="1566">
        <v>304295</v>
      </c>
      <c r="C247" s="1567">
        <v>23218</v>
      </c>
      <c r="D247" s="1567">
        <v>21301</v>
      </c>
      <c r="E247" s="1567">
        <v>1917</v>
      </c>
      <c r="F247" s="1568">
        <v>7.63</v>
      </c>
      <c r="G247" s="1494"/>
      <c r="I247" s="1519"/>
      <c r="J247" s="1494"/>
      <c r="K247" s="1519"/>
      <c r="L247" s="1494"/>
    </row>
    <row r="248" spans="1:12" ht="18.95" hidden="1" customHeight="1" x14ac:dyDescent="0.2">
      <c r="A248" s="1565">
        <v>41158</v>
      </c>
      <c r="B248" s="1566">
        <v>302928</v>
      </c>
      <c r="C248" s="1567">
        <v>25141</v>
      </c>
      <c r="D248" s="1567">
        <v>21205</v>
      </c>
      <c r="E248" s="1567">
        <v>3936</v>
      </c>
      <c r="F248" s="1568">
        <v>8.3000000000000007</v>
      </c>
      <c r="G248" s="1494"/>
      <c r="I248" s="1519"/>
      <c r="J248" s="1494"/>
      <c r="K248" s="1519"/>
      <c r="L248" s="1494"/>
    </row>
    <row r="249" spans="1:12" ht="18.95" hidden="1" customHeight="1" x14ac:dyDescent="0.2">
      <c r="A249" s="1565">
        <v>41172</v>
      </c>
      <c r="B249" s="1566">
        <v>304716</v>
      </c>
      <c r="C249" s="1567">
        <v>25137</v>
      </c>
      <c r="D249" s="1567">
        <v>21330</v>
      </c>
      <c r="E249" s="1567">
        <v>3807</v>
      </c>
      <c r="F249" s="1568">
        <v>8.25</v>
      </c>
      <c r="G249" s="1494"/>
      <c r="I249" s="1519"/>
      <c r="J249" s="1494"/>
      <c r="K249" s="1519"/>
      <c r="L249" s="1494"/>
    </row>
    <row r="250" spans="1:12" ht="18.95" hidden="1" customHeight="1" x14ac:dyDescent="0.2">
      <c r="A250" s="1565">
        <v>41186</v>
      </c>
      <c r="B250" s="1566">
        <v>303975</v>
      </c>
      <c r="C250" s="1567">
        <v>25443</v>
      </c>
      <c r="D250" s="1567">
        <v>21278</v>
      </c>
      <c r="E250" s="1567">
        <v>4165</v>
      </c>
      <c r="F250" s="1568">
        <v>8.3699999999999992</v>
      </c>
      <c r="G250" s="1494"/>
      <c r="I250" s="1519"/>
      <c r="J250" s="1494"/>
      <c r="K250" s="1519"/>
      <c r="L250" s="1494"/>
    </row>
    <row r="251" spans="1:12" ht="18.95" hidden="1" customHeight="1" x14ac:dyDescent="0.2">
      <c r="A251" s="1565">
        <v>41200</v>
      </c>
      <c r="B251" s="1566">
        <v>305238</v>
      </c>
      <c r="C251" s="1567">
        <v>25580</v>
      </c>
      <c r="D251" s="1567">
        <v>21367</v>
      </c>
      <c r="E251" s="1567">
        <v>4213</v>
      </c>
      <c r="F251" s="1568">
        <v>8.3800000000000008</v>
      </c>
      <c r="G251" s="1494"/>
      <c r="I251" s="1519"/>
      <c r="J251" s="1494"/>
      <c r="K251" s="1519"/>
      <c r="L251" s="1494"/>
    </row>
    <row r="252" spans="1:12" ht="18.95" hidden="1" customHeight="1" x14ac:dyDescent="0.2">
      <c r="A252" s="1565">
        <v>41214</v>
      </c>
      <c r="B252" s="1566">
        <v>306094</v>
      </c>
      <c r="C252" s="1567">
        <v>25110</v>
      </c>
      <c r="D252" s="1567">
        <v>21427</v>
      </c>
      <c r="E252" s="1567">
        <v>3683</v>
      </c>
      <c r="F252" s="1568">
        <v>8.1999999999999993</v>
      </c>
      <c r="G252" s="1494"/>
      <c r="I252" s="1519"/>
      <c r="J252" s="1494"/>
      <c r="K252" s="1519"/>
      <c r="L252" s="1494"/>
    </row>
    <row r="253" spans="1:12" ht="18.95" hidden="1" customHeight="1" x14ac:dyDescent="0.2">
      <c r="A253" s="1565">
        <v>41228</v>
      </c>
      <c r="B253" s="1566">
        <v>309041</v>
      </c>
      <c r="C253" s="1567">
        <v>23508</v>
      </c>
      <c r="D253" s="1567">
        <v>21633</v>
      </c>
      <c r="E253" s="1567">
        <v>1875</v>
      </c>
      <c r="F253" s="1568">
        <v>7.61</v>
      </c>
      <c r="G253" s="1494"/>
      <c r="I253" s="1519"/>
      <c r="J253" s="1494"/>
      <c r="K253" s="1519"/>
      <c r="L253" s="1494"/>
    </row>
    <row r="254" spans="1:12" ht="18.95" hidden="1" customHeight="1" x14ac:dyDescent="0.2">
      <c r="A254" s="1565">
        <v>41242</v>
      </c>
      <c r="B254" s="1566">
        <v>309747</v>
      </c>
      <c r="C254" s="1567">
        <v>23651</v>
      </c>
      <c r="D254" s="1567">
        <v>21682</v>
      </c>
      <c r="E254" s="1567">
        <v>1969</v>
      </c>
      <c r="F254" s="1568">
        <v>7.64</v>
      </c>
      <c r="G254" s="1494"/>
      <c r="I254" s="1519"/>
      <c r="J254" s="1494"/>
      <c r="K254" s="1519"/>
      <c r="L254" s="1494"/>
    </row>
    <row r="255" spans="1:12" ht="18.95" hidden="1" customHeight="1" x14ac:dyDescent="0.2">
      <c r="A255" s="1565">
        <v>41256</v>
      </c>
      <c r="B255" s="1566">
        <v>310163</v>
      </c>
      <c r="C255" s="1567">
        <v>23853</v>
      </c>
      <c r="D255" s="1567">
        <v>21711</v>
      </c>
      <c r="E255" s="1567">
        <v>2142</v>
      </c>
      <c r="F255" s="1568">
        <v>7.69</v>
      </c>
      <c r="G255" s="1494"/>
      <c r="I255" s="1519"/>
      <c r="J255" s="1494"/>
      <c r="K255" s="1519"/>
      <c r="L255" s="1494"/>
    </row>
    <row r="256" spans="1:12" ht="18.95" hidden="1" customHeight="1" x14ac:dyDescent="0.2">
      <c r="A256" s="1565">
        <v>41270</v>
      </c>
      <c r="B256" s="1566">
        <v>311633</v>
      </c>
      <c r="C256" s="1567">
        <v>25617</v>
      </c>
      <c r="D256" s="1567">
        <v>21814</v>
      </c>
      <c r="E256" s="1567">
        <v>3803</v>
      </c>
      <c r="F256" s="1568">
        <v>8.2200000000000006</v>
      </c>
      <c r="G256" s="1494"/>
      <c r="I256" s="1519"/>
      <c r="J256" s="1494"/>
      <c r="K256" s="1519"/>
      <c r="L256" s="1494"/>
    </row>
    <row r="257" spans="1:12" ht="18.95" hidden="1" customHeight="1" thickTop="1" x14ac:dyDescent="0.2">
      <c r="A257" s="1565">
        <v>41284</v>
      </c>
      <c r="B257" s="1566">
        <v>316797</v>
      </c>
      <c r="C257" s="1567">
        <v>25308</v>
      </c>
      <c r="D257" s="1567">
        <v>22176</v>
      </c>
      <c r="E257" s="1567">
        <v>3132</v>
      </c>
      <c r="F257" s="1568">
        <v>7.99</v>
      </c>
      <c r="G257" s="1494"/>
      <c r="I257" s="1519"/>
      <c r="J257" s="1494"/>
      <c r="K257" s="1519"/>
      <c r="L257" s="1494"/>
    </row>
    <row r="258" spans="1:12" ht="18.95" hidden="1" customHeight="1" x14ac:dyDescent="0.2">
      <c r="A258" s="1565">
        <v>41298</v>
      </c>
      <c r="B258" s="1566">
        <v>319883</v>
      </c>
      <c r="C258" s="1567">
        <v>26017</v>
      </c>
      <c r="D258" s="1567">
        <v>22392</v>
      </c>
      <c r="E258" s="1567">
        <v>3625</v>
      </c>
      <c r="F258" s="1568">
        <v>8.1300000000000008</v>
      </c>
      <c r="G258" s="1494"/>
      <c r="I258" s="1519"/>
      <c r="J258" s="1494"/>
      <c r="K258" s="1519"/>
      <c r="L258" s="1494"/>
    </row>
    <row r="259" spans="1:12" ht="18.95" hidden="1" customHeight="1" thickTop="1" x14ac:dyDescent="0.2">
      <c r="A259" s="1565">
        <v>41312</v>
      </c>
      <c r="B259" s="1566">
        <v>319301</v>
      </c>
      <c r="C259" s="1567">
        <v>26052</v>
      </c>
      <c r="D259" s="1567">
        <v>22351</v>
      </c>
      <c r="E259" s="1567">
        <v>3701</v>
      </c>
      <c r="F259" s="1568">
        <v>8.16</v>
      </c>
      <c r="G259" s="1494"/>
      <c r="I259" s="1519"/>
      <c r="J259" s="1494"/>
      <c r="K259" s="1519"/>
      <c r="L259" s="1494"/>
    </row>
    <row r="260" spans="1:12" ht="18.95" hidden="1" customHeight="1" x14ac:dyDescent="0.2">
      <c r="A260" s="1565">
        <v>41326</v>
      </c>
      <c r="B260" s="1566">
        <v>316559</v>
      </c>
      <c r="C260" s="1567">
        <v>25562</v>
      </c>
      <c r="D260" s="1567">
        <v>22159</v>
      </c>
      <c r="E260" s="1567">
        <v>3403</v>
      </c>
      <c r="F260" s="1568">
        <v>8.07</v>
      </c>
      <c r="G260" s="1494"/>
      <c r="I260" s="1519"/>
      <c r="J260" s="1494"/>
      <c r="K260" s="1519"/>
      <c r="L260" s="1494"/>
    </row>
    <row r="261" spans="1:12" ht="18.95" hidden="1" customHeight="1" thickTop="1" x14ac:dyDescent="0.2">
      <c r="A261" s="1565">
        <v>41340</v>
      </c>
      <c r="B261" s="1566">
        <v>314869</v>
      </c>
      <c r="C261" s="1567">
        <v>27304</v>
      </c>
      <c r="D261" s="1567">
        <v>22041</v>
      </c>
      <c r="E261" s="1567">
        <v>5263</v>
      </c>
      <c r="F261" s="1568">
        <v>8.67</v>
      </c>
      <c r="G261" s="1494"/>
      <c r="I261" s="1519"/>
      <c r="J261" s="1494"/>
      <c r="K261" s="1519"/>
      <c r="L261" s="1494"/>
    </row>
    <row r="262" spans="1:12" ht="18.95" hidden="1" customHeight="1" thickTop="1" x14ac:dyDescent="0.2">
      <c r="A262" s="1565">
        <v>41396</v>
      </c>
      <c r="B262" s="1566">
        <v>316575.40000000002</v>
      </c>
      <c r="C262" s="1567">
        <v>25221</v>
      </c>
      <c r="D262" s="1567">
        <v>22160</v>
      </c>
      <c r="E262" s="1567">
        <v>3061</v>
      </c>
      <c r="F262" s="1568">
        <v>7.97</v>
      </c>
      <c r="G262" s="1494"/>
      <c r="I262" s="1519"/>
      <c r="J262" s="1494"/>
      <c r="K262" s="1519"/>
      <c r="L262" s="1494"/>
    </row>
    <row r="263" spans="1:12" ht="18.95" hidden="1" customHeight="1" x14ac:dyDescent="0.2">
      <c r="A263" s="1565">
        <v>41410</v>
      </c>
      <c r="B263" s="1566">
        <v>317788.05682005471</v>
      </c>
      <c r="C263" s="1567">
        <v>25648.812009841884</v>
      </c>
      <c r="D263" s="1567">
        <v>22245.16397740383</v>
      </c>
      <c r="E263" s="1567">
        <v>3403.6480324380532</v>
      </c>
      <c r="F263" s="1568">
        <v>8.07</v>
      </c>
      <c r="G263" s="1494"/>
      <c r="I263" s="1519"/>
      <c r="J263" s="1494"/>
      <c r="K263" s="1519"/>
      <c r="L263" s="1494"/>
    </row>
    <row r="264" spans="1:12" ht="18.95" hidden="1" customHeight="1" thickTop="1" x14ac:dyDescent="0.2">
      <c r="A264" s="1565">
        <v>41424</v>
      </c>
      <c r="B264" s="1566">
        <v>315666.0544655238</v>
      </c>
      <c r="C264" s="1567">
        <v>24928.929132961177</v>
      </c>
      <c r="D264" s="1567">
        <v>22096.623812586669</v>
      </c>
      <c r="E264" s="1567">
        <v>2832.3053203745076</v>
      </c>
      <c r="F264" s="1568">
        <v>7.9</v>
      </c>
      <c r="G264" s="1494"/>
      <c r="I264" s="1519"/>
      <c r="J264" s="1494"/>
      <c r="K264" s="1519"/>
      <c r="L264" s="1494"/>
    </row>
    <row r="265" spans="1:12" ht="18.95" hidden="1" customHeight="1" x14ac:dyDescent="0.2">
      <c r="A265" s="1565">
        <v>41438</v>
      </c>
      <c r="B265" s="1566">
        <v>316601.25340564689</v>
      </c>
      <c r="C265" s="1567">
        <v>27426.176391018696</v>
      </c>
      <c r="D265" s="1567">
        <v>22162.087738395283</v>
      </c>
      <c r="E265" s="1567">
        <v>5264.0886526234135</v>
      </c>
      <c r="F265" s="1568">
        <v>8.66</v>
      </c>
      <c r="G265" s="1494"/>
      <c r="I265" s="1519"/>
      <c r="J265" s="1494"/>
      <c r="K265" s="1519"/>
      <c r="L265" s="1494"/>
    </row>
    <row r="266" spans="1:12" ht="18.95" hidden="1" customHeight="1" thickTop="1" x14ac:dyDescent="0.2">
      <c r="A266" s="1565">
        <v>41452</v>
      </c>
      <c r="B266" s="1566">
        <v>316686.41260502406</v>
      </c>
      <c r="C266" s="1567">
        <v>26637.520435481445</v>
      </c>
      <c r="D266" s="1567">
        <v>22168.048882351686</v>
      </c>
      <c r="E266" s="1567">
        <v>4469.4715531297588</v>
      </c>
      <c r="F266" s="1568">
        <v>8.41</v>
      </c>
      <c r="G266" s="1494"/>
      <c r="I266" s="1519"/>
      <c r="J266" s="1494"/>
      <c r="K266" s="1519"/>
      <c r="L266" s="1494"/>
    </row>
    <row r="267" spans="1:12" ht="18.95" hidden="1" customHeight="1" x14ac:dyDescent="0.2">
      <c r="A267" s="1565">
        <v>41466</v>
      </c>
      <c r="B267" s="1566">
        <v>316122.37201926421</v>
      </c>
      <c r="C267" s="1567">
        <v>26651.319215227049</v>
      </c>
      <c r="D267" s="1567">
        <v>22128.566041348495</v>
      </c>
      <c r="E267" s="1567">
        <v>4522.7531738785547</v>
      </c>
      <c r="F267" s="1568">
        <v>8.43</v>
      </c>
      <c r="G267" s="1494"/>
      <c r="I267" s="1519"/>
      <c r="J267" s="1494"/>
      <c r="K267" s="1519"/>
      <c r="L267" s="1494"/>
    </row>
    <row r="268" spans="1:12" ht="18.95" hidden="1" customHeight="1" thickTop="1" x14ac:dyDescent="0.2">
      <c r="A268" s="1565">
        <v>41480</v>
      </c>
      <c r="B268" s="1566">
        <v>317519.47930731066</v>
      </c>
      <c r="C268" s="1567">
        <v>27277.854649490317</v>
      </c>
      <c r="D268" s="1567">
        <v>22226.363551511749</v>
      </c>
      <c r="E268" s="1567">
        <v>5051.4910979785673</v>
      </c>
      <c r="F268" s="1568">
        <v>8.59</v>
      </c>
      <c r="G268" s="1494"/>
      <c r="I268" s="1519"/>
      <c r="J268" s="1494"/>
      <c r="K268" s="1519"/>
      <c r="L268" s="1494"/>
    </row>
    <row r="269" spans="1:12" ht="18.95" hidden="1" customHeight="1" x14ac:dyDescent="0.2">
      <c r="A269" s="1565">
        <v>41494</v>
      </c>
      <c r="B269" s="1566">
        <v>320689.06371865387</v>
      </c>
      <c r="C269" s="1567">
        <v>28994.318912703682</v>
      </c>
      <c r="D269" s="1567">
        <v>22448.234460305772</v>
      </c>
      <c r="E269" s="1567">
        <v>6546.0844523979113</v>
      </c>
      <c r="F269" s="1568">
        <v>9.0399999999999991</v>
      </c>
      <c r="G269" s="1494"/>
      <c r="I269" s="1519"/>
      <c r="J269" s="1494"/>
      <c r="K269" s="1519"/>
      <c r="L269" s="1494"/>
    </row>
    <row r="270" spans="1:12" ht="18.95" hidden="1" customHeight="1" thickTop="1" x14ac:dyDescent="0.2">
      <c r="A270" s="1565">
        <v>41508</v>
      </c>
      <c r="B270" s="1566">
        <v>323873.70766469825</v>
      </c>
      <c r="C270" s="1567">
        <v>28402</v>
      </c>
      <c r="D270" s="1567">
        <v>22671.159536528878</v>
      </c>
      <c r="E270" s="1567">
        <v>5731.4416156066218</v>
      </c>
      <c r="F270" s="1568">
        <v>8.77</v>
      </c>
      <c r="G270" s="1494"/>
      <c r="I270" s="1519"/>
      <c r="J270" s="1494"/>
      <c r="K270" s="1519"/>
      <c r="L270" s="1494"/>
    </row>
    <row r="271" spans="1:12" ht="18.95" hidden="1" customHeight="1" x14ac:dyDescent="0.2">
      <c r="A271" s="1565">
        <v>41522</v>
      </c>
      <c r="B271" s="1566">
        <v>317946.63816703978</v>
      </c>
      <c r="C271" s="1567">
        <v>27442.596407644465</v>
      </c>
      <c r="D271" s="1567">
        <v>22256.264671692788</v>
      </c>
      <c r="E271" s="1567">
        <v>5186.3317359516768</v>
      </c>
      <c r="F271" s="1568">
        <v>8.6300000000000008</v>
      </c>
      <c r="G271" s="1494"/>
      <c r="I271" s="1519"/>
      <c r="J271" s="1494"/>
      <c r="K271" s="1519"/>
      <c r="L271" s="1494"/>
    </row>
    <row r="272" spans="1:12" ht="18.95" hidden="1" customHeight="1" thickTop="1" x14ac:dyDescent="0.2">
      <c r="A272" s="1565">
        <v>41536</v>
      </c>
      <c r="B272" s="1566">
        <v>314881.37150729087</v>
      </c>
      <c r="C272" s="1567">
        <v>26912.179857300362</v>
      </c>
      <c r="D272" s="1567">
        <v>22041.696005510363</v>
      </c>
      <c r="E272" s="1567">
        <v>4870.4838517899989</v>
      </c>
      <c r="F272" s="1568">
        <v>8.5500000000000007</v>
      </c>
      <c r="G272" s="1494"/>
      <c r="I272" s="1519"/>
      <c r="J272" s="1494"/>
      <c r="K272" s="1519"/>
      <c r="L272" s="1494"/>
    </row>
    <row r="273" spans="1:12" ht="18.95" hidden="1" customHeight="1" x14ac:dyDescent="0.2">
      <c r="A273" s="1565">
        <v>41550</v>
      </c>
      <c r="B273" s="1566">
        <v>314698.16670877166</v>
      </c>
      <c r="C273" s="1567">
        <v>26727.701622995704</v>
      </c>
      <c r="D273" s="1567">
        <v>22028.871669614018</v>
      </c>
      <c r="E273" s="1567">
        <v>4698.8299533816862</v>
      </c>
      <c r="F273" s="1568">
        <v>8.49</v>
      </c>
      <c r="G273" s="1494"/>
      <c r="I273" s="1519"/>
      <c r="J273" s="1494"/>
      <c r="K273" s="1519"/>
      <c r="L273" s="1494"/>
    </row>
    <row r="274" spans="1:12" ht="18.95" hidden="1" customHeight="1" thickTop="1" x14ac:dyDescent="0.2">
      <c r="A274" s="1565">
        <v>41564</v>
      </c>
      <c r="B274" s="1566">
        <v>314997.83979116578</v>
      </c>
      <c r="C274" s="1567">
        <v>26537.44974547777</v>
      </c>
      <c r="D274" s="1567">
        <v>24058.37466444484</v>
      </c>
      <c r="E274" s="1567">
        <v>2479.07508103293</v>
      </c>
      <c r="F274" s="1568">
        <v>8.42</v>
      </c>
      <c r="G274" s="1494"/>
      <c r="I274" s="1519"/>
      <c r="J274" s="1494"/>
      <c r="K274" s="1519"/>
      <c r="L274" s="1494"/>
    </row>
    <row r="275" spans="1:12" ht="18.95" hidden="1" customHeight="1" thickTop="1" x14ac:dyDescent="0.2">
      <c r="A275" s="1565">
        <v>41578</v>
      </c>
      <c r="B275" s="1566">
        <v>310895.77990799583</v>
      </c>
      <c r="C275" s="1567">
        <v>26901.41814594969</v>
      </c>
      <c r="D275" s="1567">
        <v>23795.055027400027</v>
      </c>
      <c r="E275" s="1567">
        <v>3106.3631185496633</v>
      </c>
      <c r="F275" s="1568">
        <v>8.65</v>
      </c>
      <c r="G275" s="1494"/>
      <c r="I275" s="1519"/>
      <c r="J275" s="1494"/>
      <c r="K275" s="1519"/>
      <c r="L275" s="1494"/>
    </row>
    <row r="276" spans="1:12" ht="18.95" hidden="1" customHeight="1" thickTop="1" x14ac:dyDescent="0.2">
      <c r="A276" s="1565">
        <v>41592</v>
      </c>
      <c r="B276" s="1566">
        <v>308225.68037449231</v>
      </c>
      <c r="C276" s="1567">
        <v>26827</v>
      </c>
      <c r="D276" s="1567">
        <v>23578.963106261712</v>
      </c>
      <c r="E276" s="1567">
        <v>3247.9775766660387</v>
      </c>
      <c r="F276" s="1568">
        <v>8.6999999999999993</v>
      </c>
      <c r="G276" s="1494"/>
      <c r="I276" s="1519"/>
      <c r="J276" s="1494"/>
      <c r="K276" s="1519"/>
      <c r="L276" s="1494"/>
    </row>
    <row r="277" spans="1:12" ht="18.95" hidden="1" customHeight="1" thickTop="1" x14ac:dyDescent="0.2">
      <c r="A277" s="1565">
        <v>41606</v>
      </c>
      <c r="B277" s="1566">
        <v>311649.44218085613</v>
      </c>
      <c r="C277" s="1567">
        <v>28741.93029283053</v>
      </c>
      <c r="D277" s="1567">
        <v>23856.482485159329</v>
      </c>
      <c r="E277" s="1567">
        <v>4885.4478076712003</v>
      </c>
      <c r="F277" s="1568">
        <v>9.2200000000000006</v>
      </c>
      <c r="G277" s="1494"/>
      <c r="I277" s="1519"/>
      <c r="J277" s="1494"/>
      <c r="K277" s="1519"/>
      <c r="L277" s="1494"/>
    </row>
    <row r="278" spans="1:12" ht="18.95" hidden="1" customHeight="1" x14ac:dyDescent="0.2">
      <c r="A278" s="1565">
        <v>41620</v>
      </c>
      <c r="B278" s="1566">
        <v>311631.05343064351</v>
      </c>
      <c r="C278" s="1567">
        <v>29146.867244487396</v>
      </c>
      <c r="D278" s="1567">
        <v>23869.455126226865</v>
      </c>
      <c r="E278" s="1567">
        <v>5277.4121182605304</v>
      </c>
      <c r="F278" s="1568">
        <v>9.35</v>
      </c>
      <c r="G278" s="1494"/>
      <c r="I278" s="1519"/>
      <c r="J278" s="1494"/>
      <c r="K278" s="1519"/>
      <c r="L278" s="1494"/>
    </row>
    <row r="279" spans="1:12" ht="18.95" hidden="1" customHeight="1" thickTop="1" x14ac:dyDescent="0.2">
      <c r="A279" s="1565">
        <v>41634</v>
      </c>
      <c r="B279" s="1566">
        <v>311822.30111784354</v>
      </c>
      <c r="C279" s="1567">
        <v>33576.628992278725</v>
      </c>
      <c r="D279" s="1567">
        <v>23885.010400087005</v>
      </c>
      <c r="E279" s="1567">
        <v>9691.6185921917204</v>
      </c>
      <c r="F279" s="1568">
        <v>10.77</v>
      </c>
      <c r="G279" s="1494"/>
      <c r="I279" s="1519"/>
      <c r="J279" s="1494"/>
      <c r="K279" s="1519"/>
      <c r="L279" s="1494"/>
    </row>
    <row r="280" spans="1:12" ht="3.75" hidden="1" customHeight="1" x14ac:dyDescent="0.2">
      <c r="A280" s="1565"/>
      <c r="B280" s="1566"/>
      <c r="C280" s="1567"/>
      <c r="D280" s="1567"/>
      <c r="E280" s="1567"/>
      <c r="F280" s="1568"/>
      <c r="G280" s="1494"/>
      <c r="I280" s="1519"/>
      <c r="J280" s="1494"/>
      <c r="K280" s="1519"/>
      <c r="L280" s="1494"/>
    </row>
    <row r="281" spans="1:12" ht="19.5" hidden="1" customHeight="1" x14ac:dyDescent="0.2">
      <c r="A281" s="1565">
        <v>41648</v>
      </c>
      <c r="B281" s="1566">
        <v>316945</v>
      </c>
      <c r="C281" s="1567">
        <v>32392</v>
      </c>
      <c r="D281" s="1567">
        <v>24314</v>
      </c>
      <c r="E281" s="1567">
        <v>8078</v>
      </c>
      <c r="F281" s="1568">
        <v>10.220000000000001</v>
      </c>
      <c r="G281" s="1494"/>
      <c r="I281" s="1519"/>
      <c r="J281" s="1494"/>
      <c r="K281" s="1519"/>
      <c r="L281" s="1494"/>
    </row>
    <row r="282" spans="1:12" ht="19.5" hidden="1" customHeight="1" thickTop="1" x14ac:dyDescent="0.2">
      <c r="A282" s="1565">
        <v>41662</v>
      </c>
      <c r="B282" s="1566">
        <v>321607</v>
      </c>
      <c r="C282" s="1567">
        <v>35694</v>
      </c>
      <c r="D282" s="1567">
        <v>24661</v>
      </c>
      <c r="E282" s="1567">
        <v>11033</v>
      </c>
      <c r="F282" s="1568">
        <v>11.1</v>
      </c>
      <c r="G282" s="1494"/>
      <c r="I282" s="1519"/>
      <c r="J282" s="1494"/>
      <c r="K282" s="1519"/>
      <c r="L282" s="1494"/>
    </row>
    <row r="283" spans="1:12" ht="19.5" hidden="1" customHeight="1" thickTop="1" x14ac:dyDescent="0.2">
      <c r="A283" s="1565">
        <v>41676</v>
      </c>
      <c r="B283" s="1566">
        <v>321065.5196236521</v>
      </c>
      <c r="C283" s="1567">
        <v>32435.941038726698</v>
      </c>
      <c r="D283" s="1567">
        <v>24630.69562864866</v>
      </c>
      <c r="E283" s="1567">
        <v>7805.2454100780378</v>
      </c>
      <c r="F283" s="1568">
        <v>10.1</v>
      </c>
      <c r="G283" s="1494"/>
      <c r="I283" s="1519"/>
      <c r="J283" s="1494"/>
      <c r="K283" s="1519"/>
      <c r="L283" s="1494"/>
    </row>
    <row r="284" spans="1:12" ht="19.5" hidden="1" customHeight="1" x14ac:dyDescent="0.2">
      <c r="A284" s="1565">
        <v>41690</v>
      </c>
      <c r="B284" s="1566">
        <v>320876.30028259638</v>
      </c>
      <c r="C284" s="1567">
        <v>33527.443279690226</v>
      </c>
      <c r="D284" s="1567">
        <v>24621.239856687946</v>
      </c>
      <c r="E284" s="1567">
        <v>8906.20342300228</v>
      </c>
      <c r="F284" s="1568">
        <v>10.45</v>
      </c>
      <c r="G284" s="1494"/>
      <c r="I284" s="1519"/>
      <c r="J284" s="1494"/>
      <c r="K284" s="1519"/>
      <c r="L284" s="1494"/>
    </row>
    <row r="285" spans="1:12" ht="19.5" hidden="1" customHeight="1" thickTop="1" x14ac:dyDescent="0.2">
      <c r="A285" s="1565">
        <v>41704</v>
      </c>
      <c r="B285" s="1566">
        <v>321889.36785668856</v>
      </c>
      <c r="C285" s="1567">
        <v>36167.908434049314</v>
      </c>
      <c r="D285" s="1567">
        <v>24688.176839923701</v>
      </c>
      <c r="E285" s="1567">
        <v>11479.731594125613</v>
      </c>
      <c r="F285" s="1568">
        <v>11.24</v>
      </c>
      <c r="G285" s="1494"/>
      <c r="I285" s="1519"/>
      <c r="J285" s="1494"/>
      <c r="K285" s="1519"/>
      <c r="L285" s="1494"/>
    </row>
    <row r="286" spans="1:12" ht="19.5" hidden="1" customHeight="1" x14ac:dyDescent="0.2">
      <c r="A286" s="1565">
        <v>41718</v>
      </c>
      <c r="B286" s="1566">
        <v>325510.32565979211</v>
      </c>
      <c r="C286" s="1567">
        <v>36043.119709802682</v>
      </c>
      <c r="D286" s="1567">
        <v>24977.686270248239</v>
      </c>
      <c r="E286" s="1567">
        <v>11065.433439554443</v>
      </c>
      <c r="F286" s="1568">
        <v>11.07</v>
      </c>
      <c r="G286" s="1494"/>
      <c r="I286" s="1519"/>
      <c r="J286" s="1494"/>
      <c r="K286" s="1519"/>
      <c r="L286" s="1494"/>
    </row>
    <row r="287" spans="1:12" ht="19.5" hidden="1" customHeight="1" thickTop="1" x14ac:dyDescent="0.2">
      <c r="A287" s="1565">
        <v>41732</v>
      </c>
      <c r="B287" s="1566">
        <v>324245.35388497502</v>
      </c>
      <c r="C287" s="1567">
        <v>36227.344660099086</v>
      </c>
      <c r="D287" s="1567">
        <v>24861.649501549884</v>
      </c>
      <c r="E287" s="1567">
        <v>11365.695158549202</v>
      </c>
      <c r="F287" s="1568">
        <v>11.17</v>
      </c>
      <c r="G287" s="1494"/>
      <c r="I287" s="1519"/>
      <c r="J287" s="1494"/>
      <c r="K287" s="1519"/>
      <c r="L287" s="1494"/>
    </row>
    <row r="288" spans="1:12" ht="19.5" hidden="1" customHeight="1" x14ac:dyDescent="0.2">
      <c r="A288" s="1565">
        <v>41746</v>
      </c>
      <c r="B288" s="1566">
        <v>325542.63241766294</v>
      </c>
      <c r="C288" s="1567">
        <v>36093.244299116748</v>
      </c>
      <c r="D288" s="1567">
        <v>24962.133264141157</v>
      </c>
      <c r="E288" s="1567">
        <v>11131.111034975591</v>
      </c>
      <c r="F288" s="1568">
        <v>11.09</v>
      </c>
      <c r="G288" s="1494"/>
      <c r="I288" s="1519"/>
      <c r="J288" s="1494"/>
      <c r="K288" s="1519"/>
      <c r="L288" s="1494"/>
    </row>
    <row r="289" spans="1:13" ht="19.5" hidden="1" customHeight="1" thickTop="1" x14ac:dyDescent="0.2">
      <c r="A289" s="1565">
        <v>41760</v>
      </c>
      <c r="B289" s="1566">
        <v>325905.09360628354</v>
      </c>
      <c r="C289" s="1567">
        <v>35896.371338588164</v>
      </c>
      <c r="D289" s="1567">
        <v>24985</v>
      </c>
      <c r="E289" s="1567">
        <v>10911.264584256794</v>
      </c>
      <c r="F289" s="1568">
        <v>11.01</v>
      </c>
      <c r="G289" s="1494"/>
      <c r="I289" s="1519"/>
      <c r="J289" s="1494"/>
      <c r="K289" s="1519"/>
      <c r="L289" s="1494"/>
    </row>
    <row r="290" spans="1:13" ht="19.5" hidden="1" customHeight="1" x14ac:dyDescent="0.2">
      <c r="A290" s="1565">
        <v>41774</v>
      </c>
      <c r="B290" s="1566">
        <v>327827.16451386816</v>
      </c>
      <c r="C290" s="1567">
        <v>37138.52177879517</v>
      </c>
      <c r="D290" s="1567">
        <v>27857.086289644754</v>
      </c>
      <c r="E290" s="1567">
        <v>9281.4354891504154</v>
      </c>
      <c r="F290" s="1568">
        <v>11.328689565389601</v>
      </c>
      <c r="G290" s="1494"/>
      <c r="I290" s="1519"/>
      <c r="J290" s="1494"/>
      <c r="K290" s="1519"/>
      <c r="L290" s="1494"/>
    </row>
    <row r="291" spans="1:13" ht="19.5" customHeight="1" thickTop="1" x14ac:dyDescent="0.2">
      <c r="A291" s="1565">
        <v>41788</v>
      </c>
      <c r="B291" s="1566">
        <v>327697.30251116958</v>
      </c>
      <c r="C291" s="1567">
        <v>39413.659678423697</v>
      </c>
      <c r="D291" s="1567">
        <v>27855.415340923759</v>
      </c>
      <c r="E291" s="1567">
        <v>11558.244337499938</v>
      </c>
      <c r="F291" s="1568">
        <v>12.027459297465599</v>
      </c>
      <c r="G291" s="1494"/>
      <c r="I291" s="1519"/>
      <c r="J291" s="1494"/>
      <c r="K291" s="1519"/>
      <c r="L291" s="1494"/>
    </row>
    <row r="292" spans="1:13" ht="19.5" customHeight="1" x14ac:dyDescent="0.2">
      <c r="A292" s="1565">
        <v>41802</v>
      </c>
      <c r="B292" s="1566">
        <v>329075.96205562097</v>
      </c>
      <c r="C292" s="1567">
        <v>36714.419538105562</v>
      </c>
      <c r="D292" s="1567">
        <v>28007.936586579093</v>
      </c>
      <c r="E292" s="1567">
        <v>8706.4829515264682</v>
      </c>
      <c r="F292" s="1568">
        <v>11.16</v>
      </c>
      <c r="G292" s="1494"/>
      <c r="I292" s="1519"/>
      <c r="J292" s="1494"/>
      <c r="K292" s="1519"/>
      <c r="L292" s="1494"/>
    </row>
    <row r="293" spans="1:13" ht="19.5" customHeight="1" x14ac:dyDescent="0.2">
      <c r="A293" s="1565">
        <v>41816</v>
      </c>
      <c r="B293" s="1566">
        <v>331845.40393315087</v>
      </c>
      <c r="C293" s="1567">
        <v>38153.331195495368</v>
      </c>
      <c r="D293" s="1567">
        <v>28168.077887403844</v>
      </c>
      <c r="E293" s="1567">
        <v>9985.2533080915236</v>
      </c>
      <c r="F293" s="1568">
        <v>11.5</v>
      </c>
      <c r="G293" s="1494"/>
      <c r="I293" s="1519"/>
      <c r="J293" s="1494"/>
      <c r="K293" s="1519"/>
      <c r="L293" s="1494"/>
    </row>
    <row r="294" spans="1:13" ht="18" customHeight="1" x14ac:dyDescent="0.2">
      <c r="A294" s="1565">
        <v>41830</v>
      </c>
      <c r="B294" s="1566">
        <v>338116.03878096602</v>
      </c>
      <c r="C294" s="1567">
        <v>36452.570926425135</v>
      </c>
      <c r="D294" s="1567">
        <v>28595.973484367267</v>
      </c>
      <c r="E294" s="1567">
        <v>7856.5974420578677</v>
      </c>
      <c r="F294" s="1568">
        <v>10.78</v>
      </c>
      <c r="G294" s="1569"/>
      <c r="H294" s="1569"/>
      <c r="I294" s="1569"/>
      <c r="J294" s="1569"/>
      <c r="K294" s="1569"/>
      <c r="L294" s="1494"/>
    </row>
    <row r="295" spans="1:13" s="1570" customFormat="1" ht="18.75" customHeight="1" x14ac:dyDescent="0.2">
      <c r="A295" s="1565">
        <v>41844</v>
      </c>
      <c r="B295" s="1566">
        <v>341203.06774144224</v>
      </c>
      <c r="C295" s="1567">
        <v>37137.674696603237</v>
      </c>
      <c r="D295" s="1567">
        <v>28882.12188674217</v>
      </c>
      <c r="E295" s="1567">
        <v>8255.5528098610666</v>
      </c>
      <c r="F295" s="1568">
        <v>10.88</v>
      </c>
      <c r="H295" s="1571"/>
      <c r="I295" s="1572"/>
      <c r="J295" s="1572"/>
      <c r="K295" s="1572"/>
      <c r="L295" s="1572"/>
      <c r="M295" s="1572"/>
    </row>
    <row r="296" spans="1:13" s="1570" customFormat="1" ht="18.75" customHeight="1" x14ac:dyDescent="0.2">
      <c r="A296" s="1565">
        <v>41858</v>
      </c>
      <c r="B296" s="1566">
        <v>340327.49156430369</v>
      </c>
      <c r="C296" s="1567">
        <v>38256.888145372825</v>
      </c>
      <c r="D296" s="1567">
        <v>28789.474756362892</v>
      </c>
      <c r="E296" s="1567">
        <v>9467.4133890099329</v>
      </c>
      <c r="F296" s="1568">
        <v>11.24</v>
      </c>
      <c r="H296" s="1571"/>
      <c r="I296" s="1572"/>
      <c r="J296" s="1572"/>
      <c r="K296" s="1572"/>
      <c r="L296" s="1572"/>
      <c r="M296" s="1572"/>
    </row>
    <row r="297" spans="1:13" s="1570" customFormat="1" ht="18.75" customHeight="1" x14ac:dyDescent="0.2">
      <c r="A297" s="1565">
        <v>41872</v>
      </c>
      <c r="B297" s="1566">
        <v>340716.52305400505</v>
      </c>
      <c r="C297" s="1567">
        <v>37859.189028053806</v>
      </c>
      <c r="D297" s="1567">
        <v>28850.905486098782</v>
      </c>
      <c r="E297" s="1567">
        <v>9008.2835419550247</v>
      </c>
      <c r="F297" s="1568">
        <v>11.11</v>
      </c>
      <c r="H297" s="1571"/>
      <c r="I297" s="1572"/>
      <c r="J297" s="1572"/>
      <c r="K297" s="1572"/>
      <c r="L297" s="1572"/>
      <c r="M297" s="1572"/>
    </row>
    <row r="298" spans="1:13" s="1570" customFormat="1" ht="18.75" customHeight="1" x14ac:dyDescent="0.2">
      <c r="A298" s="1565">
        <v>41886</v>
      </c>
      <c r="B298" s="1566">
        <v>340878.83156585431</v>
      </c>
      <c r="C298" s="1567">
        <v>39364.978373327984</v>
      </c>
      <c r="D298" s="1567">
        <v>28821.478720831874</v>
      </c>
      <c r="E298" s="1567">
        <v>10544</v>
      </c>
      <c r="F298" s="1568">
        <v>11.55</v>
      </c>
      <c r="H298" s="1571"/>
      <c r="I298" s="1572"/>
      <c r="J298" s="1572"/>
      <c r="K298" s="1572"/>
      <c r="L298" s="1572"/>
      <c r="M298" s="1572"/>
    </row>
    <row r="299" spans="1:13" s="1570" customFormat="1" ht="18.75" customHeight="1" x14ac:dyDescent="0.2">
      <c r="A299" s="1565">
        <v>41900</v>
      </c>
      <c r="B299" s="1566">
        <v>338608.66218276531</v>
      </c>
      <c r="C299" s="1567">
        <v>39560.73499929734</v>
      </c>
      <c r="D299" s="1567">
        <v>28679.315193719722</v>
      </c>
      <c r="E299" s="1567">
        <v>10881.419805577618</v>
      </c>
      <c r="F299" s="1568">
        <v>11.68</v>
      </c>
      <c r="H299" s="1571"/>
      <c r="I299" s="1572"/>
      <c r="J299" s="1572"/>
      <c r="K299" s="1572"/>
      <c r="L299" s="1572"/>
      <c r="M299" s="1572"/>
    </row>
    <row r="300" spans="1:13" s="1570" customFormat="1" ht="18.75" customHeight="1" x14ac:dyDescent="0.2">
      <c r="A300" s="1565">
        <v>41914</v>
      </c>
      <c r="B300" s="1566">
        <v>338664.74801547115</v>
      </c>
      <c r="C300" s="1567">
        <v>39037.396622286971</v>
      </c>
      <c r="D300" s="1567">
        <v>28634.632628486092</v>
      </c>
      <c r="E300" s="1567">
        <v>10402.76399380088</v>
      </c>
      <c r="F300" s="1568">
        <v>11.53</v>
      </c>
      <c r="H300" s="1571"/>
      <c r="I300" s="1572"/>
      <c r="J300" s="1572"/>
      <c r="K300" s="1572"/>
      <c r="L300" s="1572"/>
      <c r="M300" s="1572"/>
    </row>
    <row r="301" spans="1:13" s="1570" customFormat="1" ht="18.75" customHeight="1" x14ac:dyDescent="0.2">
      <c r="A301" s="1565">
        <v>41928</v>
      </c>
      <c r="B301" s="1566">
        <v>340648.60140029987</v>
      </c>
      <c r="C301" s="1567">
        <v>37729.064351153822</v>
      </c>
      <c r="D301" s="1567">
        <v>28803.989248992053</v>
      </c>
      <c r="E301" s="1567">
        <v>8925.0751021617689</v>
      </c>
      <c r="F301" s="1568">
        <v>11.08</v>
      </c>
      <c r="H301" s="1571"/>
      <c r="I301" s="1572"/>
      <c r="J301" s="1572"/>
      <c r="K301" s="1572"/>
      <c r="L301" s="1572"/>
      <c r="M301" s="1572"/>
    </row>
    <row r="302" spans="1:13" s="1570" customFormat="1" ht="18.75" customHeight="1" x14ac:dyDescent="0.2">
      <c r="A302" s="1565">
        <v>41942</v>
      </c>
      <c r="B302" s="1566">
        <v>341340.66366837017</v>
      </c>
      <c r="C302" s="1567">
        <v>39916.367958286275</v>
      </c>
      <c r="D302" s="1567">
        <v>28854.339378961529</v>
      </c>
      <c r="E302" s="1567">
        <v>11062.028579324746</v>
      </c>
      <c r="F302" s="1568">
        <v>11.69</v>
      </c>
      <c r="H302" s="1571"/>
      <c r="I302" s="1572"/>
      <c r="J302" s="1572"/>
      <c r="K302" s="1572"/>
      <c r="L302" s="1572"/>
      <c r="M302" s="1572"/>
    </row>
    <row r="303" spans="1:13" s="1570" customFormat="1" ht="18.75" customHeight="1" x14ac:dyDescent="0.2">
      <c r="A303" s="1565">
        <v>41956</v>
      </c>
      <c r="B303" s="1566">
        <v>346382.46198955976</v>
      </c>
      <c r="C303" s="1567">
        <v>38159.189664225749</v>
      </c>
      <c r="D303" s="1567">
        <v>29286.889845846294</v>
      </c>
      <c r="E303" s="1567">
        <v>8872.2998183794552</v>
      </c>
      <c r="F303" s="1568">
        <v>11.02</v>
      </c>
      <c r="H303" s="1571"/>
      <c r="I303" s="1572"/>
      <c r="J303" s="1572"/>
      <c r="K303" s="1572"/>
      <c r="L303" s="1572"/>
      <c r="M303" s="1572"/>
    </row>
    <row r="304" spans="1:13" s="1570" customFormat="1" ht="18.75" customHeight="1" x14ac:dyDescent="0.2">
      <c r="A304" s="1565">
        <v>41970</v>
      </c>
      <c r="B304" s="1566">
        <v>343170</v>
      </c>
      <c r="C304" s="1567">
        <v>35526</v>
      </c>
      <c r="D304" s="1567">
        <v>29064</v>
      </c>
      <c r="E304" s="1567">
        <v>6463</v>
      </c>
      <c r="F304" s="1568">
        <v>10.35</v>
      </c>
      <c r="H304" s="1571"/>
      <c r="I304" s="1572"/>
      <c r="J304" s="1572"/>
      <c r="K304" s="1572"/>
      <c r="L304" s="1572"/>
      <c r="M304" s="1572"/>
    </row>
    <row r="305" spans="1:13" s="1570" customFormat="1" ht="18.75" customHeight="1" x14ac:dyDescent="0.2">
      <c r="A305" s="1565">
        <v>41984</v>
      </c>
      <c r="B305" s="1566">
        <v>343367</v>
      </c>
      <c r="C305" s="1567">
        <v>34319</v>
      </c>
      <c r="D305" s="1567">
        <v>29110</v>
      </c>
      <c r="E305" s="1567">
        <v>5209</v>
      </c>
      <c r="F305" s="1568">
        <v>9.99</v>
      </c>
      <c r="H305" s="1571"/>
      <c r="I305" s="1572"/>
      <c r="J305" s="1572"/>
      <c r="K305" s="1572"/>
      <c r="L305" s="1572"/>
      <c r="M305" s="1572"/>
    </row>
    <row r="306" spans="1:13" s="1570" customFormat="1" ht="18.75" customHeight="1" x14ac:dyDescent="0.2">
      <c r="A306" s="1565">
        <v>41998</v>
      </c>
      <c r="B306" s="1566">
        <v>345778</v>
      </c>
      <c r="C306" s="1567">
        <v>36459</v>
      </c>
      <c r="D306" s="1567">
        <v>29293</v>
      </c>
      <c r="E306" s="1567">
        <v>7166</v>
      </c>
      <c r="F306" s="1568">
        <v>10.54</v>
      </c>
      <c r="H306" s="1571"/>
      <c r="I306" s="1572"/>
      <c r="J306" s="1572"/>
      <c r="K306" s="1572"/>
      <c r="L306" s="1572"/>
      <c r="M306" s="1572"/>
    </row>
    <row r="307" spans="1:13" s="1570" customFormat="1" ht="18.75" customHeight="1" x14ac:dyDescent="0.2">
      <c r="A307" s="1565">
        <v>42012</v>
      </c>
      <c r="B307" s="1566">
        <v>346758</v>
      </c>
      <c r="C307" s="1567">
        <v>36350</v>
      </c>
      <c r="D307" s="1567">
        <v>29424</v>
      </c>
      <c r="E307" s="1567">
        <v>6926</v>
      </c>
      <c r="F307" s="1568">
        <v>10.48</v>
      </c>
      <c r="H307" s="1571"/>
      <c r="I307" s="1572"/>
      <c r="J307" s="1572"/>
      <c r="K307" s="1572"/>
      <c r="L307" s="1572"/>
      <c r="M307" s="1572"/>
    </row>
    <row r="308" spans="1:13" s="1570" customFormat="1" ht="18.75" customHeight="1" x14ac:dyDescent="0.2">
      <c r="A308" s="1565">
        <v>42026</v>
      </c>
      <c r="B308" s="1566">
        <v>350678.54469474952</v>
      </c>
      <c r="C308" s="1567">
        <v>39535.435078590599</v>
      </c>
      <c r="D308" s="1567">
        <v>29726.939676686237</v>
      </c>
      <c r="E308" s="1567">
        <v>9808.4954019043616</v>
      </c>
      <c r="F308" s="1568">
        <v>11.27</v>
      </c>
      <c r="H308" s="1571"/>
      <c r="I308" s="1572"/>
      <c r="J308" s="1572"/>
      <c r="K308" s="1572"/>
      <c r="L308" s="1572"/>
      <c r="M308" s="1572"/>
    </row>
    <row r="309" spans="1:13" s="1570" customFormat="1" ht="18.75" customHeight="1" x14ac:dyDescent="0.2">
      <c r="A309" s="1565">
        <v>42040</v>
      </c>
      <c r="B309" s="1566">
        <v>351326.52678225376</v>
      </c>
      <c r="C309" s="1567">
        <v>41444.842821705643</v>
      </c>
      <c r="D309" s="1567">
        <v>29764.975242376215</v>
      </c>
      <c r="E309" s="1567">
        <v>11679.867579329428</v>
      </c>
      <c r="F309" s="1568">
        <v>11.8</v>
      </c>
      <c r="H309" s="1571"/>
      <c r="I309" s="1572"/>
      <c r="J309" s="1572"/>
      <c r="K309" s="1572"/>
      <c r="L309" s="1572"/>
      <c r="M309" s="1572"/>
    </row>
    <row r="310" spans="1:13" s="1570" customFormat="1" ht="18.75" customHeight="1" x14ac:dyDescent="0.2">
      <c r="A310" s="1565">
        <v>42054</v>
      </c>
      <c r="B310" s="1566">
        <v>355255.72162762639</v>
      </c>
      <c r="C310" s="1567">
        <v>40446.621289308845</v>
      </c>
      <c r="D310" s="1567">
        <v>30042.561782153014</v>
      </c>
      <c r="E310" s="1567">
        <v>10404.059507155831</v>
      </c>
      <c r="F310" s="1568">
        <v>11.39</v>
      </c>
      <c r="H310" s="1571"/>
      <c r="I310" s="1572"/>
      <c r="J310" s="1572"/>
      <c r="K310" s="1572"/>
      <c r="L310" s="1572"/>
      <c r="M310" s="1572"/>
    </row>
    <row r="311" spans="1:13" s="1570" customFormat="1" ht="18.75" customHeight="1" x14ac:dyDescent="0.2">
      <c r="A311" s="1565">
        <v>42068</v>
      </c>
      <c r="B311" s="1566">
        <v>355051.20451031002</v>
      </c>
      <c r="C311" s="1567">
        <v>42445.254944738292</v>
      </c>
      <c r="D311" s="1567">
        <v>29986.047316921024</v>
      </c>
      <c r="E311" s="1567">
        <v>12459.207627817268</v>
      </c>
      <c r="F311" s="1568">
        <v>11.95</v>
      </c>
      <c r="H311" s="1571"/>
      <c r="I311" s="1572"/>
      <c r="J311" s="1572"/>
      <c r="K311" s="1572"/>
      <c r="L311" s="1572"/>
      <c r="M311" s="1572"/>
    </row>
    <row r="312" spans="1:13" s="1570" customFormat="1" ht="18.75" customHeight="1" x14ac:dyDescent="0.2">
      <c r="A312" s="1565">
        <v>42082</v>
      </c>
      <c r="B312" s="1566">
        <v>354717.86332902336</v>
      </c>
      <c r="C312" s="1567">
        <v>45046.153935423317</v>
      </c>
      <c r="D312" s="1567">
        <v>30077.880664179396</v>
      </c>
      <c r="E312" s="1567">
        <v>14968.273271243921</v>
      </c>
      <c r="F312" s="1568">
        <v>12.7</v>
      </c>
      <c r="H312" s="1571"/>
      <c r="I312" s="1572"/>
      <c r="J312" s="1572"/>
      <c r="K312" s="1572"/>
      <c r="L312" s="1572"/>
      <c r="M312" s="1572"/>
    </row>
    <row r="313" spans="1:13" s="1570" customFormat="1" ht="18.75" customHeight="1" x14ac:dyDescent="0.2">
      <c r="A313" s="1565">
        <v>42096</v>
      </c>
      <c r="B313" s="1566">
        <v>358136.67893639987</v>
      </c>
      <c r="C313" s="1567">
        <v>46354.865351817643</v>
      </c>
      <c r="D313" s="1567">
        <v>30287.40412386836</v>
      </c>
      <c r="E313" s="1567">
        <v>16067.461227949283</v>
      </c>
      <c r="F313" s="1568">
        <v>12.94</v>
      </c>
      <c r="H313" s="1571"/>
      <c r="I313" s="1572"/>
      <c r="J313" s="1572"/>
      <c r="K313" s="1572"/>
      <c r="L313" s="1572"/>
      <c r="M313" s="1572"/>
    </row>
    <row r="314" spans="1:13" s="1570" customFormat="1" ht="18.75" customHeight="1" x14ac:dyDescent="0.2">
      <c r="A314" s="1565">
        <v>42110</v>
      </c>
      <c r="B314" s="1566">
        <v>348022.416518101</v>
      </c>
      <c r="C314" s="1567">
        <v>45916.106272930374</v>
      </c>
      <c r="D314" s="1567">
        <v>29373.164275245232</v>
      </c>
      <c r="E314" s="1567">
        <v>16542.941997685142</v>
      </c>
      <c r="F314" s="1568">
        <v>13.19</v>
      </c>
      <c r="H314" s="1571"/>
      <c r="I314" s="1572"/>
      <c r="J314" s="1572"/>
      <c r="K314" s="1572"/>
      <c r="L314" s="1572"/>
      <c r="M314" s="1572"/>
    </row>
    <row r="315" spans="1:13" s="1570" customFormat="1" ht="18.75" customHeight="1" x14ac:dyDescent="0.2">
      <c r="A315" s="1565">
        <v>42124</v>
      </c>
      <c r="B315" s="1566">
        <v>348557.49491597025</v>
      </c>
      <c r="C315" s="1567">
        <v>45710.989997649223</v>
      </c>
      <c r="D315" s="1567">
        <v>29428.789766400689</v>
      </c>
      <c r="E315" s="1567">
        <v>16282.200231248535</v>
      </c>
      <c r="F315" s="1568">
        <v>13.11</v>
      </c>
      <c r="H315" s="1571"/>
      <c r="I315" s="1572"/>
      <c r="J315" s="1572"/>
      <c r="K315" s="1572"/>
      <c r="L315" s="1572"/>
      <c r="M315" s="1572"/>
    </row>
    <row r="316" spans="1:13" s="1570" customFormat="1" ht="18.75" customHeight="1" x14ac:dyDescent="0.2">
      <c r="A316" s="1565">
        <v>42138</v>
      </c>
      <c r="B316" s="1566">
        <v>360583.1434590345</v>
      </c>
      <c r="C316" s="1567">
        <v>46626.210709149462</v>
      </c>
      <c r="D316" s="1567">
        <v>30490.287028836967</v>
      </c>
      <c r="E316" s="1567">
        <v>16135.923680312495</v>
      </c>
      <c r="F316" s="1568">
        <v>12.93</v>
      </c>
      <c r="H316" s="1571"/>
      <c r="I316" s="1572"/>
      <c r="J316" s="1572"/>
      <c r="K316" s="1572"/>
      <c r="L316" s="1572"/>
      <c r="M316" s="1572"/>
    </row>
    <row r="317" spans="1:13" s="1570" customFormat="1" ht="18.75" customHeight="1" x14ac:dyDescent="0.2">
      <c r="A317" s="1565">
        <v>42152</v>
      </c>
      <c r="B317" s="1566">
        <v>360839.48872280907</v>
      </c>
      <c r="C317" s="1567">
        <v>44583.700292606285</v>
      </c>
      <c r="D317" s="1567">
        <v>30539.73859416393</v>
      </c>
      <c r="E317" s="1567">
        <v>14043.961698442356</v>
      </c>
      <c r="F317" s="1568">
        <v>12.36</v>
      </c>
      <c r="H317" s="1571"/>
      <c r="I317" s="1572"/>
      <c r="J317" s="1572"/>
      <c r="K317" s="1572"/>
      <c r="L317" s="1572"/>
      <c r="M317" s="1572"/>
    </row>
    <row r="318" spans="1:13" s="1570" customFormat="1" ht="18.75" customHeight="1" x14ac:dyDescent="0.2">
      <c r="A318" s="1565">
        <v>42166</v>
      </c>
      <c r="B318" s="1566">
        <v>363989.541632134</v>
      </c>
      <c r="C318" s="1567">
        <v>43595.849756723146</v>
      </c>
      <c r="D318" s="1567">
        <v>30761.510863925279</v>
      </c>
      <c r="E318" s="1567">
        <v>12834.338892797867</v>
      </c>
      <c r="F318" s="1568">
        <v>11.98</v>
      </c>
      <c r="H318" s="1571"/>
      <c r="I318" s="1572"/>
      <c r="J318" s="1572"/>
      <c r="K318" s="1572"/>
      <c r="L318" s="1572"/>
      <c r="M318" s="1572"/>
    </row>
    <row r="319" spans="1:13" s="1570" customFormat="1" ht="18.75" customHeight="1" x14ac:dyDescent="0.2">
      <c r="A319" s="1565">
        <v>42180</v>
      </c>
      <c r="B319" s="1566">
        <v>366821.94664751075</v>
      </c>
      <c r="C319" s="1567">
        <v>41816.507368313461</v>
      </c>
      <c r="D319" s="1567">
        <v>30989.011941426281</v>
      </c>
      <c r="E319" s="1567">
        <v>10827.495426887181</v>
      </c>
      <c r="F319" s="1568">
        <v>11.4</v>
      </c>
      <c r="H319" s="1571"/>
      <c r="I319" s="1572"/>
      <c r="J319" s="1572"/>
      <c r="K319" s="1572"/>
      <c r="L319" s="1572"/>
      <c r="M319" s="1572"/>
    </row>
    <row r="320" spans="1:13" s="1570" customFormat="1" ht="18.75" customHeight="1" x14ac:dyDescent="0.2">
      <c r="A320" s="1565">
        <v>42194</v>
      </c>
      <c r="B320" s="1566">
        <v>367512.54264128726</v>
      </c>
      <c r="C320" s="1567">
        <v>42621.830604184397</v>
      </c>
      <c r="D320" s="1567">
        <v>31011.821326306934</v>
      </c>
      <c r="E320" s="1567">
        <v>11610.009277877463</v>
      </c>
      <c r="F320" s="1568">
        <v>11.6</v>
      </c>
      <c r="H320" s="1571"/>
      <c r="I320" s="1572"/>
      <c r="J320" s="1572"/>
      <c r="K320" s="1572"/>
      <c r="L320" s="1572"/>
      <c r="M320" s="1572"/>
    </row>
    <row r="321" spans="1:13" s="1570" customFormat="1" ht="18.75" customHeight="1" x14ac:dyDescent="0.2">
      <c r="A321" s="1565">
        <v>42208</v>
      </c>
      <c r="B321" s="1566">
        <v>372016.95204319654</v>
      </c>
      <c r="C321" s="1567">
        <v>43423.304215505494</v>
      </c>
      <c r="D321" s="1567">
        <v>31451.828555063301</v>
      </c>
      <c r="E321" s="1567">
        <v>11971.475660442193</v>
      </c>
      <c r="F321" s="1568">
        <v>11.67</v>
      </c>
      <c r="H321" s="1571"/>
      <c r="I321" s="1572"/>
      <c r="J321" s="1572"/>
      <c r="K321" s="1572"/>
      <c r="L321" s="1572"/>
      <c r="M321" s="1572"/>
    </row>
    <row r="322" spans="1:13" s="1570" customFormat="1" ht="18.75" customHeight="1" x14ac:dyDescent="0.2">
      <c r="A322" s="1565">
        <v>42222</v>
      </c>
      <c r="B322" s="1566">
        <v>371014.84217247518</v>
      </c>
      <c r="C322" s="1567">
        <v>40738.800467584857</v>
      </c>
      <c r="D322" s="1567">
        <v>31374.966320487052</v>
      </c>
      <c r="E322" s="1567">
        <v>9363.8341470978048</v>
      </c>
      <c r="F322" s="1568">
        <v>10.98</v>
      </c>
      <c r="H322" s="1571"/>
      <c r="I322" s="1572"/>
      <c r="J322" s="1572"/>
      <c r="K322" s="1572"/>
      <c r="L322" s="1572"/>
      <c r="M322" s="1572"/>
    </row>
    <row r="323" spans="1:13" s="1570" customFormat="1" ht="18.75" customHeight="1" x14ac:dyDescent="0.2">
      <c r="A323" s="1565">
        <v>42236</v>
      </c>
      <c r="B323" s="1566">
        <v>373078.5907942222</v>
      </c>
      <c r="C323" s="1567">
        <v>39921.151384419936</v>
      </c>
      <c r="D323" s="1567">
        <v>31486.159103709131</v>
      </c>
      <c r="E323" s="1567">
        <v>8434.9922807108051</v>
      </c>
      <c r="F323" s="1568">
        <v>10.7</v>
      </c>
      <c r="H323" s="1571"/>
      <c r="I323" s="1572"/>
      <c r="J323" s="1572"/>
      <c r="K323" s="1572"/>
      <c r="L323" s="1572"/>
      <c r="M323" s="1572"/>
    </row>
    <row r="324" spans="1:13" s="1570" customFormat="1" ht="18.75" customHeight="1" x14ac:dyDescent="0.2">
      <c r="A324" s="1565">
        <v>42250</v>
      </c>
      <c r="B324" s="1566">
        <v>373495.43868088326</v>
      </c>
      <c r="C324" s="1567">
        <v>37119.51362404682</v>
      </c>
      <c r="D324" s="1567">
        <v>31503.155355953702</v>
      </c>
      <c r="E324" s="1567">
        <v>5616.3582680931177</v>
      </c>
      <c r="F324" s="1568">
        <v>9.94</v>
      </c>
      <c r="H324" s="1571"/>
      <c r="I324" s="1572"/>
      <c r="J324" s="1572"/>
      <c r="K324" s="1572"/>
      <c r="L324" s="1572"/>
      <c r="M324" s="1572"/>
    </row>
    <row r="325" spans="1:13" s="1570" customFormat="1" ht="18.75" customHeight="1" x14ac:dyDescent="0.2">
      <c r="A325" s="1565">
        <v>42264</v>
      </c>
      <c r="B325" s="1566">
        <v>374694</v>
      </c>
      <c r="C325" s="1567">
        <v>39541</v>
      </c>
      <c r="D325" s="1567">
        <v>31615.3</v>
      </c>
      <c r="E325" s="1567">
        <v>7926</v>
      </c>
      <c r="F325" s="1568">
        <v>10.55</v>
      </c>
      <c r="H325" s="1571"/>
      <c r="I325" s="1572"/>
      <c r="J325" s="1572"/>
      <c r="K325" s="1572"/>
      <c r="L325" s="1572"/>
      <c r="M325" s="1572"/>
    </row>
    <row r="326" spans="1:13" s="1570" customFormat="1" ht="18.75" customHeight="1" x14ac:dyDescent="0.2">
      <c r="A326" s="1565">
        <v>42278</v>
      </c>
      <c r="B326" s="1566">
        <v>375061</v>
      </c>
      <c r="C326" s="1567">
        <v>39866</v>
      </c>
      <c r="D326" s="1567">
        <v>31637</v>
      </c>
      <c r="E326" s="1567">
        <v>8229</v>
      </c>
      <c r="F326" s="1568">
        <v>10.63</v>
      </c>
      <c r="H326" s="1571"/>
      <c r="I326" s="1572"/>
      <c r="J326" s="1572"/>
      <c r="K326" s="1572"/>
      <c r="L326" s="1572"/>
      <c r="M326" s="1572"/>
    </row>
    <row r="327" spans="1:13" s="1570" customFormat="1" ht="18.75" customHeight="1" x14ac:dyDescent="0.2">
      <c r="A327" s="1565">
        <v>42292</v>
      </c>
      <c r="B327" s="1566">
        <v>374723</v>
      </c>
      <c r="C327" s="1567">
        <v>39628</v>
      </c>
      <c r="D327" s="1567">
        <v>31630</v>
      </c>
      <c r="E327" s="1567">
        <v>7998</v>
      </c>
      <c r="F327" s="1568">
        <v>10.58</v>
      </c>
      <c r="H327" s="1571"/>
      <c r="I327" s="1572"/>
      <c r="J327" s="1572"/>
      <c r="K327" s="1572"/>
      <c r="L327" s="1572"/>
      <c r="M327" s="1572"/>
    </row>
    <row r="328" spans="1:13" s="1570" customFormat="1" ht="18.75" customHeight="1" x14ac:dyDescent="0.2">
      <c r="A328" s="1565">
        <v>42306</v>
      </c>
      <c r="B328" s="1566">
        <v>376515.9468339358</v>
      </c>
      <c r="C328" s="1567">
        <v>41224.524248775633</v>
      </c>
      <c r="D328" s="1567">
        <v>31753.071234610499</v>
      </c>
      <c r="E328" s="1567">
        <v>9471.4530141651339</v>
      </c>
      <c r="F328" s="1568">
        <v>10.95</v>
      </c>
      <c r="H328" s="1571"/>
      <c r="I328" s="1572"/>
      <c r="J328" s="1572"/>
      <c r="K328" s="1572"/>
      <c r="L328" s="1572"/>
      <c r="M328" s="1572"/>
    </row>
    <row r="329" spans="1:13" s="1570" customFormat="1" ht="18.75" customHeight="1" x14ac:dyDescent="0.2">
      <c r="A329" s="1565">
        <v>42320</v>
      </c>
      <c r="B329" s="1566">
        <v>379197.63736340223</v>
      </c>
      <c r="C329" s="1567">
        <v>40841.197429697524</v>
      </c>
      <c r="D329" s="1567">
        <v>31959.971169902296</v>
      </c>
      <c r="E329" s="1567">
        <v>8881.2262597952285</v>
      </c>
      <c r="F329" s="1568">
        <v>10.77</v>
      </c>
      <c r="H329" s="1571"/>
      <c r="I329" s="1572"/>
      <c r="J329" s="1572"/>
      <c r="K329" s="1572"/>
      <c r="L329" s="1572"/>
      <c r="M329" s="1572"/>
    </row>
    <row r="330" spans="1:13" s="1570" customFormat="1" ht="18.75" customHeight="1" x14ac:dyDescent="0.2">
      <c r="A330" s="1565">
        <v>42334</v>
      </c>
      <c r="B330" s="1573">
        <v>378725.83942573832</v>
      </c>
      <c r="C330" s="1574">
        <v>40511.886663978978</v>
      </c>
      <c r="D330" s="1574">
        <v>31910.801913320131</v>
      </c>
      <c r="E330" s="1574">
        <v>8601.084750658847</v>
      </c>
      <c r="F330" s="1575">
        <v>10.7</v>
      </c>
      <c r="H330" s="1571"/>
      <c r="I330" s="1572"/>
      <c r="J330" s="1572"/>
      <c r="K330" s="1572"/>
      <c r="L330" s="1572"/>
      <c r="M330" s="1572"/>
    </row>
    <row r="331" spans="1:13" s="1570" customFormat="1" ht="18.75" customHeight="1" x14ac:dyDescent="0.2">
      <c r="A331" s="1565">
        <v>42348</v>
      </c>
      <c r="B331" s="1573">
        <v>379613.44084575074</v>
      </c>
      <c r="C331" s="1574">
        <v>41737.906008645819</v>
      </c>
      <c r="D331" s="1574">
        <v>31944.904785916675</v>
      </c>
      <c r="E331" s="1574">
        <v>9793.0012227291445</v>
      </c>
      <c r="F331" s="1575">
        <v>10.99</v>
      </c>
      <c r="H331" s="1571"/>
      <c r="I331" s="1572"/>
      <c r="J331" s="1572"/>
      <c r="K331" s="1572"/>
      <c r="L331" s="1572"/>
      <c r="M331" s="1572"/>
    </row>
    <row r="332" spans="1:13" s="1570" customFormat="1" ht="18.75" customHeight="1" x14ac:dyDescent="0.2">
      <c r="A332" s="1565">
        <v>42362</v>
      </c>
      <c r="B332" s="1573">
        <v>385925.8513536242</v>
      </c>
      <c r="C332" s="1574">
        <v>42432.258368067014</v>
      </c>
      <c r="D332" s="1574">
        <v>32422.822774044249</v>
      </c>
      <c r="E332" s="1574">
        <v>10009.435594022765</v>
      </c>
      <c r="F332" s="1575">
        <v>10.99</v>
      </c>
      <c r="H332" s="1571"/>
      <c r="I332" s="1572"/>
      <c r="J332" s="1572"/>
      <c r="K332" s="1572"/>
      <c r="L332" s="1572"/>
      <c r="M332" s="1572"/>
    </row>
    <row r="333" spans="1:13" s="1570" customFormat="1" ht="18.75" customHeight="1" x14ac:dyDescent="0.2">
      <c r="A333" s="1565">
        <v>42376</v>
      </c>
      <c r="B333" s="1573">
        <v>388011.14511876117</v>
      </c>
      <c r="C333" s="1574">
        <v>40820.621071109686</v>
      </c>
      <c r="D333" s="1574">
        <v>32622.41851818495</v>
      </c>
      <c r="E333" s="1574">
        <v>8198.2025529247367</v>
      </c>
      <c r="F333" s="1575">
        <v>10.52</v>
      </c>
      <c r="H333" s="1571"/>
      <c r="I333" s="1572"/>
      <c r="J333" s="1572"/>
      <c r="K333" s="1572"/>
      <c r="L333" s="1572"/>
      <c r="M333" s="1572"/>
    </row>
    <row r="334" spans="1:13" s="1570" customFormat="1" ht="18.75" customHeight="1" x14ac:dyDescent="0.2">
      <c r="A334" s="1565">
        <v>42390</v>
      </c>
      <c r="B334" s="1573">
        <v>388881.69710163109</v>
      </c>
      <c r="C334" s="1574">
        <v>45149.736634593166</v>
      </c>
      <c r="D334" s="1574">
        <v>32771.021764357567</v>
      </c>
      <c r="E334" s="1574">
        <v>12378.714870235599</v>
      </c>
      <c r="F334" s="1575">
        <v>11.61</v>
      </c>
      <c r="H334" s="1571"/>
      <c r="I334" s="1572"/>
      <c r="J334" s="1572"/>
      <c r="K334" s="1572"/>
      <c r="L334" s="1572"/>
      <c r="M334" s="1572"/>
    </row>
    <row r="335" spans="1:13" s="1570" customFormat="1" ht="18.75" customHeight="1" x14ac:dyDescent="0.2">
      <c r="A335" s="1565">
        <v>42404</v>
      </c>
      <c r="B335" s="1573">
        <v>391327.67232534807</v>
      </c>
      <c r="C335" s="1574">
        <v>43969.241789472551</v>
      </c>
      <c r="D335" s="1574">
        <v>32978.184429669695</v>
      </c>
      <c r="E335" s="1574">
        <v>10991.057359802857</v>
      </c>
      <c r="F335" s="1575">
        <v>11.24</v>
      </c>
      <c r="H335" s="1571"/>
      <c r="I335" s="1572"/>
      <c r="J335" s="1572"/>
      <c r="K335" s="1572"/>
      <c r="L335" s="1572"/>
      <c r="M335" s="1572"/>
    </row>
    <row r="336" spans="1:13" s="1570" customFormat="1" ht="18.75" customHeight="1" x14ac:dyDescent="0.2">
      <c r="A336" s="1565">
        <v>42418</v>
      </c>
      <c r="B336" s="1573">
        <v>392150.50421720155</v>
      </c>
      <c r="C336" s="1574">
        <v>40132.812414366512</v>
      </c>
      <c r="D336" s="1574">
        <v>33029.290980381222</v>
      </c>
      <c r="E336" s="1574">
        <v>7103.5214339852901</v>
      </c>
      <c r="F336" s="1575">
        <v>10.23</v>
      </c>
      <c r="H336" s="1571"/>
      <c r="I336" s="1572"/>
      <c r="J336" s="1572"/>
      <c r="K336" s="1572"/>
      <c r="L336" s="1572"/>
      <c r="M336" s="1572"/>
    </row>
    <row r="337" spans="1:13" s="1570" customFormat="1" ht="18.75" customHeight="1" x14ac:dyDescent="0.2">
      <c r="A337" s="1565">
        <v>42432</v>
      </c>
      <c r="B337" s="1573">
        <v>389582.48544298112</v>
      </c>
      <c r="C337" s="1574">
        <v>41443.331191399375</v>
      </c>
      <c r="D337" s="1574">
        <v>32825.711107929797</v>
      </c>
      <c r="E337" s="1574">
        <v>8617.6200834695774</v>
      </c>
      <c r="F337" s="1575">
        <v>10.64</v>
      </c>
      <c r="H337" s="1571"/>
      <c r="I337" s="1572"/>
      <c r="J337" s="1572"/>
      <c r="K337" s="1572"/>
      <c r="L337" s="1572"/>
      <c r="M337" s="1572"/>
    </row>
    <row r="338" spans="1:13" s="1570" customFormat="1" ht="18.75" customHeight="1" x14ac:dyDescent="0.2">
      <c r="A338" s="1565">
        <v>42446</v>
      </c>
      <c r="B338" s="1573">
        <v>391060.93300000002</v>
      </c>
      <c r="C338" s="1574">
        <v>39737.781488212575</v>
      </c>
      <c r="D338" s="1574">
        <v>32988.075144498522</v>
      </c>
      <c r="E338" s="1574">
        <v>6749.7063437140532</v>
      </c>
      <c r="F338" s="1575">
        <v>10.16</v>
      </c>
      <c r="H338" s="1571"/>
      <c r="I338" s="1572"/>
      <c r="J338" s="1572"/>
      <c r="K338" s="1572"/>
      <c r="L338" s="1572"/>
      <c r="M338" s="1572"/>
    </row>
    <row r="339" spans="1:13" s="1570" customFormat="1" ht="18.75" customHeight="1" x14ac:dyDescent="0.2">
      <c r="A339" s="1565">
        <v>42460</v>
      </c>
      <c r="B339" s="1573">
        <v>390836</v>
      </c>
      <c r="C339" s="1574">
        <v>40555</v>
      </c>
      <c r="D339" s="1574">
        <v>32957</v>
      </c>
      <c r="E339" s="1574">
        <v>7598</v>
      </c>
      <c r="F339" s="1575">
        <v>10.38</v>
      </c>
      <c r="H339" s="1571"/>
      <c r="I339" s="1572"/>
      <c r="J339" s="1572"/>
      <c r="K339" s="1572"/>
      <c r="L339" s="1572"/>
      <c r="M339" s="1572"/>
    </row>
    <row r="340" spans="1:13" s="1570" customFormat="1" ht="18.75" customHeight="1" x14ac:dyDescent="0.2">
      <c r="A340" s="1565">
        <v>42474</v>
      </c>
      <c r="B340" s="1573">
        <v>392107</v>
      </c>
      <c r="C340" s="1574">
        <v>39142</v>
      </c>
      <c r="D340" s="1574">
        <v>33075</v>
      </c>
      <c r="E340" s="1574">
        <v>6067</v>
      </c>
      <c r="F340" s="1575">
        <v>9.98</v>
      </c>
      <c r="H340" s="1571"/>
      <c r="I340" s="1572"/>
      <c r="J340" s="1572"/>
      <c r="K340" s="1572"/>
      <c r="L340" s="1572"/>
      <c r="M340" s="1572"/>
    </row>
    <row r="341" spans="1:13" s="1570" customFormat="1" ht="18.75" customHeight="1" x14ac:dyDescent="0.2">
      <c r="A341" s="1565">
        <v>42488</v>
      </c>
      <c r="B341" s="1573">
        <v>390382</v>
      </c>
      <c r="C341" s="1574">
        <v>38858</v>
      </c>
      <c r="D341" s="1574">
        <v>32968</v>
      </c>
      <c r="E341" s="1574">
        <v>5890</v>
      </c>
      <c r="F341" s="1575">
        <v>9.9499999999999993</v>
      </c>
      <c r="H341" s="1571"/>
      <c r="I341" s="1572"/>
      <c r="J341" s="1572"/>
      <c r="K341" s="1572"/>
      <c r="L341" s="1572"/>
      <c r="M341" s="1572"/>
    </row>
    <row r="342" spans="1:13" s="1570" customFormat="1" ht="18.75" customHeight="1" x14ac:dyDescent="0.2">
      <c r="A342" s="1565">
        <v>42502</v>
      </c>
      <c r="B342" s="1573">
        <v>391337.9837299771</v>
      </c>
      <c r="C342" s="1574">
        <v>39238.852189690049</v>
      </c>
      <c r="D342" s="1574">
        <v>33013.187389103972</v>
      </c>
      <c r="E342" s="1574">
        <v>6225.664800586077</v>
      </c>
      <c r="F342" s="1575">
        <v>10.029999999999999</v>
      </c>
      <c r="H342" s="1571"/>
      <c r="I342" s="1572"/>
      <c r="J342" s="1572"/>
      <c r="K342" s="1572"/>
      <c r="L342" s="1572"/>
      <c r="M342" s="1572"/>
    </row>
    <row r="343" spans="1:13" s="1570" customFormat="1" ht="18.75" customHeight="1" x14ac:dyDescent="0.2">
      <c r="A343" s="1565">
        <v>42516</v>
      </c>
      <c r="B343" s="1573">
        <v>392164</v>
      </c>
      <c r="C343" s="1574">
        <v>42230</v>
      </c>
      <c r="D343" s="1574">
        <v>33082</v>
      </c>
      <c r="E343" s="1574">
        <v>9148</v>
      </c>
      <c r="F343" s="1575">
        <v>10.77</v>
      </c>
      <c r="H343" s="1571"/>
      <c r="I343" s="1572"/>
      <c r="J343" s="1572"/>
      <c r="K343" s="1572"/>
      <c r="L343" s="1572"/>
      <c r="M343" s="1572"/>
    </row>
    <row r="344" spans="1:13" s="1570" customFormat="1" ht="11.25" customHeight="1" thickBot="1" x14ac:dyDescent="0.25">
      <c r="A344" s="1576"/>
      <c r="B344" s="1577"/>
      <c r="C344" s="1578"/>
      <c r="D344" s="1578"/>
      <c r="E344" s="1578"/>
      <c r="F344" s="1579"/>
      <c r="H344" s="1580"/>
    </row>
    <row r="345" spans="1:13" s="1570" customFormat="1" ht="24" customHeight="1" thickTop="1" x14ac:dyDescent="0.2">
      <c r="A345" s="3366" t="s">
        <v>1373</v>
      </c>
      <c r="B345" s="3366"/>
      <c r="C345" s="3366"/>
      <c r="D345" s="3366"/>
      <c r="E345" s="3366"/>
      <c r="F345" s="3366"/>
      <c r="H345" s="1580"/>
    </row>
    <row r="346" spans="1:13" s="1572" customFormat="1" ht="15" customHeight="1" x14ac:dyDescent="0.2">
      <c r="A346" s="3366" t="s">
        <v>1374</v>
      </c>
      <c r="B346" s="3366"/>
      <c r="C346" s="3366"/>
      <c r="D346" s="3366"/>
      <c r="E346" s="3366"/>
      <c r="F346" s="3366"/>
      <c r="H346" s="1571"/>
    </row>
    <row r="347" spans="1:13" s="1572" customFormat="1" ht="12.75" hidden="1" customHeight="1" x14ac:dyDescent="0.2">
      <c r="A347" s="3366" t="s">
        <v>1375</v>
      </c>
      <c r="B347" s="3366"/>
      <c r="C347" s="3366"/>
      <c r="D347" s="3366"/>
      <c r="E347" s="3366"/>
      <c r="F347" s="3366"/>
      <c r="H347" s="1571"/>
    </row>
    <row r="348" spans="1:13" s="1572" customFormat="1" hidden="1" x14ac:dyDescent="0.2">
      <c r="A348" s="3366" t="s">
        <v>1376</v>
      </c>
      <c r="B348" s="3366"/>
      <c r="C348" s="3366"/>
      <c r="D348" s="3366"/>
      <c r="E348" s="3366"/>
      <c r="F348" s="3366"/>
      <c r="H348" s="1571"/>
    </row>
    <row r="349" spans="1:13" s="1572" customFormat="1" ht="12" hidden="1" customHeight="1" x14ac:dyDescent="0.2">
      <c r="A349" s="3366" t="s">
        <v>1377</v>
      </c>
      <c r="B349" s="3366"/>
      <c r="C349" s="3366"/>
      <c r="D349" s="3366"/>
      <c r="E349" s="3366"/>
      <c r="F349" s="3366"/>
      <c r="H349" s="1571"/>
    </row>
    <row r="350" spans="1:13" s="1572" customFormat="1" ht="14.25" hidden="1" x14ac:dyDescent="0.2">
      <c r="A350" s="1581" t="s">
        <v>1378</v>
      </c>
      <c r="B350" s="1582"/>
      <c r="C350" s="1582"/>
      <c r="D350" s="1582"/>
      <c r="E350" s="1582"/>
      <c r="F350" s="1582"/>
      <c r="H350" s="1571"/>
    </row>
    <row r="351" spans="1:13" s="1572" customFormat="1" ht="12" hidden="1" customHeight="1" x14ac:dyDescent="0.2">
      <c r="A351" s="1582" t="s">
        <v>1379</v>
      </c>
      <c r="B351" s="1582"/>
      <c r="C351" s="1582"/>
      <c r="D351" s="1582"/>
      <c r="E351" s="1582"/>
      <c r="F351" s="1582"/>
      <c r="H351" s="1571"/>
    </row>
    <row r="352" spans="1:13" s="1572" customFormat="1" hidden="1" x14ac:dyDescent="0.2">
      <c r="A352" s="1582" t="s">
        <v>1380</v>
      </c>
      <c r="B352" s="1582"/>
      <c r="C352" s="1582"/>
      <c r="D352" s="1582"/>
      <c r="E352" s="1582"/>
      <c r="F352" s="1582"/>
      <c r="H352" s="1571"/>
    </row>
    <row r="353" spans="1:8" s="1572" customFormat="1" hidden="1" x14ac:dyDescent="0.2">
      <c r="A353" s="1582" t="s">
        <v>1381</v>
      </c>
      <c r="B353" s="1582"/>
      <c r="C353" s="1582"/>
      <c r="D353" s="1582"/>
      <c r="E353" s="1582"/>
      <c r="F353" s="1582"/>
      <c r="H353" s="1571"/>
    </row>
    <row r="354" spans="1:8" s="1572" customFormat="1" hidden="1" x14ac:dyDescent="0.2">
      <c r="A354" s="1582" t="s">
        <v>1382</v>
      </c>
      <c r="B354" s="1582"/>
      <c r="C354" s="1582"/>
      <c r="D354" s="1582"/>
      <c r="E354" s="1582"/>
      <c r="F354" s="1582"/>
      <c r="H354" s="1571"/>
    </row>
    <row r="355" spans="1:8" s="1572" customFormat="1" ht="45" hidden="1" customHeight="1" thickBot="1" x14ac:dyDescent="0.25">
      <c r="A355" s="1582" t="s">
        <v>1383</v>
      </c>
      <c r="B355" s="1582"/>
      <c r="C355" s="1582"/>
      <c r="D355" s="1582"/>
      <c r="E355" s="1582"/>
      <c r="F355" s="1582"/>
      <c r="H355" s="1571"/>
    </row>
    <row r="356" spans="1:8" s="1572" customFormat="1" ht="12.75" hidden="1" customHeight="1" x14ac:dyDescent="0.2">
      <c r="A356" s="1583" t="s">
        <v>1384</v>
      </c>
      <c r="B356" s="1583"/>
      <c r="C356" s="1583"/>
      <c r="D356" s="1583"/>
      <c r="E356" s="1583"/>
      <c r="F356" s="1583"/>
      <c r="H356" s="1571"/>
    </row>
    <row r="357" spans="1:8" s="1584" customFormat="1" ht="14.25" hidden="1" customHeight="1" x14ac:dyDescent="0.2">
      <c r="A357" s="1582" t="s">
        <v>1385</v>
      </c>
      <c r="B357" s="1582"/>
      <c r="C357" s="1582"/>
      <c r="D357" s="1582"/>
      <c r="E357" s="1582"/>
      <c r="F357" s="1582"/>
      <c r="H357" s="1585"/>
    </row>
    <row r="358" spans="1:8" ht="47.25" customHeight="1" x14ac:dyDescent="0.2">
      <c r="A358" s="3367" t="s">
        <v>1386</v>
      </c>
      <c r="B358" s="3367"/>
      <c r="C358" s="3367"/>
      <c r="D358" s="3367"/>
      <c r="E358" s="3367"/>
      <c r="F358" s="3367"/>
    </row>
    <row r="359" spans="1:8" ht="13.5" customHeight="1" x14ac:dyDescent="0.2">
      <c r="A359" s="1586" t="s">
        <v>239</v>
      </c>
      <c r="B359" s="1587"/>
      <c r="C359" s="1587"/>
      <c r="D359" s="1587"/>
      <c r="E359" s="1587"/>
      <c r="F359" s="1587"/>
    </row>
    <row r="360" spans="1:8" ht="19.5" customHeight="1" x14ac:dyDescent="0.2">
      <c r="A360" s="3366" t="s">
        <v>179</v>
      </c>
      <c r="B360" s="3366"/>
      <c r="C360" s="3366"/>
      <c r="D360" s="3366"/>
      <c r="E360" s="3366"/>
      <c r="F360" s="3366"/>
    </row>
    <row r="361" spans="1:8" ht="25.5" customHeight="1" x14ac:dyDescent="0.2"/>
  </sheetData>
  <mergeCells count="7">
    <mergeCell ref="A360:F360"/>
    <mergeCell ref="A345:F345"/>
    <mergeCell ref="A346:F346"/>
    <mergeCell ref="A347:F347"/>
    <mergeCell ref="A348:F348"/>
    <mergeCell ref="A349:F349"/>
    <mergeCell ref="A358:F358"/>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63"/>
  <sheetViews>
    <sheetView topLeftCell="A40" workbookViewId="0">
      <selection sqref="A1:E62"/>
    </sheetView>
  </sheetViews>
  <sheetFormatPr defaultRowHeight="15.75" x14ac:dyDescent="0.25"/>
  <cols>
    <col min="1" max="1" width="92.42578125" style="65" bestFit="1" customWidth="1"/>
    <col min="2" max="2" width="25.85546875" style="102" customWidth="1"/>
    <col min="3" max="3" width="12.85546875" style="102" customWidth="1"/>
    <col min="4" max="4" width="24" style="65" customWidth="1"/>
    <col min="5" max="5" width="8.85546875" style="65" customWidth="1"/>
    <col min="6" max="6" width="10.42578125" style="65" customWidth="1"/>
    <col min="7" max="7" width="16.28515625" style="65" bestFit="1" customWidth="1"/>
    <col min="8" max="16384" width="9.140625" style="65"/>
  </cols>
  <sheetData>
    <row r="1" spans="1:7" ht="18.75" x14ac:dyDescent="0.3">
      <c r="A1" s="61" t="s">
        <v>29</v>
      </c>
      <c r="B1" s="62"/>
      <c r="C1" s="62"/>
      <c r="D1" s="61"/>
      <c r="E1" s="63"/>
      <c r="F1" s="64"/>
    </row>
    <row r="2" spans="1:7" ht="19.5" thickBot="1" x14ac:dyDescent="0.35">
      <c r="A2" s="66"/>
      <c r="B2" s="67"/>
      <c r="C2" s="67"/>
      <c r="D2" s="66"/>
      <c r="E2" s="66"/>
      <c r="F2" s="68"/>
    </row>
    <row r="3" spans="1:7" ht="19.5" thickTop="1" x14ac:dyDescent="0.3">
      <c r="A3" s="69"/>
      <c r="B3" s="70">
        <v>42461</v>
      </c>
      <c r="C3" s="70"/>
      <c r="D3" s="70">
        <v>42430</v>
      </c>
      <c r="E3" s="71"/>
      <c r="F3" s="72"/>
    </row>
    <row r="4" spans="1:7" ht="18.75" x14ac:dyDescent="0.3">
      <c r="A4" s="73"/>
      <c r="B4" s="74" t="s">
        <v>30</v>
      </c>
      <c r="C4" s="74"/>
      <c r="D4" s="74" t="s">
        <v>30</v>
      </c>
      <c r="E4" s="75"/>
      <c r="F4" s="72"/>
    </row>
    <row r="5" spans="1:7" ht="18.75" x14ac:dyDescent="0.3">
      <c r="A5" s="76" t="s">
        <v>31</v>
      </c>
      <c r="B5" s="77"/>
      <c r="C5" s="77"/>
      <c r="D5" s="77"/>
      <c r="E5" s="78"/>
      <c r="F5" s="72"/>
    </row>
    <row r="6" spans="1:7" ht="18.75" x14ac:dyDescent="0.3">
      <c r="A6" s="79" t="s">
        <v>1</v>
      </c>
      <c r="B6" s="77"/>
      <c r="C6" s="77"/>
      <c r="D6" s="77"/>
      <c r="E6" s="78"/>
      <c r="F6" s="72"/>
    </row>
    <row r="7" spans="1:7" ht="18.75" x14ac:dyDescent="0.3">
      <c r="A7" s="80" t="s">
        <v>32</v>
      </c>
      <c r="B7" s="81">
        <v>49213022295.959595</v>
      </c>
      <c r="C7" s="81"/>
      <c r="D7" s="81">
        <v>51282281503.089302</v>
      </c>
      <c r="E7" s="82"/>
      <c r="F7" s="72"/>
      <c r="G7" s="83"/>
    </row>
    <row r="8" spans="1:7" ht="18.75" x14ac:dyDescent="0.3">
      <c r="A8" s="80" t="s">
        <v>33</v>
      </c>
      <c r="B8" s="81" t="s">
        <v>25</v>
      </c>
      <c r="C8" s="84"/>
      <c r="D8" s="81" t="s">
        <v>25</v>
      </c>
      <c r="E8" s="82"/>
      <c r="F8" s="72"/>
      <c r="G8" s="83"/>
    </row>
    <row r="9" spans="1:7" ht="18.75" x14ac:dyDescent="0.3">
      <c r="A9" s="80" t="s">
        <v>34</v>
      </c>
      <c r="B9" s="85">
        <v>328537050617.45142</v>
      </c>
      <c r="C9" s="86"/>
      <c r="D9" s="85">
        <v>305849645109.63025</v>
      </c>
      <c r="E9" s="82"/>
      <c r="F9" s="72"/>
      <c r="G9" s="83"/>
    </row>
    <row r="10" spans="1:7" ht="18.75" x14ac:dyDescent="0.3">
      <c r="A10" s="80" t="s">
        <v>35</v>
      </c>
      <c r="B10" s="86">
        <v>240361214352.30698</v>
      </c>
      <c r="C10" s="86"/>
      <c r="D10" s="86">
        <v>251247052596.50919</v>
      </c>
      <c r="E10" s="82"/>
      <c r="F10" s="72"/>
      <c r="G10" s="83"/>
    </row>
    <row r="11" spans="1:7" ht="18.75" x14ac:dyDescent="0.3">
      <c r="A11" s="80" t="s">
        <v>36</v>
      </c>
      <c r="B11" s="87">
        <v>79923644225.266022</v>
      </c>
      <c r="C11" s="86"/>
      <c r="D11" s="87">
        <v>83083124358.636627</v>
      </c>
      <c r="E11" s="82"/>
      <c r="F11" s="72"/>
      <c r="G11" s="83"/>
    </row>
    <row r="12" spans="1:7" ht="18.75" x14ac:dyDescent="0.3">
      <c r="A12" s="80"/>
      <c r="B12" s="81">
        <v>648821909195.02441</v>
      </c>
      <c r="C12" s="84"/>
      <c r="D12" s="81">
        <v>640179822064.776</v>
      </c>
      <c r="E12" s="82"/>
      <c r="F12" s="72"/>
      <c r="G12" s="83"/>
    </row>
    <row r="13" spans="1:7" ht="18.75" x14ac:dyDescent="0.3">
      <c r="A13" s="80" t="s">
        <v>37</v>
      </c>
      <c r="B13" s="81">
        <v>112821262383.04591</v>
      </c>
      <c r="C13" s="84"/>
      <c r="D13" s="81">
        <v>110115069981.04755</v>
      </c>
      <c r="E13" s="82"/>
      <c r="F13" s="72"/>
      <c r="G13" s="83"/>
    </row>
    <row r="14" spans="1:7" ht="18.75" x14ac:dyDescent="0.3">
      <c r="A14" s="80" t="s">
        <v>38</v>
      </c>
      <c r="B14" s="81">
        <v>390252546.70604062</v>
      </c>
      <c r="C14" s="84"/>
      <c r="D14" s="81">
        <v>366401151.07687211</v>
      </c>
      <c r="E14" s="82"/>
      <c r="F14" s="72"/>
      <c r="G14" s="83"/>
    </row>
    <row r="15" spans="1:7" ht="18.75" x14ac:dyDescent="0.3">
      <c r="A15" s="80" t="s">
        <v>39</v>
      </c>
      <c r="B15" s="81"/>
      <c r="C15" s="84"/>
      <c r="D15" s="81"/>
      <c r="E15" s="82"/>
      <c r="F15" s="72"/>
      <c r="G15" s="83"/>
    </row>
    <row r="16" spans="1:7" ht="18.75" x14ac:dyDescent="0.3">
      <c r="A16" s="80" t="s">
        <v>40</v>
      </c>
      <c r="B16" s="85">
        <v>226893431831.64005</v>
      </c>
      <c r="C16" s="86"/>
      <c r="D16" s="85">
        <v>227151698241.75571</v>
      </c>
      <c r="E16" s="82"/>
      <c r="F16" s="72"/>
      <c r="G16" s="83"/>
    </row>
    <row r="17" spans="1:7" ht="18.75" x14ac:dyDescent="0.3">
      <c r="A17" s="80" t="s">
        <v>41</v>
      </c>
      <c r="B17" s="87">
        <v>0</v>
      </c>
      <c r="C17" s="86"/>
      <c r="D17" s="87">
        <v>0</v>
      </c>
      <c r="E17" s="82"/>
      <c r="F17" s="72"/>
      <c r="G17" s="83"/>
    </row>
    <row r="18" spans="1:7" ht="18.75" x14ac:dyDescent="0.3">
      <c r="A18" s="80"/>
      <c r="B18" s="81">
        <v>226893431831.64005</v>
      </c>
      <c r="C18" s="84"/>
      <c r="D18" s="81">
        <v>227151698241.75571</v>
      </c>
      <c r="E18" s="82"/>
      <c r="F18" s="72"/>
      <c r="G18" s="83"/>
    </row>
    <row r="19" spans="1:7" ht="18.75" x14ac:dyDescent="0.3">
      <c r="A19" s="80" t="s">
        <v>42</v>
      </c>
      <c r="B19" s="81"/>
      <c r="C19" s="84"/>
      <c r="D19" s="81"/>
      <c r="E19" s="82"/>
      <c r="F19" s="72"/>
      <c r="G19" s="83"/>
    </row>
    <row r="20" spans="1:7" ht="18.75" x14ac:dyDescent="0.3">
      <c r="A20" s="80" t="s">
        <v>43</v>
      </c>
      <c r="B20" s="85">
        <v>9275456842.6775475</v>
      </c>
      <c r="C20" s="86"/>
      <c r="D20" s="85">
        <v>7940517952.1439352</v>
      </c>
      <c r="E20" s="82"/>
      <c r="F20" s="72"/>
      <c r="G20" s="83"/>
    </row>
    <row r="21" spans="1:7" ht="18.75" x14ac:dyDescent="0.3">
      <c r="A21" s="80" t="s">
        <v>44</v>
      </c>
      <c r="B21" s="87">
        <v>90993359198.86203</v>
      </c>
      <c r="C21" s="86"/>
      <c r="D21" s="87">
        <v>92126547679.886887</v>
      </c>
      <c r="E21" s="82"/>
      <c r="F21" s="72"/>
      <c r="G21" s="83"/>
    </row>
    <row r="22" spans="1:7" ht="18.75" x14ac:dyDescent="0.3">
      <c r="A22" s="80"/>
      <c r="B22" s="81">
        <v>100268816041.53958</v>
      </c>
      <c r="C22" s="84"/>
      <c r="D22" s="81">
        <v>100067065632.03082</v>
      </c>
      <c r="E22" s="82"/>
      <c r="F22" s="72"/>
      <c r="G22" s="83"/>
    </row>
    <row r="23" spans="1:7" ht="18.75" x14ac:dyDescent="0.3">
      <c r="A23" s="80" t="s">
        <v>45</v>
      </c>
      <c r="B23" s="81">
        <v>6845849571.5803146</v>
      </c>
      <c r="C23" s="84"/>
      <c r="D23" s="81">
        <v>7140641208.8317909</v>
      </c>
      <c r="E23" s="82"/>
      <c r="F23" s="72"/>
      <c r="G23" s="83"/>
    </row>
    <row r="24" spans="1:7" ht="18.75" x14ac:dyDescent="0.3">
      <c r="A24" s="80" t="s">
        <v>46</v>
      </c>
      <c r="B24" s="81">
        <v>23500952148.719284</v>
      </c>
      <c r="C24" s="84"/>
      <c r="D24" s="81">
        <v>23535629761.086876</v>
      </c>
      <c r="E24" s="82"/>
      <c r="F24" s="72"/>
      <c r="G24" s="83"/>
    </row>
    <row r="25" spans="1:7" ht="18.75" x14ac:dyDescent="0.3">
      <c r="A25" s="80" t="s">
        <v>23</v>
      </c>
      <c r="B25" s="88">
        <v>24507626101.407707</v>
      </c>
      <c r="C25" s="84"/>
      <c r="D25" s="88">
        <v>23106773256.089642</v>
      </c>
      <c r="E25" s="82"/>
      <c r="F25" s="72"/>
      <c r="G25" s="83"/>
    </row>
    <row r="26" spans="1:7" ht="18.75" x14ac:dyDescent="0.3">
      <c r="A26" s="80"/>
      <c r="B26" s="81">
        <v>1193263122115.6228</v>
      </c>
      <c r="C26" s="84"/>
      <c r="D26" s="81">
        <v>1182945382799.7847</v>
      </c>
      <c r="E26" s="82"/>
      <c r="F26" s="72"/>
      <c r="G26" s="83"/>
    </row>
    <row r="27" spans="1:7" ht="18.75" x14ac:dyDescent="0.3">
      <c r="A27" s="89" t="s">
        <v>47</v>
      </c>
      <c r="B27" s="81"/>
      <c r="C27" s="84"/>
      <c r="D27" s="81"/>
      <c r="E27" s="82"/>
      <c r="F27" s="72"/>
      <c r="G27" s="83"/>
    </row>
    <row r="28" spans="1:7" ht="18.75" x14ac:dyDescent="0.3">
      <c r="A28" s="90" t="s">
        <v>6</v>
      </c>
      <c r="B28" s="81"/>
      <c r="C28" s="84"/>
      <c r="D28" s="81"/>
      <c r="E28" s="82"/>
      <c r="F28" s="72"/>
      <c r="G28" s="83"/>
    </row>
    <row r="29" spans="1:7" ht="18.75" x14ac:dyDescent="0.3">
      <c r="A29" s="80" t="s">
        <v>48</v>
      </c>
      <c r="B29" s="81"/>
      <c r="C29" s="84"/>
      <c r="D29" s="81"/>
      <c r="E29" s="82"/>
      <c r="F29" s="72"/>
      <c r="G29" s="83"/>
    </row>
    <row r="30" spans="1:7" ht="18.75" x14ac:dyDescent="0.3">
      <c r="A30" s="80" t="s">
        <v>49</v>
      </c>
      <c r="B30" s="85">
        <v>402924147732.76654</v>
      </c>
      <c r="C30" s="86"/>
      <c r="D30" s="85">
        <v>392394076142.41956</v>
      </c>
      <c r="E30" s="82"/>
      <c r="F30" s="72"/>
      <c r="G30" s="83"/>
    </row>
    <row r="31" spans="1:7" ht="18.75" x14ac:dyDescent="0.3">
      <c r="A31" s="80" t="s">
        <v>50</v>
      </c>
      <c r="B31" s="86">
        <v>207609313191.15674</v>
      </c>
      <c r="C31" s="86"/>
      <c r="D31" s="86">
        <v>208825102768.09595</v>
      </c>
      <c r="E31" s="82"/>
      <c r="F31" s="72"/>
      <c r="G31" s="83"/>
    </row>
    <row r="32" spans="1:7" ht="18.75" x14ac:dyDescent="0.3">
      <c r="A32" s="80" t="s">
        <v>51</v>
      </c>
      <c r="B32" s="86">
        <v>263264436180.9873</v>
      </c>
      <c r="C32" s="86"/>
      <c r="D32" s="86">
        <v>254733590721.76334</v>
      </c>
      <c r="E32" s="82"/>
      <c r="F32" s="72"/>
      <c r="G32" s="83"/>
    </row>
    <row r="33" spans="1:7" ht="18.75" x14ac:dyDescent="0.3">
      <c r="A33" s="80" t="s">
        <v>52</v>
      </c>
      <c r="B33" s="87">
        <v>51066336.471149504</v>
      </c>
      <c r="C33" s="86" t="s">
        <v>25</v>
      </c>
      <c r="D33" s="87">
        <v>52457054.959527507</v>
      </c>
      <c r="E33" s="82"/>
      <c r="F33" s="72"/>
      <c r="G33" s="83"/>
    </row>
    <row r="34" spans="1:7" ht="18.75" x14ac:dyDescent="0.3">
      <c r="A34" s="80"/>
      <c r="B34" s="81">
        <v>873848963441.38184</v>
      </c>
      <c r="C34" s="84"/>
      <c r="D34" s="81">
        <v>856005226687.23828</v>
      </c>
      <c r="E34" s="82"/>
      <c r="F34" s="72"/>
      <c r="G34" s="83"/>
    </row>
    <row r="35" spans="1:7" ht="18.75" x14ac:dyDescent="0.3">
      <c r="A35" s="80" t="s">
        <v>53</v>
      </c>
      <c r="B35" s="81"/>
      <c r="C35" s="84"/>
      <c r="D35" s="81"/>
      <c r="E35" s="82"/>
      <c r="F35" s="72"/>
      <c r="G35" s="83"/>
    </row>
    <row r="36" spans="1:7" ht="18.75" x14ac:dyDescent="0.3">
      <c r="A36" s="80" t="s">
        <v>54</v>
      </c>
      <c r="B36" s="85">
        <v>992766352.07288992</v>
      </c>
      <c r="C36" s="86"/>
      <c r="D36" s="85">
        <v>991611386.67551005</v>
      </c>
      <c r="E36" s="82"/>
      <c r="F36" s="72"/>
      <c r="G36" s="83"/>
    </row>
    <row r="37" spans="1:7" ht="18.75" x14ac:dyDescent="0.3">
      <c r="A37" s="80" t="s">
        <v>55</v>
      </c>
      <c r="B37" s="86">
        <v>5367992990.6677818</v>
      </c>
      <c r="C37" s="86"/>
      <c r="D37" s="86">
        <v>3889443840.9900365</v>
      </c>
      <c r="E37" s="82"/>
      <c r="F37" s="72"/>
      <c r="G37" s="83"/>
    </row>
    <row r="38" spans="1:7" ht="18.75" x14ac:dyDescent="0.3">
      <c r="A38" s="80" t="s">
        <v>56</v>
      </c>
      <c r="B38" s="86">
        <v>107256508708.07674</v>
      </c>
      <c r="C38" s="86"/>
      <c r="D38" s="86">
        <v>117837337242.26695</v>
      </c>
      <c r="E38" s="82"/>
      <c r="F38" s="72"/>
      <c r="G38" s="83"/>
    </row>
    <row r="39" spans="1:7" ht="18.75" x14ac:dyDescent="0.3">
      <c r="A39" s="80" t="s">
        <v>57</v>
      </c>
      <c r="B39" s="87">
        <v>5803804650.6004505</v>
      </c>
      <c r="C39" s="86"/>
      <c r="D39" s="87">
        <v>5790429375.8232508</v>
      </c>
      <c r="E39" s="82"/>
      <c r="F39" s="72"/>
      <c r="G39" s="83"/>
    </row>
    <row r="40" spans="1:7" ht="18.75" x14ac:dyDescent="0.3">
      <c r="A40" s="80"/>
      <c r="B40" s="81">
        <v>119421072701.41786</v>
      </c>
      <c r="C40" s="84"/>
      <c r="D40" s="81">
        <v>128508821845.75575</v>
      </c>
      <c r="E40" s="82"/>
      <c r="F40" s="72"/>
      <c r="G40" s="83"/>
    </row>
    <row r="41" spans="1:7" ht="18.75" x14ac:dyDescent="0.3">
      <c r="A41" s="80" t="s">
        <v>58</v>
      </c>
      <c r="B41" s="81">
        <v>64394522714.429573</v>
      </c>
      <c r="C41" s="84"/>
      <c r="D41" s="81">
        <v>63777554612.542938</v>
      </c>
      <c r="E41" s="82"/>
      <c r="F41" s="72"/>
      <c r="G41" s="83"/>
    </row>
    <row r="42" spans="1:7" ht="18.75" x14ac:dyDescent="0.3">
      <c r="A42" s="80"/>
      <c r="B42" s="91">
        <v>1057664558857.2292</v>
      </c>
      <c r="C42" s="84"/>
      <c r="D42" s="91">
        <v>1048291603145.537</v>
      </c>
      <c r="E42" s="82"/>
      <c r="F42" s="72"/>
      <c r="G42" s="83"/>
    </row>
    <row r="43" spans="1:7" ht="19.5" thickBot="1" x14ac:dyDescent="0.35">
      <c r="A43" s="80"/>
      <c r="B43" s="92">
        <v>135598563258.39355</v>
      </c>
      <c r="C43" s="93"/>
      <c r="D43" s="92">
        <v>134653779654.24768</v>
      </c>
      <c r="E43" s="94"/>
      <c r="F43" s="72"/>
      <c r="G43" s="83"/>
    </row>
    <row r="44" spans="1:7" ht="19.5" thickTop="1" x14ac:dyDescent="0.3">
      <c r="A44" s="90" t="s">
        <v>59</v>
      </c>
      <c r="B44" s="81"/>
      <c r="C44" s="84"/>
      <c r="D44" s="81"/>
      <c r="E44" s="82"/>
      <c r="F44" s="72"/>
      <c r="G44" s="83"/>
    </row>
    <row r="45" spans="1:7" ht="18.75" x14ac:dyDescent="0.3">
      <c r="A45" s="90" t="s">
        <v>60</v>
      </c>
      <c r="B45" s="81"/>
      <c r="C45" s="84"/>
      <c r="D45" s="81"/>
      <c r="E45" s="82"/>
      <c r="F45" s="72"/>
      <c r="G45" s="83"/>
    </row>
    <row r="46" spans="1:7" ht="18.75" x14ac:dyDescent="0.3">
      <c r="A46" s="80" t="s">
        <v>61</v>
      </c>
      <c r="B46" s="85">
        <v>59955561319.153755</v>
      </c>
      <c r="C46" s="86"/>
      <c r="D46" s="85">
        <v>60042878803.230782</v>
      </c>
      <c r="E46" s="82"/>
      <c r="F46" s="72"/>
      <c r="G46" s="83"/>
    </row>
    <row r="47" spans="1:7" ht="18.75" x14ac:dyDescent="0.3">
      <c r="A47" s="80" t="s">
        <v>62</v>
      </c>
      <c r="B47" s="87">
        <v>59661469813.274994</v>
      </c>
      <c r="C47" s="86"/>
      <c r="D47" s="87">
        <v>58583269501.190964</v>
      </c>
      <c r="E47" s="82"/>
      <c r="F47" s="72"/>
      <c r="G47" s="83"/>
    </row>
    <row r="48" spans="1:7" ht="18.75" x14ac:dyDescent="0.3">
      <c r="A48" s="80"/>
      <c r="B48" s="81">
        <v>119617031132.42874</v>
      </c>
      <c r="C48" s="84"/>
      <c r="D48" s="81">
        <v>118626148304.42175</v>
      </c>
      <c r="E48" s="82"/>
      <c r="F48" s="72"/>
      <c r="G48" s="83"/>
    </row>
    <row r="49" spans="1:7" ht="18.75" x14ac:dyDescent="0.3">
      <c r="A49" s="90" t="s">
        <v>63</v>
      </c>
      <c r="B49" s="81">
        <v>15981532125.96014</v>
      </c>
      <c r="C49" s="84"/>
      <c r="D49" s="81">
        <v>16027631349.821447</v>
      </c>
      <c r="E49" s="82"/>
      <c r="F49" s="72"/>
      <c r="G49" s="83"/>
    </row>
    <row r="50" spans="1:7" ht="19.5" thickBot="1" x14ac:dyDescent="0.35">
      <c r="A50" s="80"/>
      <c r="B50" s="92">
        <v>135598563258.38889</v>
      </c>
      <c r="C50" s="93"/>
      <c r="D50" s="92">
        <v>134653779654.24319</v>
      </c>
      <c r="E50" s="94"/>
      <c r="F50" s="72"/>
      <c r="G50" s="83"/>
    </row>
    <row r="51" spans="1:7" ht="19.5" thickTop="1" x14ac:dyDescent="0.3">
      <c r="A51" s="90" t="s">
        <v>64</v>
      </c>
      <c r="B51" s="81"/>
      <c r="C51" s="84"/>
      <c r="D51" s="81"/>
      <c r="E51" s="82"/>
      <c r="F51" s="72"/>
      <c r="G51" s="83"/>
    </row>
    <row r="52" spans="1:7" ht="18.75" x14ac:dyDescent="0.3">
      <c r="A52" s="80" t="s">
        <v>65</v>
      </c>
      <c r="B52" s="81"/>
      <c r="C52" s="81"/>
      <c r="D52" s="81"/>
      <c r="E52" s="82"/>
      <c r="F52" s="72"/>
      <c r="G52" s="83"/>
    </row>
    <row r="53" spans="1:7" ht="18.75" x14ac:dyDescent="0.3">
      <c r="A53" s="80" t="s">
        <v>66</v>
      </c>
      <c r="B53" s="81"/>
      <c r="C53" s="81"/>
      <c r="D53" s="81"/>
      <c r="E53" s="82"/>
      <c r="F53" s="72"/>
      <c r="G53" s="83"/>
    </row>
    <row r="54" spans="1:7" ht="18.75" x14ac:dyDescent="0.3">
      <c r="A54" s="80" t="s">
        <v>67</v>
      </c>
      <c r="B54" s="81">
        <v>43314486308.898987</v>
      </c>
      <c r="C54" s="81"/>
      <c r="D54" s="81">
        <v>42817829665.999527</v>
      </c>
      <c r="E54" s="82"/>
      <c r="F54" s="72"/>
      <c r="G54" s="83"/>
    </row>
    <row r="55" spans="1:7" ht="18.75" x14ac:dyDescent="0.3">
      <c r="A55" s="80" t="s">
        <v>68</v>
      </c>
      <c r="B55" s="81">
        <v>1017678161.4570355</v>
      </c>
      <c r="C55" s="81"/>
      <c r="D55" s="81">
        <v>953706271.75714803</v>
      </c>
      <c r="E55" s="82"/>
      <c r="F55" s="72"/>
      <c r="G55" s="83"/>
    </row>
    <row r="56" spans="1:7" ht="18.75" x14ac:dyDescent="0.3">
      <c r="A56" s="80" t="s">
        <v>69</v>
      </c>
      <c r="B56" s="81">
        <v>2417103265.8669362</v>
      </c>
      <c r="C56" s="81"/>
      <c r="D56" s="81">
        <v>3075657908.8795304</v>
      </c>
      <c r="E56" s="82"/>
      <c r="F56" s="72"/>
      <c r="G56" s="83"/>
    </row>
    <row r="57" spans="1:7" ht="18.75" x14ac:dyDescent="0.3">
      <c r="A57" s="95" t="s">
        <v>70</v>
      </c>
      <c r="B57" s="84">
        <v>5906630062.5023842</v>
      </c>
      <c r="C57" s="84"/>
      <c r="D57" s="84">
        <v>13230321866.970394</v>
      </c>
      <c r="E57" s="82"/>
      <c r="F57" s="68"/>
      <c r="G57" s="83"/>
    </row>
    <row r="58" spans="1:7" ht="18.75" x14ac:dyDescent="0.3">
      <c r="A58" s="80" t="s">
        <v>71</v>
      </c>
      <c r="B58" s="84">
        <v>5871754949.7575064</v>
      </c>
      <c r="C58" s="84"/>
      <c r="D58" s="84">
        <v>13200537982.207499</v>
      </c>
      <c r="E58" s="82"/>
      <c r="F58" s="68"/>
      <c r="G58" s="83"/>
    </row>
    <row r="59" spans="1:7" ht="19.5" thickBot="1" x14ac:dyDescent="0.35">
      <c r="A59" s="96"/>
      <c r="B59" s="97"/>
      <c r="C59" s="97"/>
      <c r="D59" s="97"/>
      <c r="E59" s="98"/>
      <c r="F59" s="68"/>
      <c r="G59" s="83"/>
    </row>
    <row r="60" spans="1:7" ht="1.5" customHeight="1" thickTop="1" x14ac:dyDescent="0.3">
      <c r="A60" s="99"/>
      <c r="B60" s="100"/>
      <c r="C60" s="100"/>
      <c r="D60" s="68"/>
      <c r="E60" s="68"/>
      <c r="F60" s="68"/>
    </row>
    <row r="61" spans="1:7" ht="18.75" x14ac:dyDescent="0.3">
      <c r="A61" s="101" t="s">
        <v>24</v>
      </c>
      <c r="B61" s="100"/>
      <c r="C61" s="100"/>
      <c r="D61" s="68"/>
      <c r="E61" s="68"/>
      <c r="F61" s="68"/>
    </row>
    <row r="62" spans="1:7" ht="18" customHeight="1" x14ac:dyDescent="0.3">
      <c r="A62" s="101"/>
      <c r="B62" s="100"/>
      <c r="C62" s="100"/>
      <c r="D62" s="68"/>
      <c r="E62" s="68"/>
      <c r="F62" s="68"/>
    </row>
    <row r="63" spans="1:7" ht="18.75" x14ac:dyDescent="0.3">
      <c r="A63" s="68"/>
      <c r="B63" s="100" t="s">
        <v>25</v>
      </c>
      <c r="C63" s="100"/>
      <c r="D63" s="68"/>
      <c r="E63" s="68"/>
      <c r="F63" s="68"/>
    </row>
  </sheetData>
  <pageMargins left="0.7" right="0.7" top="0.75" bottom="0.75" header="0.3" footer="0.3"/>
  <pageSetup paperSize="9" scale="5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F88"/>
  <sheetViews>
    <sheetView topLeftCell="A53" zoomScaleNormal="100" workbookViewId="0">
      <selection activeCell="E82" sqref="E82"/>
    </sheetView>
  </sheetViews>
  <sheetFormatPr defaultRowHeight="15" x14ac:dyDescent="0.25"/>
  <cols>
    <col min="1" max="1" width="13" style="1207" customWidth="1"/>
    <col min="2" max="2" width="13.5703125" style="1207" customWidth="1"/>
    <col min="3" max="3" width="13.7109375" style="1207" customWidth="1"/>
    <col min="4" max="4" width="13.5703125" style="1207" customWidth="1"/>
    <col min="5" max="5" width="12.42578125" style="1207" customWidth="1"/>
    <col min="6" max="6" width="12.28515625" style="1207" customWidth="1"/>
    <col min="7" max="16384" width="9.140625" style="1207"/>
  </cols>
  <sheetData>
    <row r="1" spans="1:6" ht="16.5" thickBot="1" x14ac:dyDescent="0.3">
      <c r="A1" s="1588" t="s">
        <v>1387</v>
      </c>
      <c r="B1" s="1589"/>
      <c r="C1" s="1589"/>
      <c r="D1" s="1590"/>
      <c r="E1" s="1589"/>
      <c r="F1" s="1591"/>
    </row>
    <row r="2" spans="1:6" ht="17.25" thickTop="1" thickBot="1" x14ac:dyDescent="0.3">
      <c r="A2" s="1592"/>
      <c r="B2" s="1593" t="s">
        <v>761</v>
      </c>
      <c r="C2" s="1594" t="s">
        <v>752</v>
      </c>
      <c r="D2" s="1594" t="s">
        <v>761</v>
      </c>
      <c r="E2" s="1595" t="s">
        <v>1388</v>
      </c>
      <c r="F2" s="1596"/>
    </row>
    <row r="3" spans="1:6" ht="15.75" x14ac:dyDescent="0.25">
      <c r="A3" s="1597"/>
      <c r="B3" s="1598" t="s">
        <v>193</v>
      </c>
      <c r="C3" s="1599" t="s">
        <v>1389</v>
      </c>
      <c r="D3" s="1599" t="s">
        <v>193</v>
      </c>
      <c r="E3" s="1600" t="s">
        <v>1390</v>
      </c>
      <c r="F3" s="1601" t="s">
        <v>752</v>
      </c>
    </row>
    <row r="4" spans="1:6" ht="16.5" thickBot="1" x14ac:dyDescent="0.3">
      <c r="A4" s="1602"/>
      <c r="B4" s="1603" t="s">
        <v>1391</v>
      </c>
      <c r="C4" s="1604"/>
      <c r="D4" s="1604" t="s">
        <v>1392</v>
      </c>
      <c r="E4" s="1604" t="s">
        <v>1391</v>
      </c>
      <c r="F4" s="1605" t="s">
        <v>1393</v>
      </c>
    </row>
    <row r="5" spans="1:6" ht="15.75" hidden="1" thickTop="1" x14ac:dyDescent="0.25">
      <c r="A5" s="1606">
        <v>40179</v>
      </c>
      <c r="B5" s="1607">
        <v>403964</v>
      </c>
      <c r="C5" s="1608">
        <v>19483893</v>
      </c>
      <c r="D5" s="1608">
        <v>20</v>
      </c>
      <c r="E5" s="1609">
        <v>20198</v>
      </c>
      <c r="F5" s="1610">
        <v>974195</v>
      </c>
    </row>
    <row r="6" spans="1:6" ht="15.75" hidden="1" thickTop="1" x14ac:dyDescent="0.25">
      <c r="A6" s="1606">
        <v>40210</v>
      </c>
      <c r="B6" s="1607">
        <v>381478</v>
      </c>
      <c r="C6" s="1608">
        <v>17757496</v>
      </c>
      <c r="D6" s="1608">
        <v>18</v>
      </c>
      <c r="E6" s="1609">
        <v>21193</v>
      </c>
      <c r="F6" s="1610">
        <v>986528</v>
      </c>
    </row>
    <row r="7" spans="1:6" ht="15.75" hidden="1" thickTop="1" x14ac:dyDescent="0.25">
      <c r="A7" s="1606">
        <v>40238</v>
      </c>
      <c r="B7" s="1607">
        <v>476460</v>
      </c>
      <c r="C7" s="1608">
        <v>21813844</v>
      </c>
      <c r="D7" s="1608">
        <v>21</v>
      </c>
      <c r="E7" s="1609">
        <v>22688</v>
      </c>
      <c r="F7" s="1610">
        <v>1038755</v>
      </c>
    </row>
    <row r="8" spans="1:6" ht="15.75" hidden="1" thickTop="1" x14ac:dyDescent="0.25">
      <c r="A8" s="1606">
        <v>40269</v>
      </c>
      <c r="B8" s="1607">
        <v>478241</v>
      </c>
      <c r="C8" s="1608">
        <v>22600161</v>
      </c>
      <c r="D8" s="1608">
        <v>22</v>
      </c>
      <c r="E8" s="1609">
        <v>21738</v>
      </c>
      <c r="F8" s="1610">
        <v>1027280</v>
      </c>
    </row>
    <row r="9" spans="1:6" ht="15.75" hidden="1" thickTop="1" x14ac:dyDescent="0.25">
      <c r="A9" s="1606">
        <v>40299</v>
      </c>
      <c r="B9" s="1607">
        <v>419366</v>
      </c>
      <c r="C9" s="1608">
        <v>20193361</v>
      </c>
      <c r="D9" s="1608">
        <v>20</v>
      </c>
      <c r="E9" s="1609">
        <v>20969</v>
      </c>
      <c r="F9" s="1610">
        <v>1009668</v>
      </c>
    </row>
    <row r="10" spans="1:6" ht="15.75" hidden="1" thickTop="1" x14ac:dyDescent="0.25">
      <c r="A10" s="1606">
        <v>40330</v>
      </c>
      <c r="B10" s="1607">
        <v>448294</v>
      </c>
      <c r="C10" s="1608">
        <v>21051307</v>
      </c>
      <c r="D10" s="1608">
        <v>22</v>
      </c>
      <c r="E10" s="1609">
        <v>20377</v>
      </c>
      <c r="F10" s="1610">
        <v>956878</v>
      </c>
    </row>
    <row r="11" spans="1:6" ht="15.75" hidden="1" thickTop="1" x14ac:dyDescent="0.25">
      <c r="A11" s="1606">
        <v>40360</v>
      </c>
      <c r="B11" s="1607">
        <v>447586</v>
      </c>
      <c r="C11" s="1608">
        <v>21884958</v>
      </c>
      <c r="D11" s="1608">
        <v>22</v>
      </c>
      <c r="E11" s="1609">
        <v>20345</v>
      </c>
      <c r="F11" s="1610">
        <v>994771</v>
      </c>
    </row>
    <row r="12" spans="1:6" ht="15.75" hidden="1" thickTop="1" x14ac:dyDescent="0.25">
      <c r="A12" s="1611">
        <v>40391</v>
      </c>
      <c r="B12" s="1612">
        <v>435490</v>
      </c>
      <c r="C12" s="1608">
        <v>21023041</v>
      </c>
      <c r="D12" s="1608">
        <v>22</v>
      </c>
      <c r="E12" s="1609">
        <v>19795</v>
      </c>
      <c r="F12" s="1610">
        <v>955593</v>
      </c>
    </row>
    <row r="13" spans="1:6" ht="15.75" hidden="1" thickTop="1" x14ac:dyDescent="0.25">
      <c r="A13" s="1611">
        <v>40422</v>
      </c>
      <c r="B13" s="1612">
        <v>431049</v>
      </c>
      <c r="C13" s="1608">
        <v>20726682</v>
      </c>
      <c r="D13" s="1608">
        <v>21</v>
      </c>
      <c r="E13" s="1609">
        <v>20526</v>
      </c>
      <c r="F13" s="1610">
        <v>986985</v>
      </c>
    </row>
    <row r="14" spans="1:6" ht="15.75" hidden="1" thickTop="1" x14ac:dyDescent="0.25">
      <c r="A14" s="1611">
        <v>40452</v>
      </c>
      <c r="B14" s="1612">
        <v>443872</v>
      </c>
      <c r="C14" s="1608">
        <v>21052303</v>
      </c>
      <c r="D14" s="1608">
        <v>21</v>
      </c>
      <c r="E14" s="1609">
        <v>21137</v>
      </c>
      <c r="F14" s="1610">
        <v>1002491</v>
      </c>
    </row>
    <row r="15" spans="1:6" ht="15.75" hidden="1" thickTop="1" x14ac:dyDescent="0.25">
      <c r="A15" s="1611">
        <v>40483</v>
      </c>
      <c r="B15" s="1612">
        <v>478387</v>
      </c>
      <c r="C15" s="1608">
        <v>22094405.145189997</v>
      </c>
      <c r="D15" s="1608">
        <v>20</v>
      </c>
      <c r="E15" s="1609">
        <v>23919.35</v>
      </c>
      <c r="F15" s="1610">
        <v>1104720.2572594997</v>
      </c>
    </row>
    <row r="16" spans="1:6" ht="15.75" hidden="1" thickTop="1" x14ac:dyDescent="0.25">
      <c r="A16" s="1611">
        <v>40513</v>
      </c>
      <c r="B16" s="1612">
        <v>562286</v>
      </c>
      <c r="C16" s="1608">
        <v>29385611</v>
      </c>
      <c r="D16" s="1608">
        <v>23</v>
      </c>
      <c r="E16" s="1609">
        <v>26776</v>
      </c>
      <c r="F16" s="1610">
        <v>1399315</v>
      </c>
    </row>
    <row r="17" spans="1:6" ht="15.75" hidden="1" thickTop="1" x14ac:dyDescent="0.25">
      <c r="A17" s="1611">
        <v>40544</v>
      </c>
      <c r="B17" s="1613">
        <v>404261</v>
      </c>
      <c r="C17" s="1614">
        <v>18665282</v>
      </c>
      <c r="D17" s="1614">
        <v>19</v>
      </c>
      <c r="E17" s="1615">
        <v>21277</v>
      </c>
      <c r="F17" s="1616">
        <v>982383</v>
      </c>
    </row>
    <row r="18" spans="1:6" ht="15.75" hidden="1" thickTop="1" x14ac:dyDescent="0.25">
      <c r="A18" s="1611">
        <v>40575</v>
      </c>
      <c r="B18" s="1613">
        <v>410417</v>
      </c>
      <c r="C18" s="1614">
        <v>20754567</v>
      </c>
      <c r="D18" s="1614">
        <v>18</v>
      </c>
      <c r="E18" s="1615">
        <v>22801</v>
      </c>
      <c r="F18" s="1616">
        <v>1153032</v>
      </c>
    </row>
    <row r="19" spans="1:6" ht="15.75" hidden="1" thickTop="1" x14ac:dyDescent="0.25">
      <c r="A19" s="1611">
        <v>40603</v>
      </c>
      <c r="B19" s="1613">
        <v>480048</v>
      </c>
      <c r="C19" s="1614">
        <v>22665919</v>
      </c>
      <c r="D19" s="1614">
        <v>22</v>
      </c>
      <c r="E19" s="1615">
        <v>21820</v>
      </c>
      <c r="F19" s="1616">
        <v>1030269</v>
      </c>
    </row>
    <row r="20" spans="1:6" ht="15.75" hidden="1" thickTop="1" x14ac:dyDescent="0.25">
      <c r="A20" s="1611">
        <v>40634</v>
      </c>
      <c r="B20" s="1613">
        <v>429435</v>
      </c>
      <c r="C20" s="1614">
        <v>20514130</v>
      </c>
      <c r="D20" s="1614">
        <v>20</v>
      </c>
      <c r="E20" s="1615">
        <v>21472</v>
      </c>
      <c r="F20" s="1616">
        <v>1025707</v>
      </c>
    </row>
    <row r="21" spans="1:6" ht="15.75" hidden="1" thickTop="1" x14ac:dyDescent="0.25">
      <c r="A21" s="1611">
        <v>40664</v>
      </c>
      <c r="B21" s="1613">
        <v>472258</v>
      </c>
      <c r="C21" s="1614">
        <v>22338190</v>
      </c>
      <c r="D21" s="1614">
        <v>22</v>
      </c>
      <c r="E21" s="1615">
        <v>21466</v>
      </c>
      <c r="F21" s="1616">
        <v>1015372</v>
      </c>
    </row>
    <row r="22" spans="1:6" ht="15.75" hidden="1" thickTop="1" x14ac:dyDescent="0.25">
      <c r="A22" s="1611">
        <v>40695</v>
      </c>
      <c r="B22" s="1613">
        <v>459609</v>
      </c>
      <c r="C22" s="1614">
        <v>23452306</v>
      </c>
      <c r="D22" s="1614">
        <v>22</v>
      </c>
      <c r="E22" s="1615">
        <v>20891</v>
      </c>
      <c r="F22" s="1616">
        <v>1066014</v>
      </c>
    </row>
    <row r="23" spans="1:6" ht="15.75" hidden="1" thickTop="1" x14ac:dyDescent="0.25">
      <c r="A23" s="1611">
        <v>40725</v>
      </c>
      <c r="B23" s="1613">
        <v>436511</v>
      </c>
      <c r="C23" s="1614">
        <v>22202850</v>
      </c>
      <c r="D23" s="1614">
        <v>21</v>
      </c>
      <c r="E23" s="1615">
        <v>20786</v>
      </c>
      <c r="F23" s="1616">
        <v>1057279</v>
      </c>
    </row>
    <row r="24" spans="1:6" ht="15.75" hidden="1" thickTop="1" x14ac:dyDescent="0.25">
      <c r="A24" s="1611">
        <v>40756</v>
      </c>
      <c r="B24" s="1613">
        <v>446499</v>
      </c>
      <c r="C24" s="1614">
        <v>21637527</v>
      </c>
      <c r="D24" s="1614">
        <v>22</v>
      </c>
      <c r="E24" s="1615">
        <v>20295</v>
      </c>
      <c r="F24" s="1616">
        <v>983524</v>
      </c>
    </row>
    <row r="25" spans="1:6" ht="15.75" hidden="1" thickTop="1" x14ac:dyDescent="0.25">
      <c r="A25" s="1611">
        <v>40787</v>
      </c>
      <c r="B25" s="1613">
        <v>439837</v>
      </c>
      <c r="C25" s="1614">
        <v>20864985</v>
      </c>
      <c r="D25" s="1614">
        <v>21</v>
      </c>
      <c r="E25" s="1615">
        <v>20945</v>
      </c>
      <c r="F25" s="1616">
        <v>993571</v>
      </c>
    </row>
    <row r="26" spans="1:6" ht="15.75" hidden="1" thickTop="1" x14ac:dyDescent="0.25">
      <c r="A26" s="1611">
        <v>40817</v>
      </c>
      <c r="B26" s="1613">
        <v>429409</v>
      </c>
      <c r="C26" s="1614">
        <v>21844470</v>
      </c>
      <c r="D26" s="1614">
        <v>20</v>
      </c>
      <c r="E26" s="1615">
        <v>21470</v>
      </c>
      <c r="F26" s="1616">
        <v>1092223</v>
      </c>
    </row>
    <row r="27" spans="1:6" ht="15.75" hidden="1" thickTop="1" x14ac:dyDescent="0.25">
      <c r="A27" s="1611">
        <v>40848</v>
      </c>
      <c r="B27" s="1613">
        <v>441789</v>
      </c>
      <c r="C27" s="1614">
        <v>21637089</v>
      </c>
      <c r="D27" s="1614">
        <v>20</v>
      </c>
      <c r="E27" s="1615">
        <v>22089</v>
      </c>
      <c r="F27" s="1616">
        <v>1081854</v>
      </c>
    </row>
    <row r="28" spans="1:6" ht="15.75" hidden="1" thickTop="1" x14ac:dyDescent="0.25">
      <c r="A28" s="1611">
        <v>40878</v>
      </c>
      <c r="B28" s="1613">
        <v>509153</v>
      </c>
      <c r="C28" s="1614">
        <v>26909768</v>
      </c>
      <c r="D28" s="1614">
        <v>22</v>
      </c>
      <c r="E28" s="1615">
        <v>23143</v>
      </c>
      <c r="F28" s="1616">
        <v>1223171</v>
      </c>
    </row>
    <row r="29" spans="1:6" ht="16.5" hidden="1" customHeight="1" thickTop="1" x14ac:dyDescent="0.25">
      <c r="A29" s="1617">
        <v>40909</v>
      </c>
      <c r="B29" s="1613">
        <v>411557</v>
      </c>
      <c r="C29" s="1614">
        <v>20402574</v>
      </c>
      <c r="D29" s="1614">
        <v>20</v>
      </c>
      <c r="E29" s="1615">
        <v>20578</v>
      </c>
      <c r="F29" s="1616">
        <v>1020129</v>
      </c>
    </row>
    <row r="30" spans="1:6" ht="16.5" hidden="1" customHeight="1" x14ac:dyDescent="0.25">
      <c r="A30" s="1617">
        <v>40940</v>
      </c>
      <c r="B30" s="1613">
        <v>401302</v>
      </c>
      <c r="C30" s="1614">
        <v>20239873</v>
      </c>
      <c r="D30" s="1614">
        <v>18</v>
      </c>
      <c r="E30" s="1615">
        <v>22295</v>
      </c>
      <c r="F30" s="1616">
        <v>1124437</v>
      </c>
    </row>
    <row r="31" spans="1:6" ht="16.5" hidden="1" customHeight="1" x14ac:dyDescent="0.25">
      <c r="A31" s="1617">
        <v>40969</v>
      </c>
      <c r="B31" s="1613">
        <v>432715</v>
      </c>
      <c r="C31" s="1614">
        <v>21349071</v>
      </c>
      <c r="D31" s="1614">
        <v>20</v>
      </c>
      <c r="E31" s="1615">
        <v>21636</v>
      </c>
      <c r="F31" s="1616">
        <v>1067454</v>
      </c>
    </row>
    <row r="32" spans="1:6" ht="16.5" hidden="1" customHeight="1" x14ac:dyDescent="0.25">
      <c r="A32" s="1617">
        <v>41000</v>
      </c>
      <c r="B32" s="1613">
        <v>436837</v>
      </c>
      <c r="C32" s="1614">
        <v>21910904</v>
      </c>
      <c r="D32" s="1614">
        <v>21</v>
      </c>
      <c r="E32" s="1615">
        <v>20802</v>
      </c>
      <c r="F32" s="1616">
        <v>1043376</v>
      </c>
    </row>
    <row r="33" spans="1:6" ht="16.5" hidden="1" customHeight="1" x14ac:dyDescent="0.25">
      <c r="A33" s="1617">
        <v>41030</v>
      </c>
      <c r="B33" s="1613">
        <v>470150</v>
      </c>
      <c r="C33" s="1614">
        <v>22379207</v>
      </c>
      <c r="D33" s="1614">
        <v>22</v>
      </c>
      <c r="E33" s="1615">
        <v>21370</v>
      </c>
      <c r="F33" s="1616">
        <v>1017237</v>
      </c>
    </row>
    <row r="34" spans="1:6" ht="16.5" hidden="1" customHeight="1" x14ac:dyDescent="0.25">
      <c r="A34" s="1617">
        <v>41061</v>
      </c>
      <c r="B34" s="1618">
        <v>423483</v>
      </c>
      <c r="C34" s="1614">
        <v>21139261</v>
      </c>
      <c r="D34" s="1614">
        <v>21</v>
      </c>
      <c r="E34" s="1615">
        <v>20166</v>
      </c>
      <c r="F34" s="1616">
        <v>1006631</v>
      </c>
    </row>
    <row r="35" spans="1:6" ht="16.5" hidden="1" customHeight="1" x14ac:dyDescent="0.25">
      <c r="A35" s="1617">
        <v>41091</v>
      </c>
      <c r="B35" s="1618">
        <v>453418</v>
      </c>
      <c r="C35" s="1614">
        <v>23746073</v>
      </c>
      <c r="D35" s="1614">
        <v>22</v>
      </c>
      <c r="E35" s="1615">
        <v>20610</v>
      </c>
      <c r="F35" s="1616">
        <v>1079367</v>
      </c>
    </row>
    <row r="36" spans="1:6" ht="16.5" hidden="1" customHeight="1" x14ac:dyDescent="0.25">
      <c r="A36" s="1617">
        <v>41122</v>
      </c>
      <c r="B36" s="1619">
        <v>428256</v>
      </c>
      <c r="C36" s="1614">
        <v>21776630</v>
      </c>
      <c r="D36" s="1614">
        <v>21</v>
      </c>
      <c r="E36" s="1615">
        <v>20393</v>
      </c>
      <c r="F36" s="1620">
        <v>1036982</v>
      </c>
    </row>
    <row r="37" spans="1:6" ht="16.5" hidden="1" customHeight="1" x14ac:dyDescent="0.25">
      <c r="A37" s="1617">
        <v>41153</v>
      </c>
      <c r="B37" s="1619">
        <v>397667</v>
      </c>
      <c r="C37" s="1614">
        <v>20543860</v>
      </c>
      <c r="D37" s="1614">
        <v>19</v>
      </c>
      <c r="E37" s="1615">
        <v>20930</v>
      </c>
      <c r="F37" s="1620">
        <v>1081256</v>
      </c>
    </row>
    <row r="38" spans="1:6" ht="16.5" hidden="1" customHeight="1" x14ac:dyDescent="0.25">
      <c r="A38" s="1617">
        <v>41183</v>
      </c>
      <c r="B38" s="1619">
        <v>476909</v>
      </c>
      <c r="C38" s="1614">
        <v>25001750</v>
      </c>
      <c r="D38" s="1614">
        <v>23</v>
      </c>
      <c r="E38" s="1615">
        <v>20735</v>
      </c>
      <c r="F38" s="1620">
        <v>1087033</v>
      </c>
    </row>
    <row r="39" spans="1:6" ht="16.5" hidden="1" customHeight="1" x14ac:dyDescent="0.25">
      <c r="A39" s="1617">
        <v>41214</v>
      </c>
      <c r="B39" s="1619">
        <v>423120</v>
      </c>
      <c r="C39" s="1614">
        <v>21648556</v>
      </c>
      <c r="D39" s="1614">
        <v>20</v>
      </c>
      <c r="E39" s="1615">
        <v>21156</v>
      </c>
      <c r="F39" s="1620">
        <v>1082428</v>
      </c>
    </row>
    <row r="40" spans="1:6" ht="16.5" hidden="1" customHeight="1" x14ac:dyDescent="0.25">
      <c r="A40" s="1617">
        <v>41244</v>
      </c>
      <c r="B40" s="1619">
        <v>458402</v>
      </c>
      <c r="C40" s="1614">
        <v>25455656</v>
      </c>
      <c r="D40" s="1614">
        <v>20</v>
      </c>
      <c r="E40" s="1615">
        <v>22920</v>
      </c>
      <c r="F40" s="1620">
        <v>1272783</v>
      </c>
    </row>
    <row r="41" spans="1:6" ht="16.5" customHeight="1" thickTop="1" x14ac:dyDescent="0.25">
      <c r="A41" s="1617">
        <v>41275</v>
      </c>
      <c r="B41" s="1619">
        <v>419313</v>
      </c>
      <c r="C41" s="1614">
        <v>21859942</v>
      </c>
      <c r="D41" s="1614">
        <v>21</v>
      </c>
      <c r="E41" s="1615">
        <v>19967</v>
      </c>
      <c r="F41" s="1620">
        <v>1040950</v>
      </c>
    </row>
    <row r="42" spans="1:6" ht="16.5" customHeight="1" x14ac:dyDescent="0.25">
      <c r="A42" s="1617">
        <v>41306</v>
      </c>
      <c r="B42" s="1619">
        <v>369245</v>
      </c>
      <c r="C42" s="1614">
        <v>19588068</v>
      </c>
      <c r="D42" s="1614">
        <v>19</v>
      </c>
      <c r="E42" s="1615">
        <v>19434</v>
      </c>
      <c r="F42" s="1620">
        <v>1030951</v>
      </c>
    </row>
    <row r="43" spans="1:6" ht="16.5" customHeight="1" x14ac:dyDescent="0.25">
      <c r="A43" s="1617">
        <v>41334</v>
      </c>
      <c r="B43" s="1621">
        <v>405034</v>
      </c>
      <c r="C43" s="1614">
        <v>20478459</v>
      </c>
      <c r="D43" s="1614">
        <v>20</v>
      </c>
      <c r="E43" s="1615">
        <v>20252</v>
      </c>
      <c r="F43" s="1620">
        <v>1023923</v>
      </c>
    </row>
    <row r="44" spans="1:6" ht="16.5" customHeight="1" x14ac:dyDescent="0.25">
      <c r="A44" s="1617">
        <v>41365</v>
      </c>
      <c r="B44" s="1621">
        <v>423835</v>
      </c>
      <c r="C44" s="1614">
        <v>21031319</v>
      </c>
      <c r="D44" s="1614">
        <v>20</v>
      </c>
      <c r="E44" s="1615">
        <v>21192</v>
      </c>
      <c r="F44" s="1620">
        <v>1051565</v>
      </c>
    </row>
    <row r="45" spans="1:6" ht="16.5" customHeight="1" x14ac:dyDescent="0.25">
      <c r="A45" s="1617">
        <v>41395</v>
      </c>
      <c r="B45" s="1619">
        <v>438561</v>
      </c>
      <c r="C45" s="1614">
        <v>22595813</v>
      </c>
      <c r="D45" s="1614">
        <v>22</v>
      </c>
      <c r="E45" s="1615">
        <v>19935</v>
      </c>
      <c r="F45" s="1620">
        <v>1027082.4090909091</v>
      </c>
    </row>
    <row r="46" spans="1:6" ht="16.5" customHeight="1" x14ac:dyDescent="0.25">
      <c r="A46" s="1622">
        <v>41426</v>
      </c>
      <c r="B46" s="1621">
        <v>386585</v>
      </c>
      <c r="C46" s="1614">
        <v>20300449</v>
      </c>
      <c r="D46" s="1614">
        <v>20</v>
      </c>
      <c r="E46" s="1615">
        <v>19329</v>
      </c>
      <c r="F46" s="1620">
        <v>1015022</v>
      </c>
    </row>
    <row r="47" spans="1:6" ht="16.5" customHeight="1" x14ac:dyDescent="0.25">
      <c r="A47" s="1622">
        <v>41456</v>
      </c>
      <c r="B47" s="1621">
        <v>458023</v>
      </c>
      <c r="C47" s="1614">
        <v>23757105</v>
      </c>
      <c r="D47" s="1614">
        <v>23</v>
      </c>
      <c r="E47" s="1615">
        <v>19914</v>
      </c>
      <c r="F47" s="1620">
        <v>1032918</v>
      </c>
    </row>
    <row r="48" spans="1:6" ht="16.5" customHeight="1" x14ac:dyDescent="0.25">
      <c r="A48" s="1617">
        <v>41487</v>
      </c>
      <c r="B48" s="1621">
        <v>397266</v>
      </c>
      <c r="C48" s="1614">
        <v>22034024</v>
      </c>
      <c r="D48" s="1614">
        <v>21</v>
      </c>
      <c r="E48" s="1615">
        <v>18917</v>
      </c>
      <c r="F48" s="1620">
        <v>1049239</v>
      </c>
    </row>
    <row r="49" spans="1:6" ht="16.5" customHeight="1" x14ac:dyDescent="0.25">
      <c r="A49" s="1617">
        <v>41518</v>
      </c>
      <c r="B49" s="1621">
        <v>398583</v>
      </c>
      <c r="C49" s="1614">
        <v>21175010</v>
      </c>
      <c r="D49" s="1614">
        <v>20</v>
      </c>
      <c r="E49" s="1615">
        <v>19929</v>
      </c>
      <c r="F49" s="1620">
        <v>1058751</v>
      </c>
    </row>
    <row r="50" spans="1:6" ht="16.5" customHeight="1" x14ac:dyDescent="0.25">
      <c r="A50" s="1617">
        <v>41548</v>
      </c>
      <c r="B50" s="1621">
        <v>452289</v>
      </c>
      <c r="C50" s="1614">
        <v>24684836</v>
      </c>
      <c r="D50" s="1614">
        <v>23</v>
      </c>
      <c r="E50" s="1615">
        <v>19665</v>
      </c>
      <c r="F50" s="1620">
        <v>1073254</v>
      </c>
    </row>
    <row r="51" spans="1:6" ht="16.5" customHeight="1" x14ac:dyDescent="0.25">
      <c r="A51" s="1617">
        <v>41579</v>
      </c>
      <c r="B51" s="1621">
        <v>393808</v>
      </c>
      <c r="C51" s="1614">
        <v>20725114</v>
      </c>
      <c r="D51" s="1614">
        <v>20</v>
      </c>
      <c r="E51" s="1615">
        <v>19690</v>
      </c>
      <c r="F51" s="1620">
        <v>1036256</v>
      </c>
    </row>
    <row r="52" spans="1:6" ht="16.5" customHeight="1" x14ac:dyDescent="0.25">
      <c r="A52" s="1617">
        <v>41609</v>
      </c>
      <c r="B52" s="1621">
        <v>477819</v>
      </c>
      <c r="C52" s="1614">
        <v>26505337</v>
      </c>
      <c r="D52" s="1614">
        <v>21</v>
      </c>
      <c r="E52" s="1615">
        <v>22753</v>
      </c>
      <c r="F52" s="1620">
        <v>1262159</v>
      </c>
    </row>
    <row r="53" spans="1:6" ht="16.5" customHeight="1" x14ac:dyDescent="0.25">
      <c r="A53" s="1617">
        <v>41653</v>
      </c>
      <c r="B53" s="1621">
        <v>374235</v>
      </c>
      <c r="C53" s="1614">
        <v>19560273</v>
      </c>
      <c r="D53" s="1614">
        <v>19</v>
      </c>
      <c r="E53" s="1615">
        <v>19697</v>
      </c>
      <c r="F53" s="1620">
        <v>1029488</v>
      </c>
    </row>
    <row r="54" spans="1:6" ht="16.5" customHeight="1" x14ac:dyDescent="0.25">
      <c r="A54" s="1617">
        <v>41671</v>
      </c>
      <c r="B54" s="1621">
        <v>372478</v>
      </c>
      <c r="C54" s="1614">
        <v>19906878</v>
      </c>
      <c r="D54" s="1614">
        <v>18</v>
      </c>
      <c r="E54" s="1615">
        <v>20693</v>
      </c>
      <c r="F54" s="1620">
        <v>1105938</v>
      </c>
    </row>
    <row r="55" spans="1:6" ht="16.5" customHeight="1" x14ac:dyDescent="0.25">
      <c r="A55" s="1617">
        <v>41699</v>
      </c>
      <c r="B55" s="1621">
        <v>385697</v>
      </c>
      <c r="C55" s="1614">
        <v>19847409</v>
      </c>
      <c r="D55" s="1614">
        <v>19</v>
      </c>
      <c r="E55" s="1615">
        <v>20300</v>
      </c>
      <c r="F55" s="1620">
        <v>1044600</v>
      </c>
    </row>
    <row r="56" spans="1:6" ht="16.5" customHeight="1" x14ac:dyDescent="0.25">
      <c r="A56" s="1617">
        <v>41743</v>
      </c>
      <c r="B56" s="1621">
        <v>444814</v>
      </c>
      <c r="C56" s="1614">
        <v>23067406</v>
      </c>
      <c r="D56" s="1614">
        <v>22</v>
      </c>
      <c r="E56" s="1615">
        <v>20219</v>
      </c>
      <c r="F56" s="1620">
        <v>1048518</v>
      </c>
    </row>
    <row r="57" spans="1:6" ht="16.5" customHeight="1" x14ac:dyDescent="0.25">
      <c r="A57" s="1617">
        <v>41773</v>
      </c>
      <c r="B57" s="1621">
        <v>421691</v>
      </c>
      <c r="C57" s="1614">
        <v>22238506</v>
      </c>
      <c r="D57" s="1614">
        <v>21</v>
      </c>
      <c r="E57" s="1615">
        <v>20081</v>
      </c>
      <c r="F57" s="1620">
        <v>1058976</v>
      </c>
    </row>
    <row r="58" spans="1:6" ht="16.5" customHeight="1" x14ac:dyDescent="0.25">
      <c r="A58" s="1617">
        <v>41791</v>
      </c>
      <c r="B58" s="1621">
        <v>403572</v>
      </c>
      <c r="C58" s="1614">
        <v>21524293</v>
      </c>
      <c r="D58" s="1614">
        <v>21</v>
      </c>
      <c r="E58" s="1615">
        <v>19218</v>
      </c>
      <c r="F58" s="1620">
        <v>1024966</v>
      </c>
    </row>
    <row r="59" spans="1:6" ht="16.5" customHeight="1" x14ac:dyDescent="0.25">
      <c r="A59" s="1617">
        <v>41821</v>
      </c>
      <c r="B59" s="1621">
        <v>432321</v>
      </c>
      <c r="C59" s="1614">
        <v>22733366</v>
      </c>
      <c r="D59" s="1614">
        <v>22</v>
      </c>
      <c r="E59" s="1615">
        <v>19651</v>
      </c>
      <c r="F59" s="1620">
        <v>1033335</v>
      </c>
    </row>
    <row r="60" spans="1:6" ht="16.5" customHeight="1" x14ac:dyDescent="0.25">
      <c r="A60" s="1617">
        <v>41852</v>
      </c>
      <c r="B60" s="1621">
        <v>383127</v>
      </c>
      <c r="C60" s="1614">
        <v>20032811</v>
      </c>
      <c r="D60" s="1614">
        <v>20</v>
      </c>
      <c r="E60" s="1615">
        <v>19156</v>
      </c>
      <c r="F60" s="1620">
        <v>1001641</v>
      </c>
    </row>
    <row r="61" spans="1:6" ht="16.5" customHeight="1" x14ac:dyDescent="0.25">
      <c r="A61" s="1617">
        <v>41883</v>
      </c>
      <c r="B61" s="1621">
        <v>413404</v>
      </c>
      <c r="C61" s="1614">
        <v>21889470</v>
      </c>
      <c r="D61" s="1614">
        <v>22</v>
      </c>
      <c r="E61" s="1615">
        <v>18791</v>
      </c>
      <c r="F61" s="1620">
        <v>994976</v>
      </c>
    </row>
    <row r="62" spans="1:6" ht="16.5" customHeight="1" x14ac:dyDescent="0.25">
      <c r="A62" s="1617">
        <v>41913</v>
      </c>
      <c r="B62" s="1621">
        <v>419457</v>
      </c>
      <c r="C62" s="1614">
        <v>22474559</v>
      </c>
      <c r="D62" s="1614">
        <v>22</v>
      </c>
      <c r="E62" s="1615">
        <v>19066</v>
      </c>
      <c r="F62" s="1620">
        <v>1021571</v>
      </c>
    </row>
    <row r="63" spans="1:6" ht="16.5" customHeight="1" x14ac:dyDescent="0.25">
      <c r="A63" s="1617">
        <v>41944</v>
      </c>
      <c r="B63" s="1621">
        <v>375825</v>
      </c>
      <c r="C63" s="1614">
        <v>20664615</v>
      </c>
      <c r="D63" s="1614">
        <v>20</v>
      </c>
      <c r="E63" s="1615">
        <v>18791</v>
      </c>
      <c r="F63" s="1620">
        <v>1033231</v>
      </c>
    </row>
    <row r="64" spans="1:6" ht="16.5" customHeight="1" x14ac:dyDescent="0.25">
      <c r="A64" s="1617">
        <v>41974</v>
      </c>
      <c r="B64" s="1621">
        <v>455435</v>
      </c>
      <c r="C64" s="1614">
        <v>25291403</v>
      </c>
      <c r="D64" s="1614">
        <v>21</v>
      </c>
      <c r="E64" s="1615">
        <v>21687</v>
      </c>
      <c r="F64" s="1620">
        <v>1204353</v>
      </c>
    </row>
    <row r="65" spans="1:6" ht="16.5" customHeight="1" x14ac:dyDescent="0.25">
      <c r="A65" s="1617">
        <v>42005</v>
      </c>
      <c r="B65" s="1621">
        <v>363305</v>
      </c>
      <c r="C65" s="1614">
        <v>17953593</v>
      </c>
      <c r="D65" s="1614">
        <v>20</v>
      </c>
      <c r="E65" s="1615">
        <v>18165</v>
      </c>
      <c r="F65" s="1620">
        <v>897680</v>
      </c>
    </row>
    <row r="66" spans="1:6" ht="16.5" customHeight="1" x14ac:dyDescent="0.25">
      <c r="A66" s="1617">
        <v>42036</v>
      </c>
      <c r="B66" s="1621">
        <v>337515</v>
      </c>
      <c r="C66" s="1614">
        <v>18506021</v>
      </c>
      <c r="D66" s="1614">
        <v>17</v>
      </c>
      <c r="E66" s="1615">
        <v>19854</v>
      </c>
      <c r="F66" s="1620">
        <v>1088589</v>
      </c>
    </row>
    <row r="67" spans="1:6" ht="16.5" customHeight="1" x14ac:dyDescent="0.25">
      <c r="A67" s="1617">
        <v>42064</v>
      </c>
      <c r="B67" s="1621">
        <v>321981</v>
      </c>
      <c r="C67" s="1614">
        <v>16981424</v>
      </c>
      <c r="D67" s="1614">
        <v>21</v>
      </c>
      <c r="E67" s="1615">
        <v>15332</v>
      </c>
      <c r="F67" s="1620">
        <v>808639</v>
      </c>
    </row>
    <row r="68" spans="1:6" ht="16.5" customHeight="1" x14ac:dyDescent="0.25">
      <c r="A68" s="1617">
        <v>42095</v>
      </c>
      <c r="B68" s="1621">
        <v>398233</v>
      </c>
      <c r="C68" s="1614">
        <v>20767752</v>
      </c>
      <c r="D68" s="1614">
        <v>22</v>
      </c>
      <c r="E68" s="1615">
        <v>18102</v>
      </c>
      <c r="F68" s="1620">
        <v>943989</v>
      </c>
    </row>
    <row r="69" spans="1:6" ht="16.5" customHeight="1" x14ac:dyDescent="0.25">
      <c r="A69" s="1617">
        <v>42125</v>
      </c>
      <c r="B69" s="1621">
        <v>351700</v>
      </c>
      <c r="C69" s="1614">
        <v>18484938</v>
      </c>
      <c r="D69" s="1614">
        <v>20</v>
      </c>
      <c r="E69" s="1615">
        <v>17585</v>
      </c>
      <c r="F69" s="1620">
        <v>924247</v>
      </c>
    </row>
    <row r="70" spans="1:6" ht="16.5" customHeight="1" x14ac:dyDescent="0.25">
      <c r="A70" s="1617">
        <v>42156</v>
      </c>
      <c r="B70" s="1621">
        <v>402427</v>
      </c>
      <c r="C70" s="1614">
        <v>22461853</v>
      </c>
      <c r="D70" s="1614">
        <v>22</v>
      </c>
      <c r="E70" s="1615">
        <v>18292</v>
      </c>
      <c r="F70" s="1620">
        <v>1021039</v>
      </c>
    </row>
    <row r="71" spans="1:6" ht="16.5" customHeight="1" x14ac:dyDescent="0.25">
      <c r="A71" s="1617">
        <v>42186</v>
      </c>
      <c r="B71" s="1621">
        <v>408924</v>
      </c>
      <c r="C71" s="1614">
        <v>22778237</v>
      </c>
      <c r="D71" s="1614">
        <v>23</v>
      </c>
      <c r="E71" s="1615">
        <v>17779</v>
      </c>
      <c r="F71" s="1620">
        <v>990358</v>
      </c>
    </row>
    <row r="72" spans="1:6" ht="16.5" customHeight="1" x14ac:dyDescent="0.25">
      <c r="A72" s="1617">
        <v>42217</v>
      </c>
      <c r="B72" s="1621">
        <v>364553</v>
      </c>
      <c r="C72" s="1614">
        <v>19314158</v>
      </c>
      <c r="D72" s="1614">
        <v>21</v>
      </c>
      <c r="E72" s="1615">
        <v>17360</v>
      </c>
      <c r="F72" s="1620">
        <v>919722</v>
      </c>
    </row>
    <row r="73" spans="1:6" ht="16.5" customHeight="1" x14ac:dyDescent="0.25">
      <c r="A73" s="1617">
        <v>42248</v>
      </c>
      <c r="B73" s="1621">
        <v>382301</v>
      </c>
      <c r="C73" s="1614">
        <v>19976716</v>
      </c>
      <c r="D73" s="1614">
        <v>21</v>
      </c>
      <c r="E73" s="1615">
        <v>18205</v>
      </c>
      <c r="F73" s="1620">
        <v>951272</v>
      </c>
    </row>
    <row r="74" spans="1:6" ht="16.5" customHeight="1" x14ac:dyDescent="0.25">
      <c r="A74" s="1617">
        <v>42278</v>
      </c>
      <c r="B74" s="1621">
        <v>407755</v>
      </c>
      <c r="C74" s="1614">
        <v>21167741</v>
      </c>
      <c r="D74" s="1614">
        <v>22</v>
      </c>
      <c r="E74" s="1615">
        <v>18534</v>
      </c>
      <c r="F74" s="1620">
        <v>962170</v>
      </c>
    </row>
    <row r="75" spans="1:6" ht="16.5" customHeight="1" x14ac:dyDescent="0.25">
      <c r="A75" s="1617">
        <v>42309</v>
      </c>
      <c r="B75" s="1621">
        <v>373606</v>
      </c>
      <c r="C75" s="1614">
        <v>18662222</v>
      </c>
      <c r="D75" s="1614">
        <v>19</v>
      </c>
      <c r="E75" s="1615">
        <v>19663</v>
      </c>
      <c r="F75" s="1620">
        <v>982222</v>
      </c>
    </row>
    <row r="76" spans="1:6" ht="16.5" customHeight="1" x14ac:dyDescent="0.25">
      <c r="A76" s="1617">
        <v>42339</v>
      </c>
      <c r="B76" s="1621">
        <v>449448</v>
      </c>
      <c r="C76" s="1614">
        <v>25270380</v>
      </c>
      <c r="D76" s="1614">
        <v>22</v>
      </c>
      <c r="E76" s="1615">
        <v>20429</v>
      </c>
      <c r="F76" s="1620">
        <v>1148654</v>
      </c>
    </row>
    <row r="77" spans="1:6" ht="16.5" customHeight="1" x14ac:dyDescent="0.25">
      <c r="A77" s="1617">
        <v>42370</v>
      </c>
      <c r="B77" s="1621">
        <v>332953</v>
      </c>
      <c r="C77" s="1614">
        <v>16843614</v>
      </c>
      <c r="D77" s="1614">
        <v>20</v>
      </c>
      <c r="E77" s="1615">
        <v>16648</v>
      </c>
      <c r="F77" s="1620">
        <v>842181</v>
      </c>
    </row>
    <row r="78" spans="1:6" ht="16.5" customHeight="1" x14ac:dyDescent="0.25">
      <c r="A78" s="1617">
        <v>42401</v>
      </c>
      <c r="B78" s="1621">
        <v>346286</v>
      </c>
      <c r="C78" s="1614">
        <v>19258711</v>
      </c>
      <c r="D78" s="1614">
        <v>19</v>
      </c>
      <c r="E78" s="1615">
        <v>18226</v>
      </c>
      <c r="F78" s="1620">
        <v>1013616</v>
      </c>
    </row>
    <row r="79" spans="1:6" ht="16.5" customHeight="1" x14ac:dyDescent="0.25">
      <c r="A79" s="1617">
        <v>42430</v>
      </c>
      <c r="B79" s="1621">
        <v>392250</v>
      </c>
      <c r="C79" s="1614">
        <v>20945508</v>
      </c>
      <c r="D79" s="1614">
        <v>22</v>
      </c>
      <c r="E79" s="1615">
        <v>17830</v>
      </c>
      <c r="F79" s="1620">
        <v>952069</v>
      </c>
    </row>
    <row r="80" spans="1:6" ht="16.5" customHeight="1" x14ac:dyDescent="0.25">
      <c r="A80" s="1617">
        <v>42461</v>
      </c>
      <c r="B80" s="1621">
        <v>354308</v>
      </c>
      <c r="C80" s="1614">
        <v>18585728</v>
      </c>
      <c r="D80" s="1614">
        <v>20</v>
      </c>
      <c r="E80" s="1615">
        <v>17715</v>
      </c>
      <c r="F80" s="1620">
        <v>929286</v>
      </c>
    </row>
    <row r="81" spans="1:6" ht="16.5" customHeight="1" thickBot="1" x14ac:dyDescent="0.3">
      <c r="A81" s="1623">
        <v>42491</v>
      </c>
      <c r="B81" s="1624">
        <v>386095</v>
      </c>
      <c r="C81" s="1625">
        <v>21254863</v>
      </c>
      <c r="D81" s="1625">
        <v>22</v>
      </c>
      <c r="E81" s="1626">
        <v>17550</v>
      </c>
      <c r="F81" s="1627">
        <v>966130</v>
      </c>
    </row>
    <row r="82" spans="1:6" ht="15.75" thickTop="1" x14ac:dyDescent="0.25">
      <c r="A82" s="1628" t="s">
        <v>1394</v>
      </c>
      <c r="B82" s="1629"/>
      <c r="C82" s="1629"/>
      <c r="D82" s="1629"/>
      <c r="E82" s="1629"/>
      <c r="F82" s="1629"/>
    </row>
    <row r="88" spans="1:6" x14ac:dyDescent="0.25">
      <c r="E88" s="1630" t="s">
        <v>25</v>
      </c>
    </row>
  </sheetData>
  <pageMargins left="0.70866141732283472" right="0.70866141732283472" top="0.74803149606299213" bottom="0.55118110236220474"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EA64"/>
  <sheetViews>
    <sheetView zoomScaleNormal="100" zoomScaleSheetLayoutView="93" workbookViewId="0">
      <selection activeCell="EA1" sqref="A1:EA64"/>
    </sheetView>
  </sheetViews>
  <sheetFormatPr defaultRowHeight="15" x14ac:dyDescent="0.25"/>
  <cols>
    <col min="1" max="1" width="64" style="1632" customWidth="1"/>
    <col min="2" max="3" width="11" style="1632" hidden="1" customWidth="1"/>
    <col min="4" max="4" width="10.140625" style="1632" hidden="1" customWidth="1"/>
    <col min="5" max="6" width="9.140625" style="1632" hidden="1" customWidth="1"/>
    <col min="7" max="7" width="10.42578125" style="1632" hidden="1" customWidth="1"/>
    <col min="8" max="8" width="11.42578125" style="1632" hidden="1" customWidth="1"/>
    <col min="9" max="9" width="10" style="1632" hidden="1" customWidth="1"/>
    <col min="10" max="10" width="10.42578125" style="1632" hidden="1" customWidth="1"/>
    <col min="11" max="11" width="11.28515625" style="1632" hidden="1" customWidth="1"/>
    <col min="12" max="12" width="10.5703125" style="1632" hidden="1" customWidth="1"/>
    <col min="13" max="13" width="10.42578125" style="1632" hidden="1" customWidth="1"/>
    <col min="14" max="14" width="10.140625" style="1632" hidden="1" customWidth="1"/>
    <col min="15" max="15" width="11.85546875" style="1632" hidden="1" customWidth="1"/>
    <col min="16" max="16" width="12.5703125" style="1632" hidden="1" customWidth="1"/>
    <col min="17" max="17" width="10.5703125" style="1632" hidden="1" customWidth="1"/>
    <col min="18" max="48" width="11" style="1632" hidden="1" customWidth="1"/>
    <col min="49" max="49" width="10" style="1632" hidden="1" customWidth="1"/>
    <col min="50" max="51" width="11" style="1632" hidden="1" customWidth="1"/>
    <col min="52" max="52" width="10.42578125" style="1632" hidden="1" customWidth="1"/>
    <col min="53" max="54" width="11" style="1632" hidden="1" customWidth="1"/>
    <col min="55" max="55" width="10" style="1632" hidden="1" customWidth="1"/>
    <col min="56" max="58" width="11" style="1632" hidden="1" customWidth="1"/>
    <col min="59" max="59" width="10.42578125" style="1632" hidden="1" customWidth="1"/>
    <col min="60" max="60" width="10.42578125" style="1633" hidden="1" customWidth="1"/>
    <col min="61" max="61" width="12.85546875" style="1633" hidden="1" customWidth="1"/>
    <col min="62" max="65" width="10" style="1633" hidden="1" customWidth="1"/>
    <col min="66" max="67" width="10" style="1632" hidden="1" customWidth="1"/>
    <col min="68" max="70" width="11.5703125" style="1632" hidden="1" customWidth="1"/>
    <col min="71" max="72" width="11.140625" style="1632" hidden="1" customWidth="1"/>
    <col min="73" max="79" width="10.7109375" style="1632" hidden="1" customWidth="1"/>
    <col min="80" max="80" width="9.7109375" style="1632" hidden="1" customWidth="1"/>
    <col min="81" max="82" width="9.85546875" style="1632" hidden="1" customWidth="1"/>
    <col min="83" max="83" width="9.28515625" style="1632" hidden="1" customWidth="1"/>
    <col min="84" max="84" width="9.85546875" style="1632" hidden="1" customWidth="1"/>
    <col min="85" max="85" width="9.5703125" style="1632" hidden="1" customWidth="1"/>
    <col min="86" max="86" width="0" style="1632" hidden="1" customWidth="1"/>
    <col min="87" max="87" width="9.42578125" style="1632" hidden="1" customWidth="1"/>
    <col min="88" max="90" width="0" style="1632" hidden="1" customWidth="1"/>
    <col min="91" max="91" width="9.140625" style="1632" hidden="1" customWidth="1"/>
    <col min="92" max="94" width="9.28515625" style="1632" hidden="1" customWidth="1"/>
    <col min="95" max="95" width="13.28515625" style="1632" hidden="1" customWidth="1"/>
    <col min="96" max="106" width="14.7109375" style="1632" hidden="1" customWidth="1"/>
    <col min="107" max="118" width="14.7109375" style="1207" hidden="1" customWidth="1"/>
    <col min="119" max="123" width="14.7109375" style="1207" customWidth="1"/>
    <col min="124" max="130" width="14.5703125" style="1207" customWidth="1"/>
    <col min="131" max="131" width="14.7109375" style="1207" customWidth="1"/>
    <col min="132" max="259" width="9.140625" style="1632"/>
    <col min="260" max="260" width="55.7109375" style="1632" customWidth="1"/>
    <col min="261" max="352" width="0" style="1632" hidden="1" customWidth="1"/>
    <col min="353" max="354" width="9.28515625" style="1632" customWidth="1"/>
    <col min="355" max="365" width="10.28515625" style="1632" customWidth="1"/>
    <col min="366" max="515" width="9.140625" style="1632"/>
    <col min="516" max="516" width="55.7109375" style="1632" customWidth="1"/>
    <col min="517" max="608" width="0" style="1632" hidden="1" customWidth="1"/>
    <col min="609" max="610" width="9.28515625" style="1632" customWidth="1"/>
    <col min="611" max="621" width="10.28515625" style="1632" customWidth="1"/>
    <col min="622" max="771" width="9.140625" style="1632"/>
    <col min="772" max="772" width="55.7109375" style="1632" customWidth="1"/>
    <col min="773" max="864" width="0" style="1632" hidden="1" customWidth="1"/>
    <col min="865" max="866" width="9.28515625" style="1632" customWidth="1"/>
    <col min="867" max="877" width="10.28515625" style="1632" customWidth="1"/>
    <col min="878" max="1027" width="9.140625" style="1632"/>
    <col min="1028" max="1028" width="55.7109375" style="1632" customWidth="1"/>
    <col min="1029" max="1120" width="0" style="1632" hidden="1" customWidth="1"/>
    <col min="1121" max="1122" width="9.28515625" style="1632" customWidth="1"/>
    <col min="1123" max="1133" width="10.28515625" style="1632" customWidth="1"/>
    <col min="1134" max="1283" width="9.140625" style="1632"/>
    <col min="1284" max="1284" width="55.7109375" style="1632" customWidth="1"/>
    <col min="1285" max="1376" width="0" style="1632" hidden="1" customWidth="1"/>
    <col min="1377" max="1378" width="9.28515625" style="1632" customWidth="1"/>
    <col min="1379" max="1389" width="10.28515625" style="1632" customWidth="1"/>
    <col min="1390" max="1539" width="9.140625" style="1632"/>
    <col min="1540" max="1540" width="55.7109375" style="1632" customWidth="1"/>
    <col min="1541" max="1632" width="0" style="1632" hidden="1" customWidth="1"/>
    <col min="1633" max="1634" width="9.28515625" style="1632" customWidth="1"/>
    <col min="1635" max="1645" width="10.28515625" style="1632" customWidth="1"/>
    <col min="1646" max="1795" width="9.140625" style="1632"/>
    <col min="1796" max="1796" width="55.7109375" style="1632" customWidth="1"/>
    <col min="1797" max="1888" width="0" style="1632" hidden="1" customWidth="1"/>
    <col min="1889" max="1890" width="9.28515625" style="1632" customWidth="1"/>
    <col min="1891" max="1901" width="10.28515625" style="1632" customWidth="1"/>
    <col min="1902" max="2051" width="9.140625" style="1632"/>
    <col min="2052" max="2052" width="55.7109375" style="1632" customWidth="1"/>
    <col min="2053" max="2144" width="0" style="1632" hidden="1" customWidth="1"/>
    <col min="2145" max="2146" width="9.28515625" style="1632" customWidth="1"/>
    <col min="2147" max="2157" width="10.28515625" style="1632" customWidth="1"/>
    <col min="2158" max="2307" width="9.140625" style="1632"/>
    <col min="2308" max="2308" width="55.7109375" style="1632" customWidth="1"/>
    <col min="2309" max="2400" width="0" style="1632" hidden="1" customWidth="1"/>
    <col min="2401" max="2402" width="9.28515625" style="1632" customWidth="1"/>
    <col min="2403" max="2413" width="10.28515625" style="1632" customWidth="1"/>
    <col min="2414" max="2563" width="9.140625" style="1632"/>
    <col min="2564" max="2564" width="55.7109375" style="1632" customWidth="1"/>
    <col min="2565" max="2656" width="0" style="1632" hidden="1" customWidth="1"/>
    <col min="2657" max="2658" width="9.28515625" style="1632" customWidth="1"/>
    <col min="2659" max="2669" width="10.28515625" style="1632" customWidth="1"/>
    <col min="2670" max="2819" width="9.140625" style="1632"/>
    <col min="2820" max="2820" width="55.7109375" style="1632" customWidth="1"/>
    <col min="2821" max="2912" width="0" style="1632" hidden="1" customWidth="1"/>
    <col min="2913" max="2914" width="9.28515625" style="1632" customWidth="1"/>
    <col min="2915" max="2925" width="10.28515625" style="1632" customWidth="1"/>
    <col min="2926" max="3075" width="9.140625" style="1632"/>
    <col min="3076" max="3076" width="55.7109375" style="1632" customWidth="1"/>
    <col min="3077" max="3168" width="0" style="1632" hidden="1" customWidth="1"/>
    <col min="3169" max="3170" width="9.28515625" style="1632" customWidth="1"/>
    <col min="3171" max="3181" width="10.28515625" style="1632" customWidth="1"/>
    <col min="3182" max="3331" width="9.140625" style="1632"/>
    <col min="3332" max="3332" width="55.7109375" style="1632" customWidth="1"/>
    <col min="3333" max="3424" width="0" style="1632" hidden="1" customWidth="1"/>
    <col min="3425" max="3426" width="9.28515625" style="1632" customWidth="1"/>
    <col min="3427" max="3437" width="10.28515625" style="1632" customWidth="1"/>
    <col min="3438" max="3587" width="9.140625" style="1632"/>
    <col min="3588" max="3588" width="55.7109375" style="1632" customWidth="1"/>
    <col min="3589" max="3680" width="0" style="1632" hidden="1" customWidth="1"/>
    <col min="3681" max="3682" width="9.28515625" style="1632" customWidth="1"/>
    <col min="3683" max="3693" width="10.28515625" style="1632" customWidth="1"/>
    <col min="3694" max="3843" width="9.140625" style="1632"/>
    <col min="3844" max="3844" width="55.7109375" style="1632" customWidth="1"/>
    <col min="3845" max="3936" width="0" style="1632" hidden="1" customWidth="1"/>
    <col min="3937" max="3938" width="9.28515625" style="1632" customWidth="1"/>
    <col min="3939" max="3949" width="10.28515625" style="1632" customWidth="1"/>
    <col min="3950" max="4099" width="9.140625" style="1632"/>
    <col min="4100" max="4100" width="55.7109375" style="1632" customWidth="1"/>
    <col min="4101" max="4192" width="0" style="1632" hidden="1" customWidth="1"/>
    <col min="4193" max="4194" width="9.28515625" style="1632" customWidth="1"/>
    <col min="4195" max="4205" width="10.28515625" style="1632" customWidth="1"/>
    <col min="4206" max="4355" width="9.140625" style="1632"/>
    <col min="4356" max="4356" width="55.7109375" style="1632" customWidth="1"/>
    <col min="4357" max="4448" width="0" style="1632" hidden="1" customWidth="1"/>
    <col min="4449" max="4450" width="9.28515625" style="1632" customWidth="1"/>
    <col min="4451" max="4461" width="10.28515625" style="1632" customWidth="1"/>
    <col min="4462" max="4611" width="9.140625" style="1632"/>
    <col min="4612" max="4612" width="55.7109375" style="1632" customWidth="1"/>
    <col min="4613" max="4704" width="0" style="1632" hidden="1" customWidth="1"/>
    <col min="4705" max="4706" width="9.28515625" style="1632" customWidth="1"/>
    <col min="4707" max="4717" width="10.28515625" style="1632" customWidth="1"/>
    <col min="4718" max="4867" width="9.140625" style="1632"/>
    <col min="4868" max="4868" width="55.7109375" style="1632" customWidth="1"/>
    <col min="4869" max="4960" width="0" style="1632" hidden="1" customWidth="1"/>
    <col min="4961" max="4962" width="9.28515625" style="1632" customWidth="1"/>
    <col min="4963" max="4973" width="10.28515625" style="1632" customWidth="1"/>
    <col min="4974" max="5123" width="9.140625" style="1632"/>
    <col min="5124" max="5124" width="55.7109375" style="1632" customWidth="1"/>
    <col min="5125" max="5216" width="0" style="1632" hidden="1" customWidth="1"/>
    <col min="5217" max="5218" width="9.28515625" style="1632" customWidth="1"/>
    <col min="5219" max="5229" width="10.28515625" style="1632" customWidth="1"/>
    <col min="5230" max="5379" width="9.140625" style="1632"/>
    <col min="5380" max="5380" width="55.7109375" style="1632" customWidth="1"/>
    <col min="5381" max="5472" width="0" style="1632" hidden="1" customWidth="1"/>
    <col min="5473" max="5474" width="9.28515625" style="1632" customWidth="1"/>
    <col min="5475" max="5485" width="10.28515625" style="1632" customWidth="1"/>
    <col min="5486" max="5635" width="9.140625" style="1632"/>
    <col min="5636" max="5636" width="55.7109375" style="1632" customWidth="1"/>
    <col min="5637" max="5728" width="0" style="1632" hidden="1" customWidth="1"/>
    <col min="5729" max="5730" width="9.28515625" style="1632" customWidth="1"/>
    <col min="5731" max="5741" width="10.28515625" style="1632" customWidth="1"/>
    <col min="5742" max="5891" width="9.140625" style="1632"/>
    <col min="5892" max="5892" width="55.7109375" style="1632" customWidth="1"/>
    <col min="5893" max="5984" width="0" style="1632" hidden="1" customWidth="1"/>
    <col min="5985" max="5986" width="9.28515625" style="1632" customWidth="1"/>
    <col min="5987" max="5997" width="10.28515625" style="1632" customWidth="1"/>
    <col min="5998" max="6147" width="9.140625" style="1632"/>
    <col min="6148" max="6148" width="55.7109375" style="1632" customWidth="1"/>
    <col min="6149" max="6240" width="0" style="1632" hidden="1" customWidth="1"/>
    <col min="6241" max="6242" width="9.28515625" style="1632" customWidth="1"/>
    <col min="6243" max="6253" width="10.28515625" style="1632" customWidth="1"/>
    <col min="6254" max="6403" width="9.140625" style="1632"/>
    <col min="6404" max="6404" width="55.7109375" style="1632" customWidth="1"/>
    <col min="6405" max="6496" width="0" style="1632" hidden="1" customWidth="1"/>
    <col min="6497" max="6498" width="9.28515625" style="1632" customWidth="1"/>
    <col min="6499" max="6509" width="10.28515625" style="1632" customWidth="1"/>
    <col min="6510" max="6659" width="9.140625" style="1632"/>
    <col min="6660" max="6660" width="55.7109375" style="1632" customWidth="1"/>
    <col min="6661" max="6752" width="0" style="1632" hidden="1" customWidth="1"/>
    <col min="6753" max="6754" width="9.28515625" style="1632" customWidth="1"/>
    <col min="6755" max="6765" width="10.28515625" style="1632" customWidth="1"/>
    <col min="6766" max="6915" width="9.140625" style="1632"/>
    <col min="6916" max="6916" width="55.7109375" style="1632" customWidth="1"/>
    <col min="6917" max="7008" width="0" style="1632" hidden="1" customWidth="1"/>
    <col min="7009" max="7010" width="9.28515625" style="1632" customWidth="1"/>
    <col min="7011" max="7021" width="10.28515625" style="1632" customWidth="1"/>
    <col min="7022" max="7171" width="9.140625" style="1632"/>
    <col min="7172" max="7172" width="55.7109375" style="1632" customWidth="1"/>
    <col min="7173" max="7264" width="0" style="1632" hidden="1" customWidth="1"/>
    <col min="7265" max="7266" width="9.28515625" style="1632" customWidth="1"/>
    <col min="7267" max="7277" width="10.28515625" style="1632" customWidth="1"/>
    <col min="7278" max="7427" width="9.140625" style="1632"/>
    <col min="7428" max="7428" width="55.7109375" style="1632" customWidth="1"/>
    <col min="7429" max="7520" width="0" style="1632" hidden="1" customWidth="1"/>
    <col min="7521" max="7522" width="9.28515625" style="1632" customWidth="1"/>
    <col min="7523" max="7533" width="10.28515625" style="1632" customWidth="1"/>
    <col min="7534" max="7683" width="9.140625" style="1632"/>
    <col min="7684" max="7684" width="55.7109375" style="1632" customWidth="1"/>
    <col min="7685" max="7776" width="0" style="1632" hidden="1" customWidth="1"/>
    <col min="7777" max="7778" width="9.28515625" style="1632" customWidth="1"/>
    <col min="7779" max="7789" width="10.28515625" style="1632" customWidth="1"/>
    <col min="7790" max="7939" width="9.140625" style="1632"/>
    <col min="7940" max="7940" width="55.7109375" style="1632" customWidth="1"/>
    <col min="7941" max="8032" width="0" style="1632" hidden="1" customWidth="1"/>
    <col min="8033" max="8034" width="9.28515625" style="1632" customWidth="1"/>
    <col min="8035" max="8045" width="10.28515625" style="1632" customWidth="1"/>
    <col min="8046" max="8195" width="9.140625" style="1632"/>
    <col min="8196" max="8196" width="55.7109375" style="1632" customWidth="1"/>
    <col min="8197" max="8288" width="0" style="1632" hidden="1" customWidth="1"/>
    <col min="8289" max="8290" width="9.28515625" style="1632" customWidth="1"/>
    <col min="8291" max="8301" width="10.28515625" style="1632" customWidth="1"/>
    <col min="8302" max="8451" width="9.140625" style="1632"/>
    <col min="8452" max="8452" width="55.7109375" style="1632" customWidth="1"/>
    <col min="8453" max="8544" width="0" style="1632" hidden="1" customWidth="1"/>
    <col min="8545" max="8546" width="9.28515625" style="1632" customWidth="1"/>
    <col min="8547" max="8557" width="10.28515625" style="1632" customWidth="1"/>
    <col min="8558" max="8707" width="9.140625" style="1632"/>
    <col min="8708" max="8708" width="55.7109375" style="1632" customWidth="1"/>
    <col min="8709" max="8800" width="0" style="1632" hidden="1" customWidth="1"/>
    <col min="8801" max="8802" width="9.28515625" style="1632" customWidth="1"/>
    <col min="8803" max="8813" width="10.28515625" style="1632" customWidth="1"/>
    <col min="8814" max="8963" width="9.140625" style="1632"/>
    <col min="8964" max="8964" width="55.7109375" style="1632" customWidth="1"/>
    <col min="8965" max="9056" width="0" style="1632" hidden="1" customWidth="1"/>
    <col min="9057" max="9058" width="9.28515625" style="1632" customWidth="1"/>
    <col min="9059" max="9069" width="10.28515625" style="1632" customWidth="1"/>
    <col min="9070" max="9219" width="9.140625" style="1632"/>
    <col min="9220" max="9220" width="55.7109375" style="1632" customWidth="1"/>
    <col min="9221" max="9312" width="0" style="1632" hidden="1" customWidth="1"/>
    <col min="9313" max="9314" width="9.28515625" style="1632" customWidth="1"/>
    <col min="9315" max="9325" width="10.28515625" style="1632" customWidth="1"/>
    <col min="9326" max="9475" width="9.140625" style="1632"/>
    <col min="9476" max="9476" width="55.7109375" style="1632" customWidth="1"/>
    <col min="9477" max="9568" width="0" style="1632" hidden="1" customWidth="1"/>
    <col min="9569" max="9570" width="9.28515625" style="1632" customWidth="1"/>
    <col min="9571" max="9581" width="10.28515625" style="1632" customWidth="1"/>
    <col min="9582" max="9731" width="9.140625" style="1632"/>
    <col min="9732" max="9732" width="55.7109375" style="1632" customWidth="1"/>
    <col min="9733" max="9824" width="0" style="1632" hidden="1" customWidth="1"/>
    <col min="9825" max="9826" width="9.28515625" style="1632" customWidth="1"/>
    <col min="9827" max="9837" width="10.28515625" style="1632" customWidth="1"/>
    <col min="9838" max="9987" width="9.140625" style="1632"/>
    <col min="9988" max="9988" width="55.7109375" style="1632" customWidth="1"/>
    <col min="9989" max="10080" width="0" style="1632" hidden="1" customWidth="1"/>
    <col min="10081" max="10082" width="9.28515625" style="1632" customWidth="1"/>
    <col min="10083" max="10093" width="10.28515625" style="1632" customWidth="1"/>
    <col min="10094" max="10243" width="9.140625" style="1632"/>
    <col min="10244" max="10244" width="55.7109375" style="1632" customWidth="1"/>
    <col min="10245" max="10336" width="0" style="1632" hidden="1" customWidth="1"/>
    <col min="10337" max="10338" width="9.28515625" style="1632" customWidth="1"/>
    <col min="10339" max="10349" width="10.28515625" style="1632" customWidth="1"/>
    <col min="10350" max="10499" width="9.140625" style="1632"/>
    <col min="10500" max="10500" width="55.7109375" style="1632" customWidth="1"/>
    <col min="10501" max="10592" width="0" style="1632" hidden="1" customWidth="1"/>
    <col min="10593" max="10594" width="9.28515625" style="1632" customWidth="1"/>
    <col min="10595" max="10605" width="10.28515625" style="1632" customWidth="1"/>
    <col min="10606" max="10755" width="9.140625" style="1632"/>
    <col min="10756" max="10756" width="55.7109375" style="1632" customWidth="1"/>
    <col min="10757" max="10848" width="0" style="1632" hidden="1" customWidth="1"/>
    <col min="10849" max="10850" width="9.28515625" style="1632" customWidth="1"/>
    <col min="10851" max="10861" width="10.28515625" style="1632" customWidth="1"/>
    <col min="10862" max="11011" width="9.140625" style="1632"/>
    <col min="11012" max="11012" width="55.7109375" style="1632" customWidth="1"/>
    <col min="11013" max="11104" width="0" style="1632" hidden="1" customWidth="1"/>
    <col min="11105" max="11106" width="9.28515625" style="1632" customWidth="1"/>
    <col min="11107" max="11117" width="10.28515625" style="1632" customWidth="1"/>
    <col min="11118" max="11267" width="9.140625" style="1632"/>
    <col min="11268" max="11268" width="55.7109375" style="1632" customWidth="1"/>
    <col min="11269" max="11360" width="0" style="1632" hidden="1" customWidth="1"/>
    <col min="11361" max="11362" width="9.28515625" style="1632" customWidth="1"/>
    <col min="11363" max="11373" width="10.28515625" style="1632" customWidth="1"/>
    <col min="11374" max="11523" width="9.140625" style="1632"/>
    <col min="11524" max="11524" width="55.7109375" style="1632" customWidth="1"/>
    <col min="11525" max="11616" width="0" style="1632" hidden="1" customWidth="1"/>
    <col min="11617" max="11618" width="9.28515625" style="1632" customWidth="1"/>
    <col min="11619" max="11629" width="10.28515625" style="1632" customWidth="1"/>
    <col min="11630" max="11779" width="9.140625" style="1632"/>
    <col min="11780" max="11780" width="55.7109375" style="1632" customWidth="1"/>
    <col min="11781" max="11872" width="0" style="1632" hidden="1" customWidth="1"/>
    <col min="11873" max="11874" width="9.28515625" style="1632" customWidth="1"/>
    <col min="11875" max="11885" width="10.28515625" style="1632" customWidth="1"/>
    <col min="11886" max="12035" width="9.140625" style="1632"/>
    <col min="12036" max="12036" width="55.7109375" style="1632" customWidth="1"/>
    <col min="12037" max="12128" width="0" style="1632" hidden="1" customWidth="1"/>
    <col min="12129" max="12130" width="9.28515625" style="1632" customWidth="1"/>
    <col min="12131" max="12141" width="10.28515625" style="1632" customWidth="1"/>
    <col min="12142" max="12291" width="9.140625" style="1632"/>
    <col min="12292" max="12292" width="55.7109375" style="1632" customWidth="1"/>
    <col min="12293" max="12384" width="0" style="1632" hidden="1" customWidth="1"/>
    <col min="12385" max="12386" width="9.28515625" style="1632" customWidth="1"/>
    <col min="12387" max="12397" width="10.28515625" style="1632" customWidth="1"/>
    <col min="12398" max="12547" width="9.140625" style="1632"/>
    <col min="12548" max="12548" width="55.7109375" style="1632" customWidth="1"/>
    <col min="12549" max="12640" width="0" style="1632" hidden="1" customWidth="1"/>
    <col min="12641" max="12642" width="9.28515625" style="1632" customWidth="1"/>
    <col min="12643" max="12653" width="10.28515625" style="1632" customWidth="1"/>
    <col min="12654" max="12803" width="9.140625" style="1632"/>
    <col min="12804" max="12804" width="55.7109375" style="1632" customWidth="1"/>
    <col min="12805" max="12896" width="0" style="1632" hidden="1" customWidth="1"/>
    <col min="12897" max="12898" width="9.28515625" style="1632" customWidth="1"/>
    <col min="12899" max="12909" width="10.28515625" style="1632" customWidth="1"/>
    <col min="12910" max="13059" width="9.140625" style="1632"/>
    <col min="13060" max="13060" width="55.7109375" style="1632" customWidth="1"/>
    <col min="13061" max="13152" width="0" style="1632" hidden="1" customWidth="1"/>
    <col min="13153" max="13154" width="9.28515625" style="1632" customWidth="1"/>
    <col min="13155" max="13165" width="10.28515625" style="1632" customWidth="1"/>
    <col min="13166" max="13315" width="9.140625" style="1632"/>
    <col min="13316" max="13316" width="55.7109375" style="1632" customWidth="1"/>
    <col min="13317" max="13408" width="0" style="1632" hidden="1" customWidth="1"/>
    <col min="13409" max="13410" width="9.28515625" style="1632" customWidth="1"/>
    <col min="13411" max="13421" width="10.28515625" style="1632" customWidth="1"/>
    <col min="13422" max="13571" width="9.140625" style="1632"/>
    <col min="13572" max="13572" width="55.7109375" style="1632" customWidth="1"/>
    <col min="13573" max="13664" width="0" style="1632" hidden="1" customWidth="1"/>
    <col min="13665" max="13666" width="9.28515625" style="1632" customWidth="1"/>
    <col min="13667" max="13677" width="10.28515625" style="1632" customWidth="1"/>
    <col min="13678" max="13827" width="9.140625" style="1632"/>
    <col min="13828" max="13828" width="55.7109375" style="1632" customWidth="1"/>
    <col min="13829" max="13920" width="0" style="1632" hidden="1" customWidth="1"/>
    <col min="13921" max="13922" width="9.28515625" style="1632" customWidth="1"/>
    <col min="13923" max="13933" width="10.28515625" style="1632" customWidth="1"/>
    <col min="13934" max="14083" width="9.140625" style="1632"/>
    <col min="14084" max="14084" width="55.7109375" style="1632" customWidth="1"/>
    <col min="14085" max="14176" width="0" style="1632" hidden="1" customWidth="1"/>
    <col min="14177" max="14178" width="9.28515625" style="1632" customWidth="1"/>
    <col min="14179" max="14189" width="10.28515625" style="1632" customWidth="1"/>
    <col min="14190" max="14339" width="9.140625" style="1632"/>
    <col min="14340" max="14340" width="55.7109375" style="1632" customWidth="1"/>
    <col min="14341" max="14432" width="0" style="1632" hidden="1" customWidth="1"/>
    <col min="14433" max="14434" width="9.28515625" style="1632" customWidth="1"/>
    <col min="14435" max="14445" width="10.28515625" style="1632" customWidth="1"/>
    <col min="14446" max="14595" width="9.140625" style="1632"/>
    <col min="14596" max="14596" width="55.7109375" style="1632" customWidth="1"/>
    <col min="14597" max="14688" width="0" style="1632" hidden="1" customWidth="1"/>
    <col min="14689" max="14690" width="9.28515625" style="1632" customWidth="1"/>
    <col min="14691" max="14701" width="10.28515625" style="1632" customWidth="1"/>
    <col min="14702" max="14851" width="9.140625" style="1632"/>
    <col min="14852" max="14852" width="55.7109375" style="1632" customWidth="1"/>
    <col min="14853" max="14944" width="0" style="1632" hidden="1" customWidth="1"/>
    <col min="14945" max="14946" width="9.28515625" style="1632" customWidth="1"/>
    <col min="14947" max="14957" width="10.28515625" style="1632" customWidth="1"/>
    <col min="14958" max="15107" width="9.140625" style="1632"/>
    <col min="15108" max="15108" width="55.7109375" style="1632" customWidth="1"/>
    <col min="15109" max="15200" width="0" style="1632" hidden="1" customWidth="1"/>
    <col min="15201" max="15202" width="9.28515625" style="1632" customWidth="1"/>
    <col min="15203" max="15213" width="10.28515625" style="1632" customWidth="1"/>
    <col min="15214" max="15363" width="9.140625" style="1632"/>
    <col min="15364" max="15364" width="55.7109375" style="1632" customWidth="1"/>
    <col min="15365" max="15456" width="0" style="1632" hidden="1" customWidth="1"/>
    <col min="15457" max="15458" width="9.28515625" style="1632" customWidth="1"/>
    <col min="15459" max="15469" width="10.28515625" style="1632" customWidth="1"/>
    <col min="15470" max="15619" width="9.140625" style="1632"/>
    <col min="15620" max="15620" width="55.7109375" style="1632" customWidth="1"/>
    <col min="15621" max="15712" width="0" style="1632" hidden="1" customWidth="1"/>
    <col min="15713" max="15714" width="9.28515625" style="1632" customWidth="1"/>
    <col min="15715" max="15725" width="10.28515625" style="1632" customWidth="1"/>
    <col min="15726" max="15875" width="9.140625" style="1632"/>
    <col min="15876" max="15876" width="55.7109375" style="1632" customWidth="1"/>
    <col min="15877" max="15968" width="0" style="1632" hidden="1" customWidth="1"/>
    <col min="15969" max="15970" width="9.28515625" style="1632" customWidth="1"/>
    <col min="15971" max="15981" width="10.28515625" style="1632" customWidth="1"/>
    <col min="15982" max="16131" width="9.140625" style="1632"/>
    <col min="16132" max="16132" width="55.7109375" style="1632" customWidth="1"/>
    <col min="16133" max="16224" width="0" style="1632" hidden="1" customWidth="1"/>
    <col min="16225" max="16226" width="9.28515625" style="1632" customWidth="1"/>
    <col min="16227" max="16237" width="10.28515625" style="1632" customWidth="1"/>
    <col min="16238" max="16384" width="9.140625" style="1632"/>
  </cols>
  <sheetData>
    <row r="1" spans="1:131" x14ac:dyDescent="0.25">
      <c r="A1" s="1631"/>
    </row>
    <row r="2" spans="1:131" ht="19.5" x14ac:dyDescent="0.3">
      <c r="A2" s="1634" t="s">
        <v>1395</v>
      </c>
      <c r="B2" s="1633"/>
      <c r="C2" s="1633"/>
    </row>
    <row r="3" spans="1:131" ht="15.75" thickBot="1" x14ac:dyDescent="0.3">
      <c r="A3" s="1635"/>
      <c r="B3" s="1635"/>
      <c r="C3" s="1635"/>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F3" s="1636"/>
      <c r="AH3" s="1637" t="s">
        <v>1396</v>
      </c>
      <c r="AI3" s="1637"/>
      <c r="AL3" s="1638"/>
      <c r="AM3" s="1638"/>
      <c r="AO3" s="1638"/>
      <c r="AP3" s="1638"/>
      <c r="AQ3" s="1638"/>
      <c r="AR3" s="1638" t="s">
        <v>1397</v>
      </c>
      <c r="AS3" s="1638"/>
      <c r="AT3" s="1638"/>
      <c r="AU3" s="1635"/>
      <c r="AV3" s="1635"/>
      <c r="AW3" s="1635"/>
      <c r="AX3" s="1635"/>
      <c r="AY3" s="1635"/>
      <c r="AZ3" s="1635"/>
      <c r="BA3" s="1635"/>
      <c r="BB3" s="1635" t="s">
        <v>1397</v>
      </c>
      <c r="BC3" s="1638"/>
      <c r="BD3" s="1638"/>
      <c r="BE3" s="1638"/>
      <c r="BF3" s="1638"/>
      <c r="BG3" s="1638"/>
      <c r="BH3" s="1638"/>
      <c r="BI3" s="1638"/>
      <c r="BJ3" s="1638"/>
      <c r="BK3" s="1638"/>
      <c r="BL3" s="1638"/>
      <c r="BM3" s="1638"/>
      <c r="BO3" s="1638"/>
      <c r="BP3" s="1635"/>
      <c r="BQ3" s="1635" t="s">
        <v>1397</v>
      </c>
      <c r="BR3" s="1638"/>
      <c r="BS3" s="1638"/>
      <c r="CG3" s="1638" t="s">
        <v>1398</v>
      </c>
      <c r="DY3" s="1639"/>
      <c r="DZ3" s="1640"/>
      <c r="EA3" s="1640" t="s">
        <v>674</v>
      </c>
    </row>
    <row r="4" spans="1:131" ht="22.5" customHeight="1" thickTop="1" thickBot="1" x14ac:dyDescent="0.3">
      <c r="A4" s="1641"/>
      <c r="B4" s="1642">
        <v>38534</v>
      </c>
      <c r="C4" s="1643">
        <v>38565</v>
      </c>
      <c r="D4" s="1643">
        <v>38596</v>
      </c>
      <c r="E4" s="1643">
        <v>38626</v>
      </c>
      <c r="F4" s="1642">
        <v>38657</v>
      </c>
      <c r="G4" s="1643">
        <v>38687</v>
      </c>
      <c r="H4" s="1643">
        <v>38718</v>
      </c>
      <c r="I4" s="1643">
        <v>38749</v>
      </c>
      <c r="J4" s="1643">
        <v>38777</v>
      </c>
      <c r="K4" s="1643">
        <v>38808</v>
      </c>
      <c r="L4" s="1643">
        <v>38838</v>
      </c>
      <c r="M4" s="1643">
        <v>38869</v>
      </c>
      <c r="N4" s="1642">
        <v>38899</v>
      </c>
      <c r="O4" s="1643">
        <v>38930</v>
      </c>
      <c r="P4" s="1643">
        <v>38961</v>
      </c>
      <c r="Q4" s="1642">
        <v>38991</v>
      </c>
      <c r="R4" s="1643">
        <v>39022</v>
      </c>
      <c r="S4" s="1643">
        <v>39052</v>
      </c>
      <c r="T4" s="1644">
        <v>39083</v>
      </c>
      <c r="U4" s="1644">
        <v>39114</v>
      </c>
      <c r="V4" s="1644">
        <v>39142</v>
      </c>
      <c r="W4" s="1644">
        <v>39173</v>
      </c>
      <c r="X4" s="1644">
        <v>39203</v>
      </c>
      <c r="Y4" s="1644">
        <v>39234</v>
      </c>
      <c r="Z4" s="1644">
        <v>39264</v>
      </c>
      <c r="AA4" s="1644">
        <v>39295</v>
      </c>
      <c r="AB4" s="1644">
        <v>39326</v>
      </c>
      <c r="AC4" s="1644">
        <v>39356</v>
      </c>
      <c r="AD4" s="1644">
        <v>39387</v>
      </c>
      <c r="AE4" s="1644">
        <v>39417</v>
      </c>
      <c r="AF4" s="1644">
        <v>39455</v>
      </c>
      <c r="AG4" s="1644">
        <v>39486</v>
      </c>
      <c r="AH4" s="1644">
        <v>39515</v>
      </c>
      <c r="AI4" s="1644">
        <v>39546</v>
      </c>
      <c r="AJ4" s="1644">
        <v>39576</v>
      </c>
      <c r="AK4" s="1644">
        <v>39607</v>
      </c>
      <c r="AL4" s="1644">
        <v>39637</v>
      </c>
      <c r="AM4" s="1644">
        <v>39668</v>
      </c>
      <c r="AN4" s="1644">
        <v>39699</v>
      </c>
      <c r="AO4" s="1644">
        <v>39729</v>
      </c>
      <c r="AP4" s="1644">
        <v>39760</v>
      </c>
      <c r="AQ4" s="1644">
        <v>39790</v>
      </c>
      <c r="AR4" s="1644">
        <v>39821</v>
      </c>
      <c r="AS4" s="1644">
        <v>39852</v>
      </c>
      <c r="AT4" s="1644">
        <v>39880</v>
      </c>
      <c r="AU4" s="1644">
        <v>39911</v>
      </c>
      <c r="AV4" s="1644">
        <v>39941</v>
      </c>
      <c r="AW4" s="1644">
        <v>39972</v>
      </c>
      <c r="AX4" s="1644">
        <v>40002</v>
      </c>
      <c r="AY4" s="1644">
        <v>40033</v>
      </c>
      <c r="AZ4" s="1644">
        <v>40064</v>
      </c>
      <c r="BA4" s="1644">
        <v>40094</v>
      </c>
      <c r="BB4" s="1644">
        <v>40125</v>
      </c>
      <c r="BC4" s="1644">
        <v>40155</v>
      </c>
      <c r="BD4" s="1644">
        <v>40186</v>
      </c>
      <c r="BE4" s="1644">
        <v>40217</v>
      </c>
      <c r="BF4" s="1644">
        <v>40245</v>
      </c>
      <c r="BG4" s="1644">
        <v>40276</v>
      </c>
      <c r="BH4" s="1644">
        <v>40306</v>
      </c>
      <c r="BI4" s="1644">
        <v>40337</v>
      </c>
      <c r="BJ4" s="1644">
        <v>40367</v>
      </c>
      <c r="BK4" s="1644">
        <v>40398</v>
      </c>
      <c r="BL4" s="1644">
        <v>40429</v>
      </c>
      <c r="BM4" s="1645" t="s">
        <v>235</v>
      </c>
      <c r="BN4" s="1645" t="s">
        <v>372</v>
      </c>
      <c r="BO4" s="1645" t="s">
        <v>1399</v>
      </c>
      <c r="BP4" s="1645" t="s">
        <v>1400</v>
      </c>
      <c r="BQ4" s="1645" t="s">
        <v>1401</v>
      </c>
      <c r="BR4" s="1645" t="s">
        <v>1402</v>
      </c>
      <c r="BS4" s="1645" t="s">
        <v>1403</v>
      </c>
      <c r="BT4" s="1645">
        <v>40664</v>
      </c>
      <c r="BU4" s="1645">
        <v>40695</v>
      </c>
      <c r="BV4" s="1645">
        <v>40725</v>
      </c>
      <c r="BW4" s="1645" t="s">
        <v>1404</v>
      </c>
      <c r="BX4" s="1645" t="s">
        <v>1405</v>
      </c>
      <c r="BY4" s="1645" t="s">
        <v>1406</v>
      </c>
      <c r="BZ4" s="1646" t="s">
        <v>1407</v>
      </c>
      <c r="CA4" s="1645" t="s">
        <v>1408</v>
      </c>
      <c r="CB4" s="1645" t="s">
        <v>1409</v>
      </c>
      <c r="CC4" s="1645" t="s">
        <v>1410</v>
      </c>
      <c r="CD4" s="1645" t="s">
        <v>1411</v>
      </c>
      <c r="CE4" s="1645" t="s">
        <v>1412</v>
      </c>
      <c r="CF4" s="1645" t="s">
        <v>1413</v>
      </c>
      <c r="CG4" s="1645" t="s">
        <v>1414</v>
      </c>
      <c r="CH4" s="1645" t="s">
        <v>1415</v>
      </c>
      <c r="CI4" s="1645" t="s">
        <v>1416</v>
      </c>
      <c r="CJ4" s="1645" t="s">
        <v>1417</v>
      </c>
      <c r="CK4" s="1645" t="s">
        <v>1418</v>
      </c>
      <c r="CL4" s="1645" t="s">
        <v>1419</v>
      </c>
      <c r="CM4" s="1645" t="s">
        <v>1420</v>
      </c>
      <c r="CN4" s="1645" t="s">
        <v>1421</v>
      </c>
      <c r="CO4" s="1645" t="s">
        <v>1422</v>
      </c>
      <c r="CP4" s="1647" t="s">
        <v>375</v>
      </c>
      <c r="CQ4" s="1648" t="s">
        <v>376</v>
      </c>
      <c r="CR4" s="1648" t="s">
        <v>377</v>
      </c>
      <c r="CS4" s="1648" t="s">
        <v>378</v>
      </c>
      <c r="CT4" s="1648" t="s">
        <v>379</v>
      </c>
      <c r="CU4" s="1648" t="s">
        <v>380</v>
      </c>
      <c r="CV4" s="1648" t="s">
        <v>381</v>
      </c>
      <c r="CW4" s="1648" t="s">
        <v>382</v>
      </c>
      <c r="CX4" s="1648" t="s">
        <v>390</v>
      </c>
      <c r="CY4" s="1648" t="s">
        <v>391</v>
      </c>
      <c r="CZ4" s="1648" t="s">
        <v>392</v>
      </c>
      <c r="DA4" s="1648" t="s">
        <v>383</v>
      </c>
      <c r="DB4" s="1648" t="s">
        <v>384</v>
      </c>
      <c r="DC4" s="1648" t="s">
        <v>385</v>
      </c>
      <c r="DD4" s="1648" t="s">
        <v>386</v>
      </c>
      <c r="DE4" s="1648" t="s">
        <v>387</v>
      </c>
      <c r="DF4" s="1648" t="s">
        <v>388</v>
      </c>
      <c r="DG4" s="1648" t="s">
        <v>1423</v>
      </c>
      <c r="DH4" s="1648" t="s">
        <v>1424</v>
      </c>
      <c r="DI4" s="1648" t="s">
        <v>1425</v>
      </c>
      <c r="DJ4" s="1648" t="s">
        <v>1426</v>
      </c>
      <c r="DK4" s="1648" t="s">
        <v>1427</v>
      </c>
      <c r="DL4" s="1648" t="s">
        <v>1428</v>
      </c>
      <c r="DM4" s="1648" t="s">
        <v>1429</v>
      </c>
      <c r="DN4" s="1648" t="s">
        <v>1430</v>
      </c>
      <c r="DO4" s="1648" t="s">
        <v>502</v>
      </c>
      <c r="DP4" s="1648" t="s">
        <v>1431</v>
      </c>
      <c r="DQ4" s="1648" t="s">
        <v>1432</v>
      </c>
      <c r="DR4" s="1648" t="s">
        <v>1433</v>
      </c>
      <c r="DS4" s="1648" t="s">
        <v>1434</v>
      </c>
      <c r="DT4" s="1648" t="s">
        <v>1435</v>
      </c>
      <c r="DU4" s="1648" t="s">
        <v>1436</v>
      </c>
      <c r="DV4" s="1648" t="s">
        <v>1437</v>
      </c>
      <c r="DW4" s="1648" t="s">
        <v>1438</v>
      </c>
      <c r="DX4" s="1648" t="s">
        <v>1439</v>
      </c>
      <c r="DY4" s="1648" t="s">
        <v>1440</v>
      </c>
      <c r="DZ4" s="1648" t="s">
        <v>1441</v>
      </c>
      <c r="EA4" s="1648" t="s">
        <v>1442</v>
      </c>
    </row>
    <row r="5" spans="1:131" ht="15.75" thickTop="1" x14ac:dyDescent="0.25">
      <c r="A5" s="1649"/>
      <c r="B5" s="1650"/>
      <c r="C5" s="1651"/>
      <c r="D5" s="1651"/>
      <c r="E5" s="1651"/>
      <c r="F5" s="1652"/>
      <c r="G5" s="1653"/>
      <c r="H5" s="1653"/>
      <c r="I5" s="1653"/>
      <c r="J5" s="1653"/>
      <c r="K5" s="1653"/>
      <c r="L5" s="1653"/>
      <c r="M5" s="1653"/>
      <c r="N5" s="1652"/>
      <c r="O5" s="1653"/>
      <c r="P5" s="1653"/>
      <c r="Q5" s="1652"/>
      <c r="R5" s="1653"/>
      <c r="S5" s="1653"/>
      <c r="T5" s="1654"/>
      <c r="U5" s="1654"/>
      <c r="V5" s="1655"/>
      <c r="W5" s="1655"/>
      <c r="X5" s="1655"/>
      <c r="Y5" s="1655"/>
      <c r="Z5" s="1655"/>
      <c r="AA5" s="1655"/>
      <c r="AB5" s="1655"/>
      <c r="AC5" s="1655"/>
      <c r="AD5" s="1655"/>
      <c r="AE5" s="1655"/>
      <c r="AF5" s="1655"/>
      <c r="AG5" s="1655"/>
      <c r="AH5" s="1655"/>
      <c r="AI5" s="1655"/>
      <c r="AJ5" s="1655"/>
      <c r="AK5" s="1655"/>
      <c r="AL5" s="1655"/>
      <c r="AM5" s="1655"/>
      <c r="AN5" s="1656"/>
      <c r="AO5" s="1655"/>
      <c r="AP5" s="1655"/>
      <c r="AQ5" s="1655"/>
      <c r="AR5" s="1655"/>
      <c r="AS5" s="1655"/>
      <c r="AT5" s="1655"/>
      <c r="AU5" s="1655"/>
      <c r="AV5" s="1655"/>
      <c r="AW5" s="1655"/>
      <c r="AX5" s="1655"/>
      <c r="AY5" s="1655"/>
      <c r="AZ5" s="1655"/>
      <c r="BA5" s="1655"/>
      <c r="BB5" s="1655"/>
      <c r="BC5" s="1655"/>
      <c r="BD5" s="1655"/>
      <c r="BE5" s="1655"/>
      <c r="BF5" s="1655"/>
      <c r="BG5" s="1655"/>
      <c r="BH5" s="1656"/>
      <c r="BI5" s="1656"/>
      <c r="BJ5" s="1656"/>
      <c r="BK5" s="1656"/>
      <c r="BL5" s="1656"/>
      <c r="BM5" s="1656"/>
      <c r="BN5" s="1656"/>
      <c r="BO5" s="1656"/>
      <c r="BP5" s="1657"/>
      <c r="BQ5" s="1657"/>
      <c r="BR5" s="1657"/>
      <c r="BS5" s="1657"/>
      <c r="BT5" s="1657"/>
      <c r="BU5" s="1657"/>
      <c r="BV5" s="1657"/>
      <c r="BW5" s="1657"/>
      <c r="BX5" s="1654"/>
      <c r="BY5" s="1654"/>
      <c r="BZ5" s="1655"/>
      <c r="CA5" s="1654"/>
      <c r="CB5" s="1654"/>
      <c r="CC5" s="1655"/>
      <c r="CD5" s="1655"/>
      <c r="CE5" s="1655"/>
      <c r="CF5" s="1655"/>
      <c r="CG5" s="1655"/>
      <c r="CH5" s="1658"/>
      <c r="CI5" s="1659"/>
      <c r="CJ5" s="1655"/>
      <c r="CK5" s="1655"/>
      <c r="CL5" s="1655"/>
      <c r="CM5" s="1655"/>
      <c r="CN5" s="1655"/>
      <c r="CO5" s="1655"/>
      <c r="CP5" s="1655"/>
      <c r="CQ5" s="1655"/>
      <c r="CR5" s="1655"/>
      <c r="CS5" s="1655"/>
      <c r="CT5" s="1655"/>
      <c r="CU5" s="1655"/>
      <c r="CV5" s="1655"/>
      <c r="CW5" s="1655"/>
      <c r="CX5" s="1655"/>
      <c r="CY5" s="1655"/>
      <c r="CZ5" s="1655"/>
      <c r="DA5" s="1655"/>
      <c r="DB5" s="1655"/>
      <c r="DC5" s="1660"/>
      <c r="DD5" s="1660"/>
      <c r="DE5" s="1660"/>
      <c r="DF5" s="1660"/>
      <c r="DG5" s="1660"/>
      <c r="DH5" s="1660"/>
      <c r="DI5" s="1660"/>
      <c r="DJ5" s="1660"/>
      <c r="DK5" s="1660"/>
      <c r="DL5" s="1660"/>
      <c r="DM5" s="1660"/>
      <c r="DN5" s="1660"/>
      <c r="DO5" s="1660"/>
      <c r="DP5" s="1660"/>
      <c r="DQ5" s="1660"/>
      <c r="DR5" s="1660"/>
      <c r="DS5" s="1660"/>
      <c r="DT5" s="1660"/>
      <c r="DU5" s="1660"/>
      <c r="DV5" s="1660"/>
      <c r="DW5" s="1660"/>
      <c r="DX5" s="1660"/>
      <c r="DY5" s="1660"/>
      <c r="DZ5" s="1660"/>
      <c r="EA5" s="1660"/>
    </row>
    <row r="6" spans="1:131" ht="17.45" customHeight="1" x14ac:dyDescent="0.25">
      <c r="A6" s="1661" t="s">
        <v>1443</v>
      </c>
      <c r="B6" s="1662"/>
      <c r="C6" s="1663"/>
      <c r="D6" s="1663"/>
      <c r="E6" s="1663"/>
      <c r="F6" s="1664"/>
      <c r="G6" s="1665"/>
      <c r="H6" s="1665"/>
      <c r="I6" s="1665"/>
      <c r="J6" s="1665"/>
      <c r="K6" s="1665"/>
      <c r="L6" s="1665"/>
      <c r="M6" s="1665"/>
      <c r="N6" s="1664"/>
      <c r="O6" s="1665"/>
      <c r="P6" s="1665"/>
      <c r="Q6" s="1664"/>
      <c r="R6" s="1665"/>
      <c r="S6" s="1665"/>
      <c r="T6" s="1666"/>
      <c r="U6" s="1666"/>
      <c r="V6" s="1667"/>
      <c r="W6" s="1667"/>
      <c r="X6" s="1667"/>
      <c r="Y6" s="1667"/>
      <c r="Z6" s="1667"/>
      <c r="AA6" s="1667"/>
      <c r="AB6" s="1667"/>
      <c r="AC6" s="1667"/>
      <c r="AD6" s="1667"/>
      <c r="AE6" s="1667"/>
      <c r="AF6" s="1667"/>
      <c r="AG6" s="1667"/>
      <c r="AH6" s="1667"/>
      <c r="AI6" s="1667"/>
      <c r="AJ6" s="1667"/>
      <c r="AK6" s="1667"/>
      <c r="AL6" s="1667"/>
      <c r="AM6" s="1667"/>
      <c r="AN6" s="1668"/>
      <c r="AO6" s="1667"/>
      <c r="AP6" s="1667"/>
      <c r="AQ6" s="1667"/>
      <c r="AR6" s="1667"/>
      <c r="AS6" s="1667"/>
      <c r="AT6" s="1667"/>
      <c r="AU6" s="1667"/>
      <c r="AV6" s="1667"/>
      <c r="AW6" s="1667"/>
      <c r="AX6" s="1667"/>
      <c r="AY6" s="1667"/>
      <c r="AZ6" s="1667"/>
      <c r="BA6" s="1667"/>
      <c r="BB6" s="1667"/>
      <c r="BC6" s="1667"/>
      <c r="BD6" s="1667"/>
      <c r="BE6" s="1667"/>
      <c r="BF6" s="1667"/>
      <c r="BG6" s="1667"/>
      <c r="BH6" s="1668"/>
      <c r="BI6" s="1668"/>
      <c r="BJ6" s="1668"/>
      <c r="BK6" s="1668"/>
      <c r="BL6" s="1668"/>
      <c r="BM6" s="1668"/>
      <c r="BN6" s="1668"/>
      <c r="BO6" s="1668"/>
      <c r="BP6" s="1669"/>
      <c r="BQ6" s="1669"/>
      <c r="BR6" s="1669"/>
      <c r="BS6" s="1669"/>
      <c r="BT6" s="1669"/>
      <c r="BU6" s="1669"/>
      <c r="BV6" s="1669"/>
      <c r="BW6" s="1669"/>
      <c r="BX6" s="1666"/>
      <c r="BY6" s="1666"/>
      <c r="BZ6" s="1667"/>
      <c r="CA6" s="1666"/>
      <c r="CB6" s="1666"/>
      <c r="CC6" s="1667"/>
      <c r="CD6" s="1667"/>
      <c r="CE6" s="1667"/>
      <c r="CF6" s="1667"/>
      <c r="CG6" s="1667"/>
      <c r="CH6" s="1670"/>
      <c r="CI6" s="1671"/>
      <c r="CJ6" s="1667"/>
      <c r="CK6" s="1667"/>
      <c r="CL6" s="1667"/>
      <c r="CM6" s="1667"/>
      <c r="CN6" s="1667"/>
      <c r="CO6" s="1667"/>
      <c r="CP6" s="1667"/>
      <c r="CQ6" s="1667"/>
      <c r="CR6" s="1667"/>
      <c r="CS6" s="1667"/>
      <c r="CT6" s="1667"/>
      <c r="CU6" s="1667"/>
      <c r="CV6" s="1667"/>
      <c r="CW6" s="1667"/>
      <c r="CX6" s="1667"/>
      <c r="CY6" s="1667"/>
      <c r="CZ6" s="1667"/>
      <c r="DA6" s="1667"/>
      <c r="DB6" s="1667"/>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row>
    <row r="7" spans="1:131" ht="17.45" customHeight="1" x14ac:dyDescent="0.25">
      <c r="A7" s="1661"/>
      <c r="B7" s="1662"/>
      <c r="C7" s="1663"/>
      <c r="D7" s="1663"/>
      <c r="E7" s="1663"/>
      <c r="F7" s="1664"/>
      <c r="G7" s="1665"/>
      <c r="H7" s="1665"/>
      <c r="I7" s="1665"/>
      <c r="J7" s="1665"/>
      <c r="K7" s="1665"/>
      <c r="L7" s="1665"/>
      <c r="M7" s="1665"/>
      <c r="N7" s="1664"/>
      <c r="O7" s="1665"/>
      <c r="P7" s="1665"/>
      <c r="Q7" s="1664"/>
      <c r="R7" s="1665"/>
      <c r="S7" s="1665"/>
      <c r="T7" s="1666"/>
      <c r="U7" s="1666"/>
      <c r="V7" s="1667"/>
      <c r="W7" s="1667"/>
      <c r="X7" s="1667"/>
      <c r="Y7" s="1667"/>
      <c r="Z7" s="1667"/>
      <c r="AA7" s="1667"/>
      <c r="AB7" s="1667"/>
      <c r="AC7" s="1667"/>
      <c r="AD7" s="1667"/>
      <c r="AE7" s="1667"/>
      <c r="AF7" s="1667"/>
      <c r="AG7" s="1667"/>
      <c r="AH7" s="1667"/>
      <c r="AI7" s="1667"/>
      <c r="AJ7" s="1667"/>
      <c r="AK7" s="1667"/>
      <c r="AL7" s="1667"/>
      <c r="AM7" s="1667"/>
      <c r="AN7" s="1668"/>
      <c r="AO7" s="1667"/>
      <c r="AP7" s="1667"/>
      <c r="AQ7" s="1667"/>
      <c r="AR7" s="1667"/>
      <c r="AS7" s="1667"/>
      <c r="AT7" s="1667"/>
      <c r="AU7" s="1667"/>
      <c r="AV7" s="1667"/>
      <c r="AW7" s="1667"/>
      <c r="AX7" s="1667"/>
      <c r="AY7" s="1667"/>
      <c r="AZ7" s="1667"/>
      <c r="BA7" s="1667"/>
      <c r="BB7" s="1667"/>
      <c r="BC7" s="1667"/>
      <c r="BD7" s="1667"/>
      <c r="BE7" s="1667"/>
      <c r="BF7" s="1667"/>
      <c r="BG7" s="1667"/>
      <c r="BH7" s="1668"/>
      <c r="BI7" s="1668"/>
      <c r="BJ7" s="1668"/>
      <c r="BK7" s="1668"/>
      <c r="BL7" s="1668"/>
      <c r="BM7" s="1668"/>
      <c r="BN7" s="1668"/>
      <c r="BO7" s="1668"/>
      <c r="BP7" s="1669"/>
      <c r="BQ7" s="1669"/>
      <c r="BR7" s="1669"/>
      <c r="BS7" s="1669"/>
      <c r="BT7" s="1669"/>
      <c r="BU7" s="1669"/>
      <c r="BV7" s="1669"/>
      <c r="BW7" s="1669"/>
      <c r="BX7" s="1666"/>
      <c r="BY7" s="1666"/>
      <c r="BZ7" s="1667"/>
      <c r="CA7" s="1666"/>
      <c r="CB7" s="1666"/>
      <c r="CC7" s="1667"/>
      <c r="CD7" s="1667"/>
      <c r="CE7" s="1667"/>
      <c r="CF7" s="1667"/>
      <c r="CG7" s="1667"/>
      <c r="CH7" s="1670"/>
      <c r="CI7" s="1671"/>
      <c r="CJ7" s="1667"/>
      <c r="CK7" s="1667"/>
      <c r="CL7" s="1667"/>
      <c r="CM7" s="1667"/>
      <c r="CN7" s="1667"/>
      <c r="CO7" s="1667"/>
      <c r="CP7" s="1667"/>
      <c r="CQ7" s="1667"/>
      <c r="CR7" s="1667"/>
      <c r="CS7" s="1667"/>
      <c r="CT7" s="1667"/>
      <c r="CU7" s="1667"/>
      <c r="CV7" s="1667"/>
      <c r="CW7" s="1667"/>
      <c r="CX7" s="1667"/>
      <c r="CY7" s="1667"/>
      <c r="CZ7" s="1667"/>
      <c r="DA7" s="1667"/>
      <c r="DB7" s="1667"/>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row>
    <row r="8" spans="1:131" ht="17.45" customHeight="1" x14ac:dyDescent="0.25">
      <c r="A8" s="1661" t="s">
        <v>602</v>
      </c>
      <c r="B8" s="1662"/>
      <c r="C8" s="1663"/>
      <c r="D8" s="1663"/>
      <c r="E8" s="1663"/>
      <c r="F8" s="1664"/>
      <c r="G8" s="1665"/>
      <c r="H8" s="1665"/>
      <c r="I8" s="1665"/>
      <c r="J8" s="1665"/>
      <c r="K8" s="1665"/>
      <c r="L8" s="1665"/>
      <c r="M8" s="1665"/>
      <c r="N8" s="1664"/>
      <c r="O8" s="1665"/>
      <c r="P8" s="1665"/>
      <c r="Q8" s="1664"/>
      <c r="R8" s="1665"/>
      <c r="S8" s="1665"/>
      <c r="T8" s="1666"/>
      <c r="U8" s="1666"/>
      <c r="V8" s="1667"/>
      <c r="W8" s="1667"/>
      <c r="X8" s="1667"/>
      <c r="Y8" s="1667"/>
      <c r="Z8" s="1667"/>
      <c r="AA8" s="1667"/>
      <c r="AB8" s="1667"/>
      <c r="AC8" s="1667"/>
      <c r="AD8" s="1667"/>
      <c r="AE8" s="1667"/>
      <c r="AF8" s="1667"/>
      <c r="AG8" s="1667"/>
      <c r="AH8" s="1667"/>
      <c r="AI8" s="1667"/>
      <c r="AJ8" s="1667"/>
      <c r="AK8" s="1667"/>
      <c r="AL8" s="1667"/>
      <c r="AM8" s="1667"/>
      <c r="AN8" s="1668"/>
      <c r="AO8" s="1667"/>
      <c r="AP8" s="1667"/>
      <c r="AQ8" s="1667"/>
      <c r="AR8" s="1667"/>
      <c r="AS8" s="1667"/>
      <c r="AT8" s="1667"/>
      <c r="AU8" s="1667"/>
      <c r="AV8" s="1667"/>
      <c r="AW8" s="1667"/>
      <c r="AX8" s="1667"/>
      <c r="AY8" s="1667"/>
      <c r="AZ8" s="1667"/>
      <c r="BA8" s="1667"/>
      <c r="BB8" s="1667"/>
      <c r="BC8" s="1667"/>
      <c r="BD8" s="1667"/>
      <c r="BE8" s="1667"/>
      <c r="BF8" s="1667"/>
      <c r="BG8" s="1667"/>
      <c r="BH8" s="1668"/>
      <c r="BI8" s="1668"/>
      <c r="BJ8" s="1668"/>
      <c r="BK8" s="1668"/>
      <c r="BL8" s="1668"/>
      <c r="BM8" s="1668"/>
      <c r="BN8" s="1668"/>
      <c r="BO8" s="1668"/>
      <c r="BP8" s="1669"/>
      <c r="BQ8" s="1669"/>
      <c r="BR8" s="1669"/>
      <c r="BS8" s="1669"/>
      <c r="BT8" s="1669"/>
      <c r="BU8" s="1669"/>
      <c r="BV8" s="1669"/>
      <c r="BW8" s="1669"/>
      <c r="BX8" s="1666"/>
      <c r="BY8" s="1666"/>
      <c r="BZ8" s="1667"/>
      <c r="CA8" s="1666"/>
      <c r="CB8" s="1666"/>
      <c r="CC8" s="1667"/>
      <c r="CD8" s="1667"/>
      <c r="CE8" s="1667"/>
      <c r="CF8" s="1667"/>
      <c r="CG8" s="1667"/>
      <c r="CH8" s="1670"/>
      <c r="CI8" s="1671"/>
      <c r="CJ8" s="1667"/>
      <c r="CK8" s="1667"/>
      <c r="CL8" s="1667"/>
      <c r="CM8" s="1667"/>
      <c r="CN8" s="1667"/>
      <c r="CO8" s="1667"/>
      <c r="CP8" s="1667"/>
      <c r="CQ8" s="1667"/>
      <c r="CR8" s="1667"/>
      <c r="CS8" s="1667"/>
      <c r="CT8" s="1667"/>
      <c r="CU8" s="1667"/>
      <c r="CV8" s="1667"/>
      <c r="CW8" s="1667"/>
      <c r="CX8" s="1667"/>
      <c r="CY8" s="1667"/>
      <c r="CZ8" s="1667"/>
      <c r="DA8" s="1667"/>
      <c r="DB8" s="1667"/>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row>
    <row r="9" spans="1:131" ht="17.45" hidden="1" customHeight="1" x14ac:dyDescent="0.25">
      <c r="A9" s="1673" t="s">
        <v>1444</v>
      </c>
      <c r="B9" s="1674">
        <v>10</v>
      </c>
      <c r="C9" s="1675">
        <v>10.5</v>
      </c>
      <c r="D9" s="1675">
        <v>10.5</v>
      </c>
      <c r="E9" s="1675">
        <v>10.5</v>
      </c>
      <c r="F9" s="1674">
        <v>10.5</v>
      </c>
      <c r="G9" s="1675">
        <v>11.5</v>
      </c>
      <c r="H9" s="1675">
        <v>11.5</v>
      </c>
      <c r="I9" s="1675">
        <v>11.5</v>
      </c>
      <c r="J9" s="1675">
        <v>11.5</v>
      </c>
      <c r="K9" s="1675">
        <v>11.5</v>
      </c>
      <c r="L9" s="1675">
        <v>11.5</v>
      </c>
      <c r="M9" s="1675">
        <v>11.5</v>
      </c>
      <c r="N9" s="1674">
        <v>12</v>
      </c>
      <c r="O9" s="1675">
        <v>12</v>
      </c>
      <c r="P9" s="1675">
        <v>13</v>
      </c>
      <c r="Q9" s="1674">
        <v>13</v>
      </c>
      <c r="R9" s="1675">
        <v>13</v>
      </c>
      <c r="S9" s="1675">
        <v>13</v>
      </c>
      <c r="T9" s="1676"/>
      <c r="U9" s="1676"/>
      <c r="V9" s="1667"/>
      <c r="W9" s="1667"/>
      <c r="X9" s="1667"/>
      <c r="Y9" s="1667"/>
      <c r="Z9" s="1667"/>
      <c r="AA9" s="1667"/>
      <c r="AB9" s="1667"/>
      <c r="AC9" s="1667"/>
      <c r="AD9" s="1667"/>
      <c r="AE9" s="1667"/>
      <c r="AF9" s="1667"/>
      <c r="AG9" s="1667"/>
      <c r="AH9" s="1667"/>
      <c r="AI9" s="1667"/>
      <c r="AJ9" s="1667"/>
      <c r="AK9" s="1667"/>
      <c r="AL9" s="1667"/>
      <c r="AM9" s="1667"/>
      <c r="AN9" s="1668"/>
      <c r="AO9" s="1667"/>
      <c r="AP9" s="1667"/>
      <c r="AQ9" s="1667"/>
      <c r="AR9" s="1667"/>
      <c r="AS9" s="1667"/>
      <c r="AT9" s="1667"/>
      <c r="AU9" s="1667"/>
      <c r="AV9" s="1667"/>
      <c r="AW9" s="1667"/>
      <c r="AX9" s="1667"/>
      <c r="AY9" s="1667"/>
      <c r="AZ9" s="1667"/>
      <c r="BA9" s="1667"/>
      <c r="BB9" s="1667"/>
      <c r="BC9" s="1667"/>
      <c r="BD9" s="1667"/>
      <c r="BE9" s="1667"/>
      <c r="BF9" s="1667"/>
      <c r="BG9" s="1667"/>
      <c r="BH9" s="1668"/>
      <c r="BI9" s="1668"/>
      <c r="BJ9" s="1668"/>
      <c r="BK9" s="1668"/>
      <c r="BL9" s="1668"/>
      <c r="BM9" s="1668"/>
      <c r="BN9" s="1668"/>
      <c r="BO9" s="1668"/>
      <c r="BP9" s="1669"/>
      <c r="BQ9" s="1669"/>
      <c r="BR9" s="1669"/>
      <c r="BS9" s="1669"/>
      <c r="BT9" s="1669"/>
      <c r="BU9" s="1669"/>
      <c r="BV9" s="1669"/>
      <c r="BX9" s="1666"/>
      <c r="BY9" s="1666"/>
      <c r="BZ9" s="1667"/>
      <c r="CA9" s="1666"/>
      <c r="CB9" s="1666"/>
      <c r="CC9" s="1667"/>
      <c r="CD9" s="1667"/>
      <c r="CE9" s="1667"/>
      <c r="CF9" s="1667"/>
      <c r="CG9" s="1667"/>
      <c r="CH9" s="1670"/>
      <c r="CI9" s="1671"/>
      <c r="CJ9" s="1667"/>
      <c r="CK9" s="1667"/>
      <c r="CL9" s="1667"/>
      <c r="CM9" s="1667"/>
      <c r="CN9" s="1667"/>
      <c r="CO9" s="1667"/>
      <c r="CP9" s="1667"/>
      <c r="CQ9" s="1667"/>
      <c r="CR9" s="1667"/>
      <c r="CS9" s="1667"/>
      <c r="CT9" s="1667"/>
      <c r="CU9" s="1667"/>
      <c r="CV9" s="1667"/>
      <c r="CW9" s="1667"/>
      <c r="CX9" s="1667"/>
      <c r="CY9" s="1667"/>
      <c r="CZ9" s="1667"/>
      <c r="DA9" s="1667"/>
      <c r="DB9" s="1667"/>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row>
    <row r="10" spans="1:131" ht="17.45" customHeight="1" x14ac:dyDescent="0.25">
      <c r="A10" s="1677" t="s">
        <v>1445</v>
      </c>
      <c r="B10" s="1674"/>
      <c r="C10" s="1675"/>
      <c r="D10" s="1675"/>
      <c r="E10" s="1675"/>
      <c r="F10" s="1674"/>
      <c r="G10" s="1675"/>
      <c r="H10" s="1675"/>
      <c r="I10" s="1675"/>
      <c r="J10" s="1675"/>
      <c r="K10" s="1675"/>
      <c r="L10" s="1675"/>
      <c r="M10" s="1675"/>
      <c r="N10" s="1674"/>
      <c r="O10" s="1675"/>
      <c r="P10" s="1675"/>
      <c r="Q10" s="1674"/>
      <c r="R10" s="1675"/>
      <c r="S10" s="1675">
        <v>8.5</v>
      </c>
      <c r="T10" s="1676">
        <v>8.5</v>
      </c>
      <c r="U10" s="1676">
        <v>8.5</v>
      </c>
      <c r="V10" s="1678">
        <v>8.5</v>
      </c>
      <c r="W10" s="1678">
        <v>8.5</v>
      </c>
      <c r="X10" s="1678">
        <v>8.5</v>
      </c>
      <c r="Y10" s="1678">
        <v>8.5</v>
      </c>
      <c r="Z10" s="1678">
        <v>9.25</v>
      </c>
      <c r="AA10" s="1678">
        <v>9.25</v>
      </c>
      <c r="AB10" s="1678">
        <v>9.25</v>
      </c>
      <c r="AC10" s="1678">
        <v>9.25</v>
      </c>
      <c r="AD10" s="1678">
        <v>9.25</v>
      </c>
      <c r="AE10" s="1678">
        <v>9.25</v>
      </c>
      <c r="AF10" s="1678">
        <v>9.25</v>
      </c>
      <c r="AG10" s="1678">
        <v>9</v>
      </c>
      <c r="AH10" s="1678">
        <v>8.5</v>
      </c>
      <c r="AI10" s="1678">
        <v>8.5</v>
      </c>
      <c r="AJ10" s="1678">
        <v>8</v>
      </c>
      <c r="AK10" s="1678">
        <v>8</v>
      </c>
      <c r="AL10" s="1678">
        <v>8.25</v>
      </c>
      <c r="AM10" s="1678">
        <v>8.25</v>
      </c>
      <c r="AN10" s="1678">
        <v>8.25</v>
      </c>
      <c r="AO10" s="1678">
        <v>7.75</v>
      </c>
      <c r="AP10" s="1678">
        <v>7.75</v>
      </c>
      <c r="AQ10" s="1678">
        <v>6.75</v>
      </c>
      <c r="AR10" s="1678">
        <v>6.75</v>
      </c>
      <c r="AS10" s="1678">
        <v>6.75</v>
      </c>
      <c r="AT10" s="1678">
        <v>5.75</v>
      </c>
      <c r="AU10" s="1678">
        <v>5.75</v>
      </c>
      <c r="AV10" s="1678">
        <v>5.75</v>
      </c>
      <c r="AW10" s="1678">
        <v>5.75</v>
      </c>
      <c r="AX10" s="1678">
        <v>5.75</v>
      </c>
      <c r="AY10" s="1678">
        <v>5.75</v>
      </c>
      <c r="AZ10" s="1678">
        <v>5.75</v>
      </c>
      <c r="BA10" s="1678">
        <v>5.75</v>
      </c>
      <c r="BB10" s="1678">
        <v>5.75</v>
      </c>
      <c r="BC10" s="1678">
        <v>5.75</v>
      </c>
      <c r="BD10" s="1678">
        <v>5.75</v>
      </c>
      <c r="BE10" s="1678">
        <v>5.75</v>
      </c>
      <c r="BF10" s="1678">
        <v>5.75</v>
      </c>
      <c r="BG10" s="1678">
        <v>5.75</v>
      </c>
      <c r="BH10" s="1678">
        <v>5.75</v>
      </c>
      <c r="BI10" s="1678">
        <v>5.75</v>
      </c>
      <c r="BJ10" s="1678">
        <v>5.75</v>
      </c>
      <c r="BK10" s="1678">
        <v>5.75</v>
      </c>
      <c r="BL10" s="1678">
        <v>4.75</v>
      </c>
      <c r="BM10" s="1678">
        <v>4.75</v>
      </c>
      <c r="BN10" s="1678">
        <v>4.75</v>
      </c>
      <c r="BO10" s="1678">
        <v>4.75</v>
      </c>
      <c r="BP10" s="1678">
        <v>4.75</v>
      </c>
      <c r="BQ10" s="1678">
        <v>4.75</v>
      </c>
      <c r="BR10" s="1678">
        <v>5.25</v>
      </c>
      <c r="BS10" s="1678">
        <v>5.25</v>
      </c>
      <c r="BT10" s="1678">
        <v>5.25</v>
      </c>
      <c r="BU10" s="1678">
        <v>5.5</v>
      </c>
      <c r="BV10" s="1678">
        <v>5.5</v>
      </c>
      <c r="BW10" s="1678">
        <v>5.5</v>
      </c>
      <c r="BX10" s="1678">
        <v>5.5</v>
      </c>
      <c r="BY10" s="1678">
        <v>5.5</v>
      </c>
      <c r="BZ10" s="1678">
        <v>5.5</v>
      </c>
      <c r="CA10" s="1678">
        <v>5.4</v>
      </c>
      <c r="CB10" s="1678">
        <v>5.4</v>
      </c>
      <c r="CC10" s="1679">
        <v>5.4</v>
      </c>
      <c r="CD10" s="1679">
        <v>4.9000000000000004</v>
      </c>
      <c r="CE10" s="1679">
        <v>4.9000000000000004</v>
      </c>
      <c r="CF10" s="1679">
        <v>4.9000000000000004</v>
      </c>
      <c r="CG10" s="1679">
        <v>4.9000000000000004</v>
      </c>
      <c r="CH10" s="1680">
        <v>4.9000000000000004</v>
      </c>
      <c r="CI10" s="1681">
        <v>4.9000000000000004</v>
      </c>
      <c r="CJ10" s="1679">
        <v>4.9000000000000004</v>
      </c>
      <c r="CK10" s="1679">
        <v>4.9000000000000004</v>
      </c>
      <c r="CL10" s="1679">
        <v>4.9000000000000004</v>
      </c>
      <c r="CM10" s="1679">
        <v>4.9000000000000004</v>
      </c>
      <c r="CN10" s="1679">
        <v>4.9000000000000004</v>
      </c>
      <c r="CO10" s="1679">
        <v>4.9000000000000004</v>
      </c>
      <c r="CP10" s="1679">
        <v>4.9000000000000004</v>
      </c>
      <c r="CQ10" s="1682">
        <v>4.9000000000000004</v>
      </c>
      <c r="CR10" s="1682">
        <v>4.9000000000000004</v>
      </c>
      <c r="CS10" s="1682">
        <v>4.6500000000000004</v>
      </c>
      <c r="CT10" s="1682">
        <v>4.6500000000000004</v>
      </c>
      <c r="CU10" s="1682">
        <v>4.6500000000000004</v>
      </c>
      <c r="CV10" s="1682">
        <v>4.6500000000000004</v>
      </c>
      <c r="CW10" s="1682">
        <v>4.6500000000000004</v>
      </c>
      <c r="CX10" s="1682">
        <v>4.6500000000000004</v>
      </c>
      <c r="CY10" s="1682">
        <v>4.6500000000000004</v>
      </c>
      <c r="CZ10" s="1682">
        <v>4.6500000000000004</v>
      </c>
      <c r="DA10" s="1682">
        <v>4.6500000000000004</v>
      </c>
      <c r="DB10" s="1682">
        <v>4.6500000000000004</v>
      </c>
      <c r="DC10" s="1683">
        <v>4.6500000000000004</v>
      </c>
      <c r="DD10" s="1683">
        <v>4.6500000000000004</v>
      </c>
      <c r="DE10" s="1683">
        <v>4.6500000000000004</v>
      </c>
      <c r="DF10" s="1683">
        <v>4.6500000000000004</v>
      </c>
      <c r="DG10" s="1683">
        <v>4.6500000000000004</v>
      </c>
      <c r="DH10" s="1683">
        <v>4.6500000000000004</v>
      </c>
      <c r="DI10" s="1683">
        <v>4.6500000000000004</v>
      </c>
      <c r="DJ10" s="1683">
        <v>4.6500000000000004</v>
      </c>
      <c r="DK10" s="1683">
        <v>4.6500000000000004</v>
      </c>
      <c r="DL10" s="1683">
        <v>4.6500000000000004</v>
      </c>
      <c r="DM10" s="1683">
        <v>4.6500000000000004</v>
      </c>
      <c r="DN10" s="1683">
        <v>4.6500000000000004</v>
      </c>
      <c r="DO10" s="1683">
        <v>4.6500000000000004</v>
      </c>
      <c r="DP10" s="1683">
        <v>4.6500000000000004</v>
      </c>
      <c r="DQ10" s="1683">
        <v>4.6500000000000004</v>
      </c>
      <c r="DR10" s="1683">
        <v>4.6500000000000004</v>
      </c>
      <c r="DS10" s="1683">
        <v>4.6500000000000004</v>
      </c>
      <c r="DT10" s="1683">
        <v>4.6500000000000004</v>
      </c>
      <c r="DU10" s="1683">
        <v>4.6500000000000004</v>
      </c>
      <c r="DV10" s="1683">
        <v>4.4000000000000004</v>
      </c>
      <c r="DW10" s="1683">
        <v>4.4000000000000004</v>
      </c>
      <c r="DX10" s="1683">
        <v>4.4000000000000004</v>
      </c>
      <c r="DY10" s="1683">
        <v>4.4000000000000004</v>
      </c>
      <c r="DZ10" s="1683">
        <v>4.4000000000000004</v>
      </c>
      <c r="EA10" s="1683">
        <v>4.4000000000000004</v>
      </c>
    </row>
    <row r="11" spans="1:131" ht="17.45" customHeight="1" x14ac:dyDescent="0.3">
      <c r="A11" s="1677"/>
      <c r="B11" s="1662"/>
      <c r="C11" s="1663"/>
      <c r="D11" s="1663"/>
      <c r="E11" s="1663"/>
      <c r="F11" s="1664"/>
      <c r="G11" s="1665"/>
      <c r="H11" s="1665"/>
      <c r="I11" s="1665"/>
      <c r="J11" s="1665"/>
      <c r="K11" s="1665"/>
      <c r="L11" s="1665"/>
      <c r="M11" s="1665"/>
      <c r="N11" s="1664"/>
      <c r="O11" s="1665"/>
      <c r="P11" s="1665"/>
      <c r="Q11" s="1664"/>
      <c r="R11" s="1665"/>
      <c r="S11" s="1665"/>
      <c r="T11" s="1666"/>
      <c r="U11" s="1666"/>
      <c r="V11" s="1667"/>
      <c r="W11" s="1667"/>
      <c r="X11" s="1667"/>
      <c r="Y11" s="1667"/>
      <c r="Z11" s="1667"/>
      <c r="AA11" s="1667"/>
      <c r="AB11" s="1667"/>
      <c r="AC11" s="1667"/>
      <c r="AD11" s="1667"/>
      <c r="AE11" s="1667"/>
      <c r="AF11" s="1667"/>
      <c r="AG11" s="1667"/>
      <c r="AH11" s="1667"/>
      <c r="AI11" s="1667"/>
      <c r="AJ11" s="1667"/>
      <c r="AK11" s="1667"/>
      <c r="AL11" s="1667"/>
      <c r="AM11" s="1667"/>
      <c r="AN11" s="1668"/>
      <c r="AO11" s="1667"/>
      <c r="AP11" s="1667"/>
      <c r="AQ11" s="1667"/>
      <c r="AR11" s="1667"/>
      <c r="AS11" s="1667"/>
      <c r="AT11" s="1667"/>
      <c r="AU11" s="1667"/>
      <c r="AV11" s="1667"/>
      <c r="AW11" s="1667"/>
      <c r="AX11" s="1667"/>
      <c r="AY11" s="1667"/>
      <c r="AZ11" s="1667"/>
      <c r="BA11" s="1667"/>
      <c r="BB11" s="1667"/>
      <c r="BC11" s="1667"/>
      <c r="BD11" s="1667"/>
      <c r="BE11" s="1667"/>
      <c r="BF11" s="1667"/>
      <c r="BG11" s="1667"/>
      <c r="BH11" s="1668"/>
      <c r="BI11" s="1668"/>
      <c r="BJ11" s="1668"/>
      <c r="BK11" s="1668"/>
      <c r="BL11" s="1668"/>
      <c r="BM11" s="1668"/>
      <c r="BN11" s="1668"/>
      <c r="BO11" s="1668"/>
      <c r="BP11" s="1669"/>
      <c r="BQ11" s="1669"/>
      <c r="BR11" s="1669"/>
      <c r="BS11" s="1669"/>
      <c r="BT11" s="1669"/>
      <c r="BU11" s="1669"/>
      <c r="BV11" s="1669"/>
      <c r="BW11" s="1669"/>
      <c r="BX11" s="1669"/>
      <c r="BY11" s="1669"/>
      <c r="BZ11" s="1669"/>
      <c r="CA11" s="1669"/>
      <c r="CB11" s="1669"/>
      <c r="CC11" s="1667"/>
      <c r="CD11" s="1667"/>
      <c r="CE11" s="1667"/>
      <c r="CF11" s="1667"/>
      <c r="CG11" s="1667"/>
      <c r="CH11" s="1670"/>
      <c r="CI11" s="1671"/>
      <c r="CJ11" s="1667"/>
      <c r="CK11" s="1667"/>
      <c r="CL11" s="1667"/>
      <c r="CM11" s="1667"/>
      <c r="CN11" s="1667"/>
      <c r="CO11" s="1667"/>
      <c r="CP11" s="1667"/>
      <c r="CQ11" s="1684"/>
      <c r="CR11" s="1684"/>
      <c r="CS11" s="1684"/>
      <c r="CT11" s="1684"/>
      <c r="CU11" s="1684"/>
      <c r="CV11" s="1684"/>
      <c r="CW11" s="1684"/>
      <c r="CX11" s="1684"/>
      <c r="CY11" s="1684"/>
      <c r="CZ11" s="1684"/>
      <c r="DA11" s="1684"/>
      <c r="DB11" s="1684"/>
      <c r="DC11" s="1685"/>
      <c r="DD11" s="1685"/>
      <c r="DE11" s="1685"/>
      <c r="DF11" s="1685"/>
      <c r="DG11" s="1685"/>
      <c r="DH11" s="1685"/>
      <c r="DI11" s="1685"/>
      <c r="DJ11" s="1685"/>
      <c r="DK11" s="1685"/>
      <c r="DL11" s="1685"/>
      <c r="DM11" s="1685"/>
      <c r="DN11" s="1685"/>
      <c r="DO11" s="1685"/>
      <c r="DP11" s="1685"/>
      <c r="DQ11" s="1685"/>
      <c r="DR11" s="1685"/>
      <c r="DS11" s="1685"/>
      <c r="DT11" s="1685"/>
      <c r="DU11" s="1685"/>
      <c r="DV11" s="1685"/>
      <c r="DW11" s="1685"/>
      <c r="DX11" s="1685"/>
      <c r="DY11" s="1685"/>
      <c r="DZ11" s="1685"/>
      <c r="EA11" s="1685"/>
    </row>
    <row r="12" spans="1:131" ht="17.45" customHeight="1" x14ac:dyDescent="0.3">
      <c r="A12" s="1686" t="s">
        <v>1446</v>
      </c>
      <c r="B12" s="1662"/>
      <c r="C12" s="1663"/>
      <c r="D12" s="1663"/>
      <c r="E12" s="1663"/>
      <c r="F12" s="1664"/>
      <c r="G12" s="1665"/>
      <c r="H12" s="1665"/>
      <c r="I12" s="1665"/>
      <c r="J12" s="1665"/>
      <c r="K12" s="1665"/>
      <c r="L12" s="1665"/>
      <c r="M12" s="1665"/>
      <c r="N12" s="1664"/>
      <c r="O12" s="1665"/>
      <c r="P12" s="1665"/>
      <c r="Q12" s="1664"/>
      <c r="R12" s="1665"/>
      <c r="S12" s="1665"/>
      <c r="T12" s="1666"/>
      <c r="U12" s="1666"/>
      <c r="V12" s="1667"/>
      <c r="W12" s="1667"/>
      <c r="X12" s="1667"/>
      <c r="Y12" s="1667"/>
      <c r="Z12" s="1667"/>
      <c r="AA12" s="1667"/>
      <c r="AB12" s="1667"/>
      <c r="AC12" s="1667"/>
      <c r="AD12" s="1667"/>
      <c r="AE12" s="1667"/>
      <c r="AF12" s="1667"/>
      <c r="AG12" s="1667"/>
      <c r="AH12" s="1667"/>
      <c r="AI12" s="1667"/>
      <c r="AJ12" s="1667"/>
      <c r="AK12" s="1667"/>
      <c r="AL12" s="1667"/>
      <c r="AM12" s="1667"/>
      <c r="AN12" s="1668"/>
      <c r="AO12" s="1667"/>
      <c r="AP12" s="1667"/>
      <c r="AQ12" s="1667"/>
      <c r="AR12" s="1667"/>
      <c r="AS12" s="1667"/>
      <c r="AT12" s="1667"/>
      <c r="AU12" s="1667"/>
      <c r="AV12" s="1667"/>
      <c r="AW12" s="1667"/>
      <c r="AX12" s="1667"/>
      <c r="AY12" s="1667"/>
      <c r="AZ12" s="1667"/>
      <c r="BA12" s="1667"/>
      <c r="BB12" s="1667"/>
      <c r="BC12" s="1667"/>
      <c r="BD12" s="1667"/>
      <c r="BE12" s="1667"/>
      <c r="BF12" s="1667"/>
      <c r="BG12" s="1667"/>
      <c r="BH12" s="1668"/>
      <c r="BI12" s="1668"/>
      <c r="BJ12" s="1668"/>
      <c r="BK12" s="1668"/>
      <c r="BL12" s="1668"/>
      <c r="BM12" s="1668"/>
      <c r="BN12" s="1668"/>
      <c r="BO12" s="1668"/>
      <c r="BP12" s="1669"/>
      <c r="BQ12" s="1669"/>
      <c r="BR12" s="1669"/>
      <c r="BS12" s="1669"/>
      <c r="BT12" s="1669"/>
      <c r="BU12" s="1669"/>
      <c r="BV12" s="1669"/>
      <c r="BW12" s="1669"/>
      <c r="BX12" s="1669"/>
      <c r="BY12" s="1669"/>
      <c r="BZ12" s="1669"/>
      <c r="CA12" s="1669"/>
      <c r="CB12" s="1669"/>
      <c r="CC12" s="1667"/>
      <c r="CD12" s="1667"/>
      <c r="CE12" s="1667"/>
      <c r="CF12" s="1667"/>
      <c r="CG12" s="1667"/>
      <c r="CH12" s="1670"/>
      <c r="CI12" s="1671"/>
      <c r="CJ12" s="1667"/>
      <c r="CK12" s="1667"/>
      <c r="CL12" s="1667"/>
      <c r="CM12" s="1667"/>
      <c r="CN12" s="1667"/>
      <c r="CO12" s="1667"/>
      <c r="CP12" s="1667"/>
      <c r="CQ12" s="1684"/>
      <c r="CR12" s="1684"/>
      <c r="CS12" s="1684"/>
      <c r="CT12" s="1684"/>
      <c r="CU12" s="1684"/>
      <c r="CV12" s="1684"/>
      <c r="CW12" s="1684"/>
      <c r="CX12" s="1684"/>
      <c r="CY12" s="1684"/>
      <c r="CZ12" s="1684"/>
      <c r="DA12" s="1684"/>
      <c r="DB12" s="1684"/>
      <c r="DC12" s="1685"/>
      <c r="DD12" s="1685"/>
      <c r="DE12" s="1685"/>
      <c r="DF12" s="1685"/>
      <c r="DG12" s="1685"/>
      <c r="DH12" s="1685"/>
      <c r="DI12" s="1685"/>
      <c r="DJ12" s="1685"/>
      <c r="DK12" s="1685"/>
      <c r="DL12" s="1685"/>
      <c r="DM12" s="1685"/>
      <c r="DN12" s="1685"/>
      <c r="DO12" s="1685"/>
      <c r="DP12" s="1685"/>
      <c r="DQ12" s="1685"/>
      <c r="DR12" s="1685"/>
      <c r="DS12" s="1685"/>
      <c r="DT12" s="1685"/>
      <c r="DU12" s="1685"/>
      <c r="DV12" s="1685"/>
      <c r="DW12" s="1685"/>
      <c r="DX12" s="1685"/>
      <c r="DY12" s="1685"/>
      <c r="DZ12" s="1685"/>
      <c r="EA12" s="1685"/>
    </row>
    <row r="13" spans="1:131" ht="17.45" customHeight="1" x14ac:dyDescent="0.25">
      <c r="A13" s="1686" t="s">
        <v>1447</v>
      </c>
      <c r="B13" s="1687" t="s">
        <v>1448</v>
      </c>
      <c r="C13" s="1688" t="s">
        <v>1449</v>
      </c>
      <c r="D13" s="1688" t="s">
        <v>1449</v>
      </c>
      <c r="E13" s="1688" t="s">
        <v>1449</v>
      </c>
      <c r="F13" s="1687" t="s">
        <v>1449</v>
      </c>
      <c r="G13" s="1688" t="s">
        <v>1450</v>
      </c>
      <c r="H13" s="1688" t="s">
        <v>1450</v>
      </c>
      <c r="I13" s="1688" t="s">
        <v>1450</v>
      </c>
      <c r="J13" s="1688" t="s">
        <v>1450</v>
      </c>
      <c r="K13" s="1688" t="s">
        <v>1450</v>
      </c>
      <c r="L13" s="1688" t="s">
        <v>1450</v>
      </c>
      <c r="M13" s="1688" t="s">
        <v>1450</v>
      </c>
      <c r="N13" s="1687" t="s">
        <v>1451</v>
      </c>
      <c r="O13" s="1688" t="s">
        <v>1451</v>
      </c>
      <c r="P13" s="1688" t="s">
        <v>1452</v>
      </c>
      <c r="Q13" s="1687" t="s">
        <v>1452</v>
      </c>
      <c r="R13" s="1688" t="s">
        <v>1452</v>
      </c>
      <c r="S13" s="1688" t="s">
        <v>1452</v>
      </c>
      <c r="T13" s="1689" t="s">
        <v>1452</v>
      </c>
      <c r="U13" s="1689" t="s">
        <v>1452</v>
      </c>
      <c r="V13" s="1689" t="s">
        <v>1452</v>
      </c>
      <c r="W13" s="1689" t="s">
        <v>1452</v>
      </c>
      <c r="X13" s="1689" t="s">
        <v>1452</v>
      </c>
      <c r="Y13" s="1689" t="s">
        <v>1452</v>
      </c>
      <c r="Z13" s="1689" t="s">
        <v>1453</v>
      </c>
      <c r="AA13" s="1689" t="s">
        <v>1453</v>
      </c>
      <c r="AB13" s="1689" t="s">
        <v>1453</v>
      </c>
      <c r="AC13" s="1689" t="s">
        <v>1454</v>
      </c>
      <c r="AD13" s="1689" t="s">
        <v>1454</v>
      </c>
      <c r="AE13" s="1690" t="s">
        <v>1454</v>
      </c>
      <c r="AF13" s="1690" t="s">
        <v>1454</v>
      </c>
      <c r="AG13" s="1690" t="s">
        <v>1455</v>
      </c>
      <c r="AH13" s="1690" t="s">
        <v>1456</v>
      </c>
      <c r="AI13" s="1690" t="s">
        <v>1456</v>
      </c>
      <c r="AJ13" s="1690" t="s">
        <v>1457</v>
      </c>
      <c r="AK13" s="1690" t="s">
        <v>1457</v>
      </c>
      <c r="AL13" s="1690" t="s">
        <v>1457</v>
      </c>
      <c r="AM13" s="1690" t="s">
        <v>1456</v>
      </c>
      <c r="AN13" s="1690" t="s">
        <v>1456</v>
      </c>
      <c r="AO13" s="1690" t="s">
        <v>1456</v>
      </c>
      <c r="AP13" s="1690" t="s">
        <v>1458</v>
      </c>
      <c r="AQ13" s="1690" t="s">
        <v>1459</v>
      </c>
      <c r="AR13" s="1690" t="s">
        <v>1459</v>
      </c>
      <c r="AS13" s="1690" t="s">
        <v>1459</v>
      </c>
      <c r="AT13" s="1690" t="s">
        <v>1460</v>
      </c>
      <c r="AU13" s="1690" t="s">
        <v>1461</v>
      </c>
      <c r="AV13" s="1690" t="s">
        <v>1461</v>
      </c>
      <c r="AW13" s="1690" t="s">
        <v>1461</v>
      </c>
      <c r="AX13" s="1690" t="s">
        <v>1461</v>
      </c>
      <c r="AY13" s="1690" t="s">
        <v>1461</v>
      </c>
      <c r="AZ13" s="1690" t="s">
        <v>1461</v>
      </c>
      <c r="BA13" s="1690" t="s">
        <v>1461</v>
      </c>
      <c r="BB13" s="1690" t="s">
        <v>1461</v>
      </c>
      <c r="BC13" s="1690" t="s">
        <v>1461</v>
      </c>
      <c r="BD13" s="1690" t="s">
        <v>1461</v>
      </c>
      <c r="BE13" s="1690" t="s">
        <v>1461</v>
      </c>
      <c r="BF13" s="1690" t="s">
        <v>1461</v>
      </c>
      <c r="BG13" s="1690" t="s">
        <v>1461</v>
      </c>
      <c r="BH13" s="1690" t="s">
        <v>1461</v>
      </c>
      <c r="BI13" s="1690" t="s">
        <v>1461</v>
      </c>
      <c r="BJ13" s="1690" t="s">
        <v>1461</v>
      </c>
      <c r="BK13" s="1690" t="s">
        <v>1461</v>
      </c>
      <c r="BL13" s="1690" t="s">
        <v>1462</v>
      </c>
      <c r="BM13" s="1690" t="s">
        <v>1463</v>
      </c>
      <c r="BN13" s="1690" t="s">
        <v>1463</v>
      </c>
      <c r="BO13" s="1690" t="s">
        <v>1463</v>
      </c>
      <c r="BP13" s="1690" t="s">
        <v>1463</v>
      </c>
      <c r="BQ13" s="1690" t="s">
        <v>1463</v>
      </c>
      <c r="BR13" s="1690" t="s">
        <v>1462</v>
      </c>
      <c r="BS13" s="1690" t="s">
        <v>1462</v>
      </c>
      <c r="BT13" s="1690" t="s">
        <v>1464</v>
      </c>
      <c r="BU13" s="1690" t="s">
        <v>1464</v>
      </c>
      <c r="BV13" s="1690" t="s">
        <v>1465</v>
      </c>
      <c r="BW13" s="1690" t="s">
        <v>1465</v>
      </c>
      <c r="BX13" s="1690" t="s">
        <v>1465</v>
      </c>
      <c r="BY13" s="1690" t="s">
        <v>1465</v>
      </c>
      <c r="BZ13" s="1690" t="s">
        <v>1465</v>
      </c>
      <c r="CA13" s="1690" t="s">
        <v>1465</v>
      </c>
      <c r="CB13" s="1690" t="s">
        <v>1465</v>
      </c>
      <c r="CC13" s="1690" t="s">
        <v>1465</v>
      </c>
      <c r="CD13" s="1690" t="s">
        <v>1466</v>
      </c>
      <c r="CE13" s="1690" t="s">
        <v>1467</v>
      </c>
      <c r="CF13" s="1690" t="s">
        <v>1115</v>
      </c>
      <c r="CG13" s="1690" t="s">
        <v>1115</v>
      </c>
      <c r="CH13" s="1691" t="s">
        <v>1115</v>
      </c>
      <c r="CI13" s="1692" t="s">
        <v>1115</v>
      </c>
      <c r="CJ13" s="1690" t="s">
        <v>1115</v>
      </c>
      <c r="CK13" s="1690" t="s">
        <v>1115</v>
      </c>
      <c r="CL13" s="1690" t="s">
        <v>1115</v>
      </c>
      <c r="CM13" s="1690" t="s">
        <v>1115</v>
      </c>
      <c r="CN13" s="1690" t="s">
        <v>1115</v>
      </c>
      <c r="CO13" s="1690" t="s">
        <v>1115</v>
      </c>
      <c r="CP13" s="1690" t="s">
        <v>1115</v>
      </c>
      <c r="CQ13" s="1693" t="s">
        <v>1115</v>
      </c>
      <c r="CR13" s="1693" t="s">
        <v>1115</v>
      </c>
      <c r="CS13" s="1693" t="s">
        <v>1115</v>
      </c>
      <c r="CT13" s="1693" t="s">
        <v>1468</v>
      </c>
      <c r="CU13" s="1693" t="s">
        <v>1468</v>
      </c>
      <c r="CV13" s="1693" t="s">
        <v>1468</v>
      </c>
      <c r="CW13" s="1693" t="s">
        <v>1469</v>
      </c>
      <c r="CX13" s="1693" t="s">
        <v>1469</v>
      </c>
      <c r="CY13" s="1693" t="s">
        <v>1469</v>
      </c>
      <c r="CZ13" s="1693" t="s">
        <v>1469</v>
      </c>
      <c r="DA13" s="1693" t="s">
        <v>1469</v>
      </c>
      <c r="DB13" s="1693" t="s">
        <v>1469</v>
      </c>
      <c r="DC13" s="1694" t="s">
        <v>1469</v>
      </c>
      <c r="DD13" s="1694" t="s">
        <v>1469</v>
      </c>
      <c r="DE13" s="1694" t="s">
        <v>1469</v>
      </c>
      <c r="DF13" s="1694" t="s">
        <v>1469</v>
      </c>
      <c r="DG13" s="1694" t="s">
        <v>1469</v>
      </c>
      <c r="DH13" s="1694" t="s">
        <v>1469</v>
      </c>
      <c r="DI13" s="1694" t="s">
        <v>1469</v>
      </c>
      <c r="DJ13" s="1694" t="s">
        <v>1469</v>
      </c>
      <c r="DK13" s="1694" t="s">
        <v>1469</v>
      </c>
      <c r="DL13" s="1694" t="s">
        <v>1469</v>
      </c>
      <c r="DM13" s="1694" t="s">
        <v>1469</v>
      </c>
      <c r="DN13" s="1694" t="s">
        <v>1469</v>
      </c>
      <c r="DO13" s="1694" t="s">
        <v>1469</v>
      </c>
      <c r="DP13" s="1694" t="s">
        <v>1469</v>
      </c>
      <c r="DQ13" s="1694" t="s">
        <v>1469</v>
      </c>
      <c r="DR13" s="1694" t="s">
        <v>1469</v>
      </c>
      <c r="DS13" s="1694" t="s">
        <v>1469</v>
      </c>
      <c r="DT13" s="1694" t="s">
        <v>1469</v>
      </c>
      <c r="DU13" s="1694" t="s">
        <v>1469</v>
      </c>
      <c r="DV13" s="1694" t="s">
        <v>1469</v>
      </c>
      <c r="DW13" s="1694" t="s">
        <v>1469</v>
      </c>
      <c r="DX13" s="1694" t="s">
        <v>1469</v>
      </c>
      <c r="DY13" s="1694" t="s">
        <v>1469</v>
      </c>
      <c r="DZ13" s="1694" t="s">
        <v>1469</v>
      </c>
      <c r="EA13" s="1694" t="s">
        <v>1469</v>
      </c>
    </row>
    <row r="14" spans="1:131" ht="17.45" customHeight="1" x14ac:dyDescent="0.25">
      <c r="A14" s="1686" t="s">
        <v>1470</v>
      </c>
      <c r="B14" s="1662"/>
      <c r="C14" s="1663"/>
      <c r="D14" s="1663"/>
      <c r="E14" s="1663"/>
      <c r="F14" s="1662"/>
      <c r="G14" s="1663"/>
      <c r="H14" s="1663"/>
      <c r="I14" s="1663"/>
      <c r="J14" s="1663"/>
      <c r="K14" s="1663"/>
      <c r="L14" s="1663"/>
      <c r="M14" s="1663"/>
      <c r="N14" s="1662"/>
      <c r="O14" s="1663"/>
      <c r="P14" s="1663"/>
      <c r="Q14" s="1664"/>
      <c r="R14" s="1665"/>
      <c r="S14" s="1665"/>
      <c r="T14" s="1666"/>
      <c r="U14" s="1666"/>
      <c r="V14" s="1666"/>
      <c r="W14" s="1666"/>
      <c r="X14" s="1666"/>
      <c r="Y14" s="1666"/>
      <c r="Z14" s="1666"/>
      <c r="AA14" s="1666"/>
      <c r="AB14" s="1666"/>
      <c r="AC14" s="1666"/>
      <c r="AD14" s="1666"/>
      <c r="AE14" s="1667"/>
      <c r="AF14" s="1667"/>
      <c r="AG14" s="1667"/>
      <c r="AH14" s="1667"/>
      <c r="AI14" s="1667"/>
      <c r="AJ14" s="1667"/>
      <c r="AK14" s="1667"/>
      <c r="AL14" s="1667"/>
      <c r="AM14" s="1667"/>
      <c r="AN14" s="1668"/>
      <c r="AO14" s="1667"/>
      <c r="AP14" s="1667"/>
      <c r="AQ14" s="1667"/>
      <c r="AR14" s="1667"/>
      <c r="AS14" s="1667"/>
      <c r="AT14" s="1667"/>
      <c r="AU14" s="1667"/>
      <c r="AV14" s="1667"/>
      <c r="AW14" s="1667"/>
      <c r="AX14" s="1667"/>
      <c r="AY14" s="1667"/>
      <c r="AZ14" s="1667"/>
      <c r="BA14" s="1667"/>
      <c r="BB14" s="1667"/>
      <c r="BC14" s="1668"/>
      <c r="BD14" s="1668"/>
      <c r="BE14" s="1668"/>
      <c r="BF14" s="1668"/>
      <c r="BG14" s="1668"/>
      <c r="BH14" s="1668"/>
      <c r="BI14" s="1668"/>
      <c r="BJ14" s="1668"/>
      <c r="BK14" s="1668"/>
      <c r="BL14" s="1668"/>
      <c r="BM14" s="1668"/>
      <c r="BN14" s="1668"/>
      <c r="BO14" s="1668"/>
      <c r="BP14" s="1669"/>
      <c r="BQ14" s="1669"/>
      <c r="BR14" s="1669"/>
      <c r="BS14" s="1669"/>
      <c r="BT14" s="1669"/>
      <c r="BU14" s="1669"/>
      <c r="BV14" s="1669"/>
      <c r="BW14" s="1669"/>
      <c r="BX14" s="1669"/>
      <c r="BY14" s="1669"/>
      <c r="BZ14" s="1669"/>
      <c r="CA14" s="1669"/>
      <c r="CB14" s="1669"/>
      <c r="CC14" s="1669"/>
      <c r="CD14" s="1669"/>
      <c r="CE14" s="1669"/>
      <c r="CF14" s="1669"/>
      <c r="CG14" s="1669"/>
      <c r="CH14" s="1695"/>
      <c r="CI14" s="1696"/>
      <c r="CJ14" s="1669"/>
      <c r="CK14" s="1669"/>
      <c r="CL14" s="1669"/>
      <c r="CM14" s="1669"/>
      <c r="CN14" s="1669"/>
      <c r="CO14" s="1669"/>
      <c r="CP14" s="1669"/>
      <c r="CQ14" s="1697"/>
      <c r="CR14" s="1697"/>
      <c r="CS14" s="1697"/>
      <c r="CT14" s="1697"/>
      <c r="CU14" s="1697"/>
      <c r="CV14" s="1697"/>
      <c r="CW14" s="1697"/>
      <c r="CX14" s="1697"/>
      <c r="CY14" s="1697"/>
      <c r="CZ14" s="1697"/>
      <c r="DA14" s="1697"/>
      <c r="DB14" s="1697"/>
      <c r="DC14" s="1698"/>
      <c r="DD14" s="1698"/>
      <c r="DE14" s="1698"/>
      <c r="DF14" s="1698"/>
      <c r="DG14" s="1698"/>
      <c r="DH14" s="1698"/>
      <c r="DI14" s="1698"/>
      <c r="DJ14" s="1698"/>
      <c r="DK14" s="1698"/>
      <c r="DL14" s="1698"/>
      <c r="DM14" s="1698"/>
      <c r="DN14" s="1698"/>
      <c r="DO14" s="1698"/>
      <c r="DP14" s="1698"/>
      <c r="DQ14" s="1698"/>
      <c r="DR14" s="1698"/>
      <c r="DS14" s="1698"/>
      <c r="DT14" s="1698"/>
      <c r="DU14" s="1698"/>
      <c r="DV14" s="1698"/>
      <c r="DW14" s="1698"/>
      <c r="DX14" s="1698"/>
      <c r="DY14" s="1698"/>
      <c r="DZ14" s="1698"/>
      <c r="EA14" s="1698"/>
    </row>
    <row r="15" spans="1:131" ht="17.45" customHeight="1" x14ac:dyDescent="0.25">
      <c r="A15" s="1677" t="s">
        <v>1471</v>
      </c>
      <c r="B15" s="1699" t="s">
        <v>1472</v>
      </c>
      <c r="C15" s="1700" t="s">
        <v>1472</v>
      </c>
      <c r="D15" s="1700" t="s">
        <v>1472</v>
      </c>
      <c r="E15" s="1700" t="s">
        <v>1472</v>
      </c>
      <c r="F15" s="1699" t="s">
        <v>1472</v>
      </c>
      <c r="G15" s="1700" t="s">
        <v>1473</v>
      </c>
      <c r="H15" s="1700" t="s">
        <v>1473</v>
      </c>
      <c r="I15" s="1700" t="s">
        <v>1473</v>
      </c>
      <c r="J15" s="1700" t="s">
        <v>1473</v>
      </c>
      <c r="K15" s="1700" t="s">
        <v>1473</v>
      </c>
      <c r="L15" s="1700" t="s">
        <v>1473</v>
      </c>
      <c r="M15" s="1700" t="s">
        <v>1473</v>
      </c>
      <c r="N15" s="1699" t="s">
        <v>1473</v>
      </c>
      <c r="O15" s="1700" t="s">
        <v>1473</v>
      </c>
      <c r="P15" s="1700" t="s">
        <v>1474</v>
      </c>
      <c r="Q15" s="1699" t="s">
        <v>1473</v>
      </c>
      <c r="R15" s="1700" t="s">
        <v>1473</v>
      </c>
      <c r="S15" s="1700" t="s">
        <v>1473</v>
      </c>
      <c r="T15" s="1701" t="s">
        <v>1473</v>
      </c>
      <c r="U15" s="1701" t="s">
        <v>1473</v>
      </c>
      <c r="V15" s="1701" t="s">
        <v>1473</v>
      </c>
      <c r="W15" s="1701" t="s">
        <v>1473</v>
      </c>
      <c r="X15" s="1701" t="s">
        <v>1473</v>
      </c>
      <c r="Y15" s="1701" t="s">
        <v>1473</v>
      </c>
      <c r="Z15" s="1701" t="s">
        <v>1475</v>
      </c>
      <c r="AA15" s="1701" t="s">
        <v>1476</v>
      </c>
      <c r="AB15" s="1701" t="s">
        <v>1477</v>
      </c>
      <c r="AC15" s="1701" t="s">
        <v>1478</v>
      </c>
      <c r="AD15" s="1701" t="s">
        <v>1478</v>
      </c>
      <c r="AE15" s="1702" t="s">
        <v>1479</v>
      </c>
      <c r="AF15" s="1702" t="s">
        <v>1479</v>
      </c>
      <c r="AG15" s="1702" t="s">
        <v>1478</v>
      </c>
      <c r="AH15" s="1702" t="s">
        <v>1480</v>
      </c>
      <c r="AI15" s="1702" t="s">
        <v>1481</v>
      </c>
      <c r="AJ15" s="1702" t="s">
        <v>1482</v>
      </c>
      <c r="AK15" s="1702" t="s">
        <v>1482</v>
      </c>
      <c r="AL15" s="1702" t="s">
        <v>1482</v>
      </c>
      <c r="AM15" s="1702" t="s">
        <v>1483</v>
      </c>
      <c r="AN15" s="1702" t="s">
        <v>1484</v>
      </c>
      <c r="AO15" s="1702" t="s">
        <v>1484</v>
      </c>
      <c r="AP15" s="1702" t="s">
        <v>1485</v>
      </c>
      <c r="AQ15" s="1702" t="s">
        <v>1486</v>
      </c>
      <c r="AR15" s="1702" t="s">
        <v>1486</v>
      </c>
      <c r="AS15" s="1702" t="s">
        <v>1486</v>
      </c>
      <c r="AT15" s="1702" t="s">
        <v>1486</v>
      </c>
      <c r="AU15" s="1702" t="s">
        <v>1486</v>
      </c>
      <c r="AV15" s="1702" t="s">
        <v>1486</v>
      </c>
      <c r="AW15" s="1702" t="s">
        <v>1486</v>
      </c>
      <c r="AX15" s="1702" t="s">
        <v>1486</v>
      </c>
      <c r="AY15" s="1702" t="s">
        <v>1486</v>
      </c>
      <c r="AZ15" s="1702" t="s">
        <v>1486</v>
      </c>
      <c r="BA15" s="1702" t="s">
        <v>1486</v>
      </c>
      <c r="BB15" s="1702" t="s">
        <v>1486</v>
      </c>
      <c r="BC15" s="1702" t="s">
        <v>1486</v>
      </c>
      <c r="BD15" s="1702" t="s">
        <v>1486</v>
      </c>
      <c r="BE15" s="1702" t="s">
        <v>1486</v>
      </c>
      <c r="BF15" s="1702" t="s">
        <v>1486</v>
      </c>
      <c r="BG15" s="1702" t="s">
        <v>1486</v>
      </c>
      <c r="BH15" s="1702" t="s">
        <v>1486</v>
      </c>
      <c r="BI15" s="1702" t="s">
        <v>1486</v>
      </c>
      <c r="BJ15" s="1702" t="s">
        <v>1486</v>
      </c>
      <c r="BK15" s="1702" t="s">
        <v>1486</v>
      </c>
      <c r="BL15" s="1702" t="s">
        <v>1486</v>
      </c>
      <c r="BM15" s="1702" t="s">
        <v>1487</v>
      </c>
      <c r="BN15" s="1702" t="s">
        <v>1487</v>
      </c>
      <c r="BO15" s="1702" t="s">
        <v>1487</v>
      </c>
      <c r="BP15" s="1702" t="s">
        <v>1487</v>
      </c>
      <c r="BQ15" s="1702" t="s">
        <v>1487</v>
      </c>
      <c r="BR15" s="1702" t="s">
        <v>1487</v>
      </c>
      <c r="BS15" s="1702" t="s">
        <v>1487</v>
      </c>
      <c r="BT15" s="1702" t="s">
        <v>1487</v>
      </c>
      <c r="BU15" s="1702" t="s">
        <v>1487</v>
      </c>
      <c r="BV15" s="1702" t="s">
        <v>1488</v>
      </c>
      <c r="BW15" s="1702" t="s">
        <v>1485</v>
      </c>
      <c r="BX15" s="1702" t="s">
        <v>1485</v>
      </c>
      <c r="BY15" s="1702" t="s">
        <v>1489</v>
      </c>
      <c r="BZ15" s="1702" t="s">
        <v>1490</v>
      </c>
      <c r="CA15" s="1702" t="s">
        <v>1491</v>
      </c>
      <c r="CB15" s="1702" t="s">
        <v>1492</v>
      </c>
      <c r="CC15" s="1702" t="s">
        <v>1493</v>
      </c>
      <c r="CD15" s="1702" t="s">
        <v>1494</v>
      </c>
      <c r="CE15" s="1702" t="s">
        <v>1495</v>
      </c>
      <c r="CF15" s="1702" t="s">
        <v>1496</v>
      </c>
      <c r="CG15" s="1702" t="s">
        <v>1497</v>
      </c>
      <c r="CH15" s="1703" t="s">
        <v>1497</v>
      </c>
      <c r="CI15" s="1704" t="s">
        <v>1498</v>
      </c>
      <c r="CJ15" s="1702" t="s">
        <v>1499</v>
      </c>
      <c r="CK15" s="1702" t="s">
        <v>1496</v>
      </c>
      <c r="CL15" s="1702" t="s">
        <v>1496</v>
      </c>
      <c r="CM15" s="1702" t="s">
        <v>1500</v>
      </c>
      <c r="CN15" s="1702" t="s">
        <v>1501</v>
      </c>
      <c r="CO15" s="1702" t="s">
        <v>1502</v>
      </c>
      <c r="CP15" s="1702" t="s">
        <v>1503</v>
      </c>
      <c r="CQ15" s="1705" t="s">
        <v>1504</v>
      </c>
      <c r="CR15" s="1705" t="s">
        <v>1505</v>
      </c>
      <c r="CS15" s="1705" t="s">
        <v>1506</v>
      </c>
      <c r="CT15" s="1705" t="s">
        <v>1507</v>
      </c>
      <c r="CU15" s="1705" t="s">
        <v>1508</v>
      </c>
      <c r="CV15" s="1705" t="s">
        <v>1509</v>
      </c>
      <c r="CW15" s="1705" t="s">
        <v>1510</v>
      </c>
      <c r="CX15" s="1705" t="s">
        <v>1511</v>
      </c>
      <c r="CY15" s="1705" t="s">
        <v>1512</v>
      </c>
      <c r="CZ15" s="1705" t="s">
        <v>1513</v>
      </c>
      <c r="DA15" s="1705" t="s">
        <v>1514</v>
      </c>
      <c r="DB15" s="1705" t="s">
        <v>1505</v>
      </c>
      <c r="DC15" s="1706" t="s">
        <v>1515</v>
      </c>
      <c r="DD15" s="1706" t="s">
        <v>1516</v>
      </c>
      <c r="DE15" s="1706" t="s">
        <v>1517</v>
      </c>
      <c r="DF15" s="1706" t="s">
        <v>1518</v>
      </c>
      <c r="DG15" s="1706" t="s">
        <v>1519</v>
      </c>
      <c r="DH15" s="1706" t="s">
        <v>1520</v>
      </c>
      <c r="DI15" s="1706" t="s">
        <v>1521</v>
      </c>
      <c r="DJ15" s="1706" t="s">
        <v>1522</v>
      </c>
      <c r="DK15" s="1706" t="s">
        <v>1523</v>
      </c>
      <c r="DL15" s="1706" t="s">
        <v>1524</v>
      </c>
      <c r="DM15" s="1706" t="s">
        <v>1525</v>
      </c>
      <c r="DN15" s="1706" t="s">
        <v>1526</v>
      </c>
      <c r="DO15" s="1706" t="s">
        <v>1527</v>
      </c>
      <c r="DP15" s="1706" t="s">
        <v>1528</v>
      </c>
      <c r="DQ15" s="1706" t="s">
        <v>1529</v>
      </c>
      <c r="DR15" s="1706" t="s">
        <v>1530</v>
      </c>
      <c r="DS15" s="1706" t="s">
        <v>1530</v>
      </c>
      <c r="DT15" s="1706" t="s">
        <v>1531</v>
      </c>
      <c r="DU15" s="1706" t="s">
        <v>1532</v>
      </c>
      <c r="DV15" s="1706" t="s">
        <v>1533</v>
      </c>
      <c r="DW15" s="1706" t="s">
        <v>1534</v>
      </c>
      <c r="DX15" s="1706" t="s">
        <v>1534</v>
      </c>
      <c r="DY15" s="1706" t="s">
        <v>1535</v>
      </c>
      <c r="DZ15" s="1706" t="s">
        <v>1536</v>
      </c>
      <c r="EA15" s="1706" t="s">
        <v>1537</v>
      </c>
    </row>
    <row r="16" spans="1:131" ht="17.45" customHeight="1" x14ac:dyDescent="0.25">
      <c r="A16" s="1677" t="s">
        <v>1538</v>
      </c>
      <c r="B16" s="1707"/>
      <c r="C16" s="1708"/>
      <c r="D16" s="1708"/>
      <c r="E16" s="1708"/>
      <c r="F16" s="1707"/>
      <c r="G16" s="1708"/>
      <c r="H16" s="1708"/>
      <c r="I16" s="1708"/>
      <c r="J16" s="1708"/>
      <c r="K16" s="1708"/>
      <c r="L16" s="1708"/>
      <c r="M16" s="1708"/>
      <c r="N16" s="1707"/>
      <c r="O16" s="1708"/>
      <c r="P16" s="1708"/>
      <c r="Q16" s="1707"/>
      <c r="R16" s="1708"/>
      <c r="S16" s="1708"/>
      <c r="T16" s="1709"/>
      <c r="U16" s="1709"/>
      <c r="V16" s="1709"/>
      <c r="W16" s="1709"/>
      <c r="X16" s="1709"/>
      <c r="Y16" s="1709"/>
      <c r="Z16" s="1709"/>
      <c r="AA16" s="1709"/>
      <c r="AB16" s="1709"/>
      <c r="AC16" s="1709"/>
      <c r="AD16" s="1709"/>
      <c r="AE16" s="1710"/>
      <c r="AF16" s="1710"/>
      <c r="AG16" s="1711"/>
      <c r="AH16" s="1711"/>
      <c r="AI16" s="1711"/>
      <c r="AJ16" s="1711"/>
      <c r="AK16" s="1711"/>
      <c r="AL16" s="1711"/>
      <c r="AM16" s="1711"/>
      <c r="AN16" s="1711"/>
      <c r="AO16" s="1711"/>
      <c r="AP16" s="1711"/>
      <c r="AQ16" s="1711"/>
      <c r="AR16" s="1711"/>
      <c r="AS16" s="1711"/>
      <c r="AT16" s="1711"/>
      <c r="AU16" s="1711"/>
      <c r="AV16" s="1711"/>
      <c r="AW16" s="1711"/>
      <c r="AX16" s="1711"/>
      <c r="AY16" s="1711"/>
      <c r="AZ16" s="1711"/>
      <c r="BA16" s="1711"/>
      <c r="BB16" s="1711"/>
      <c r="BC16" s="1711"/>
      <c r="BD16" s="1711"/>
      <c r="BE16" s="1711"/>
      <c r="BF16" s="1711"/>
      <c r="BG16" s="1711"/>
      <c r="BH16" s="1711"/>
      <c r="BI16" s="1711"/>
      <c r="BJ16" s="1711"/>
      <c r="BK16" s="1711"/>
      <c r="BL16" s="1711"/>
      <c r="BM16" s="1711"/>
      <c r="BN16" s="1711"/>
      <c r="BO16" s="1711"/>
      <c r="BP16" s="1711"/>
      <c r="BQ16" s="1711"/>
      <c r="BR16" s="1711"/>
      <c r="BS16" s="1711"/>
      <c r="BT16" s="1711"/>
      <c r="BU16" s="1711"/>
      <c r="BV16" s="1711"/>
      <c r="BW16" s="1711"/>
      <c r="BX16" s="1711"/>
      <c r="BY16" s="1711"/>
      <c r="BZ16" s="1711"/>
      <c r="CA16" s="1711"/>
      <c r="CB16" s="1711"/>
      <c r="CC16" s="1711"/>
      <c r="CD16" s="1711"/>
      <c r="CE16" s="1711"/>
      <c r="CF16" s="1711"/>
      <c r="CG16" s="1711"/>
      <c r="CH16" s="1712"/>
      <c r="CI16" s="1713"/>
      <c r="CJ16" s="1711"/>
      <c r="CK16" s="1711"/>
      <c r="CL16" s="1711"/>
      <c r="CM16" s="1711"/>
      <c r="CN16" s="1711"/>
      <c r="CO16" s="1711"/>
      <c r="CP16" s="1711"/>
      <c r="CQ16" s="1714"/>
      <c r="CR16" s="1714"/>
      <c r="CS16" s="1714"/>
      <c r="CT16" s="1714"/>
      <c r="CU16" s="1714"/>
      <c r="CV16" s="1714"/>
      <c r="CW16" s="1714"/>
      <c r="CX16" s="1714"/>
      <c r="CY16" s="1714"/>
      <c r="CZ16" s="1714"/>
      <c r="DA16" s="1714"/>
      <c r="DB16" s="1714"/>
      <c r="DC16" s="1715"/>
      <c r="DD16" s="1715"/>
      <c r="DE16" s="1715"/>
      <c r="DF16" s="1715"/>
      <c r="DG16" s="1715"/>
      <c r="DH16" s="1715"/>
      <c r="DI16" s="1715"/>
      <c r="DJ16" s="1715"/>
      <c r="DK16" s="1715"/>
      <c r="DL16" s="1715"/>
      <c r="DM16" s="1715"/>
      <c r="DN16" s="1715"/>
      <c r="DO16" s="1715"/>
      <c r="DP16" s="1715"/>
      <c r="DQ16" s="1715"/>
      <c r="DR16" s="1715"/>
      <c r="DS16" s="1715"/>
      <c r="DT16" s="1715"/>
      <c r="DU16" s="1715"/>
      <c r="DV16" s="1715"/>
      <c r="DW16" s="1715"/>
      <c r="DX16" s="1715"/>
      <c r="DY16" s="1715"/>
      <c r="DZ16" s="1715"/>
      <c r="EA16" s="1715"/>
    </row>
    <row r="17" spans="1:131" ht="17.45" customHeight="1" x14ac:dyDescent="0.25">
      <c r="A17" s="1716" t="s">
        <v>1539</v>
      </c>
      <c r="B17" s="1717" t="s">
        <v>1540</v>
      </c>
      <c r="C17" s="1718" t="s">
        <v>1540</v>
      </c>
      <c r="D17" s="1718" t="s">
        <v>1541</v>
      </c>
      <c r="E17" s="1718" t="s">
        <v>1541</v>
      </c>
      <c r="F17" s="1717" t="s">
        <v>1472</v>
      </c>
      <c r="G17" s="1718" t="s">
        <v>1542</v>
      </c>
      <c r="H17" s="1718" t="s">
        <v>1473</v>
      </c>
      <c r="I17" s="1718" t="s">
        <v>1542</v>
      </c>
      <c r="J17" s="1718" t="s">
        <v>1473</v>
      </c>
      <c r="K17" s="1718" t="s">
        <v>1473</v>
      </c>
      <c r="L17" s="1718" t="s">
        <v>1542</v>
      </c>
      <c r="M17" s="1718" t="s">
        <v>1542</v>
      </c>
      <c r="N17" s="1717" t="s">
        <v>1542</v>
      </c>
      <c r="O17" s="1718" t="s">
        <v>1542</v>
      </c>
      <c r="P17" s="1718" t="s">
        <v>1543</v>
      </c>
      <c r="Q17" s="1717" t="s">
        <v>1543</v>
      </c>
      <c r="R17" s="1718" t="s">
        <v>1543</v>
      </c>
      <c r="S17" s="1718" t="s">
        <v>1543</v>
      </c>
      <c r="T17" s="1719" t="s">
        <v>1543</v>
      </c>
      <c r="U17" s="1719" t="s">
        <v>1543</v>
      </c>
      <c r="V17" s="1719" t="s">
        <v>1543</v>
      </c>
      <c r="W17" s="1719" t="s">
        <v>1543</v>
      </c>
      <c r="X17" s="1719" t="s">
        <v>1473</v>
      </c>
      <c r="Y17" s="1719" t="s">
        <v>1473</v>
      </c>
      <c r="Z17" s="1719" t="s">
        <v>1543</v>
      </c>
      <c r="AA17" s="1719" t="s">
        <v>1543</v>
      </c>
      <c r="AB17" s="1719" t="s">
        <v>1543</v>
      </c>
      <c r="AC17" s="1719" t="s">
        <v>1543</v>
      </c>
      <c r="AD17" s="1719" t="s">
        <v>1543</v>
      </c>
      <c r="AE17" s="1720" t="s">
        <v>1543</v>
      </c>
      <c r="AF17" s="1720" t="s">
        <v>1543</v>
      </c>
      <c r="AG17" s="1720" t="s">
        <v>1543</v>
      </c>
      <c r="AH17" s="1720" t="s">
        <v>1544</v>
      </c>
      <c r="AI17" s="1720" t="s">
        <v>1486</v>
      </c>
      <c r="AJ17" s="1720" t="s">
        <v>1486</v>
      </c>
      <c r="AK17" s="1720" t="s">
        <v>1486</v>
      </c>
      <c r="AL17" s="1720" t="s">
        <v>1486</v>
      </c>
      <c r="AM17" s="1720" t="s">
        <v>1482</v>
      </c>
      <c r="AN17" s="1720" t="s">
        <v>1482</v>
      </c>
      <c r="AO17" s="1720" t="s">
        <v>1482</v>
      </c>
      <c r="AP17" s="1720" t="s">
        <v>1545</v>
      </c>
      <c r="AQ17" s="1720" t="s">
        <v>1486</v>
      </c>
      <c r="AR17" s="1720" t="s">
        <v>1486</v>
      </c>
      <c r="AS17" s="1720" t="s">
        <v>1486</v>
      </c>
      <c r="AT17" s="1720" t="s">
        <v>1486</v>
      </c>
      <c r="AU17" s="1720" t="s">
        <v>1486</v>
      </c>
      <c r="AV17" s="1720" t="s">
        <v>1486</v>
      </c>
      <c r="AW17" s="1720" t="s">
        <v>1486</v>
      </c>
      <c r="AX17" s="1720" t="s">
        <v>1486</v>
      </c>
      <c r="AY17" s="1720" t="s">
        <v>1486</v>
      </c>
      <c r="AZ17" s="1720" t="s">
        <v>1486</v>
      </c>
      <c r="BA17" s="1720" t="s">
        <v>1486</v>
      </c>
      <c r="BB17" s="1720" t="s">
        <v>1486</v>
      </c>
      <c r="BC17" s="1720" t="s">
        <v>1486</v>
      </c>
      <c r="BD17" s="1720" t="s">
        <v>1544</v>
      </c>
      <c r="BE17" s="1720" t="s">
        <v>1544</v>
      </c>
      <c r="BF17" s="1720" t="s">
        <v>1544</v>
      </c>
      <c r="BG17" s="1720" t="s">
        <v>1544</v>
      </c>
      <c r="BH17" s="1720" t="s">
        <v>1544</v>
      </c>
      <c r="BI17" s="1720" t="s">
        <v>1544</v>
      </c>
      <c r="BJ17" s="1720" t="s">
        <v>1544</v>
      </c>
      <c r="BK17" s="1720" t="s">
        <v>1544</v>
      </c>
      <c r="BL17" s="1720" t="s">
        <v>1544</v>
      </c>
      <c r="BM17" s="1720" t="s">
        <v>1546</v>
      </c>
      <c r="BN17" s="1720" t="s">
        <v>1547</v>
      </c>
      <c r="BO17" s="1720" t="s">
        <v>1547</v>
      </c>
      <c r="BP17" s="1720" t="s">
        <v>1547</v>
      </c>
      <c r="BQ17" s="1720" t="s">
        <v>1547</v>
      </c>
      <c r="BR17" s="1720" t="s">
        <v>1547</v>
      </c>
      <c r="BS17" s="1720" t="s">
        <v>1548</v>
      </c>
      <c r="BT17" s="1720" t="s">
        <v>1548</v>
      </c>
      <c r="BU17" s="1720" t="s">
        <v>1549</v>
      </c>
      <c r="BV17" s="1720" t="s">
        <v>1550</v>
      </c>
      <c r="BW17" s="1720" t="s">
        <v>1551</v>
      </c>
      <c r="BX17" s="1720" t="s">
        <v>1552</v>
      </c>
      <c r="BY17" s="1720" t="s">
        <v>1552</v>
      </c>
      <c r="BZ17" s="1720" t="s">
        <v>1553</v>
      </c>
      <c r="CA17" s="1720" t="s">
        <v>1553</v>
      </c>
      <c r="CB17" s="1720" t="s">
        <v>1554</v>
      </c>
      <c r="CC17" s="1720" t="s">
        <v>1555</v>
      </c>
      <c r="CD17" s="1720" t="s">
        <v>1556</v>
      </c>
      <c r="CE17" s="1720" t="s">
        <v>1557</v>
      </c>
      <c r="CF17" s="1720" t="s">
        <v>1558</v>
      </c>
      <c r="CG17" s="1720" t="s">
        <v>1558</v>
      </c>
      <c r="CH17" s="1721" t="s">
        <v>1558</v>
      </c>
      <c r="CI17" s="1722" t="s">
        <v>1559</v>
      </c>
      <c r="CJ17" s="1720" t="s">
        <v>1558</v>
      </c>
      <c r="CK17" s="1720" t="s">
        <v>1560</v>
      </c>
      <c r="CL17" s="1720" t="s">
        <v>1560</v>
      </c>
      <c r="CM17" s="1720" t="s">
        <v>1560</v>
      </c>
      <c r="CN17" s="1720" t="s">
        <v>1561</v>
      </c>
      <c r="CO17" s="1720" t="s">
        <v>1562</v>
      </c>
      <c r="CP17" s="1720" t="s">
        <v>1563</v>
      </c>
      <c r="CQ17" s="1705" t="s">
        <v>1564</v>
      </c>
      <c r="CR17" s="1705" t="s">
        <v>1564</v>
      </c>
      <c r="CS17" s="1705" t="s">
        <v>1565</v>
      </c>
      <c r="CT17" s="1705" t="s">
        <v>1566</v>
      </c>
      <c r="CU17" s="1705" t="s">
        <v>1567</v>
      </c>
      <c r="CV17" s="1705" t="s">
        <v>1568</v>
      </c>
      <c r="CW17" s="1705" t="s">
        <v>1569</v>
      </c>
      <c r="CX17" s="1705" t="s">
        <v>1567</v>
      </c>
      <c r="CY17" s="1705" t="s">
        <v>1566</v>
      </c>
      <c r="CZ17" s="1705" t="s">
        <v>1570</v>
      </c>
      <c r="DA17" s="1705" t="s">
        <v>1567</v>
      </c>
      <c r="DB17" s="1705" t="s">
        <v>1571</v>
      </c>
      <c r="DC17" s="1705" t="s">
        <v>1571</v>
      </c>
      <c r="DD17" s="1705" t="s">
        <v>1571</v>
      </c>
      <c r="DE17" s="1705" t="s">
        <v>1572</v>
      </c>
      <c r="DF17" s="1705" t="s">
        <v>1573</v>
      </c>
      <c r="DG17" s="1705" t="s">
        <v>1574</v>
      </c>
      <c r="DH17" s="1705" t="s">
        <v>1575</v>
      </c>
      <c r="DI17" s="1705" t="s">
        <v>1576</v>
      </c>
      <c r="DJ17" s="1705" t="s">
        <v>1577</v>
      </c>
      <c r="DK17" s="1705" t="s">
        <v>1578</v>
      </c>
      <c r="DL17" s="1705" t="s">
        <v>1579</v>
      </c>
      <c r="DM17" s="1705" t="s">
        <v>1580</v>
      </c>
      <c r="DN17" s="1705" t="s">
        <v>1581</v>
      </c>
      <c r="DO17" s="1705" t="s">
        <v>1581</v>
      </c>
      <c r="DP17" s="1705" t="s">
        <v>1582</v>
      </c>
      <c r="DQ17" s="1705" t="s">
        <v>1582</v>
      </c>
      <c r="DR17" s="1705" t="s">
        <v>1583</v>
      </c>
      <c r="DS17" s="1705" t="s">
        <v>1583</v>
      </c>
      <c r="DT17" s="1705" t="s">
        <v>1584</v>
      </c>
      <c r="DU17" s="1705" t="s">
        <v>1585</v>
      </c>
      <c r="DV17" s="1705" t="s">
        <v>1586</v>
      </c>
      <c r="DW17" s="1705" t="s">
        <v>1587</v>
      </c>
      <c r="DX17" s="1705" t="s">
        <v>1588</v>
      </c>
      <c r="DY17" s="1705" t="s">
        <v>1589</v>
      </c>
      <c r="DZ17" s="1705" t="s">
        <v>1587</v>
      </c>
      <c r="EA17" s="1705" t="s">
        <v>1590</v>
      </c>
    </row>
    <row r="18" spans="1:131" ht="17.45" customHeight="1" x14ac:dyDescent="0.25">
      <c r="A18" s="1677" t="s">
        <v>1591</v>
      </c>
      <c r="B18" s="1699" t="s">
        <v>1592</v>
      </c>
      <c r="C18" s="1700" t="s">
        <v>1592</v>
      </c>
      <c r="D18" s="1700" t="s">
        <v>1593</v>
      </c>
      <c r="E18" s="1700" t="s">
        <v>1594</v>
      </c>
      <c r="F18" s="1699" t="s">
        <v>1595</v>
      </c>
      <c r="G18" s="1700" t="s">
        <v>1596</v>
      </c>
      <c r="H18" s="1700" t="s">
        <v>1596</v>
      </c>
      <c r="I18" s="1700" t="s">
        <v>1596</v>
      </c>
      <c r="J18" s="1700" t="s">
        <v>1596</v>
      </c>
      <c r="K18" s="1700" t="s">
        <v>1596</v>
      </c>
      <c r="L18" s="1700" t="s">
        <v>1596</v>
      </c>
      <c r="M18" s="1700" t="s">
        <v>1596</v>
      </c>
      <c r="N18" s="1699" t="s">
        <v>1596</v>
      </c>
      <c r="O18" s="1700" t="s">
        <v>1596</v>
      </c>
      <c r="P18" s="1700" t="s">
        <v>1597</v>
      </c>
      <c r="Q18" s="1699" t="s">
        <v>1598</v>
      </c>
      <c r="R18" s="1700" t="s">
        <v>1596</v>
      </c>
      <c r="S18" s="1700" t="s">
        <v>1599</v>
      </c>
      <c r="T18" s="1701" t="s">
        <v>1600</v>
      </c>
      <c r="U18" s="1701" t="s">
        <v>1596</v>
      </c>
      <c r="V18" s="1701" t="s">
        <v>1601</v>
      </c>
      <c r="W18" s="1701" t="s">
        <v>1602</v>
      </c>
      <c r="X18" s="1701" t="s">
        <v>1599</v>
      </c>
      <c r="Y18" s="1701" t="s">
        <v>1603</v>
      </c>
      <c r="Z18" s="1701" t="s">
        <v>1604</v>
      </c>
      <c r="AA18" s="1701" t="s">
        <v>1605</v>
      </c>
      <c r="AB18" s="1701" t="s">
        <v>1606</v>
      </c>
      <c r="AC18" s="1701" t="s">
        <v>1606</v>
      </c>
      <c r="AD18" s="1701" t="s">
        <v>1605</v>
      </c>
      <c r="AE18" s="1702" t="s">
        <v>1605</v>
      </c>
      <c r="AF18" s="1702" t="s">
        <v>1607</v>
      </c>
      <c r="AG18" s="1702" t="s">
        <v>1608</v>
      </c>
      <c r="AH18" s="1702" t="s">
        <v>1609</v>
      </c>
      <c r="AI18" s="1702" t="s">
        <v>1610</v>
      </c>
      <c r="AJ18" s="1702" t="s">
        <v>1611</v>
      </c>
      <c r="AK18" s="1702" t="s">
        <v>1612</v>
      </c>
      <c r="AL18" s="1702" t="s">
        <v>1613</v>
      </c>
      <c r="AM18" s="1702" t="s">
        <v>1614</v>
      </c>
      <c r="AN18" s="1702" t="s">
        <v>1614</v>
      </c>
      <c r="AO18" s="1702" t="s">
        <v>1614</v>
      </c>
      <c r="AP18" s="1702" t="s">
        <v>1615</v>
      </c>
      <c r="AQ18" s="1702" t="s">
        <v>1616</v>
      </c>
      <c r="AR18" s="1702" t="s">
        <v>1616</v>
      </c>
      <c r="AS18" s="1702" t="s">
        <v>1616</v>
      </c>
      <c r="AT18" s="1702" t="s">
        <v>1617</v>
      </c>
      <c r="AU18" s="1702" t="s">
        <v>1618</v>
      </c>
      <c r="AV18" s="1702" t="s">
        <v>1619</v>
      </c>
      <c r="AW18" s="1702" t="s">
        <v>1619</v>
      </c>
      <c r="AX18" s="1702" t="s">
        <v>1620</v>
      </c>
      <c r="AY18" s="1702" t="s">
        <v>1620</v>
      </c>
      <c r="AZ18" s="1702" t="s">
        <v>1620</v>
      </c>
      <c r="BA18" s="1702" t="s">
        <v>1620</v>
      </c>
      <c r="BB18" s="1702" t="s">
        <v>1620</v>
      </c>
      <c r="BC18" s="1702" t="s">
        <v>1620</v>
      </c>
      <c r="BD18" s="1702" t="s">
        <v>1620</v>
      </c>
      <c r="BE18" s="1702" t="s">
        <v>1621</v>
      </c>
      <c r="BF18" s="1702" t="s">
        <v>1621</v>
      </c>
      <c r="BG18" s="1702" t="s">
        <v>1621</v>
      </c>
      <c r="BH18" s="1702" t="s">
        <v>1621</v>
      </c>
      <c r="BI18" s="1702" t="s">
        <v>1621</v>
      </c>
      <c r="BJ18" s="1702" t="s">
        <v>1621</v>
      </c>
      <c r="BK18" s="1702" t="s">
        <v>1621</v>
      </c>
      <c r="BL18" s="1702" t="s">
        <v>1622</v>
      </c>
      <c r="BM18" s="1702" t="s">
        <v>1622</v>
      </c>
      <c r="BN18" s="1702" t="s">
        <v>1622</v>
      </c>
      <c r="BO18" s="1702" t="s">
        <v>1622</v>
      </c>
      <c r="BP18" s="1702" t="s">
        <v>1622</v>
      </c>
      <c r="BQ18" s="1702" t="s">
        <v>1622</v>
      </c>
      <c r="BR18" s="1702" t="s">
        <v>1622</v>
      </c>
      <c r="BS18" s="1702" t="s">
        <v>1622</v>
      </c>
      <c r="BT18" s="1702" t="s">
        <v>1623</v>
      </c>
      <c r="BU18" s="1702" t="s">
        <v>1623</v>
      </c>
      <c r="BV18" s="1702" t="s">
        <v>1624</v>
      </c>
      <c r="BW18" s="1702" t="s">
        <v>1623</v>
      </c>
      <c r="BX18" s="1702" t="s">
        <v>1623</v>
      </c>
      <c r="BY18" s="1702" t="s">
        <v>1625</v>
      </c>
      <c r="BZ18" s="1702" t="s">
        <v>1625</v>
      </c>
      <c r="CA18" s="1702" t="s">
        <v>1625</v>
      </c>
      <c r="CB18" s="1702" t="s">
        <v>1626</v>
      </c>
      <c r="CC18" s="1702" t="s">
        <v>1627</v>
      </c>
      <c r="CD18" s="1702" t="s">
        <v>1628</v>
      </c>
      <c r="CE18" s="1702" t="s">
        <v>1629</v>
      </c>
      <c r="CF18" s="1702" t="s">
        <v>1630</v>
      </c>
      <c r="CG18" s="1702" t="s">
        <v>1631</v>
      </c>
      <c r="CH18" s="1703" t="s">
        <v>1631</v>
      </c>
      <c r="CI18" s="1704" t="s">
        <v>1632</v>
      </c>
      <c r="CJ18" s="1702" t="s">
        <v>1633</v>
      </c>
      <c r="CK18" s="1702" t="s">
        <v>1634</v>
      </c>
      <c r="CL18" s="1702" t="s">
        <v>1635</v>
      </c>
      <c r="CM18" s="1702" t="s">
        <v>1636</v>
      </c>
      <c r="CN18" s="1702" t="s">
        <v>1637</v>
      </c>
      <c r="CO18" s="1702" t="s">
        <v>1638</v>
      </c>
      <c r="CP18" s="1702" t="s">
        <v>1628</v>
      </c>
      <c r="CQ18" s="1705" t="s">
        <v>1639</v>
      </c>
      <c r="CR18" s="1705" t="s">
        <v>1636</v>
      </c>
      <c r="CS18" s="1705" t="s">
        <v>1640</v>
      </c>
      <c r="CT18" s="1705" t="s">
        <v>1510</v>
      </c>
      <c r="CU18" s="1705" t="s">
        <v>1641</v>
      </c>
      <c r="CV18" s="1705" t="s">
        <v>1642</v>
      </c>
      <c r="CW18" s="1705" t="s">
        <v>1643</v>
      </c>
      <c r="CX18" s="1705" t="s">
        <v>1644</v>
      </c>
      <c r="CY18" s="1705" t="s">
        <v>1641</v>
      </c>
      <c r="CZ18" s="1705" t="s">
        <v>1645</v>
      </c>
      <c r="DA18" s="1705" t="s">
        <v>1640</v>
      </c>
      <c r="DB18" s="1705" t="s">
        <v>1646</v>
      </c>
      <c r="DC18" s="1705" t="s">
        <v>1645</v>
      </c>
      <c r="DD18" s="1705" t="s">
        <v>1647</v>
      </c>
      <c r="DE18" s="1705" t="s">
        <v>1648</v>
      </c>
      <c r="DF18" s="1705" t="s">
        <v>1649</v>
      </c>
      <c r="DG18" s="1705" t="s">
        <v>1650</v>
      </c>
      <c r="DH18" s="1705" t="s">
        <v>1651</v>
      </c>
      <c r="DI18" s="1705" t="s">
        <v>1649</v>
      </c>
      <c r="DJ18" s="1705" t="s">
        <v>1652</v>
      </c>
      <c r="DK18" s="1705" t="s">
        <v>1653</v>
      </c>
      <c r="DL18" s="1705" t="s">
        <v>1654</v>
      </c>
      <c r="DM18" s="1705" t="s">
        <v>1655</v>
      </c>
      <c r="DN18" s="1705" t="s">
        <v>1656</v>
      </c>
      <c r="DO18" s="1705" t="s">
        <v>1657</v>
      </c>
      <c r="DP18" s="1705" t="s">
        <v>1658</v>
      </c>
      <c r="DQ18" s="1705" t="s">
        <v>1659</v>
      </c>
      <c r="DR18" s="1705" t="s">
        <v>1660</v>
      </c>
      <c r="DS18" s="1705" t="s">
        <v>1661</v>
      </c>
      <c r="DT18" s="1705" t="s">
        <v>1662</v>
      </c>
      <c r="DU18" s="1705" t="s">
        <v>1663</v>
      </c>
      <c r="DV18" s="1705" t="s">
        <v>1663</v>
      </c>
      <c r="DW18" s="1705" t="s">
        <v>1663</v>
      </c>
      <c r="DX18" s="1705" t="s">
        <v>1663</v>
      </c>
      <c r="DY18" s="1705" t="s">
        <v>1663</v>
      </c>
      <c r="DZ18" s="1705" t="s">
        <v>1664</v>
      </c>
      <c r="EA18" s="1705" t="s">
        <v>1665</v>
      </c>
    </row>
    <row r="19" spans="1:131" ht="17.45" customHeight="1" x14ac:dyDescent="0.25">
      <c r="A19" s="1677" t="s">
        <v>1538</v>
      </c>
      <c r="B19" s="1707"/>
      <c r="C19" s="1708"/>
      <c r="D19" s="1708"/>
      <c r="E19" s="1708"/>
      <c r="F19" s="1707"/>
      <c r="G19" s="1708"/>
      <c r="H19" s="1708"/>
      <c r="I19" s="1708"/>
      <c r="J19" s="1708"/>
      <c r="K19" s="1708"/>
      <c r="L19" s="1708"/>
      <c r="M19" s="1708"/>
      <c r="N19" s="1707"/>
      <c r="O19" s="1708"/>
      <c r="P19" s="1708"/>
      <c r="Q19" s="1707"/>
      <c r="R19" s="1708"/>
      <c r="S19" s="1708"/>
      <c r="T19" s="1709"/>
      <c r="U19" s="1709"/>
      <c r="V19" s="1709"/>
      <c r="W19" s="1709"/>
      <c r="X19" s="1709"/>
      <c r="Y19" s="1709"/>
      <c r="Z19" s="1709"/>
      <c r="AA19" s="1709"/>
      <c r="AB19" s="1709"/>
      <c r="AC19" s="1709"/>
      <c r="AD19" s="1709"/>
      <c r="AE19" s="1709"/>
      <c r="AF19" s="1709"/>
      <c r="AG19" s="1709"/>
      <c r="AH19" s="1709"/>
      <c r="AI19" s="1709"/>
      <c r="AJ19" s="1709"/>
      <c r="AK19" s="1709"/>
      <c r="AL19" s="1709"/>
      <c r="AM19" s="1709"/>
      <c r="AN19" s="1709"/>
      <c r="AO19" s="1709"/>
      <c r="AP19" s="1709"/>
      <c r="AQ19" s="1709"/>
      <c r="AR19" s="1709"/>
      <c r="AS19" s="1709"/>
      <c r="AT19" s="1709"/>
      <c r="AU19" s="1709"/>
      <c r="AV19" s="1709"/>
      <c r="AW19" s="1709"/>
      <c r="AX19" s="1709"/>
      <c r="AY19" s="1709"/>
      <c r="AZ19" s="1709"/>
      <c r="BA19" s="1709"/>
      <c r="BB19" s="1709"/>
      <c r="BC19" s="1709"/>
      <c r="BD19" s="1709"/>
      <c r="BE19" s="1709"/>
      <c r="BF19" s="1709"/>
      <c r="BG19" s="1709"/>
      <c r="BH19" s="1709"/>
      <c r="BI19" s="1709"/>
      <c r="BJ19" s="1709"/>
      <c r="BK19" s="1709"/>
      <c r="BL19" s="1709"/>
      <c r="BM19" s="1709"/>
      <c r="BN19" s="1709"/>
      <c r="BO19" s="1709"/>
      <c r="BP19" s="1709"/>
      <c r="BQ19" s="1709"/>
      <c r="BR19" s="1709"/>
      <c r="BS19" s="1709"/>
      <c r="BT19" s="1709"/>
      <c r="BU19" s="1709"/>
      <c r="BV19" s="1709"/>
      <c r="BW19" s="1709"/>
      <c r="BX19" s="1709"/>
      <c r="BY19" s="1709"/>
      <c r="BZ19" s="1710"/>
      <c r="CA19" s="1709"/>
      <c r="CB19" s="1709"/>
      <c r="CC19" s="1709"/>
      <c r="CD19" s="1709"/>
      <c r="CE19" s="1709"/>
      <c r="CF19" s="1709"/>
      <c r="CG19" s="1709"/>
      <c r="CH19" s="1709"/>
      <c r="CI19" s="1709"/>
      <c r="CJ19" s="1709"/>
      <c r="CK19" s="1709"/>
      <c r="CL19" s="1709"/>
      <c r="CM19" s="1709"/>
      <c r="CN19" s="1709"/>
      <c r="CO19" s="1709"/>
      <c r="CP19" s="1709"/>
      <c r="CQ19" s="1705"/>
      <c r="CR19" s="1723"/>
      <c r="CS19" s="1723"/>
      <c r="CT19" s="1723"/>
      <c r="CU19" s="1723"/>
      <c r="CV19" s="1723"/>
      <c r="CW19" s="1723"/>
      <c r="CX19" s="1723"/>
      <c r="CY19" s="1723"/>
      <c r="CZ19" s="1723"/>
      <c r="DA19" s="1723"/>
      <c r="DB19" s="1723"/>
      <c r="DC19" s="1724"/>
      <c r="DD19" s="1724"/>
      <c r="DE19" s="1724"/>
      <c r="DF19" s="1724"/>
      <c r="DG19" s="1724"/>
      <c r="DH19" s="1724"/>
      <c r="DI19" s="1724"/>
      <c r="DJ19" s="1724"/>
      <c r="DK19" s="1724"/>
      <c r="DL19" s="1724"/>
      <c r="DM19" s="1724"/>
      <c r="DN19" s="1724"/>
      <c r="DO19" s="1724"/>
      <c r="DP19" s="1724"/>
      <c r="DQ19" s="1724"/>
      <c r="DR19" s="1724"/>
      <c r="DS19" s="1724"/>
      <c r="DT19" s="1724"/>
      <c r="DU19" s="1724"/>
      <c r="DV19" s="1724"/>
      <c r="DW19" s="1724"/>
      <c r="DX19" s="1724"/>
      <c r="DY19" s="1724"/>
      <c r="DZ19" s="1724"/>
      <c r="EA19" s="1724"/>
    </row>
    <row r="20" spans="1:131" ht="17.45" customHeight="1" x14ac:dyDescent="0.25">
      <c r="A20" s="1716" t="s">
        <v>1666</v>
      </c>
      <c r="B20" s="1717" t="s">
        <v>1594</v>
      </c>
      <c r="C20" s="1718" t="s">
        <v>1667</v>
      </c>
      <c r="D20" s="1718" t="s">
        <v>1667</v>
      </c>
      <c r="E20" s="1718" t="s">
        <v>1594</v>
      </c>
      <c r="F20" s="1717" t="s">
        <v>1667</v>
      </c>
      <c r="G20" s="1718" t="s">
        <v>1668</v>
      </c>
      <c r="H20" s="1718" t="s">
        <v>1668</v>
      </c>
      <c r="I20" s="1718" t="s">
        <v>1668</v>
      </c>
      <c r="J20" s="1718" t="s">
        <v>1669</v>
      </c>
      <c r="K20" s="1718" t="s">
        <v>1668</v>
      </c>
      <c r="L20" s="1718" t="s">
        <v>1668</v>
      </c>
      <c r="M20" s="1718" t="s">
        <v>1669</v>
      </c>
      <c r="N20" s="1717" t="s">
        <v>1670</v>
      </c>
      <c r="O20" s="1718" t="s">
        <v>1670</v>
      </c>
      <c r="P20" s="1718" t="s">
        <v>1671</v>
      </c>
      <c r="Q20" s="1717" t="s">
        <v>1672</v>
      </c>
      <c r="R20" s="1718" t="s">
        <v>1672</v>
      </c>
      <c r="S20" s="1718" t="s">
        <v>1672</v>
      </c>
      <c r="T20" s="1719" t="s">
        <v>1673</v>
      </c>
      <c r="U20" s="1719" t="s">
        <v>1673</v>
      </c>
      <c r="V20" s="1719" t="s">
        <v>1674</v>
      </c>
      <c r="W20" s="1719" t="s">
        <v>1673</v>
      </c>
      <c r="X20" s="1719" t="s">
        <v>1675</v>
      </c>
      <c r="Y20" s="1719" t="s">
        <v>1673</v>
      </c>
      <c r="Z20" s="1719" t="s">
        <v>1676</v>
      </c>
      <c r="AA20" s="1719" t="s">
        <v>1677</v>
      </c>
      <c r="AB20" s="1719" t="s">
        <v>1678</v>
      </c>
      <c r="AC20" s="1719" t="s">
        <v>1679</v>
      </c>
      <c r="AD20" s="1719" t="s">
        <v>1680</v>
      </c>
      <c r="AE20" s="1719" t="s">
        <v>1681</v>
      </c>
      <c r="AF20" s="1719" t="s">
        <v>1682</v>
      </c>
      <c r="AG20" s="1719" t="s">
        <v>1683</v>
      </c>
      <c r="AH20" s="1719" t="s">
        <v>1677</v>
      </c>
      <c r="AI20" s="1719" t="s">
        <v>1677</v>
      </c>
      <c r="AJ20" s="1719" t="s">
        <v>1684</v>
      </c>
      <c r="AK20" s="1719" t="s">
        <v>1684</v>
      </c>
      <c r="AL20" s="1719" t="s">
        <v>1685</v>
      </c>
      <c r="AM20" s="1719" t="s">
        <v>1686</v>
      </c>
      <c r="AN20" s="1719" t="s">
        <v>1686</v>
      </c>
      <c r="AO20" s="1719" t="s">
        <v>1686</v>
      </c>
      <c r="AP20" s="1719" t="s">
        <v>1686</v>
      </c>
      <c r="AQ20" s="1719" t="s">
        <v>1686</v>
      </c>
      <c r="AR20" s="1719" t="s">
        <v>1686</v>
      </c>
      <c r="AS20" s="1719" t="s">
        <v>1686</v>
      </c>
      <c r="AT20" s="1719" t="s">
        <v>1687</v>
      </c>
      <c r="AU20" s="1719" t="s">
        <v>1667</v>
      </c>
      <c r="AV20" s="1719" t="s">
        <v>1667</v>
      </c>
      <c r="AW20" s="1719" t="s">
        <v>1667</v>
      </c>
      <c r="AX20" s="1719" t="s">
        <v>1688</v>
      </c>
      <c r="AY20" s="1719" t="s">
        <v>1596</v>
      </c>
      <c r="AZ20" s="1719" t="s">
        <v>1689</v>
      </c>
      <c r="BA20" s="1719" t="s">
        <v>1689</v>
      </c>
      <c r="BB20" s="1719" t="s">
        <v>1689</v>
      </c>
      <c r="BC20" s="1719" t="s">
        <v>1689</v>
      </c>
      <c r="BD20" s="1719" t="s">
        <v>1689</v>
      </c>
      <c r="BE20" s="1719" t="s">
        <v>1690</v>
      </c>
      <c r="BF20" s="1719" t="s">
        <v>1690</v>
      </c>
      <c r="BG20" s="1719" t="s">
        <v>1690</v>
      </c>
      <c r="BH20" s="1719" t="s">
        <v>1690</v>
      </c>
      <c r="BI20" s="1719" t="s">
        <v>1690</v>
      </c>
      <c r="BJ20" s="1719" t="s">
        <v>1691</v>
      </c>
      <c r="BK20" s="1719" t="s">
        <v>1691</v>
      </c>
      <c r="BL20" s="1719" t="s">
        <v>1692</v>
      </c>
      <c r="BM20" s="1719" t="s">
        <v>1693</v>
      </c>
      <c r="BN20" s="1719" t="s">
        <v>1693</v>
      </c>
      <c r="BO20" s="1719" t="s">
        <v>1694</v>
      </c>
      <c r="BP20" s="1719" t="s">
        <v>1693</v>
      </c>
      <c r="BQ20" s="1719" t="s">
        <v>1693</v>
      </c>
      <c r="BR20" s="1719" t="s">
        <v>1693</v>
      </c>
      <c r="BS20" s="1719" t="s">
        <v>1695</v>
      </c>
      <c r="BT20" s="1719" t="s">
        <v>1695</v>
      </c>
      <c r="BU20" s="1719" t="s">
        <v>1696</v>
      </c>
      <c r="BV20" s="1719" t="s">
        <v>1696</v>
      </c>
      <c r="BW20" s="1719" t="s">
        <v>1697</v>
      </c>
      <c r="BX20" s="1719" t="s">
        <v>1698</v>
      </c>
      <c r="BY20" s="1719" t="s">
        <v>1698</v>
      </c>
      <c r="BZ20" s="1720" t="s">
        <v>1698</v>
      </c>
      <c r="CA20" s="1719" t="s">
        <v>1698</v>
      </c>
      <c r="CB20" s="1719" t="s">
        <v>1699</v>
      </c>
      <c r="CC20" s="1719" t="s">
        <v>1700</v>
      </c>
      <c r="CD20" s="1719" t="s">
        <v>1701</v>
      </c>
      <c r="CE20" s="1719" t="s">
        <v>1702</v>
      </c>
      <c r="CF20" s="1719" t="s">
        <v>1703</v>
      </c>
      <c r="CG20" s="1719" t="s">
        <v>1701</v>
      </c>
      <c r="CH20" s="1719" t="s">
        <v>1704</v>
      </c>
      <c r="CI20" s="1719" t="s">
        <v>1704</v>
      </c>
      <c r="CJ20" s="1719" t="s">
        <v>1704</v>
      </c>
      <c r="CK20" s="1719" t="s">
        <v>1705</v>
      </c>
      <c r="CL20" s="1719" t="s">
        <v>1706</v>
      </c>
      <c r="CM20" s="1719" t="s">
        <v>1706</v>
      </c>
      <c r="CN20" s="1719" t="s">
        <v>1706</v>
      </c>
      <c r="CO20" s="1719" t="s">
        <v>1707</v>
      </c>
      <c r="CP20" s="1719" t="s">
        <v>1636</v>
      </c>
      <c r="CQ20" s="1705" t="s">
        <v>1708</v>
      </c>
      <c r="CR20" s="1705" t="s">
        <v>1709</v>
      </c>
      <c r="CS20" s="1705" t="s">
        <v>1710</v>
      </c>
      <c r="CT20" s="1705" t="s">
        <v>1711</v>
      </c>
      <c r="CU20" s="1705" t="s">
        <v>1569</v>
      </c>
      <c r="CV20" s="1705" t="s">
        <v>1569</v>
      </c>
      <c r="CW20" s="1705" t="s">
        <v>1712</v>
      </c>
      <c r="CX20" s="1705" t="s">
        <v>1712</v>
      </c>
      <c r="CY20" s="1705" t="s">
        <v>1713</v>
      </c>
      <c r="CZ20" s="1705" t="s">
        <v>1712</v>
      </c>
      <c r="DA20" s="1705" t="s">
        <v>1712</v>
      </c>
      <c r="DB20" s="1705" t="s">
        <v>1714</v>
      </c>
      <c r="DC20" s="1705" t="s">
        <v>1715</v>
      </c>
      <c r="DD20" s="1705" t="s">
        <v>1714</v>
      </c>
      <c r="DE20" s="1705" t="s">
        <v>1714</v>
      </c>
      <c r="DF20" s="1705" t="s">
        <v>1714</v>
      </c>
      <c r="DG20" s="1705" t="s">
        <v>1714</v>
      </c>
      <c r="DH20" s="1705" t="s">
        <v>1714</v>
      </c>
      <c r="DI20" s="1705" t="s">
        <v>1714</v>
      </c>
      <c r="DJ20" s="1705" t="s">
        <v>1714</v>
      </c>
      <c r="DK20" s="1705" t="s">
        <v>1714</v>
      </c>
      <c r="DL20" s="1705" t="s">
        <v>1716</v>
      </c>
      <c r="DM20" s="1705" t="s">
        <v>1717</v>
      </c>
      <c r="DN20" s="1705" t="s">
        <v>1717</v>
      </c>
      <c r="DO20" s="1705" t="s">
        <v>1718</v>
      </c>
      <c r="DP20" s="1705" t="s">
        <v>1719</v>
      </c>
      <c r="DQ20" s="1705" t="s">
        <v>1718</v>
      </c>
      <c r="DR20" s="1705" t="s">
        <v>1720</v>
      </c>
      <c r="DS20" s="1705" t="s">
        <v>1719</v>
      </c>
      <c r="DT20" s="1705" t="s">
        <v>1520</v>
      </c>
      <c r="DU20" s="1705" t="s">
        <v>1520</v>
      </c>
      <c r="DV20" s="1705" t="s">
        <v>1721</v>
      </c>
      <c r="DW20" s="1705" t="s">
        <v>1722</v>
      </c>
      <c r="DX20" s="1705" t="s">
        <v>1723</v>
      </c>
      <c r="DY20" s="1705" t="s">
        <v>1724</v>
      </c>
      <c r="DZ20" s="1705" t="s">
        <v>1665</v>
      </c>
      <c r="EA20" s="1705" t="s">
        <v>1665</v>
      </c>
    </row>
    <row r="21" spans="1:131" ht="17.45" customHeight="1" x14ac:dyDescent="0.25">
      <c r="A21" s="1677" t="s">
        <v>1725</v>
      </c>
      <c r="B21" s="1699" t="s">
        <v>1726</v>
      </c>
      <c r="C21" s="1700" t="s">
        <v>1727</v>
      </c>
      <c r="D21" s="1700" t="s">
        <v>1728</v>
      </c>
      <c r="E21" s="1700" t="s">
        <v>1728</v>
      </c>
      <c r="F21" s="1699" t="s">
        <v>1728</v>
      </c>
      <c r="G21" s="1700" t="s">
        <v>1473</v>
      </c>
      <c r="H21" s="1700" t="s">
        <v>1729</v>
      </c>
      <c r="I21" s="1700" t="s">
        <v>1729</v>
      </c>
      <c r="J21" s="1700" t="s">
        <v>1729</v>
      </c>
      <c r="K21" s="1700" t="s">
        <v>1594</v>
      </c>
      <c r="L21" s="1700" t="s">
        <v>1594</v>
      </c>
      <c r="M21" s="1700" t="s">
        <v>1594</v>
      </c>
      <c r="N21" s="1699" t="s">
        <v>1594</v>
      </c>
      <c r="O21" s="1700" t="s">
        <v>1730</v>
      </c>
      <c r="P21" s="1700" t="s">
        <v>1731</v>
      </c>
      <c r="Q21" s="1699" t="s">
        <v>1601</v>
      </c>
      <c r="R21" s="1700" t="s">
        <v>1598</v>
      </c>
      <c r="S21" s="1700" t="s">
        <v>1603</v>
      </c>
      <c r="T21" s="1701" t="s">
        <v>1598</v>
      </c>
      <c r="U21" s="1701" t="s">
        <v>1732</v>
      </c>
      <c r="V21" s="1701" t="s">
        <v>1601</v>
      </c>
      <c r="W21" s="1701" t="s">
        <v>1733</v>
      </c>
      <c r="X21" s="1701" t="s">
        <v>1734</v>
      </c>
      <c r="Y21" s="1701" t="s">
        <v>1601</v>
      </c>
      <c r="Z21" s="1701" t="s">
        <v>1735</v>
      </c>
      <c r="AA21" s="1701" t="s">
        <v>1605</v>
      </c>
      <c r="AB21" s="1701" t="s">
        <v>1604</v>
      </c>
      <c r="AC21" s="1701" t="s">
        <v>1605</v>
      </c>
      <c r="AD21" s="1701" t="s">
        <v>1607</v>
      </c>
      <c r="AE21" s="1701" t="s">
        <v>1736</v>
      </c>
      <c r="AF21" s="1701" t="s">
        <v>1737</v>
      </c>
      <c r="AG21" s="1701" t="s">
        <v>1738</v>
      </c>
      <c r="AH21" s="1701" t="s">
        <v>1739</v>
      </c>
      <c r="AI21" s="1701" t="s">
        <v>1740</v>
      </c>
      <c r="AJ21" s="1701" t="s">
        <v>1741</v>
      </c>
      <c r="AK21" s="1701" t="s">
        <v>1742</v>
      </c>
      <c r="AL21" s="1701" t="s">
        <v>1743</v>
      </c>
      <c r="AM21" s="1701" t="s">
        <v>1744</v>
      </c>
      <c r="AN21" s="1701" t="s">
        <v>1745</v>
      </c>
      <c r="AO21" s="1701" t="s">
        <v>1746</v>
      </c>
      <c r="AP21" s="1701" t="s">
        <v>1747</v>
      </c>
      <c r="AQ21" s="1701" t="s">
        <v>1726</v>
      </c>
      <c r="AR21" s="1701" t="s">
        <v>1726</v>
      </c>
      <c r="AS21" s="1701" t="s">
        <v>1726</v>
      </c>
      <c r="AT21" s="1701" t="s">
        <v>1726</v>
      </c>
      <c r="AU21" s="1701" t="s">
        <v>1748</v>
      </c>
      <c r="AV21" s="1701" t="s">
        <v>1749</v>
      </c>
      <c r="AW21" s="1701" t="s">
        <v>1749</v>
      </c>
      <c r="AX21" s="1701" t="s">
        <v>1749</v>
      </c>
      <c r="AY21" s="1701" t="s">
        <v>1749</v>
      </c>
      <c r="AZ21" s="1701" t="s">
        <v>1749</v>
      </c>
      <c r="BA21" s="1701" t="s">
        <v>1749</v>
      </c>
      <c r="BB21" s="1701" t="s">
        <v>1749</v>
      </c>
      <c r="BC21" s="1701" t="s">
        <v>1749</v>
      </c>
      <c r="BD21" s="1701" t="s">
        <v>1749</v>
      </c>
      <c r="BE21" s="1701" t="s">
        <v>1749</v>
      </c>
      <c r="BF21" s="1701" t="s">
        <v>1749</v>
      </c>
      <c r="BG21" s="1701" t="s">
        <v>1749</v>
      </c>
      <c r="BH21" s="1701" t="s">
        <v>1749</v>
      </c>
      <c r="BI21" s="1701" t="s">
        <v>1749</v>
      </c>
      <c r="BJ21" s="1701" t="s">
        <v>1749</v>
      </c>
      <c r="BK21" s="1701" t="s">
        <v>1749</v>
      </c>
      <c r="BL21" s="1701" t="s">
        <v>1749</v>
      </c>
      <c r="BM21" s="1701" t="s">
        <v>1750</v>
      </c>
      <c r="BN21" s="1701" t="s">
        <v>1750</v>
      </c>
      <c r="BO21" s="1701" t="s">
        <v>1750</v>
      </c>
      <c r="BP21" s="1701" t="s">
        <v>1750</v>
      </c>
      <c r="BQ21" s="1701" t="s">
        <v>1750</v>
      </c>
      <c r="BR21" s="1701" t="s">
        <v>1750</v>
      </c>
      <c r="BS21" s="1701" t="s">
        <v>1751</v>
      </c>
      <c r="BT21" s="1701" t="s">
        <v>1751</v>
      </c>
      <c r="BU21" s="1701" t="s">
        <v>1752</v>
      </c>
      <c r="BV21" s="1701" t="s">
        <v>1752</v>
      </c>
      <c r="BW21" s="1701" t="s">
        <v>1752</v>
      </c>
      <c r="BX21" s="1701" t="s">
        <v>1753</v>
      </c>
      <c r="BY21" s="1701" t="s">
        <v>1548</v>
      </c>
      <c r="BZ21" s="1702" t="s">
        <v>1548</v>
      </c>
      <c r="CA21" s="1701" t="s">
        <v>1548</v>
      </c>
      <c r="CB21" s="1701" t="s">
        <v>1548</v>
      </c>
      <c r="CC21" s="1701" t="s">
        <v>1754</v>
      </c>
      <c r="CD21" s="1701" t="s">
        <v>1755</v>
      </c>
      <c r="CE21" s="1701" t="s">
        <v>1756</v>
      </c>
      <c r="CF21" s="1701" t="s">
        <v>1757</v>
      </c>
      <c r="CG21" s="1725" t="s">
        <v>1758</v>
      </c>
      <c r="CH21" s="1701" t="s">
        <v>1758</v>
      </c>
      <c r="CI21" s="1701" t="s">
        <v>1759</v>
      </c>
      <c r="CJ21" s="1701" t="s">
        <v>1760</v>
      </c>
      <c r="CK21" s="1701" t="s">
        <v>1761</v>
      </c>
      <c r="CL21" s="1701" t="s">
        <v>1760</v>
      </c>
      <c r="CM21" s="1701" t="s">
        <v>1762</v>
      </c>
      <c r="CN21" s="1701" t="s">
        <v>1762</v>
      </c>
      <c r="CO21" s="1701" t="s">
        <v>1762</v>
      </c>
      <c r="CP21" s="1701" t="s">
        <v>1763</v>
      </c>
      <c r="CQ21" s="1705" t="s">
        <v>1764</v>
      </c>
      <c r="CR21" s="1705" t="s">
        <v>1765</v>
      </c>
      <c r="CS21" s="1705" t="s">
        <v>1766</v>
      </c>
      <c r="CT21" s="1705" t="s">
        <v>1767</v>
      </c>
      <c r="CU21" s="1705" t="s">
        <v>1756</v>
      </c>
      <c r="CV21" s="1705" t="s">
        <v>1768</v>
      </c>
      <c r="CW21" s="1705" t="s">
        <v>1769</v>
      </c>
      <c r="CX21" s="1705" t="s">
        <v>1770</v>
      </c>
      <c r="CY21" s="1705" t="s">
        <v>1770</v>
      </c>
      <c r="CZ21" s="1705" t="s">
        <v>1771</v>
      </c>
      <c r="DA21" s="1705" t="s">
        <v>1772</v>
      </c>
      <c r="DB21" s="1705" t="s">
        <v>1773</v>
      </c>
      <c r="DC21" s="1705" t="s">
        <v>1774</v>
      </c>
      <c r="DD21" s="1705" t="s">
        <v>1768</v>
      </c>
      <c r="DE21" s="1705" t="s">
        <v>1775</v>
      </c>
      <c r="DF21" s="1705" t="s">
        <v>1776</v>
      </c>
      <c r="DG21" s="1705" t="s">
        <v>1777</v>
      </c>
      <c r="DH21" s="1705" t="s">
        <v>1778</v>
      </c>
      <c r="DI21" s="1705" t="s">
        <v>1779</v>
      </c>
      <c r="DJ21" s="1705" t="s">
        <v>1780</v>
      </c>
      <c r="DK21" s="1705" t="s">
        <v>1781</v>
      </c>
      <c r="DL21" s="1705" t="s">
        <v>1782</v>
      </c>
      <c r="DM21" s="1705" t="s">
        <v>1783</v>
      </c>
      <c r="DN21" s="1705" t="s">
        <v>1784</v>
      </c>
      <c r="DO21" s="1705" t="s">
        <v>1785</v>
      </c>
      <c r="DP21" s="1705" t="s">
        <v>1786</v>
      </c>
      <c r="DQ21" s="1705" t="s">
        <v>1787</v>
      </c>
      <c r="DR21" s="1705" t="s">
        <v>1788</v>
      </c>
      <c r="DS21" s="1705" t="s">
        <v>1789</v>
      </c>
      <c r="DT21" s="1705" t="s">
        <v>1788</v>
      </c>
      <c r="DU21" s="1705" t="s">
        <v>1789</v>
      </c>
      <c r="DV21" s="1705" t="s">
        <v>1790</v>
      </c>
      <c r="DW21" s="1705" t="s">
        <v>1791</v>
      </c>
      <c r="DX21" s="1705" t="s">
        <v>1792</v>
      </c>
      <c r="DY21" s="1705" t="s">
        <v>1793</v>
      </c>
      <c r="DZ21" s="1705" t="s">
        <v>1793</v>
      </c>
      <c r="EA21" s="1705" t="s">
        <v>1794</v>
      </c>
    </row>
    <row r="22" spans="1:131" ht="17.45" customHeight="1" x14ac:dyDescent="0.25">
      <c r="A22" s="1677" t="s">
        <v>1538</v>
      </c>
      <c r="B22" s="1707"/>
      <c r="C22" s="1708"/>
      <c r="D22" s="1708"/>
      <c r="E22" s="1708"/>
      <c r="F22" s="1707"/>
      <c r="G22" s="1708"/>
      <c r="H22" s="1708"/>
      <c r="I22" s="1708"/>
      <c r="J22" s="1708"/>
      <c r="K22" s="1708"/>
      <c r="L22" s="1708"/>
      <c r="M22" s="1708"/>
      <c r="N22" s="1707"/>
      <c r="O22" s="1708"/>
      <c r="P22" s="1708"/>
      <c r="Q22" s="1707"/>
      <c r="R22" s="1708"/>
      <c r="S22" s="1708"/>
      <c r="T22" s="1709"/>
      <c r="U22" s="1709"/>
      <c r="V22" s="1709"/>
      <c r="W22" s="1709"/>
      <c r="X22" s="1709"/>
      <c r="Y22" s="1709"/>
      <c r="Z22" s="1709"/>
      <c r="AA22" s="1709"/>
      <c r="AB22" s="1709"/>
      <c r="AC22" s="1709"/>
      <c r="AD22" s="1709"/>
      <c r="AE22" s="1709"/>
      <c r="AF22" s="1709"/>
      <c r="AG22" s="1709"/>
      <c r="AH22" s="1709"/>
      <c r="AI22" s="1709"/>
      <c r="AJ22" s="1709"/>
      <c r="AK22" s="1709"/>
      <c r="AL22" s="1709"/>
      <c r="AM22" s="1709"/>
      <c r="AN22" s="1709"/>
      <c r="AO22" s="1709"/>
      <c r="AP22" s="1709"/>
      <c r="AQ22" s="1709"/>
      <c r="AR22" s="1709"/>
      <c r="AS22" s="1709"/>
      <c r="AT22" s="1709"/>
      <c r="AU22" s="1709"/>
      <c r="AV22" s="1709"/>
      <c r="AW22" s="1709"/>
      <c r="AX22" s="1709"/>
      <c r="AY22" s="1709"/>
      <c r="AZ22" s="1709"/>
      <c r="BA22" s="1709"/>
      <c r="BB22" s="1709"/>
      <c r="BC22" s="1709"/>
      <c r="BD22" s="1709"/>
      <c r="BE22" s="1709"/>
      <c r="BF22" s="1709"/>
      <c r="BG22" s="1709"/>
      <c r="BH22" s="1709"/>
      <c r="BI22" s="1709"/>
      <c r="BJ22" s="1709"/>
      <c r="BK22" s="1709"/>
      <c r="BL22" s="1709"/>
      <c r="BM22" s="1709"/>
      <c r="BN22" s="1709"/>
      <c r="BO22" s="1709"/>
      <c r="BP22" s="1709"/>
      <c r="BQ22" s="1709"/>
      <c r="BR22" s="1709"/>
      <c r="BS22" s="1709"/>
      <c r="BT22" s="1709"/>
      <c r="BU22" s="1709"/>
      <c r="BV22" s="1709"/>
      <c r="BW22" s="1709"/>
      <c r="BX22" s="1709"/>
      <c r="BY22" s="1709"/>
      <c r="BZ22" s="1710"/>
      <c r="CA22" s="1709"/>
      <c r="CB22" s="1709"/>
      <c r="CC22" s="1709"/>
      <c r="CD22" s="1709"/>
      <c r="CE22" s="1709"/>
      <c r="CF22" s="1709"/>
      <c r="CG22" s="1709"/>
      <c r="CH22" s="1709"/>
      <c r="CI22" s="1709"/>
      <c r="CJ22" s="1709"/>
      <c r="CK22" s="1709"/>
      <c r="CL22" s="1709"/>
      <c r="CM22" s="1709"/>
      <c r="CN22" s="1709"/>
      <c r="CO22" s="1709"/>
      <c r="CP22" s="1709"/>
      <c r="CQ22" s="1726"/>
      <c r="CR22" s="1723"/>
      <c r="CS22" s="1723"/>
      <c r="CT22" s="1723"/>
      <c r="CU22" s="1723"/>
      <c r="CV22" s="1723"/>
      <c r="CW22" s="1723"/>
      <c r="CX22" s="1723"/>
      <c r="CY22" s="1723"/>
      <c r="CZ22" s="1723"/>
      <c r="DA22" s="1723"/>
      <c r="DB22" s="1723"/>
      <c r="DC22" s="1724"/>
      <c r="DD22" s="1724"/>
      <c r="DE22" s="1724"/>
      <c r="DF22" s="1724"/>
      <c r="DG22" s="1724"/>
      <c r="DH22" s="1724"/>
      <c r="DI22" s="1724"/>
      <c r="DJ22" s="1724"/>
      <c r="DK22" s="1724"/>
      <c r="DL22" s="1724"/>
      <c r="DM22" s="1724"/>
      <c r="DN22" s="1724"/>
      <c r="DO22" s="1724"/>
      <c r="DP22" s="1724"/>
      <c r="DQ22" s="1724"/>
      <c r="DR22" s="1724"/>
      <c r="DS22" s="1724"/>
      <c r="DT22" s="1724"/>
      <c r="DU22" s="1724"/>
      <c r="DV22" s="1724"/>
      <c r="DW22" s="1724"/>
      <c r="DX22" s="1724"/>
      <c r="DY22" s="1724"/>
      <c r="DZ22" s="1724"/>
      <c r="EA22" s="1724"/>
    </row>
    <row r="23" spans="1:131" ht="17.45" customHeight="1" x14ac:dyDescent="0.25">
      <c r="A23" s="1716" t="s">
        <v>1795</v>
      </c>
      <c r="B23" s="1717" t="s">
        <v>1726</v>
      </c>
      <c r="C23" s="1718" t="s">
        <v>1728</v>
      </c>
      <c r="D23" s="1718" t="s">
        <v>1728</v>
      </c>
      <c r="E23" s="1718" t="s">
        <v>1728</v>
      </c>
      <c r="F23" s="1717" t="s">
        <v>1728</v>
      </c>
      <c r="G23" s="1718" t="s">
        <v>1796</v>
      </c>
      <c r="H23" s="1718" t="s">
        <v>1796</v>
      </c>
      <c r="I23" s="1718" t="s">
        <v>1796</v>
      </c>
      <c r="J23" s="1718" t="s">
        <v>1796</v>
      </c>
      <c r="K23" s="1718" t="s">
        <v>1796</v>
      </c>
      <c r="L23" s="1718" t="s">
        <v>1796</v>
      </c>
      <c r="M23" s="1718" t="s">
        <v>1796</v>
      </c>
      <c r="N23" s="1717" t="s">
        <v>1796</v>
      </c>
      <c r="O23" s="1718" t="s">
        <v>1796</v>
      </c>
      <c r="P23" s="1718" t="s">
        <v>1731</v>
      </c>
      <c r="Q23" s="1717" t="s">
        <v>1601</v>
      </c>
      <c r="R23" s="1718" t="s">
        <v>1601</v>
      </c>
      <c r="S23" s="1718" t="s">
        <v>1601</v>
      </c>
      <c r="T23" s="1719" t="s">
        <v>1598</v>
      </c>
      <c r="U23" s="1719" t="s">
        <v>1612</v>
      </c>
      <c r="V23" s="1719" t="s">
        <v>1797</v>
      </c>
      <c r="W23" s="1719" t="s">
        <v>1796</v>
      </c>
      <c r="X23" s="1719" t="s">
        <v>1796</v>
      </c>
      <c r="Y23" s="1719" t="s">
        <v>1796</v>
      </c>
      <c r="Z23" s="1719" t="s">
        <v>1596</v>
      </c>
      <c r="AA23" s="1719" t="s">
        <v>1605</v>
      </c>
      <c r="AB23" s="1719" t="s">
        <v>1604</v>
      </c>
      <c r="AC23" s="1719" t="s">
        <v>1605</v>
      </c>
      <c r="AD23" s="1719" t="s">
        <v>1607</v>
      </c>
      <c r="AE23" s="1719" t="s">
        <v>1596</v>
      </c>
      <c r="AF23" s="1719" t="s">
        <v>1605</v>
      </c>
      <c r="AG23" s="1719" t="s">
        <v>1738</v>
      </c>
      <c r="AH23" s="1719" t="s">
        <v>1739</v>
      </c>
      <c r="AI23" s="1719" t="s">
        <v>1473</v>
      </c>
      <c r="AJ23" s="1719" t="s">
        <v>1798</v>
      </c>
      <c r="AK23" s="1719" t="s">
        <v>1798</v>
      </c>
      <c r="AL23" s="1719" t="s">
        <v>1799</v>
      </c>
      <c r="AM23" s="1719" t="s">
        <v>1800</v>
      </c>
      <c r="AN23" s="1719" t="s">
        <v>1746</v>
      </c>
      <c r="AO23" s="1719" t="s">
        <v>1472</v>
      </c>
      <c r="AP23" s="1719" t="s">
        <v>1801</v>
      </c>
      <c r="AQ23" s="1719" t="s">
        <v>1801</v>
      </c>
      <c r="AR23" s="1719" t="s">
        <v>1801</v>
      </c>
      <c r="AS23" s="1719" t="s">
        <v>1802</v>
      </c>
      <c r="AT23" s="1719" t="s">
        <v>1802</v>
      </c>
      <c r="AU23" s="1719" t="s">
        <v>1803</v>
      </c>
      <c r="AV23" s="1719" t="s">
        <v>1804</v>
      </c>
      <c r="AW23" s="1719" t="s">
        <v>1804</v>
      </c>
      <c r="AX23" s="1719" t="s">
        <v>1804</v>
      </c>
      <c r="AY23" s="1719" t="s">
        <v>1804</v>
      </c>
      <c r="AZ23" s="1719" t="s">
        <v>1804</v>
      </c>
      <c r="BA23" s="1719" t="s">
        <v>1804</v>
      </c>
      <c r="BB23" s="1719" t="s">
        <v>1804</v>
      </c>
      <c r="BC23" s="1719" t="s">
        <v>1804</v>
      </c>
      <c r="BD23" s="1719" t="s">
        <v>1804</v>
      </c>
      <c r="BE23" s="1719" t="s">
        <v>1804</v>
      </c>
      <c r="BF23" s="1719" t="s">
        <v>1804</v>
      </c>
      <c r="BG23" s="1719" t="s">
        <v>1804</v>
      </c>
      <c r="BH23" s="1719" t="s">
        <v>1804</v>
      </c>
      <c r="BI23" s="1719" t="s">
        <v>1804</v>
      </c>
      <c r="BJ23" s="1719" t="s">
        <v>1804</v>
      </c>
      <c r="BK23" s="1719" t="s">
        <v>1804</v>
      </c>
      <c r="BL23" s="1719" t="s">
        <v>1804</v>
      </c>
      <c r="BM23" s="1719" t="s">
        <v>1805</v>
      </c>
      <c r="BN23" s="1719" t="s">
        <v>1805</v>
      </c>
      <c r="BO23" s="1719" t="s">
        <v>1805</v>
      </c>
      <c r="BP23" s="1719" t="s">
        <v>1805</v>
      </c>
      <c r="BQ23" s="1719" t="s">
        <v>1805</v>
      </c>
      <c r="BR23" s="1719" t="s">
        <v>1805</v>
      </c>
      <c r="BS23" s="1719" t="s">
        <v>1806</v>
      </c>
      <c r="BT23" s="1719" t="s">
        <v>1806</v>
      </c>
      <c r="BU23" s="1719" t="s">
        <v>1807</v>
      </c>
      <c r="BV23" s="1719" t="s">
        <v>1807</v>
      </c>
      <c r="BW23" s="1719" t="s">
        <v>1807</v>
      </c>
      <c r="BX23" s="1719" t="s">
        <v>1808</v>
      </c>
      <c r="BY23" s="1719" t="s">
        <v>1809</v>
      </c>
      <c r="BZ23" s="1720" t="s">
        <v>1809</v>
      </c>
      <c r="CA23" s="1719" t="s">
        <v>1810</v>
      </c>
      <c r="CB23" s="1719" t="s">
        <v>1810</v>
      </c>
      <c r="CC23" s="1719" t="s">
        <v>1811</v>
      </c>
      <c r="CD23" s="1719" t="s">
        <v>1812</v>
      </c>
      <c r="CE23" s="1719" t="s">
        <v>1813</v>
      </c>
      <c r="CF23" s="1719" t="s">
        <v>1814</v>
      </c>
      <c r="CG23" s="1719" t="s">
        <v>1814</v>
      </c>
      <c r="CH23" s="1719" t="s">
        <v>1758</v>
      </c>
      <c r="CI23" s="1719" t="s">
        <v>1758</v>
      </c>
      <c r="CJ23" s="1719" t="s">
        <v>1814</v>
      </c>
      <c r="CK23" s="1719" t="s">
        <v>1814</v>
      </c>
      <c r="CL23" s="1719" t="s">
        <v>1815</v>
      </c>
      <c r="CM23" s="1719" t="s">
        <v>1816</v>
      </c>
      <c r="CN23" s="1719" t="s">
        <v>1817</v>
      </c>
      <c r="CO23" s="1719" t="s">
        <v>1761</v>
      </c>
      <c r="CP23" s="1719" t="s">
        <v>1818</v>
      </c>
      <c r="CQ23" s="1705" t="s">
        <v>1819</v>
      </c>
      <c r="CR23" s="1727" t="s">
        <v>1820</v>
      </c>
      <c r="CS23" s="1727" t="s">
        <v>1821</v>
      </c>
      <c r="CT23" s="1727" t="s">
        <v>1820</v>
      </c>
      <c r="CU23" s="1727" t="s">
        <v>1821</v>
      </c>
      <c r="CV23" s="1727" t="s">
        <v>1822</v>
      </c>
      <c r="CW23" s="1727" t="s">
        <v>1823</v>
      </c>
      <c r="CX23" s="1727" t="s">
        <v>1824</v>
      </c>
      <c r="CY23" s="1727" t="s">
        <v>1825</v>
      </c>
      <c r="CZ23" s="1727" t="s">
        <v>1826</v>
      </c>
      <c r="DA23" s="1727" t="s">
        <v>1827</v>
      </c>
      <c r="DB23" s="1727" t="s">
        <v>1828</v>
      </c>
      <c r="DC23" s="1728" t="s">
        <v>1821</v>
      </c>
      <c r="DD23" s="1728" t="s">
        <v>1829</v>
      </c>
      <c r="DE23" s="1728" t="s">
        <v>1830</v>
      </c>
      <c r="DF23" s="1728" t="s">
        <v>1830</v>
      </c>
      <c r="DG23" s="1728" t="s">
        <v>1825</v>
      </c>
      <c r="DH23" s="1728" t="s">
        <v>1828</v>
      </c>
      <c r="DI23" s="1728" t="s">
        <v>1828</v>
      </c>
      <c r="DJ23" s="1728" t="s">
        <v>1825</v>
      </c>
      <c r="DK23" s="1728" t="s">
        <v>1831</v>
      </c>
      <c r="DL23" s="1728" t="s">
        <v>1832</v>
      </c>
      <c r="DM23" s="1728" t="s">
        <v>1833</v>
      </c>
      <c r="DN23" s="1728" t="s">
        <v>1834</v>
      </c>
      <c r="DO23" s="1728" t="s">
        <v>1835</v>
      </c>
      <c r="DP23" s="1728" t="s">
        <v>1834</v>
      </c>
      <c r="DQ23" s="1728" t="s">
        <v>1836</v>
      </c>
      <c r="DR23" s="1728" t="s">
        <v>1836</v>
      </c>
      <c r="DS23" s="1728" t="s">
        <v>1837</v>
      </c>
      <c r="DT23" s="1728" t="s">
        <v>1836</v>
      </c>
      <c r="DU23" s="1728" t="s">
        <v>1838</v>
      </c>
      <c r="DV23" s="1728" t="s">
        <v>1839</v>
      </c>
      <c r="DW23" s="1728" t="s">
        <v>1840</v>
      </c>
      <c r="DX23" s="1728" t="s">
        <v>1823</v>
      </c>
      <c r="DY23" s="1728" t="s">
        <v>1841</v>
      </c>
      <c r="DZ23" s="1728" t="s">
        <v>1841</v>
      </c>
      <c r="EA23" s="1728" t="s">
        <v>1842</v>
      </c>
    </row>
    <row r="24" spans="1:131" ht="17.45" customHeight="1" x14ac:dyDescent="0.25">
      <c r="A24" s="1677" t="s">
        <v>1843</v>
      </c>
      <c r="B24" s="1699" t="s">
        <v>1594</v>
      </c>
      <c r="C24" s="1700" t="s">
        <v>1594</v>
      </c>
      <c r="D24" s="1700" t="s">
        <v>1595</v>
      </c>
      <c r="E24" s="1700" t="s">
        <v>1594</v>
      </c>
      <c r="F24" s="1699" t="s">
        <v>1594</v>
      </c>
      <c r="G24" s="1700" t="s">
        <v>1594</v>
      </c>
      <c r="H24" s="1700" t="s">
        <v>1594</v>
      </c>
      <c r="I24" s="1700" t="s">
        <v>1594</v>
      </c>
      <c r="J24" s="1700" t="s">
        <v>1594</v>
      </c>
      <c r="K24" s="1700" t="s">
        <v>1594</v>
      </c>
      <c r="L24" s="1700" t="s">
        <v>1594</v>
      </c>
      <c r="M24" s="1700" t="s">
        <v>1594</v>
      </c>
      <c r="N24" s="1699" t="s">
        <v>1594</v>
      </c>
      <c r="O24" s="1700" t="s">
        <v>1594</v>
      </c>
      <c r="P24" s="1700" t="s">
        <v>1844</v>
      </c>
      <c r="Q24" s="1699" t="s">
        <v>1844</v>
      </c>
      <c r="R24" s="1700" t="s">
        <v>1844</v>
      </c>
      <c r="S24" s="1700" t="s">
        <v>1844</v>
      </c>
      <c r="T24" s="1701" t="s">
        <v>1845</v>
      </c>
      <c r="U24" s="1701" t="s">
        <v>1844</v>
      </c>
      <c r="V24" s="1701" t="s">
        <v>1846</v>
      </c>
      <c r="W24" s="1701" t="s">
        <v>1844</v>
      </c>
      <c r="X24" s="1701" t="s">
        <v>1847</v>
      </c>
      <c r="Y24" s="1701" t="s">
        <v>1848</v>
      </c>
      <c r="Z24" s="1701" t="s">
        <v>1849</v>
      </c>
      <c r="AA24" s="1701" t="s">
        <v>1850</v>
      </c>
      <c r="AB24" s="1701" t="s">
        <v>1850</v>
      </c>
      <c r="AC24" s="1701" t="s">
        <v>1851</v>
      </c>
      <c r="AD24" s="1701" t="s">
        <v>1852</v>
      </c>
      <c r="AE24" s="1701" t="s">
        <v>1852</v>
      </c>
      <c r="AF24" s="1701" t="s">
        <v>1853</v>
      </c>
      <c r="AG24" s="1701" t="s">
        <v>1854</v>
      </c>
      <c r="AH24" s="1701" t="s">
        <v>1855</v>
      </c>
      <c r="AI24" s="1701" t="s">
        <v>1856</v>
      </c>
      <c r="AJ24" s="1701" t="s">
        <v>1857</v>
      </c>
      <c r="AK24" s="1701" t="s">
        <v>1858</v>
      </c>
      <c r="AL24" s="1701" t="s">
        <v>1858</v>
      </c>
      <c r="AM24" s="1701" t="s">
        <v>1859</v>
      </c>
      <c r="AN24" s="1701" t="s">
        <v>1860</v>
      </c>
      <c r="AO24" s="1701" t="s">
        <v>1860</v>
      </c>
      <c r="AP24" s="1701" t="s">
        <v>1861</v>
      </c>
      <c r="AQ24" s="1701" t="s">
        <v>1669</v>
      </c>
      <c r="AR24" s="1701" t="s">
        <v>1669</v>
      </c>
      <c r="AS24" s="1701" t="s">
        <v>1669</v>
      </c>
      <c r="AT24" s="1701" t="s">
        <v>1862</v>
      </c>
      <c r="AU24" s="1701" t="s">
        <v>1863</v>
      </c>
      <c r="AV24" s="1701" t="s">
        <v>1864</v>
      </c>
      <c r="AW24" s="1701" t="s">
        <v>1864</v>
      </c>
      <c r="AX24" s="1701" t="s">
        <v>1865</v>
      </c>
      <c r="AY24" s="1701" t="s">
        <v>1865</v>
      </c>
      <c r="AZ24" s="1701" t="s">
        <v>1865</v>
      </c>
      <c r="BA24" s="1701" t="s">
        <v>1865</v>
      </c>
      <c r="BB24" s="1701" t="s">
        <v>1865</v>
      </c>
      <c r="BC24" s="1701" t="s">
        <v>1865</v>
      </c>
      <c r="BD24" s="1701" t="s">
        <v>1865</v>
      </c>
      <c r="BE24" s="1701" t="s">
        <v>1866</v>
      </c>
      <c r="BF24" s="1701" t="s">
        <v>1866</v>
      </c>
      <c r="BG24" s="1701" t="s">
        <v>1866</v>
      </c>
      <c r="BH24" s="1701" t="s">
        <v>1867</v>
      </c>
      <c r="BI24" s="1701" t="s">
        <v>1867</v>
      </c>
      <c r="BJ24" s="1701" t="s">
        <v>1868</v>
      </c>
      <c r="BK24" s="1701" t="s">
        <v>1868</v>
      </c>
      <c r="BL24" s="1701" t="s">
        <v>1869</v>
      </c>
      <c r="BM24" s="1701" t="s">
        <v>1870</v>
      </c>
      <c r="BN24" s="1701" t="s">
        <v>1870</v>
      </c>
      <c r="BO24" s="1701" t="s">
        <v>1870</v>
      </c>
      <c r="BP24" s="1701" t="s">
        <v>1870</v>
      </c>
      <c r="BQ24" s="1701" t="s">
        <v>1870</v>
      </c>
      <c r="BR24" s="1701" t="s">
        <v>1870</v>
      </c>
      <c r="BS24" s="1701" t="s">
        <v>1871</v>
      </c>
      <c r="BT24" s="1701" t="s">
        <v>1871</v>
      </c>
      <c r="BU24" s="1701" t="s">
        <v>1871</v>
      </c>
      <c r="BV24" s="1701" t="s">
        <v>1871</v>
      </c>
      <c r="BW24" s="1701" t="s">
        <v>1872</v>
      </c>
      <c r="BX24" s="1701" t="s">
        <v>1872</v>
      </c>
      <c r="BY24" s="1701" t="s">
        <v>1873</v>
      </c>
      <c r="BZ24" s="1702" t="s">
        <v>1873</v>
      </c>
      <c r="CA24" s="1701" t="s">
        <v>1872</v>
      </c>
      <c r="CB24" s="1701" t="s">
        <v>1872</v>
      </c>
      <c r="CC24" s="1701" t="s">
        <v>1874</v>
      </c>
      <c r="CD24" s="1701" t="s">
        <v>1875</v>
      </c>
      <c r="CE24" s="1701" t="s">
        <v>1876</v>
      </c>
      <c r="CF24" s="1701" t="s">
        <v>1877</v>
      </c>
      <c r="CG24" s="1701" t="s">
        <v>1878</v>
      </c>
      <c r="CH24" s="1701" t="s">
        <v>1879</v>
      </c>
      <c r="CI24" s="1701" t="s">
        <v>1880</v>
      </c>
      <c r="CJ24" s="1701" t="s">
        <v>1879</v>
      </c>
      <c r="CK24" s="1701" t="s">
        <v>1878</v>
      </c>
      <c r="CL24" s="1701" t="s">
        <v>1878</v>
      </c>
      <c r="CM24" s="1701" t="s">
        <v>1881</v>
      </c>
      <c r="CN24" s="1701" t="s">
        <v>1882</v>
      </c>
      <c r="CO24" s="1701" t="s">
        <v>1883</v>
      </c>
      <c r="CP24" s="1701" t="s">
        <v>1884</v>
      </c>
      <c r="CQ24" s="1705" t="s">
        <v>1885</v>
      </c>
      <c r="CR24" s="1727" t="s">
        <v>1886</v>
      </c>
      <c r="CS24" s="1727" t="s">
        <v>1887</v>
      </c>
      <c r="CT24" s="1727" t="s">
        <v>1888</v>
      </c>
      <c r="CU24" s="1727" t="s">
        <v>1494</v>
      </c>
      <c r="CV24" s="1727" t="s">
        <v>1889</v>
      </c>
      <c r="CW24" s="1727" t="s">
        <v>1890</v>
      </c>
      <c r="CX24" s="1727" t="s">
        <v>1891</v>
      </c>
      <c r="CY24" s="1727" t="s">
        <v>1892</v>
      </c>
      <c r="CZ24" s="1727" t="s">
        <v>1887</v>
      </c>
      <c r="DA24" s="1727" t="s">
        <v>1893</v>
      </c>
      <c r="DB24" s="1727" t="s">
        <v>1894</v>
      </c>
      <c r="DC24" s="1728" t="s">
        <v>1895</v>
      </c>
      <c r="DD24" s="1728" t="s">
        <v>1896</v>
      </c>
      <c r="DE24" s="1728" t="s">
        <v>1897</v>
      </c>
      <c r="DF24" s="1728" t="s">
        <v>1898</v>
      </c>
      <c r="DG24" s="1728" t="s">
        <v>1899</v>
      </c>
      <c r="DH24" s="1728" t="s">
        <v>1900</v>
      </c>
      <c r="DI24" s="1728" t="s">
        <v>1901</v>
      </c>
      <c r="DJ24" s="1728" t="s">
        <v>1902</v>
      </c>
      <c r="DK24" s="1728" t="s">
        <v>1903</v>
      </c>
      <c r="DL24" s="1728" t="s">
        <v>1904</v>
      </c>
      <c r="DM24" s="1728" t="s">
        <v>1905</v>
      </c>
      <c r="DN24" s="1728" t="s">
        <v>1906</v>
      </c>
      <c r="DO24" s="1728" t="s">
        <v>1907</v>
      </c>
      <c r="DP24" s="1728" t="s">
        <v>1906</v>
      </c>
      <c r="DQ24" s="1728" t="s">
        <v>1908</v>
      </c>
      <c r="DR24" s="1728" t="s">
        <v>1909</v>
      </c>
      <c r="DS24" s="1728" t="s">
        <v>1910</v>
      </c>
      <c r="DT24" s="1728" t="s">
        <v>1911</v>
      </c>
      <c r="DU24" s="1728" t="s">
        <v>1911</v>
      </c>
      <c r="DV24" s="1728" t="s">
        <v>1911</v>
      </c>
      <c r="DW24" s="1728" t="s">
        <v>1909</v>
      </c>
      <c r="DX24" s="1728" t="s">
        <v>1912</v>
      </c>
      <c r="DY24" s="1728" t="s">
        <v>1913</v>
      </c>
      <c r="DZ24" s="1728" t="s">
        <v>1914</v>
      </c>
      <c r="EA24" s="1728" t="s">
        <v>1915</v>
      </c>
    </row>
    <row r="25" spans="1:131" ht="17.45" customHeight="1" x14ac:dyDescent="0.25">
      <c r="A25" s="1677" t="s">
        <v>1916</v>
      </c>
      <c r="B25" s="1699" t="s">
        <v>1917</v>
      </c>
      <c r="C25" s="1700" t="s">
        <v>1918</v>
      </c>
      <c r="D25" s="1700" t="s">
        <v>1918</v>
      </c>
      <c r="E25" s="1700" t="s">
        <v>1917</v>
      </c>
      <c r="F25" s="1699" t="s">
        <v>1918</v>
      </c>
      <c r="G25" s="1700" t="s">
        <v>1919</v>
      </c>
      <c r="H25" s="1700" t="s">
        <v>1919</v>
      </c>
      <c r="I25" s="1700" t="s">
        <v>1919</v>
      </c>
      <c r="J25" s="1700" t="s">
        <v>1919</v>
      </c>
      <c r="K25" s="1700" t="s">
        <v>1920</v>
      </c>
      <c r="L25" s="1700" t="s">
        <v>1920</v>
      </c>
      <c r="M25" s="1700" t="s">
        <v>1920</v>
      </c>
      <c r="N25" s="1699" t="s">
        <v>1920</v>
      </c>
      <c r="O25" s="1700" t="s">
        <v>1920</v>
      </c>
      <c r="P25" s="1700" t="s">
        <v>1920</v>
      </c>
      <c r="Q25" s="1699" t="s">
        <v>1920</v>
      </c>
      <c r="R25" s="1700" t="s">
        <v>1919</v>
      </c>
      <c r="S25" s="1700" t="s">
        <v>1921</v>
      </c>
      <c r="T25" s="1701" t="s">
        <v>1922</v>
      </c>
      <c r="U25" s="1701" t="s">
        <v>1921</v>
      </c>
      <c r="V25" s="1701" t="s">
        <v>1921</v>
      </c>
      <c r="W25" s="1701" t="s">
        <v>1921</v>
      </c>
      <c r="X25" s="1701" t="s">
        <v>1923</v>
      </c>
      <c r="Y25" s="1701" t="s">
        <v>1921</v>
      </c>
      <c r="Z25" s="1701" t="s">
        <v>1924</v>
      </c>
      <c r="AA25" s="1701" t="s">
        <v>1925</v>
      </c>
      <c r="AB25" s="1701" t="s">
        <v>1926</v>
      </c>
      <c r="AC25" s="1701" t="s">
        <v>1927</v>
      </c>
      <c r="AD25" s="1701" t="s">
        <v>1926</v>
      </c>
      <c r="AE25" s="1701" t="s">
        <v>1926</v>
      </c>
      <c r="AF25" s="1701" t="s">
        <v>1928</v>
      </c>
      <c r="AG25" s="1701" t="s">
        <v>1927</v>
      </c>
      <c r="AH25" s="1701" t="s">
        <v>1929</v>
      </c>
      <c r="AI25" s="1701" t="s">
        <v>1930</v>
      </c>
      <c r="AJ25" s="1701" t="s">
        <v>1931</v>
      </c>
      <c r="AK25" s="1701" t="s">
        <v>1932</v>
      </c>
      <c r="AL25" s="1701" t="s">
        <v>1933</v>
      </c>
      <c r="AM25" s="1701" t="s">
        <v>1934</v>
      </c>
      <c r="AN25" s="1701" t="s">
        <v>1935</v>
      </c>
      <c r="AO25" s="1701" t="s">
        <v>1935</v>
      </c>
      <c r="AP25" s="1701" t="s">
        <v>1936</v>
      </c>
      <c r="AQ25" s="1701" t="s">
        <v>1937</v>
      </c>
      <c r="AR25" s="1701" t="s">
        <v>1937</v>
      </c>
      <c r="AS25" s="1701" t="s">
        <v>1937</v>
      </c>
      <c r="AT25" s="1701" t="s">
        <v>1937</v>
      </c>
      <c r="AU25" s="1701" t="s">
        <v>1938</v>
      </c>
      <c r="AV25" s="1701" t="s">
        <v>1938</v>
      </c>
      <c r="AW25" s="1701" t="s">
        <v>1938</v>
      </c>
      <c r="AX25" s="1701" t="s">
        <v>1938</v>
      </c>
      <c r="AY25" s="1701" t="s">
        <v>1938</v>
      </c>
      <c r="AZ25" s="1701" t="s">
        <v>1939</v>
      </c>
      <c r="BA25" s="1701" t="s">
        <v>1939</v>
      </c>
      <c r="BB25" s="1701" t="s">
        <v>1939</v>
      </c>
      <c r="BC25" s="1701" t="s">
        <v>1939</v>
      </c>
      <c r="BD25" s="1701" t="s">
        <v>1939</v>
      </c>
      <c r="BE25" s="1701" t="s">
        <v>1939</v>
      </c>
      <c r="BF25" s="1701" t="s">
        <v>1939</v>
      </c>
      <c r="BG25" s="1701" t="s">
        <v>1939</v>
      </c>
      <c r="BH25" s="1701" t="s">
        <v>1939</v>
      </c>
      <c r="BI25" s="1701" t="s">
        <v>1939</v>
      </c>
      <c r="BJ25" s="1701" t="s">
        <v>1939</v>
      </c>
      <c r="BK25" s="1701" t="s">
        <v>1939</v>
      </c>
      <c r="BL25" s="1701" t="s">
        <v>1939</v>
      </c>
      <c r="BM25" s="1701" t="s">
        <v>1940</v>
      </c>
      <c r="BN25" s="1701" t="s">
        <v>1940</v>
      </c>
      <c r="BO25" s="1701" t="s">
        <v>1940</v>
      </c>
      <c r="BP25" s="1701" t="s">
        <v>1940</v>
      </c>
      <c r="BQ25" s="1701" t="s">
        <v>1940</v>
      </c>
      <c r="BR25" s="1701" t="s">
        <v>1940</v>
      </c>
      <c r="BS25" s="1701" t="s">
        <v>1940</v>
      </c>
      <c r="BT25" s="1701" t="s">
        <v>1940</v>
      </c>
      <c r="BU25" s="1701" t="s">
        <v>1940</v>
      </c>
      <c r="BV25" s="1701" t="s">
        <v>1940</v>
      </c>
      <c r="BW25" s="1701" t="s">
        <v>1940</v>
      </c>
      <c r="BX25" s="1701" t="s">
        <v>1940</v>
      </c>
      <c r="BY25" s="1701" t="s">
        <v>1941</v>
      </c>
      <c r="BZ25" s="1702" t="s">
        <v>1942</v>
      </c>
      <c r="CA25" s="1701" t="s">
        <v>1943</v>
      </c>
      <c r="CB25" s="1701" t="s">
        <v>1943</v>
      </c>
      <c r="CC25" s="1701" t="s">
        <v>1944</v>
      </c>
      <c r="CD25" s="1701" t="s">
        <v>1941</v>
      </c>
      <c r="CE25" s="1701" t="s">
        <v>1941</v>
      </c>
      <c r="CF25" s="1701" t="s">
        <v>1941</v>
      </c>
      <c r="CG25" s="1701" t="s">
        <v>1941</v>
      </c>
      <c r="CH25" s="1701" t="s">
        <v>1941</v>
      </c>
      <c r="CI25" s="1701" t="s">
        <v>1944</v>
      </c>
      <c r="CJ25" s="1701" t="s">
        <v>1944</v>
      </c>
      <c r="CK25" s="1701" t="s">
        <v>1941</v>
      </c>
      <c r="CL25" s="1701" t="s">
        <v>1941</v>
      </c>
      <c r="CM25" s="1701" t="s">
        <v>1941</v>
      </c>
      <c r="CN25" s="1701" t="s">
        <v>1944</v>
      </c>
      <c r="CO25" s="1701" t="s">
        <v>1945</v>
      </c>
      <c r="CP25" s="1701" t="s">
        <v>1945</v>
      </c>
      <c r="CQ25" s="1705" t="s">
        <v>1945</v>
      </c>
      <c r="CR25" s="1727" t="s">
        <v>1945</v>
      </c>
      <c r="CS25" s="1727" t="s">
        <v>1945</v>
      </c>
      <c r="CT25" s="1727" t="s">
        <v>1945</v>
      </c>
      <c r="CU25" s="1727" t="s">
        <v>1945</v>
      </c>
      <c r="CV25" s="1727" t="s">
        <v>1945</v>
      </c>
      <c r="CW25" s="1727" t="s">
        <v>1946</v>
      </c>
      <c r="CX25" s="1727" t="s">
        <v>1941</v>
      </c>
      <c r="CY25" s="1727" t="s">
        <v>1947</v>
      </c>
      <c r="CZ25" s="1727" t="s">
        <v>1941</v>
      </c>
      <c r="DA25" s="1727" t="s">
        <v>1941</v>
      </c>
      <c r="DB25" s="1727" t="s">
        <v>1941</v>
      </c>
      <c r="DC25" s="1728" t="s">
        <v>1941</v>
      </c>
      <c r="DD25" s="1728" t="s">
        <v>1941</v>
      </c>
      <c r="DE25" s="1728" t="s">
        <v>1941</v>
      </c>
      <c r="DF25" s="1728" t="s">
        <v>1941</v>
      </c>
      <c r="DG25" s="1728" t="s">
        <v>1948</v>
      </c>
      <c r="DH25" s="1728" t="s">
        <v>1660</v>
      </c>
      <c r="DI25" s="1728" t="s">
        <v>1941</v>
      </c>
      <c r="DJ25" s="1728" t="s">
        <v>1941</v>
      </c>
      <c r="DK25" s="1728" t="s">
        <v>1941</v>
      </c>
      <c r="DL25" s="1728" t="s">
        <v>1941</v>
      </c>
      <c r="DM25" s="1728" t="s">
        <v>1941</v>
      </c>
      <c r="DN25" s="1728" t="s">
        <v>1941</v>
      </c>
      <c r="DO25" s="1728" t="s">
        <v>1941</v>
      </c>
      <c r="DP25" s="1728" t="s">
        <v>1941</v>
      </c>
      <c r="DQ25" s="1728" t="s">
        <v>1949</v>
      </c>
      <c r="DR25" s="1728" t="s">
        <v>1949</v>
      </c>
      <c r="DS25" s="1728" t="s">
        <v>1949</v>
      </c>
      <c r="DT25" s="1728" t="s">
        <v>1660</v>
      </c>
      <c r="DU25" s="1728" t="s">
        <v>1949</v>
      </c>
      <c r="DV25" s="1728" t="s">
        <v>1660</v>
      </c>
      <c r="DW25" s="1728" t="s">
        <v>1660</v>
      </c>
      <c r="DX25" s="1728" t="s">
        <v>1949</v>
      </c>
      <c r="DY25" s="1728" t="s">
        <v>1661</v>
      </c>
      <c r="DZ25" s="1728" t="s">
        <v>1660</v>
      </c>
      <c r="EA25" s="1728" t="s">
        <v>1949</v>
      </c>
    </row>
    <row r="26" spans="1:131" ht="17.45" customHeight="1" x14ac:dyDescent="0.25">
      <c r="A26" s="1677" t="s">
        <v>1538</v>
      </c>
      <c r="B26" s="1707"/>
      <c r="C26" s="1708"/>
      <c r="D26" s="1708"/>
      <c r="E26" s="1708"/>
      <c r="F26" s="1707"/>
      <c r="G26" s="1708"/>
      <c r="H26" s="1708"/>
      <c r="I26" s="1708"/>
      <c r="J26" s="1708"/>
      <c r="K26" s="1708"/>
      <c r="L26" s="1708"/>
      <c r="M26" s="1708"/>
      <c r="N26" s="1707"/>
      <c r="O26" s="1708"/>
      <c r="P26" s="1708"/>
      <c r="Q26" s="1707"/>
      <c r="R26" s="1708"/>
      <c r="S26" s="1708"/>
      <c r="T26" s="1709"/>
      <c r="U26" s="1709"/>
      <c r="V26" s="1709"/>
      <c r="W26" s="1709"/>
      <c r="X26" s="1709"/>
      <c r="Y26" s="1709"/>
      <c r="Z26" s="1709"/>
      <c r="AA26" s="1709"/>
      <c r="AB26" s="1709"/>
      <c r="AC26" s="1709"/>
      <c r="AD26" s="1709"/>
      <c r="AE26" s="1709"/>
      <c r="AF26" s="1709"/>
      <c r="AG26" s="1709"/>
      <c r="AH26" s="1709"/>
      <c r="AI26" s="1709"/>
      <c r="AJ26" s="1709"/>
      <c r="AK26" s="1709"/>
      <c r="AL26" s="1709"/>
      <c r="AM26" s="1709"/>
      <c r="AN26" s="1709"/>
      <c r="AO26" s="1709"/>
      <c r="AP26" s="1709"/>
      <c r="AQ26" s="1709"/>
      <c r="AR26" s="1709"/>
      <c r="AS26" s="1709"/>
      <c r="AT26" s="1709"/>
      <c r="AU26" s="1709"/>
      <c r="AV26" s="1709"/>
      <c r="AW26" s="1709"/>
      <c r="AX26" s="1709"/>
      <c r="AY26" s="1709"/>
      <c r="AZ26" s="1709"/>
      <c r="BA26" s="1709"/>
      <c r="BB26" s="1709"/>
      <c r="BC26" s="1709"/>
      <c r="BD26" s="1709"/>
      <c r="BE26" s="1709"/>
      <c r="BF26" s="1709"/>
      <c r="BG26" s="1709"/>
      <c r="BH26" s="1709"/>
      <c r="BI26" s="1709"/>
      <c r="BJ26" s="1709"/>
      <c r="BK26" s="1709"/>
      <c r="BL26" s="1709"/>
      <c r="BM26" s="1709"/>
      <c r="BN26" s="1709"/>
      <c r="BO26" s="1709"/>
      <c r="BP26" s="1709"/>
      <c r="BQ26" s="1709"/>
      <c r="BR26" s="1709"/>
      <c r="BS26" s="1709"/>
      <c r="BT26" s="1709"/>
      <c r="BU26" s="1709"/>
      <c r="BV26" s="1709"/>
      <c r="BW26" s="1709"/>
      <c r="BX26" s="1709"/>
      <c r="BY26" s="1709"/>
      <c r="BZ26" s="1710"/>
      <c r="CA26" s="1709"/>
      <c r="CB26" s="1709"/>
      <c r="CC26" s="1709"/>
      <c r="CD26" s="1709"/>
      <c r="CE26" s="1709"/>
      <c r="CF26" s="1709"/>
      <c r="CG26" s="1709"/>
      <c r="CH26" s="1709"/>
      <c r="CI26" s="1709"/>
      <c r="CJ26" s="1709"/>
      <c r="CK26" s="1709"/>
      <c r="CL26" s="1709"/>
      <c r="CM26" s="1709"/>
      <c r="CN26" s="1709"/>
      <c r="CO26" s="1709"/>
      <c r="CP26" s="1709"/>
      <c r="CQ26" s="1705"/>
      <c r="CR26" s="1723"/>
      <c r="CS26" s="1723"/>
      <c r="CT26" s="1723"/>
      <c r="CU26" s="1723"/>
      <c r="CV26" s="1723"/>
      <c r="CW26" s="1723"/>
      <c r="CX26" s="1723"/>
      <c r="CY26" s="1723"/>
      <c r="CZ26" s="1723"/>
      <c r="DA26" s="1723"/>
      <c r="DB26" s="1723"/>
      <c r="DC26" s="1724"/>
      <c r="DD26" s="1724"/>
      <c r="DE26" s="1724"/>
      <c r="DF26" s="1724"/>
      <c r="DG26" s="1724"/>
      <c r="DH26" s="1724"/>
      <c r="DI26" s="1724"/>
      <c r="DJ26" s="1724"/>
      <c r="DK26" s="1724"/>
      <c r="DL26" s="1724"/>
      <c r="DM26" s="1724"/>
      <c r="DN26" s="1724"/>
      <c r="DO26" s="1724"/>
      <c r="DP26" s="1724"/>
      <c r="DQ26" s="1724"/>
      <c r="DR26" s="1724"/>
      <c r="DS26" s="1724"/>
      <c r="DT26" s="1724"/>
      <c r="DU26" s="1724"/>
      <c r="DV26" s="1724"/>
      <c r="DW26" s="1724"/>
      <c r="DX26" s="1724"/>
      <c r="DY26" s="1724"/>
      <c r="DZ26" s="1724"/>
      <c r="EA26" s="1724"/>
    </row>
    <row r="27" spans="1:131" ht="17.45" customHeight="1" x14ac:dyDescent="0.25">
      <c r="A27" s="1716" t="s">
        <v>1950</v>
      </c>
      <c r="B27" s="1717" t="s">
        <v>1951</v>
      </c>
      <c r="C27" s="1718" t="s">
        <v>1952</v>
      </c>
      <c r="D27" s="1718" t="s">
        <v>1953</v>
      </c>
      <c r="E27" s="1718" t="s">
        <v>1953</v>
      </c>
      <c r="F27" s="1717" t="s">
        <v>1953</v>
      </c>
      <c r="G27" s="1718" t="s">
        <v>1953</v>
      </c>
      <c r="H27" s="1718" t="s">
        <v>1953</v>
      </c>
      <c r="I27" s="1718" t="s">
        <v>1953</v>
      </c>
      <c r="J27" s="1718" t="s">
        <v>1951</v>
      </c>
      <c r="K27" s="1718" t="s">
        <v>1953</v>
      </c>
      <c r="L27" s="1718" t="s">
        <v>1594</v>
      </c>
      <c r="M27" s="1718" t="s">
        <v>1594</v>
      </c>
      <c r="N27" s="1717" t="s">
        <v>1594</v>
      </c>
      <c r="O27" s="1718" t="s">
        <v>1594</v>
      </c>
      <c r="P27" s="1718" t="s">
        <v>1594</v>
      </c>
      <c r="Q27" s="1717" t="s">
        <v>1594</v>
      </c>
      <c r="R27" s="1718" t="s">
        <v>1594</v>
      </c>
      <c r="S27" s="1718" t="s">
        <v>1594</v>
      </c>
      <c r="T27" s="1719" t="s">
        <v>1952</v>
      </c>
      <c r="U27" s="1719" t="s">
        <v>1952</v>
      </c>
      <c r="V27" s="1719" t="s">
        <v>1952</v>
      </c>
      <c r="W27" s="1719" t="s">
        <v>1952</v>
      </c>
      <c r="X27" s="1719" t="s">
        <v>1952</v>
      </c>
      <c r="Y27" s="1719" t="s">
        <v>1952</v>
      </c>
      <c r="Z27" s="1719" t="s">
        <v>1952</v>
      </c>
      <c r="AA27" s="1719" t="s">
        <v>1954</v>
      </c>
      <c r="AB27" s="1719" t="s">
        <v>1955</v>
      </c>
      <c r="AC27" s="1719" t="s">
        <v>1955</v>
      </c>
      <c r="AD27" s="1719" t="s">
        <v>1955</v>
      </c>
      <c r="AE27" s="1719" t="s">
        <v>1955</v>
      </c>
      <c r="AF27" s="1719" t="s">
        <v>1955</v>
      </c>
      <c r="AG27" s="1719" t="s">
        <v>1956</v>
      </c>
      <c r="AH27" s="1719" t="s">
        <v>1957</v>
      </c>
      <c r="AI27" s="1719" t="s">
        <v>1958</v>
      </c>
      <c r="AJ27" s="1719" t="s">
        <v>1959</v>
      </c>
      <c r="AK27" s="1719" t="s">
        <v>1959</v>
      </c>
      <c r="AL27" s="1719" t="s">
        <v>1959</v>
      </c>
      <c r="AM27" s="1719" t="s">
        <v>1958</v>
      </c>
      <c r="AN27" s="1719" t="s">
        <v>1958</v>
      </c>
      <c r="AO27" s="1719" t="s">
        <v>1958</v>
      </c>
      <c r="AP27" s="1719" t="s">
        <v>1960</v>
      </c>
      <c r="AQ27" s="1719" t="s">
        <v>1961</v>
      </c>
      <c r="AR27" s="1719" t="s">
        <v>1962</v>
      </c>
      <c r="AS27" s="1719" t="s">
        <v>1962</v>
      </c>
      <c r="AT27" s="1719" t="s">
        <v>1962</v>
      </c>
      <c r="AU27" s="1719" t="s">
        <v>1963</v>
      </c>
      <c r="AV27" s="1719" t="s">
        <v>1963</v>
      </c>
      <c r="AW27" s="1719" t="s">
        <v>1963</v>
      </c>
      <c r="AX27" s="1719" t="s">
        <v>1963</v>
      </c>
      <c r="AY27" s="1719" t="s">
        <v>1963</v>
      </c>
      <c r="AZ27" s="1719" t="s">
        <v>1963</v>
      </c>
      <c r="BA27" s="1719" t="s">
        <v>1963</v>
      </c>
      <c r="BB27" s="1719" t="s">
        <v>1963</v>
      </c>
      <c r="BC27" s="1719" t="s">
        <v>1963</v>
      </c>
      <c r="BD27" s="1719" t="s">
        <v>1963</v>
      </c>
      <c r="BE27" s="1719" t="s">
        <v>1963</v>
      </c>
      <c r="BF27" s="1719" t="s">
        <v>1963</v>
      </c>
      <c r="BG27" s="1719" t="s">
        <v>1963</v>
      </c>
      <c r="BH27" s="1719" t="s">
        <v>1963</v>
      </c>
      <c r="BI27" s="1719" t="s">
        <v>1963</v>
      </c>
      <c r="BJ27" s="1719" t="s">
        <v>1963</v>
      </c>
      <c r="BK27" s="1719" t="s">
        <v>1963</v>
      </c>
      <c r="BL27" s="1719" t="s">
        <v>1963</v>
      </c>
      <c r="BM27" s="1719" t="s">
        <v>1662</v>
      </c>
      <c r="BN27" s="1719" t="s">
        <v>1660</v>
      </c>
      <c r="BO27" s="1719" t="s">
        <v>1660</v>
      </c>
      <c r="BP27" s="1719" t="s">
        <v>1660</v>
      </c>
      <c r="BQ27" s="1719" t="s">
        <v>1660</v>
      </c>
      <c r="BR27" s="1719" t="s">
        <v>1660</v>
      </c>
      <c r="BS27" s="1719" t="s">
        <v>1660</v>
      </c>
      <c r="BT27" s="1719" t="s">
        <v>1660</v>
      </c>
      <c r="BU27" s="1719" t="s">
        <v>1660</v>
      </c>
      <c r="BV27" s="1719" t="s">
        <v>1660</v>
      </c>
      <c r="BW27" s="1719" t="s">
        <v>1660</v>
      </c>
      <c r="BX27" s="1719" t="s">
        <v>1660</v>
      </c>
      <c r="BY27" s="1719" t="s">
        <v>1660</v>
      </c>
      <c r="BZ27" s="1720" t="s">
        <v>1660</v>
      </c>
      <c r="CA27" s="1719" t="s">
        <v>1964</v>
      </c>
      <c r="CB27" s="1719" t="s">
        <v>1964</v>
      </c>
      <c r="CC27" s="1719" t="s">
        <v>1964</v>
      </c>
      <c r="CD27" s="1719" t="s">
        <v>1660</v>
      </c>
      <c r="CE27" s="1719" t="s">
        <v>1660</v>
      </c>
      <c r="CF27" s="1719" t="s">
        <v>1660</v>
      </c>
      <c r="CG27" s="1719" t="s">
        <v>1965</v>
      </c>
      <c r="CH27" s="1719" t="s">
        <v>1966</v>
      </c>
      <c r="CI27" s="1719" t="s">
        <v>1966</v>
      </c>
      <c r="CJ27" s="1719" t="s">
        <v>1966</v>
      </c>
      <c r="CK27" s="1719" t="s">
        <v>1967</v>
      </c>
      <c r="CL27" s="1719" t="s">
        <v>1967</v>
      </c>
      <c r="CM27" s="1719" t="s">
        <v>1967</v>
      </c>
      <c r="CN27" s="1719" t="s">
        <v>1968</v>
      </c>
      <c r="CO27" s="1719" t="s">
        <v>1968</v>
      </c>
      <c r="CP27" s="1719" t="s">
        <v>1969</v>
      </c>
      <c r="CQ27" s="1705" t="s">
        <v>1968</v>
      </c>
      <c r="CR27" s="1727" t="s">
        <v>1970</v>
      </c>
      <c r="CS27" s="1727" t="s">
        <v>1971</v>
      </c>
      <c r="CT27" s="1727" t="s">
        <v>1971</v>
      </c>
      <c r="CU27" s="1727" t="s">
        <v>1971</v>
      </c>
      <c r="CV27" s="1727" t="s">
        <v>1971</v>
      </c>
      <c r="CW27" s="1727" t="s">
        <v>1971</v>
      </c>
      <c r="CX27" s="1727" t="s">
        <v>1971</v>
      </c>
      <c r="CY27" s="1727" t="s">
        <v>1971</v>
      </c>
      <c r="CZ27" s="1727" t="s">
        <v>1971</v>
      </c>
      <c r="DA27" s="1727" t="s">
        <v>1971</v>
      </c>
      <c r="DB27" s="1727" t="s">
        <v>1971</v>
      </c>
      <c r="DC27" s="1728" t="s">
        <v>1971</v>
      </c>
      <c r="DD27" s="1728" t="s">
        <v>1972</v>
      </c>
      <c r="DE27" s="1728" t="s">
        <v>1972</v>
      </c>
      <c r="DF27" s="1728" t="s">
        <v>1971</v>
      </c>
      <c r="DG27" s="1728" t="s">
        <v>1973</v>
      </c>
      <c r="DH27" s="1728" t="s">
        <v>1971</v>
      </c>
      <c r="DI27" s="1728" t="s">
        <v>1971</v>
      </c>
      <c r="DJ27" s="1728" t="s">
        <v>1974</v>
      </c>
      <c r="DK27" s="1728" t="s">
        <v>1971</v>
      </c>
      <c r="DL27" s="1728" t="s">
        <v>1660</v>
      </c>
      <c r="DM27" s="1728" t="s">
        <v>1941</v>
      </c>
      <c r="DN27" s="1728" t="s">
        <v>1941</v>
      </c>
      <c r="DO27" s="1728" t="s">
        <v>1941</v>
      </c>
      <c r="DP27" s="1728" t="s">
        <v>1941</v>
      </c>
      <c r="DQ27" s="1728" t="s">
        <v>1949</v>
      </c>
      <c r="DR27" s="1728" t="s">
        <v>1949</v>
      </c>
      <c r="DS27" s="1728" t="s">
        <v>1949</v>
      </c>
      <c r="DT27" s="1728" t="s">
        <v>1660</v>
      </c>
      <c r="DU27" s="1728" t="s">
        <v>1949</v>
      </c>
      <c r="DV27" s="1728" t="s">
        <v>1660</v>
      </c>
      <c r="DW27" s="1728" t="s">
        <v>1975</v>
      </c>
      <c r="DX27" s="1728" t="s">
        <v>1949</v>
      </c>
      <c r="DY27" s="1728" t="s">
        <v>1660</v>
      </c>
      <c r="DZ27" s="1728" t="s">
        <v>1660</v>
      </c>
      <c r="EA27" s="1728" t="s">
        <v>1949</v>
      </c>
    </row>
    <row r="28" spans="1:131" ht="17.45" customHeight="1" x14ac:dyDescent="0.25">
      <c r="A28" s="1677" t="s">
        <v>1976</v>
      </c>
      <c r="B28" s="1699" t="s">
        <v>1592</v>
      </c>
      <c r="C28" s="1700" t="s">
        <v>1977</v>
      </c>
      <c r="D28" s="1700" t="s">
        <v>1977</v>
      </c>
      <c r="E28" s="1700" t="s">
        <v>1977</v>
      </c>
      <c r="F28" s="1699" t="s">
        <v>1977</v>
      </c>
      <c r="G28" s="1700" t="s">
        <v>1978</v>
      </c>
      <c r="H28" s="1700" t="s">
        <v>1978</v>
      </c>
      <c r="I28" s="1700" t="s">
        <v>1978</v>
      </c>
      <c r="J28" s="1700" t="s">
        <v>1978</v>
      </c>
      <c r="K28" s="1700" t="s">
        <v>1978</v>
      </c>
      <c r="L28" s="1700" t="s">
        <v>1979</v>
      </c>
      <c r="M28" s="1700" t="s">
        <v>1978</v>
      </c>
      <c r="N28" s="1699" t="s">
        <v>1980</v>
      </c>
      <c r="O28" s="1700" t="s">
        <v>1980</v>
      </c>
      <c r="P28" s="1700" t="s">
        <v>1981</v>
      </c>
      <c r="Q28" s="1699" t="s">
        <v>1981</v>
      </c>
      <c r="R28" s="1700" t="s">
        <v>1981</v>
      </c>
      <c r="S28" s="1700" t="s">
        <v>1981</v>
      </c>
      <c r="T28" s="1701" t="s">
        <v>1981</v>
      </c>
      <c r="U28" s="1701" t="s">
        <v>1982</v>
      </c>
      <c r="V28" s="1701" t="s">
        <v>1982</v>
      </c>
      <c r="W28" s="1701" t="s">
        <v>1982</v>
      </c>
      <c r="X28" s="1701" t="s">
        <v>1983</v>
      </c>
      <c r="Y28" s="1701" t="s">
        <v>1847</v>
      </c>
      <c r="Z28" s="1701" t="s">
        <v>1984</v>
      </c>
      <c r="AA28" s="1701" t="s">
        <v>1985</v>
      </c>
      <c r="AB28" s="1701" t="s">
        <v>1986</v>
      </c>
      <c r="AC28" s="1701" t="s">
        <v>1987</v>
      </c>
      <c r="AD28" s="1701" t="s">
        <v>1988</v>
      </c>
      <c r="AE28" s="1701" t="s">
        <v>1988</v>
      </c>
      <c r="AF28" s="1701" t="s">
        <v>1988</v>
      </c>
      <c r="AG28" s="1701" t="s">
        <v>1989</v>
      </c>
      <c r="AH28" s="1701" t="s">
        <v>1990</v>
      </c>
      <c r="AI28" s="1701" t="s">
        <v>1991</v>
      </c>
      <c r="AJ28" s="1701" t="s">
        <v>1992</v>
      </c>
      <c r="AK28" s="1701" t="s">
        <v>1992</v>
      </c>
      <c r="AL28" s="1701" t="s">
        <v>1993</v>
      </c>
      <c r="AM28" s="1701" t="s">
        <v>1990</v>
      </c>
      <c r="AN28" s="1701" t="s">
        <v>1990</v>
      </c>
      <c r="AO28" s="1701" t="s">
        <v>1669</v>
      </c>
      <c r="AP28" s="1701" t="s">
        <v>1669</v>
      </c>
      <c r="AQ28" s="1701" t="s">
        <v>1994</v>
      </c>
      <c r="AR28" s="1701" t="s">
        <v>1994</v>
      </c>
      <c r="AS28" s="1701" t="s">
        <v>1688</v>
      </c>
      <c r="AT28" s="1701" t="s">
        <v>1864</v>
      </c>
      <c r="AU28" s="1701" t="s">
        <v>1995</v>
      </c>
      <c r="AV28" s="1701" t="s">
        <v>1995</v>
      </c>
      <c r="AW28" s="1701" t="s">
        <v>1996</v>
      </c>
      <c r="AX28" s="1701" t="s">
        <v>1874</v>
      </c>
      <c r="AY28" s="1701" t="s">
        <v>1874</v>
      </c>
      <c r="AZ28" s="1701" t="s">
        <v>1997</v>
      </c>
      <c r="BA28" s="1701" t="s">
        <v>1998</v>
      </c>
      <c r="BB28" s="1701" t="s">
        <v>1998</v>
      </c>
      <c r="BC28" s="1701" t="s">
        <v>1998</v>
      </c>
      <c r="BD28" s="1701" t="s">
        <v>1999</v>
      </c>
      <c r="BE28" s="1701" t="s">
        <v>1999</v>
      </c>
      <c r="BF28" s="1701" t="s">
        <v>1999</v>
      </c>
      <c r="BG28" s="1701" t="s">
        <v>1999</v>
      </c>
      <c r="BH28" s="1701" t="s">
        <v>2000</v>
      </c>
      <c r="BI28" s="1701" t="s">
        <v>2000</v>
      </c>
      <c r="BJ28" s="1701" t="s">
        <v>2000</v>
      </c>
      <c r="BK28" s="1701" t="s">
        <v>2000</v>
      </c>
      <c r="BL28" s="1701" t="s">
        <v>2000</v>
      </c>
      <c r="BM28" s="1701" t="s">
        <v>2001</v>
      </c>
      <c r="BN28" s="1701" t="s">
        <v>2001</v>
      </c>
      <c r="BO28" s="1701" t="s">
        <v>2001</v>
      </c>
      <c r="BP28" s="1701" t="s">
        <v>2001</v>
      </c>
      <c r="BQ28" s="1701" t="s">
        <v>2001</v>
      </c>
      <c r="BR28" s="1701" t="s">
        <v>2001</v>
      </c>
      <c r="BS28" s="1701" t="s">
        <v>1873</v>
      </c>
      <c r="BT28" s="1701" t="s">
        <v>1873</v>
      </c>
      <c r="BU28" s="1701" t="s">
        <v>2002</v>
      </c>
      <c r="BV28" s="1701" t="s">
        <v>2002</v>
      </c>
      <c r="BW28" s="1701" t="s">
        <v>2002</v>
      </c>
      <c r="BX28" s="1701" t="s">
        <v>2002</v>
      </c>
      <c r="BY28" s="1701" t="s">
        <v>2003</v>
      </c>
      <c r="BZ28" s="1702" t="s">
        <v>2004</v>
      </c>
      <c r="CA28" s="1701" t="s">
        <v>2004</v>
      </c>
      <c r="CB28" s="1701" t="s">
        <v>2005</v>
      </c>
      <c r="CC28" s="1701" t="s">
        <v>2005</v>
      </c>
      <c r="CD28" s="1701" t="s">
        <v>2006</v>
      </c>
      <c r="CE28" s="1701" t="s">
        <v>2006</v>
      </c>
      <c r="CF28" s="1701" t="s">
        <v>2007</v>
      </c>
      <c r="CG28" s="1701" t="s">
        <v>2007</v>
      </c>
      <c r="CH28" s="1701" t="s">
        <v>2007</v>
      </c>
      <c r="CI28" s="1701" t="s">
        <v>2007</v>
      </c>
      <c r="CJ28" s="1701" t="s">
        <v>2007</v>
      </c>
      <c r="CK28" s="1701" t="s">
        <v>2008</v>
      </c>
      <c r="CL28" s="1701" t="s">
        <v>2009</v>
      </c>
      <c r="CM28" s="1701" t="s">
        <v>2010</v>
      </c>
      <c r="CN28" s="1701" t="s">
        <v>2010</v>
      </c>
      <c r="CO28" s="1701" t="s">
        <v>2011</v>
      </c>
      <c r="CP28" s="1701" t="s">
        <v>2012</v>
      </c>
      <c r="CQ28" s="1705" t="s">
        <v>2013</v>
      </c>
      <c r="CR28" s="1727" t="s">
        <v>2014</v>
      </c>
      <c r="CS28" s="1727" t="s">
        <v>2015</v>
      </c>
      <c r="CT28" s="1727" t="s">
        <v>2016</v>
      </c>
      <c r="CU28" s="1727" t="s">
        <v>2017</v>
      </c>
      <c r="CV28" s="1727" t="s">
        <v>2018</v>
      </c>
      <c r="CW28" s="1727" t="s">
        <v>2019</v>
      </c>
      <c r="CX28" s="1727" t="s">
        <v>2020</v>
      </c>
      <c r="CY28" s="1727" t="s">
        <v>2015</v>
      </c>
      <c r="CZ28" s="1727" t="s">
        <v>2021</v>
      </c>
      <c r="DA28" s="1727" t="s">
        <v>2022</v>
      </c>
      <c r="DB28" s="1727" t="s">
        <v>2023</v>
      </c>
      <c r="DC28" s="1728" t="s">
        <v>2024</v>
      </c>
      <c r="DD28" s="1728" t="s">
        <v>2025</v>
      </c>
      <c r="DE28" s="1728" t="s">
        <v>2026</v>
      </c>
      <c r="DF28" s="1728" t="s">
        <v>2027</v>
      </c>
      <c r="DG28" s="1728" t="s">
        <v>2028</v>
      </c>
      <c r="DH28" s="1728" t="s">
        <v>1653</v>
      </c>
      <c r="DI28" s="1728" t="s">
        <v>2029</v>
      </c>
      <c r="DJ28" s="1728" t="s">
        <v>2030</v>
      </c>
      <c r="DK28" s="1728" t="s">
        <v>2031</v>
      </c>
      <c r="DL28" s="1728" t="s">
        <v>2032</v>
      </c>
      <c r="DM28" s="1728" t="s">
        <v>2033</v>
      </c>
      <c r="DN28" s="1728" t="s">
        <v>2034</v>
      </c>
      <c r="DO28" s="1728" t="s">
        <v>2035</v>
      </c>
      <c r="DP28" s="1728" t="s">
        <v>2036</v>
      </c>
      <c r="DQ28" s="1728" t="s">
        <v>1660</v>
      </c>
      <c r="DR28" s="1728" t="s">
        <v>1660</v>
      </c>
      <c r="DS28" s="1728" t="s">
        <v>2037</v>
      </c>
      <c r="DT28" s="1728" t="s">
        <v>2038</v>
      </c>
      <c r="DU28" s="1728" t="s">
        <v>1660</v>
      </c>
      <c r="DV28" s="1728" t="s">
        <v>1660</v>
      </c>
      <c r="DW28" s="1728" t="s">
        <v>1660</v>
      </c>
      <c r="DX28" s="1728" t="s">
        <v>2039</v>
      </c>
      <c r="DY28" s="1728" t="s">
        <v>2040</v>
      </c>
      <c r="DZ28" s="1728" t="s">
        <v>2040</v>
      </c>
      <c r="EA28" s="1728" t="s">
        <v>2041</v>
      </c>
    </row>
    <row r="29" spans="1:131" ht="17.45" customHeight="1" x14ac:dyDescent="0.25">
      <c r="A29" s="1677" t="s">
        <v>2042</v>
      </c>
      <c r="B29" s="1699" t="s">
        <v>1594</v>
      </c>
      <c r="C29" s="1700" t="s">
        <v>1594</v>
      </c>
      <c r="D29" s="1700" t="s">
        <v>1594</v>
      </c>
      <c r="E29" s="1700" t="s">
        <v>2043</v>
      </c>
      <c r="F29" s="1699" t="s">
        <v>1594</v>
      </c>
      <c r="G29" s="1700" t="s">
        <v>1596</v>
      </c>
      <c r="H29" s="1700" t="s">
        <v>2044</v>
      </c>
      <c r="I29" s="1700" t="s">
        <v>2044</v>
      </c>
      <c r="J29" s="1700" t="s">
        <v>2044</v>
      </c>
      <c r="K29" s="1700" t="s">
        <v>2044</v>
      </c>
      <c r="L29" s="1700" t="s">
        <v>2044</v>
      </c>
      <c r="M29" s="1700" t="s">
        <v>2044</v>
      </c>
      <c r="N29" s="1699" t="s">
        <v>2045</v>
      </c>
      <c r="O29" s="1700" t="s">
        <v>2046</v>
      </c>
      <c r="P29" s="1700" t="s">
        <v>2047</v>
      </c>
      <c r="Q29" s="1699" t="s">
        <v>1686</v>
      </c>
      <c r="R29" s="1700" t="s">
        <v>2048</v>
      </c>
      <c r="S29" s="1700" t="s">
        <v>2049</v>
      </c>
      <c r="T29" s="1701" t="s">
        <v>2050</v>
      </c>
      <c r="U29" s="1701" t="s">
        <v>2050</v>
      </c>
      <c r="V29" s="1701" t="s">
        <v>2050</v>
      </c>
      <c r="W29" s="1701" t="s">
        <v>2050</v>
      </c>
      <c r="X29" s="1701" t="s">
        <v>2051</v>
      </c>
      <c r="Y29" s="1701" t="s">
        <v>2052</v>
      </c>
      <c r="Z29" s="1701" t="s">
        <v>2053</v>
      </c>
      <c r="AA29" s="1701" t="s">
        <v>1855</v>
      </c>
      <c r="AB29" s="1701" t="s">
        <v>1855</v>
      </c>
      <c r="AC29" s="1701" t="s">
        <v>2054</v>
      </c>
      <c r="AD29" s="1701" t="s">
        <v>1854</v>
      </c>
      <c r="AE29" s="1701" t="s">
        <v>2050</v>
      </c>
      <c r="AF29" s="1701" t="s">
        <v>2055</v>
      </c>
      <c r="AG29" s="1701" t="s">
        <v>2054</v>
      </c>
      <c r="AH29" s="1701" t="s">
        <v>2056</v>
      </c>
      <c r="AI29" s="1701" t="s">
        <v>2057</v>
      </c>
      <c r="AJ29" s="1701" t="s">
        <v>2058</v>
      </c>
      <c r="AK29" s="1701" t="s">
        <v>2059</v>
      </c>
      <c r="AL29" s="1701" t="s">
        <v>2060</v>
      </c>
      <c r="AM29" s="1701" t="s">
        <v>2061</v>
      </c>
      <c r="AN29" s="1701" t="s">
        <v>2061</v>
      </c>
      <c r="AO29" s="1701" t="s">
        <v>2061</v>
      </c>
      <c r="AP29" s="1701" t="s">
        <v>2062</v>
      </c>
      <c r="AQ29" s="1701" t="s">
        <v>2063</v>
      </c>
      <c r="AR29" s="1701" t="s">
        <v>2063</v>
      </c>
      <c r="AS29" s="1701" t="s">
        <v>2064</v>
      </c>
      <c r="AT29" s="1701" t="s">
        <v>2065</v>
      </c>
      <c r="AU29" s="1701" t="s">
        <v>1864</v>
      </c>
      <c r="AV29" s="1701" t="s">
        <v>1864</v>
      </c>
      <c r="AW29" s="1701" t="s">
        <v>1864</v>
      </c>
      <c r="AX29" s="1701" t="s">
        <v>1864</v>
      </c>
      <c r="AY29" s="1701" t="s">
        <v>1864</v>
      </c>
      <c r="AZ29" s="1701" t="s">
        <v>1864</v>
      </c>
      <c r="BA29" s="1701" t="s">
        <v>1864</v>
      </c>
      <c r="BB29" s="1701" t="s">
        <v>1864</v>
      </c>
      <c r="BC29" s="1701" t="s">
        <v>1864</v>
      </c>
      <c r="BD29" s="1701" t="s">
        <v>1864</v>
      </c>
      <c r="BE29" s="1701" t="s">
        <v>1864</v>
      </c>
      <c r="BF29" s="1701" t="s">
        <v>1864</v>
      </c>
      <c r="BG29" s="1701" t="s">
        <v>1864</v>
      </c>
      <c r="BH29" s="1701" t="s">
        <v>1864</v>
      </c>
      <c r="BI29" s="1701" t="s">
        <v>1864</v>
      </c>
      <c r="BJ29" s="1701" t="s">
        <v>1864</v>
      </c>
      <c r="BK29" s="1701" t="s">
        <v>1864</v>
      </c>
      <c r="BL29" s="1701" t="s">
        <v>1864</v>
      </c>
      <c r="BM29" s="1701" t="s">
        <v>2066</v>
      </c>
      <c r="BN29" s="1701" t="s">
        <v>2066</v>
      </c>
      <c r="BO29" s="1701" t="s">
        <v>2066</v>
      </c>
      <c r="BP29" s="1701" t="s">
        <v>2066</v>
      </c>
      <c r="BQ29" s="1701" t="s">
        <v>2066</v>
      </c>
      <c r="BR29" s="1701" t="s">
        <v>2066</v>
      </c>
      <c r="BS29" s="1701" t="s">
        <v>2067</v>
      </c>
      <c r="BT29" s="1701" t="s">
        <v>2067</v>
      </c>
      <c r="BU29" s="1701" t="s">
        <v>2067</v>
      </c>
      <c r="BV29" s="1701" t="s">
        <v>2067</v>
      </c>
      <c r="BW29" s="1701" t="s">
        <v>1952</v>
      </c>
      <c r="BX29" s="1701" t="s">
        <v>1952</v>
      </c>
      <c r="BY29" s="1701" t="s">
        <v>2068</v>
      </c>
      <c r="BZ29" s="1702" t="s">
        <v>2069</v>
      </c>
      <c r="CA29" s="1701" t="s">
        <v>2070</v>
      </c>
      <c r="CB29" s="1701" t="s">
        <v>2071</v>
      </c>
      <c r="CC29" s="1701" t="s">
        <v>2072</v>
      </c>
      <c r="CD29" s="1701" t="s">
        <v>1883</v>
      </c>
      <c r="CE29" s="1701" t="s">
        <v>2073</v>
      </c>
      <c r="CF29" s="1701" t="s">
        <v>1879</v>
      </c>
      <c r="CG29" s="1701" t="s">
        <v>1880</v>
      </c>
      <c r="CH29" s="1701" t="s">
        <v>2074</v>
      </c>
      <c r="CI29" s="1701" t="s">
        <v>1880</v>
      </c>
      <c r="CJ29" s="1701" t="s">
        <v>1880</v>
      </c>
      <c r="CK29" s="1701" t="s">
        <v>1879</v>
      </c>
      <c r="CL29" s="1701" t="s">
        <v>1879</v>
      </c>
      <c r="CM29" s="1701" t="s">
        <v>2075</v>
      </c>
      <c r="CN29" s="1701" t="s">
        <v>1881</v>
      </c>
      <c r="CO29" s="1701" t="s">
        <v>2076</v>
      </c>
      <c r="CP29" s="1701" t="s">
        <v>2077</v>
      </c>
      <c r="CQ29" s="1705" t="s">
        <v>2078</v>
      </c>
      <c r="CR29" s="1727" t="s">
        <v>2079</v>
      </c>
      <c r="CS29" s="1727" t="s">
        <v>2080</v>
      </c>
      <c r="CT29" s="1727" t="s">
        <v>2081</v>
      </c>
      <c r="CU29" s="1727" t="s">
        <v>2082</v>
      </c>
      <c r="CV29" s="1727" t="s">
        <v>2083</v>
      </c>
      <c r="CW29" s="1727" t="s">
        <v>2084</v>
      </c>
      <c r="CX29" s="1727" t="s">
        <v>2085</v>
      </c>
      <c r="CY29" s="1727" t="s">
        <v>2082</v>
      </c>
      <c r="CZ29" s="1727" t="s">
        <v>2085</v>
      </c>
      <c r="DA29" s="1727" t="s">
        <v>2086</v>
      </c>
      <c r="DB29" s="1727" t="s">
        <v>2087</v>
      </c>
      <c r="DC29" s="1728" t="s">
        <v>2088</v>
      </c>
      <c r="DD29" s="1728" t="s">
        <v>2089</v>
      </c>
      <c r="DE29" s="1728" t="s">
        <v>2090</v>
      </c>
      <c r="DF29" s="1728" t="s">
        <v>2091</v>
      </c>
      <c r="DG29" s="1728" t="s">
        <v>2092</v>
      </c>
      <c r="DH29" s="1728" t="s">
        <v>2093</v>
      </c>
      <c r="DI29" s="1728" t="s">
        <v>2094</v>
      </c>
      <c r="DJ29" s="1728" t="s">
        <v>2095</v>
      </c>
      <c r="DK29" s="1728" t="s">
        <v>2096</v>
      </c>
      <c r="DL29" s="1728" t="s">
        <v>2097</v>
      </c>
      <c r="DM29" s="1728" t="s">
        <v>2098</v>
      </c>
      <c r="DN29" s="1728" t="s">
        <v>2099</v>
      </c>
      <c r="DO29" s="1728" t="s">
        <v>2100</v>
      </c>
      <c r="DP29" s="1728" t="s">
        <v>1496</v>
      </c>
      <c r="DQ29" s="1728" t="s">
        <v>2101</v>
      </c>
      <c r="DR29" s="1728" t="s">
        <v>1825</v>
      </c>
      <c r="DS29" s="1728" t="s">
        <v>2102</v>
      </c>
      <c r="DT29" s="1728" t="s">
        <v>2103</v>
      </c>
      <c r="DU29" s="1728" t="s">
        <v>2104</v>
      </c>
      <c r="DV29" s="1728" t="s">
        <v>2105</v>
      </c>
      <c r="DW29" s="1728" t="s">
        <v>1793</v>
      </c>
      <c r="DX29" s="1728" t="s">
        <v>1790</v>
      </c>
      <c r="DY29" s="1728" t="s">
        <v>2106</v>
      </c>
      <c r="DZ29" s="1728" t="s">
        <v>2107</v>
      </c>
      <c r="EA29" s="1728" t="s">
        <v>2108</v>
      </c>
    </row>
    <row r="30" spans="1:131" ht="17.45" customHeight="1" x14ac:dyDescent="0.25">
      <c r="A30" s="1677" t="s">
        <v>2109</v>
      </c>
      <c r="B30" s="1699" t="s">
        <v>1472</v>
      </c>
      <c r="C30" s="1700" t="s">
        <v>1472</v>
      </c>
      <c r="D30" s="1700" t="s">
        <v>1472</v>
      </c>
      <c r="E30" s="1700" t="s">
        <v>1472</v>
      </c>
      <c r="F30" s="1699" t="s">
        <v>1472</v>
      </c>
      <c r="G30" s="1700" t="s">
        <v>1472</v>
      </c>
      <c r="H30" s="1700" t="s">
        <v>1472</v>
      </c>
      <c r="I30" s="1700" t="s">
        <v>1472</v>
      </c>
      <c r="J30" s="1700" t="s">
        <v>1472</v>
      </c>
      <c r="K30" s="1700" t="s">
        <v>1472</v>
      </c>
      <c r="L30" s="1700" t="s">
        <v>1472</v>
      </c>
      <c r="M30" s="1700" t="s">
        <v>1472</v>
      </c>
      <c r="N30" s="1699" t="s">
        <v>1472</v>
      </c>
      <c r="O30" s="1700" t="s">
        <v>1472</v>
      </c>
      <c r="P30" s="1700" t="s">
        <v>2110</v>
      </c>
      <c r="Q30" s="1699" t="s">
        <v>2111</v>
      </c>
      <c r="R30" s="1700" t="s">
        <v>2112</v>
      </c>
      <c r="S30" s="1700" t="s">
        <v>1472</v>
      </c>
      <c r="T30" s="1701" t="s">
        <v>1472</v>
      </c>
      <c r="U30" s="1701" t="s">
        <v>1472</v>
      </c>
      <c r="V30" s="1701" t="s">
        <v>1472</v>
      </c>
      <c r="W30" s="1701" t="s">
        <v>2113</v>
      </c>
      <c r="X30" s="1701" t="s">
        <v>1472</v>
      </c>
      <c r="Y30" s="1701" t="s">
        <v>2114</v>
      </c>
      <c r="Z30" s="1701" t="s">
        <v>2114</v>
      </c>
      <c r="AA30" s="1701" t="s">
        <v>1472</v>
      </c>
      <c r="AB30" s="1701" t="s">
        <v>2114</v>
      </c>
      <c r="AC30" s="1701" t="s">
        <v>1605</v>
      </c>
      <c r="AD30" s="1701" t="s">
        <v>1605</v>
      </c>
      <c r="AE30" s="1701" t="s">
        <v>1601</v>
      </c>
      <c r="AF30" s="1701" t="s">
        <v>2115</v>
      </c>
      <c r="AG30" s="1701" t="s">
        <v>2116</v>
      </c>
      <c r="AH30" s="1701" t="s">
        <v>2117</v>
      </c>
      <c r="AI30" s="1701" t="s">
        <v>2118</v>
      </c>
      <c r="AJ30" s="1701" t="s">
        <v>2119</v>
      </c>
      <c r="AK30" s="1701" t="s">
        <v>1742</v>
      </c>
      <c r="AL30" s="1701" t="s">
        <v>2120</v>
      </c>
      <c r="AM30" s="1701" t="s">
        <v>2121</v>
      </c>
      <c r="AN30" s="1701" t="s">
        <v>2122</v>
      </c>
      <c r="AO30" s="1701" t="s">
        <v>1592</v>
      </c>
      <c r="AP30" s="1701" t="s">
        <v>2123</v>
      </c>
      <c r="AQ30" s="1701" t="s">
        <v>2124</v>
      </c>
      <c r="AR30" s="1701" t="s">
        <v>2124</v>
      </c>
      <c r="AS30" s="1701" t="s">
        <v>2124</v>
      </c>
      <c r="AT30" s="1701" t="s">
        <v>2125</v>
      </c>
      <c r="AU30" s="1701" t="s">
        <v>1864</v>
      </c>
      <c r="AV30" s="1701" t="s">
        <v>1864</v>
      </c>
      <c r="AW30" s="1701" t="s">
        <v>1864</v>
      </c>
      <c r="AX30" s="1701" t="s">
        <v>1864</v>
      </c>
      <c r="AY30" s="1701" t="s">
        <v>1864</v>
      </c>
      <c r="AZ30" s="1701" t="s">
        <v>1864</v>
      </c>
      <c r="BA30" s="1701" t="s">
        <v>1864</v>
      </c>
      <c r="BB30" s="1701" t="s">
        <v>1864</v>
      </c>
      <c r="BC30" s="1701" t="s">
        <v>1864</v>
      </c>
      <c r="BD30" s="1701" t="s">
        <v>1864</v>
      </c>
      <c r="BE30" s="1701" t="s">
        <v>1864</v>
      </c>
      <c r="BF30" s="1701" t="s">
        <v>1864</v>
      </c>
      <c r="BG30" s="1701" t="s">
        <v>1864</v>
      </c>
      <c r="BH30" s="1701" t="s">
        <v>1864</v>
      </c>
      <c r="BI30" s="1701" t="s">
        <v>1952</v>
      </c>
      <c r="BJ30" s="1701" t="s">
        <v>1952</v>
      </c>
      <c r="BK30" s="1701" t="s">
        <v>1952</v>
      </c>
      <c r="BL30" s="1701" t="s">
        <v>1952</v>
      </c>
      <c r="BM30" s="1701" t="s">
        <v>2066</v>
      </c>
      <c r="BN30" s="1701" t="s">
        <v>2066</v>
      </c>
      <c r="BO30" s="1701" t="s">
        <v>2066</v>
      </c>
      <c r="BP30" s="1701" t="s">
        <v>2066</v>
      </c>
      <c r="BQ30" s="1701" t="s">
        <v>2066</v>
      </c>
      <c r="BR30" s="1701" t="s">
        <v>2066</v>
      </c>
      <c r="BS30" s="1701" t="s">
        <v>2067</v>
      </c>
      <c r="BT30" s="1701" t="s">
        <v>2067</v>
      </c>
      <c r="BU30" s="1701" t="s">
        <v>2126</v>
      </c>
      <c r="BV30" s="1701" t="s">
        <v>2126</v>
      </c>
      <c r="BW30" s="1701" t="s">
        <v>1624</v>
      </c>
      <c r="BX30" s="1701" t="s">
        <v>2127</v>
      </c>
      <c r="BY30" s="1701" t="s">
        <v>2127</v>
      </c>
      <c r="BZ30" s="1702" t="s">
        <v>1753</v>
      </c>
      <c r="CA30" s="1701" t="s">
        <v>2128</v>
      </c>
      <c r="CB30" s="1701" t="s">
        <v>2128</v>
      </c>
      <c r="CC30" s="1701" t="s">
        <v>2129</v>
      </c>
      <c r="CD30" s="1701" t="s">
        <v>2130</v>
      </c>
      <c r="CE30" s="1701" t="s">
        <v>2025</v>
      </c>
      <c r="CF30" s="1701" t="s">
        <v>2131</v>
      </c>
      <c r="CG30" s="1701" t="s">
        <v>2132</v>
      </c>
      <c r="CH30" s="1701" t="s">
        <v>2025</v>
      </c>
      <c r="CI30" s="1701" t="s">
        <v>2133</v>
      </c>
      <c r="CJ30" s="1701" t="s">
        <v>2133</v>
      </c>
      <c r="CK30" s="1701" t="s">
        <v>2134</v>
      </c>
      <c r="CL30" s="1701" t="s">
        <v>2134</v>
      </c>
      <c r="CM30" s="1701" t="s">
        <v>2135</v>
      </c>
      <c r="CN30" s="1701" t="s">
        <v>2136</v>
      </c>
      <c r="CO30" s="1701" t="s">
        <v>2137</v>
      </c>
      <c r="CP30" s="1701" t="s">
        <v>2137</v>
      </c>
      <c r="CQ30" s="1705" t="s">
        <v>2138</v>
      </c>
      <c r="CR30" s="1727" t="s">
        <v>1636</v>
      </c>
      <c r="CS30" s="1727" t="s">
        <v>1715</v>
      </c>
      <c r="CT30" s="1727" t="s">
        <v>2139</v>
      </c>
      <c r="CU30" s="1727" t="s">
        <v>2140</v>
      </c>
      <c r="CV30" s="1727" t="s">
        <v>2141</v>
      </c>
      <c r="CW30" s="1727" t="s">
        <v>2142</v>
      </c>
      <c r="CX30" s="1727" t="s">
        <v>2143</v>
      </c>
      <c r="CY30" s="1727" t="s">
        <v>2144</v>
      </c>
      <c r="CZ30" s="1727" t="s">
        <v>2145</v>
      </c>
      <c r="DA30" s="1727" t="s">
        <v>2146</v>
      </c>
      <c r="DB30" s="1727" t="s">
        <v>1655</v>
      </c>
      <c r="DC30" s="1728" t="s">
        <v>1649</v>
      </c>
      <c r="DD30" s="1728" t="s">
        <v>2147</v>
      </c>
      <c r="DE30" s="1728" t="s">
        <v>2148</v>
      </c>
      <c r="DF30" s="1728" t="s">
        <v>2149</v>
      </c>
      <c r="DG30" s="1728" t="s">
        <v>2150</v>
      </c>
      <c r="DH30" s="1728" t="s">
        <v>2151</v>
      </c>
      <c r="DI30" s="1728" t="s">
        <v>1536</v>
      </c>
      <c r="DJ30" s="1728" t="s">
        <v>2149</v>
      </c>
      <c r="DK30" s="1728" t="s">
        <v>2152</v>
      </c>
      <c r="DL30" s="1728" t="s">
        <v>1536</v>
      </c>
      <c r="DM30" s="1728" t="s">
        <v>2153</v>
      </c>
      <c r="DN30" s="1728" t="s">
        <v>2154</v>
      </c>
      <c r="DO30" s="1728" t="s">
        <v>2155</v>
      </c>
      <c r="DP30" s="1728" t="s">
        <v>2156</v>
      </c>
      <c r="DQ30" s="1728" t="s">
        <v>2157</v>
      </c>
      <c r="DR30" s="1728" t="s">
        <v>2158</v>
      </c>
      <c r="DS30" s="1728" t="s">
        <v>2159</v>
      </c>
      <c r="DT30" s="1728" t="s">
        <v>2160</v>
      </c>
      <c r="DU30" s="1728" t="s">
        <v>2160</v>
      </c>
      <c r="DV30" s="1728" t="s">
        <v>2161</v>
      </c>
      <c r="DW30" s="1728" t="s">
        <v>2161</v>
      </c>
      <c r="DX30" s="1728" t="s">
        <v>2161</v>
      </c>
      <c r="DY30" s="1728" t="s">
        <v>2162</v>
      </c>
      <c r="DZ30" s="1728" t="s">
        <v>2163</v>
      </c>
      <c r="EA30" s="1728" t="s">
        <v>2164</v>
      </c>
    </row>
    <row r="31" spans="1:131" ht="17.45" customHeight="1" x14ac:dyDescent="0.25">
      <c r="A31" s="1677" t="s">
        <v>2165</v>
      </c>
      <c r="B31" s="1699" t="s">
        <v>1872</v>
      </c>
      <c r="C31" s="1700" t="s">
        <v>2166</v>
      </c>
      <c r="D31" s="1700" t="s">
        <v>2167</v>
      </c>
      <c r="E31" s="1700" t="s">
        <v>2168</v>
      </c>
      <c r="F31" s="1699" t="s">
        <v>1542</v>
      </c>
      <c r="G31" s="1700" t="s">
        <v>2043</v>
      </c>
      <c r="H31" s="1700" t="s">
        <v>2067</v>
      </c>
      <c r="I31" s="1700" t="s">
        <v>2067</v>
      </c>
      <c r="J31" s="1700" t="s">
        <v>2067</v>
      </c>
      <c r="K31" s="1700" t="s">
        <v>2067</v>
      </c>
      <c r="L31" s="1700" t="s">
        <v>2067</v>
      </c>
      <c r="M31" s="1700" t="s">
        <v>2067</v>
      </c>
      <c r="N31" s="1699" t="s">
        <v>2169</v>
      </c>
      <c r="O31" s="1700" t="s">
        <v>2170</v>
      </c>
      <c r="P31" s="1700" t="s">
        <v>2170</v>
      </c>
      <c r="Q31" s="1699" t="s">
        <v>2170</v>
      </c>
      <c r="R31" s="1700" t="s">
        <v>2170</v>
      </c>
      <c r="S31" s="1700" t="s">
        <v>2170</v>
      </c>
      <c r="T31" s="1701" t="s">
        <v>2171</v>
      </c>
      <c r="U31" s="1701" t="s">
        <v>2170</v>
      </c>
      <c r="V31" s="1701" t="s">
        <v>2170</v>
      </c>
      <c r="W31" s="1701" t="s">
        <v>2170</v>
      </c>
      <c r="X31" s="1701" t="s">
        <v>2170</v>
      </c>
      <c r="Y31" s="1701" t="s">
        <v>2172</v>
      </c>
      <c r="Z31" s="1701" t="s">
        <v>2045</v>
      </c>
      <c r="AA31" s="1701" t="s">
        <v>2045</v>
      </c>
      <c r="AB31" s="1701" t="s">
        <v>2045</v>
      </c>
      <c r="AC31" s="1701" t="s">
        <v>2173</v>
      </c>
      <c r="AD31" s="1701" t="s">
        <v>2173</v>
      </c>
      <c r="AE31" s="1701" t="s">
        <v>2173</v>
      </c>
      <c r="AF31" s="1701" t="s">
        <v>2173</v>
      </c>
      <c r="AG31" s="1701" t="s">
        <v>2174</v>
      </c>
      <c r="AH31" s="1701" t="s">
        <v>2174</v>
      </c>
      <c r="AI31" s="1701" t="s">
        <v>2175</v>
      </c>
      <c r="AJ31" s="1701" t="s">
        <v>2176</v>
      </c>
      <c r="AK31" s="1701" t="s">
        <v>2176</v>
      </c>
      <c r="AL31" s="1701" t="s">
        <v>2177</v>
      </c>
      <c r="AM31" s="1701" t="s">
        <v>2178</v>
      </c>
      <c r="AN31" s="1701" t="s">
        <v>2179</v>
      </c>
      <c r="AO31" s="1701" t="s">
        <v>2179</v>
      </c>
      <c r="AP31" s="1701" t="s">
        <v>2180</v>
      </c>
      <c r="AQ31" s="1701" t="s">
        <v>2181</v>
      </c>
      <c r="AR31" s="1701" t="s">
        <v>2181</v>
      </c>
      <c r="AS31" s="1701" t="s">
        <v>2181</v>
      </c>
      <c r="AT31" s="1701" t="s">
        <v>1866</v>
      </c>
      <c r="AU31" s="1701" t="s">
        <v>1866</v>
      </c>
      <c r="AV31" s="1701" t="s">
        <v>1866</v>
      </c>
      <c r="AW31" s="1701" t="s">
        <v>1866</v>
      </c>
      <c r="AX31" s="1701" t="s">
        <v>1866</v>
      </c>
      <c r="AY31" s="1701" t="s">
        <v>1866</v>
      </c>
      <c r="AZ31" s="1701" t="s">
        <v>1866</v>
      </c>
      <c r="BA31" s="1701" t="s">
        <v>1866</v>
      </c>
      <c r="BB31" s="1701" t="s">
        <v>1866</v>
      </c>
      <c r="BC31" s="1701" t="s">
        <v>1866</v>
      </c>
      <c r="BD31" s="1701" t="s">
        <v>1866</v>
      </c>
      <c r="BE31" s="1701" t="s">
        <v>1866</v>
      </c>
      <c r="BF31" s="1701" t="s">
        <v>1866</v>
      </c>
      <c r="BG31" s="1701" t="s">
        <v>1866</v>
      </c>
      <c r="BH31" s="1701" t="s">
        <v>1866</v>
      </c>
      <c r="BI31" s="1701" t="s">
        <v>1866</v>
      </c>
      <c r="BJ31" s="1701" t="s">
        <v>2003</v>
      </c>
      <c r="BK31" s="1701" t="s">
        <v>2003</v>
      </c>
      <c r="BL31" s="1701" t="s">
        <v>2003</v>
      </c>
      <c r="BM31" s="1701" t="s">
        <v>2182</v>
      </c>
      <c r="BN31" s="1701" t="s">
        <v>2003</v>
      </c>
      <c r="BO31" s="1701" t="s">
        <v>2003</v>
      </c>
      <c r="BP31" s="1701" t="s">
        <v>1872</v>
      </c>
      <c r="BQ31" s="1701" t="s">
        <v>1872</v>
      </c>
      <c r="BR31" s="1701" t="s">
        <v>1872</v>
      </c>
      <c r="BS31" s="1701" t="s">
        <v>1873</v>
      </c>
      <c r="BT31" s="1701" t="s">
        <v>1873</v>
      </c>
      <c r="BU31" s="1701" t="s">
        <v>2003</v>
      </c>
      <c r="BV31" s="1701" t="s">
        <v>2003</v>
      </c>
      <c r="BW31" s="1701" t="s">
        <v>1548</v>
      </c>
      <c r="BX31" s="1701" t="s">
        <v>1486</v>
      </c>
      <c r="BY31" s="1701" t="s">
        <v>1486</v>
      </c>
      <c r="BZ31" s="1702" t="s">
        <v>1486</v>
      </c>
      <c r="CA31" s="1701" t="s">
        <v>1486</v>
      </c>
      <c r="CB31" s="1701" t="s">
        <v>1486</v>
      </c>
      <c r="CC31" s="1701" t="s">
        <v>1486</v>
      </c>
      <c r="CD31" s="1701" t="s">
        <v>2183</v>
      </c>
      <c r="CE31" s="1701" t="s">
        <v>2183</v>
      </c>
      <c r="CF31" s="1701" t="s">
        <v>2184</v>
      </c>
      <c r="CG31" s="1701" t="s">
        <v>2184</v>
      </c>
      <c r="CH31" s="1701" t="s">
        <v>2184</v>
      </c>
      <c r="CI31" s="1701" t="s">
        <v>2184</v>
      </c>
      <c r="CJ31" s="1701" t="s">
        <v>2185</v>
      </c>
      <c r="CK31" s="1701" t="s">
        <v>2186</v>
      </c>
      <c r="CL31" s="1701" t="s">
        <v>2187</v>
      </c>
      <c r="CM31" s="1701" t="s">
        <v>2187</v>
      </c>
      <c r="CN31" s="1701" t="s">
        <v>2187</v>
      </c>
      <c r="CO31" s="1701" t="s">
        <v>2187</v>
      </c>
      <c r="CP31" s="1701" t="s">
        <v>2188</v>
      </c>
      <c r="CQ31" s="1705" t="s">
        <v>2188</v>
      </c>
      <c r="CR31" s="1727" t="s">
        <v>2189</v>
      </c>
      <c r="CS31" s="1727" t="s">
        <v>2190</v>
      </c>
      <c r="CT31" s="1727" t="s">
        <v>2191</v>
      </c>
      <c r="CU31" s="1727" t="s">
        <v>2192</v>
      </c>
      <c r="CV31" s="1727" t="s">
        <v>2192</v>
      </c>
      <c r="CW31" s="1727" t="s">
        <v>2193</v>
      </c>
      <c r="CX31" s="1727" t="s">
        <v>2194</v>
      </c>
      <c r="CY31" s="1727" t="s">
        <v>2195</v>
      </c>
      <c r="CZ31" s="1727" t="s">
        <v>1829</v>
      </c>
      <c r="DA31" s="1727" t="s">
        <v>2196</v>
      </c>
      <c r="DB31" s="1727" t="s">
        <v>2190</v>
      </c>
      <c r="DC31" s="1728" t="s">
        <v>2197</v>
      </c>
      <c r="DD31" s="1728" t="s">
        <v>2197</v>
      </c>
      <c r="DE31" s="1728" t="s">
        <v>2198</v>
      </c>
      <c r="DF31" s="1728" t="s">
        <v>2199</v>
      </c>
      <c r="DG31" s="1728" t="s">
        <v>2200</v>
      </c>
      <c r="DH31" s="1728" t="s">
        <v>2201</v>
      </c>
      <c r="DI31" s="1728" t="s">
        <v>2202</v>
      </c>
      <c r="DJ31" s="1728" t="s">
        <v>2203</v>
      </c>
      <c r="DK31" s="1728" t="s">
        <v>2204</v>
      </c>
      <c r="DL31" s="1728" t="s">
        <v>2204</v>
      </c>
      <c r="DM31" s="1728" t="s">
        <v>2205</v>
      </c>
      <c r="DN31" s="1728" t="s">
        <v>2206</v>
      </c>
      <c r="DO31" s="1728" t="s">
        <v>2201</v>
      </c>
      <c r="DP31" s="1728" t="s">
        <v>2207</v>
      </c>
      <c r="DQ31" s="1728" t="s">
        <v>2208</v>
      </c>
      <c r="DR31" s="1728" t="s">
        <v>2201</v>
      </c>
      <c r="DS31" s="1728" t="s">
        <v>2209</v>
      </c>
      <c r="DT31" s="1728" t="s">
        <v>2201</v>
      </c>
      <c r="DU31" s="1728" t="s">
        <v>2201</v>
      </c>
      <c r="DV31" s="1728" t="s">
        <v>2210</v>
      </c>
      <c r="DW31" s="1728" t="s">
        <v>2211</v>
      </c>
      <c r="DX31" s="1728" t="s">
        <v>2212</v>
      </c>
      <c r="DY31" s="1728" t="s">
        <v>2213</v>
      </c>
      <c r="DZ31" s="1728" t="s">
        <v>2214</v>
      </c>
      <c r="EA31" s="1728" t="s">
        <v>2215</v>
      </c>
    </row>
    <row r="32" spans="1:131" ht="17.45" customHeight="1" x14ac:dyDescent="0.25">
      <c r="A32" s="1677" t="s">
        <v>2216</v>
      </c>
      <c r="B32" s="1699">
        <v>11.75</v>
      </c>
      <c r="C32" s="1700">
        <v>12.25</v>
      </c>
      <c r="D32" s="1700">
        <v>12.25</v>
      </c>
      <c r="E32" s="1700">
        <v>12.25</v>
      </c>
      <c r="F32" s="1699" t="s">
        <v>2217</v>
      </c>
      <c r="G32" s="1700">
        <v>13.25</v>
      </c>
      <c r="H32" s="1700">
        <v>13.25</v>
      </c>
      <c r="I32" s="1700">
        <v>13.25</v>
      </c>
      <c r="J32" s="1700">
        <v>13.25</v>
      </c>
      <c r="K32" s="1700">
        <v>13.25</v>
      </c>
      <c r="L32" s="1700" t="s">
        <v>2218</v>
      </c>
      <c r="M32" s="1700" t="s">
        <v>2218</v>
      </c>
      <c r="N32" s="1699" t="s">
        <v>2219</v>
      </c>
      <c r="O32" s="1700" t="s">
        <v>2219</v>
      </c>
      <c r="P32" s="1700" t="s">
        <v>2220</v>
      </c>
      <c r="Q32" s="1699" t="s">
        <v>2220</v>
      </c>
      <c r="R32" s="1700" t="s">
        <v>1677</v>
      </c>
      <c r="S32" s="1700" t="s">
        <v>1677</v>
      </c>
      <c r="T32" s="1701" t="s">
        <v>2221</v>
      </c>
      <c r="U32" s="1701" t="s">
        <v>1677</v>
      </c>
      <c r="V32" s="1701" t="s">
        <v>2221</v>
      </c>
      <c r="W32" s="1701" t="s">
        <v>2221</v>
      </c>
      <c r="X32" s="1701" t="s">
        <v>1677</v>
      </c>
      <c r="Y32" s="1701" t="s">
        <v>2221</v>
      </c>
      <c r="Z32" s="1701" t="s">
        <v>2222</v>
      </c>
      <c r="AA32" s="1701" t="s">
        <v>2223</v>
      </c>
      <c r="AB32" s="1701" t="s">
        <v>2224</v>
      </c>
      <c r="AC32" s="1701" t="s">
        <v>2224</v>
      </c>
      <c r="AD32" s="1701" t="s">
        <v>2224</v>
      </c>
      <c r="AE32" s="1701" t="s">
        <v>1682</v>
      </c>
      <c r="AF32" s="1701" t="s">
        <v>1682</v>
      </c>
      <c r="AG32" s="1701" t="s">
        <v>1679</v>
      </c>
      <c r="AH32" s="1701" t="s">
        <v>1677</v>
      </c>
      <c r="AI32" s="1701" t="s">
        <v>1677</v>
      </c>
      <c r="AJ32" s="1701" t="s">
        <v>1684</v>
      </c>
      <c r="AK32" s="1701" t="s">
        <v>2225</v>
      </c>
      <c r="AL32" s="1701" t="s">
        <v>2226</v>
      </c>
      <c r="AM32" s="1701" t="s">
        <v>2227</v>
      </c>
      <c r="AN32" s="1701" t="s">
        <v>2227</v>
      </c>
      <c r="AO32" s="1701" t="s">
        <v>2228</v>
      </c>
      <c r="AP32" s="1701" t="s">
        <v>2229</v>
      </c>
      <c r="AQ32" s="1701" t="s">
        <v>2230</v>
      </c>
      <c r="AR32" s="1701" t="s">
        <v>2230</v>
      </c>
      <c r="AS32" s="1701" t="s">
        <v>2230</v>
      </c>
      <c r="AT32" s="1701" t="s">
        <v>1869</v>
      </c>
      <c r="AU32" s="1701" t="s">
        <v>2231</v>
      </c>
      <c r="AV32" s="1701" t="s">
        <v>2232</v>
      </c>
      <c r="AW32" s="1701" t="s">
        <v>2232</v>
      </c>
      <c r="AX32" s="1701" t="s">
        <v>2232</v>
      </c>
      <c r="AY32" s="1701" t="s">
        <v>2233</v>
      </c>
      <c r="AZ32" s="1701" t="s">
        <v>2233</v>
      </c>
      <c r="BA32" s="1701" t="s">
        <v>2233</v>
      </c>
      <c r="BB32" s="1701" t="s">
        <v>2233</v>
      </c>
      <c r="BC32" s="1701" t="s">
        <v>2233</v>
      </c>
      <c r="BD32" s="1701" t="s">
        <v>2232</v>
      </c>
      <c r="BE32" s="1701" t="s">
        <v>2232</v>
      </c>
      <c r="BF32" s="1701" t="s">
        <v>2232</v>
      </c>
      <c r="BG32" s="1701" t="s">
        <v>2232</v>
      </c>
      <c r="BH32" s="1701" t="s">
        <v>2232</v>
      </c>
      <c r="BI32" s="1701" t="s">
        <v>2232</v>
      </c>
      <c r="BJ32" s="1701" t="s">
        <v>2232</v>
      </c>
      <c r="BK32" s="1701" t="s">
        <v>2232</v>
      </c>
      <c r="BL32" s="1701" t="s">
        <v>2232</v>
      </c>
      <c r="BM32" s="1701" t="s">
        <v>2234</v>
      </c>
      <c r="BN32" s="1701" t="s">
        <v>2235</v>
      </c>
      <c r="BO32" s="1701" t="s">
        <v>2236</v>
      </c>
      <c r="BP32" s="1701" t="s">
        <v>2236</v>
      </c>
      <c r="BQ32" s="1701" t="s">
        <v>2236</v>
      </c>
      <c r="BR32" s="1701" t="s">
        <v>2236</v>
      </c>
      <c r="BS32" s="1701" t="s">
        <v>2237</v>
      </c>
      <c r="BT32" s="1701" t="s">
        <v>2237</v>
      </c>
      <c r="BU32" s="1701" t="s">
        <v>2238</v>
      </c>
      <c r="BV32" s="1701" t="s">
        <v>2238</v>
      </c>
      <c r="BW32" s="1701" t="s">
        <v>1696</v>
      </c>
      <c r="BX32" s="1701" t="s">
        <v>1696</v>
      </c>
      <c r="BY32" s="1701" t="s">
        <v>2239</v>
      </c>
      <c r="BZ32" s="1702" t="s">
        <v>1696</v>
      </c>
      <c r="CA32" s="1701" t="s">
        <v>2240</v>
      </c>
      <c r="CB32" s="1701" t="s">
        <v>2240</v>
      </c>
      <c r="CC32" s="1701" t="s">
        <v>2241</v>
      </c>
      <c r="CD32" s="1701" t="s">
        <v>2242</v>
      </c>
      <c r="CE32" s="1701" t="s">
        <v>2242</v>
      </c>
      <c r="CF32" s="1701" t="s">
        <v>2242</v>
      </c>
      <c r="CG32" s="1701" t="s">
        <v>2242</v>
      </c>
      <c r="CH32" s="1701" t="s">
        <v>2242</v>
      </c>
      <c r="CI32" s="1701" t="s">
        <v>2242</v>
      </c>
      <c r="CJ32" s="1701" t="s">
        <v>2242</v>
      </c>
      <c r="CK32" s="1701" t="s">
        <v>2242</v>
      </c>
      <c r="CL32" s="1701" t="s">
        <v>2243</v>
      </c>
      <c r="CM32" s="1701" t="s">
        <v>2242</v>
      </c>
      <c r="CN32" s="1701" t="s">
        <v>1705</v>
      </c>
      <c r="CO32" s="1701" t="s">
        <v>2243</v>
      </c>
      <c r="CP32" s="1701" t="s">
        <v>2244</v>
      </c>
      <c r="CQ32" s="1705" t="s">
        <v>2245</v>
      </c>
      <c r="CR32" s="1727" t="s">
        <v>2242</v>
      </c>
      <c r="CS32" s="1727" t="s">
        <v>2246</v>
      </c>
      <c r="CT32" s="1727" t="s">
        <v>2247</v>
      </c>
      <c r="CU32" s="1727" t="s">
        <v>2248</v>
      </c>
      <c r="CV32" s="1727" t="s">
        <v>2249</v>
      </c>
      <c r="CW32" s="1727" t="s">
        <v>2246</v>
      </c>
      <c r="CX32" s="1727" t="s">
        <v>2246</v>
      </c>
      <c r="CY32" s="1727" t="s">
        <v>2250</v>
      </c>
      <c r="CZ32" s="1727" t="s">
        <v>2248</v>
      </c>
      <c r="DA32" s="1727" t="s">
        <v>2251</v>
      </c>
      <c r="DB32" s="1727" t="s">
        <v>2246</v>
      </c>
      <c r="DC32" s="1728" t="s">
        <v>2251</v>
      </c>
      <c r="DD32" s="1728" t="s">
        <v>2248</v>
      </c>
      <c r="DE32" s="1728" t="s">
        <v>2252</v>
      </c>
      <c r="DF32" s="1728" t="s">
        <v>2252</v>
      </c>
      <c r="DG32" s="1728" t="s">
        <v>2253</v>
      </c>
      <c r="DH32" s="1728" t="s">
        <v>2252</v>
      </c>
      <c r="DI32" s="1728" t="s">
        <v>2254</v>
      </c>
      <c r="DJ32" s="1728" t="s">
        <v>2255</v>
      </c>
      <c r="DK32" s="1728" t="s">
        <v>2252</v>
      </c>
      <c r="DL32" s="1728" t="s">
        <v>2252</v>
      </c>
      <c r="DM32" s="1728" t="s">
        <v>2252</v>
      </c>
      <c r="DN32" s="1728" t="s">
        <v>2252</v>
      </c>
      <c r="DO32" s="1728" t="s">
        <v>2253</v>
      </c>
      <c r="DP32" s="1728" t="s">
        <v>2256</v>
      </c>
      <c r="DQ32" s="1728" t="s">
        <v>2257</v>
      </c>
      <c r="DR32" s="1728" t="s">
        <v>2209</v>
      </c>
      <c r="DS32" s="1728" t="s">
        <v>2258</v>
      </c>
      <c r="DT32" s="1728" t="s">
        <v>2258</v>
      </c>
      <c r="DU32" s="1728" t="s">
        <v>2258</v>
      </c>
      <c r="DV32" s="1728" t="s">
        <v>2259</v>
      </c>
      <c r="DW32" s="1728" t="s">
        <v>2260</v>
      </c>
      <c r="DX32" s="1728" t="s">
        <v>2261</v>
      </c>
      <c r="DY32" s="1728" t="s">
        <v>2262</v>
      </c>
      <c r="DZ32" s="1728" t="s">
        <v>2263</v>
      </c>
      <c r="EA32" s="1728" t="s">
        <v>2264</v>
      </c>
    </row>
    <row r="33" spans="1:131" ht="17.45" customHeight="1" x14ac:dyDescent="0.25">
      <c r="A33" s="1677" t="s">
        <v>2265</v>
      </c>
      <c r="B33" s="1699" t="s">
        <v>2266</v>
      </c>
      <c r="C33" s="1700" t="s">
        <v>2267</v>
      </c>
      <c r="D33" s="1700" t="s">
        <v>2268</v>
      </c>
      <c r="E33" s="1700" t="s">
        <v>2268</v>
      </c>
      <c r="F33" s="1699" t="s">
        <v>2268</v>
      </c>
      <c r="G33" s="1700" t="s">
        <v>2173</v>
      </c>
      <c r="H33" s="1700" t="s">
        <v>2269</v>
      </c>
      <c r="I33" s="1700" t="s">
        <v>2045</v>
      </c>
      <c r="J33" s="1700" t="s">
        <v>2173</v>
      </c>
      <c r="K33" s="1700" t="s">
        <v>2045</v>
      </c>
      <c r="L33" s="1700" t="s">
        <v>2270</v>
      </c>
      <c r="M33" s="1700" t="s">
        <v>2271</v>
      </c>
      <c r="N33" s="1699" t="s">
        <v>2272</v>
      </c>
      <c r="O33" s="1700" t="s">
        <v>2271</v>
      </c>
      <c r="P33" s="1700" t="s">
        <v>2273</v>
      </c>
      <c r="Q33" s="1699" t="s">
        <v>2274</v>
      </c>
      <c r="R33" s="1700" t="s">
        <v>2274</v>
      </c>
      <c r="S33" s="1700" t="s">
        <v>2273</v>
      </c>
      <c r="T33" s="1701" t="s">
        <v>2273</v>
      </c>
      <c r="U33" s="1701" t="s">
        <v>2273</v>
      </c>
      <c r="V33" s="1701" t="s">
        <v>2274</v>
      </c>
      <c r="W33" s="1701" t="s">
        <v>2274</v>
      </c>
      <c r="X33" s="1701" t="s">
        <v>2274</v>
      </c>
      <c r="Y33" s="1701" t="s">
        <v>2274</v>
      </c>
      <c r="Z33" s="1701" t="s">
        <v>2274</v>
      </c>
      <c r="AA33" s="1701" t="s">
        <v>2274</v>
      </c>
      <c r="AB33" s="1701" t="s">
        <v>2274</v>
      </c>
      <c r="AC33" s="1701" t="s">
        <v>2274</v>
      </c>
      <c r="AD33" s="1701" t="s">
        <v>2273</v>
      </c>
      <c r="AE33" s="1701" t="s">
        <v>2273</v>
      </c>
      <c r="AF33" s="1701" t="s">
        <v>2273</v>
      </c>
      <c r="AG33" s="1701" t="s">
        <v>2275</v>
      </c>
      <c r="AH33" s="1701" t="s">
        <v>1677</v>
      </c>
      <c r="AI33" s="1701" t="s">
        <v>2276</v>
      </c>
      <c r="AJ33" s="1701" t="s">
        <v>2277</v>
      </c>
      <c r="AK33" s="1701" t="s">
        <v>2277</v>
      </c>
      <c r="AL33" s="1701">
        <v>14.25</v>
      </c>
      <c r="AM33" s="1701" t="s">
        <v>2227</v>
      </c>
      <c r="AN33" s="1701" t="s">
        <v>2278</v>
      </c>
      <c r="AO33" s="1701" t="s">
        <v>2278</v>
      </c>
      <c r="AP33" s="1701" t="s">
        <v>2279</v>
      </c>
      <c r="AQ33" s="1701" t="s">
        <v>2280</v>
      </c>
      <c r="AR33" s="1701" t="s">
        <v>2280</v>
      </c>
      <c r="AS33" s="1701" t="s">
        <v>2280</v>
      </c>
      <c r="AT33" s="1701" t="s">
        <v>2281</v>
      </c>
      <c r="AU33" s="1701">
        <v>11.88</v>
      </c>
      <c r="AV33" s="1701">
        <v>11.88</v>
      </c>
      <c r="AW33" s="1701" t="s">
        <v>2233</v>
      </c>
      <c r="AX33" s="1701" t="s">
        <v>2233</v>
      </c>
      <c r="AY33" s="1701" t="s">
        <v>2233</v>
      </c>
      <c r="AZ33" s="1701" t="s">
        <v>2282</v>
      </c>
      <c r="BA33" s="1701">
        <v>11.88</v>
      </c>
      <c r="BB33" s="1701">
        <v>11.88</v>
      </c>
      <c r="BC33" s="1701">
        <v>11.88</v>
      </c>
      <c r="BD33" s="1701" t="s">
        <v>2233</v>
      </c>
      <c r="BE33" s="1701">
        <v>11.88</v>
      </c>
      <c r="BF33" s="1701">
        <v>11.88</v>
      </c>
      <c r="BG33" s="1701" t="s">
        <v>2283</v>
      </c>
      <c r="BH33" s="1701" t="s">
        <v>2283</v>
      </c>
      <c r="BI33" s="1701" t="s">
        <v>2283</v>
      </c>
      <c r="BJ33" s="1701">
        <v>11.88</v>
      </c>
      <c r="BK33" s="1701">
        <v>11.88</v>
      </c>
      <c r="BL33" s="1701" t="s">
        <v>2233</v>
      </c>
      <c r="BM33" s="1729">
        <v>0</v>
      </c>
      <c r="BN33" s="1729">
        <v>0</v>
      </c>
      <c r="BO33" s="1730">
        <v>11</v>
      </c>
      <c r="BP33" s="1730">
        <v>11</v>
      </c>
      <c r="BQ33" s="1730">
        <v>11</v>
      </c>
      <c r="BR33" s="1730">
        <v>11</v>
      </c>
      <c r="BS33" s="1730">
        <v>11.5</v>
      </c>
      <c r="BT33" s="1730">
        <v>11.5</v>
      </c>
      <c r="BU33" s="1701" t="s">
        <v>2284</v>
      </c>
      <c r="BV33" s="1701">
        <v>11.75</v>
      </c>
      <c r="BW33" s="1701" t="s">
        <v>2285</v>
      </c>
      <c r="BX33" s="1701" t="s">
        <v>2285</v>
      </c>
      <c r="BY33" s="1701" t="s">
        <v>2285</v>
      </c>
      <c r="BZ33" s="1702" t="s">
        <v>2285</v>
      </c>
      <c r="CA33" s="1701">
        <v>11.75</v>
      </c>
      <c r="CB33" s="1701">
        <v>11.65</v>
      </c>
      <c r="CC33" s="1701">
        <v>11.65</v>
      </c>
      <c r="CD33" s="1701">
        <v>11.15</v>
      </c>
      <c r="CE33" s="1701">
        <v>11.15</v>
      </c>
      <c r="CF33" s="1701" t="s">
        <v>2286</v>
      </c>
      <c r="CG33" s="1701" t="s">
        <v>2286</v>
      </c>
      <c r="CH33" s="1701" t="s">
        <v>2286</v>
      </c>
      <c r="CI33" s="1701" t="s">
        <v>2286</v>
      </c>
      <c r="CJ33" s="1701" t="s">
        <v>2286</v>
      </c>
      <c r="CK33" s="1701" t="s">
        <v>2286</v>
      </c>
      <c r="CL33" s="1701" t="s">
        <v>2286</v>
      </c>
      <c r="CM33" s="1701" t="s">
        <v>2286</v>
      </c>
      <c r="CN33" s="1701" t="s">
        <v>2287</v>
      </c>
      <c r="CO33" s="1701" t="s">
        <v>2286</v>
      </c>
      <c r="CP33" s="1701" t="s">
        <v>2286</v>
      </c>
      <c r="CQ33" s="1705" t="s">
        <v>2286</v>
      </c>
      <c r="CR33" s="1727" t="s">
        <v>2286</v>
      </c>
      <c r="CS33" s="1727" t="s">
        <v>2288</v>
      </c>
      <c r="CT33" s="1727" t="s">
        <v>2288</v>
      </c>
      <c r="CU33" s="1727" t="s">
        <v>2288</v>
      </c>
      <c r="CV33" s="1727" t="s">
        <v>2288</v>
      </c>
      <c r="CW33" s="1727" t="s">
        <v>2288</v>
      </c>
      <c r="CX33" s="1727" t="s">
        <v>2288</v>
      </c>
      <c r="CY33" s="1727" t="s">
        <v>2289</v>
      </c>
      <c r="CZ33" s="1727" t="s">
        <v>2290</v>
      </c>
      <c r="DA33" s="1727" t="s">
        <v>2288</v>
      </c>
      <c r="DB33" s="1727" t="s">
        <v>2288</v>
      </c>
      <c r="DC33" s="1728" t="s">
        <v>2288</v>
      </c>
      <c r="DD33" s="1728" t="s">
        <v>2288</v>
      </c>
      <c r="DE33" s="1728" t="s">
        <v>2291</v>
      </c>
      <c r="DF33" s="1728" t="s">
        <v>2291</v>
      </c>
      <c r="DG33" s="1728" t="s">
        <v>2291</v>
      </c>
      <c r="DH33" s="1728" t="s">
        <v>2291</v>
      </c>
      <c r="DI33" s="1728" t="s">
        <v>2291</v>
      </c>
      <c r="DJ33" s="1731">
        <v>9.5</v>
      </c>
      <c r="DK33" s="1731" t="s">
        <v>664</v>
      </c>
      <c r="DL33" s="1731" t="s">
        <v>664</v>
      </c>
      <c r="DM33" s="1731" t="s">
        <v>664</v>
      </c>
      <c r="DN33" s="1731" t="s">
        <v>664</v>
      </c>
      <c r="DO33" s="1731" t="s">
        <v>664</v>
      </c>
      <c r="DP33" s="1731" t="s">
        <v>664</v>
      </c>
      <c r="DQ33" s="1731" t="s">
        <v>664</v>
      </c>
      <c r="DR33" s="1731">
        <v>7.75</v>
      </c>
      <c r="DS33" s="1731" t="s">
        <v>664</v>
      </c>
      <c r="DT33" s="1731" t="s">
        <v>664</v>
      </c>
      <c r="DU33" s="1731" t="s">
        <v>664</v>
      </c>
      <c r="DV33" s="1731" t="s">
        <v>664</v>
      </c>
      <c r="DW33" s="1731">
        <v>10.4</v>
      </c>
      <c r="DX33" s="1731">
        <v>10.4</v>
      </c>
      <c r="DY33" s="1731" t="s">
        <v>664</v>
      </c>
      <c r="DZ33" s="1731" t="s">
        <v>664</v>
      </c>
      <c r="EA33" s="1731" t="s">
        <v>664</v>
      </c>
    </row>
    <row r="34" spans="1:131" ht="17.45" customHeight="1" x14ac:dyDescent="0.25">
      <c r="A34" s="1677" t="s">
        <v>2292</v>
      </c>
      <c r="B34" s="1699" t="s">
        <v>1473</v>
      </c>
      <c r="C34" s="1700" t="s">
        <v>1473</v>
      </c>
      <c r="D34" s="1700" t="s">
        <v>1473</v>
      </c>
      <c r="E34" s="1700" t="s">
        <v>1473</v>
      </c>
      <c r="F34" s="1699" t="s">
        <v>2293</v>
      </c>
      <c r="G34" s="1700" t="s">
        <v>1473</v>
      </c>
      <c r="H34" s="1700" t="s">
        <v>2294</v>
      </c>
      <c r="I34" s="1700" t="s">
        <v>2295</v>
      </c>
      <c r="J34" s="1700" t="s">
        <v>1596</v>
      </c>
      <c r="K34" s="1700" t="s">
        <v>1596</v>
      </c>
      <c r="L34" s="1700" t="s">
        <v>2296</v>
      </c>
      <c r="M34" s="1700" t="s">
        <v>1596</v>
      </c>
      <c r="N34" s="1699" t="s">
        <v>1596</v>
      </c>
      <c r="O34" s="1700" t="s">
        <v>1596</v>
      </c>
      <c r="P34" s="1700" t="s">
        <v>1596</v>
      </c>
      <c r="Q34" s="1699" t="s">
        <v>1596</v>
      </c>
      <c r="R34" s="1700" t="s">
        <v>1686</v>
      </c>
      <c r="S34" s="1700" t="s">
        <v>1596</v>
      </c>
      <c r="T34" s="1701" t="s">
        <v>1686</v>
      </c>
      <c r="U34" s="1701" t="s">
        <v>1686</v>
      </c>
      <c r="V34" s="1701" t="s">
        <v>1686</v>
      </c>
      <c r="W34" s="1701" t="s">
        <v>1686</v>
      </c>
      <c r="X34" s="1701" t="s">
        <v>1686</v>
      </c>
      <c r="Y34" s="1701" t="s">
        <v>1686</v>
      </c>
      <c r="Z34" s="1701" t="s">
        <v>2050</v>
      </c>
      <c r="AA34" s="1701" t="s">
        <v>2050</v>
      </c>
      <c r="AB34" s="1701" t="s">
        <v>2050</v>
      </c>
      <c r="AC34" s="1701" t="s">
        <v>1677</v>
      </c>
      <c r="AD34" s="1701" t="s">
        <v>2297</v>
      </c>
      <c r="AE34" s="1701" t="s">
        <v>1677</v>
      </c>
      <c r="AF34" s="1701" t="s">
        <v>1677</v>
      </c>
      <c r="AG34" s="1701" t="s">
        <v>2298</v>
      </c>
      <c r="AH34" s="1701" t="s">
        <v>2298</v>
      </c>
      <c r="AI34" s="1701" t="s">
        <v>1684</v>
      </c>
      <c r="AJ34" s="1701" t="s">
        <v>2299</v>
      </c>
      <c r="AK34" s="1701" t="s">
        <v>2299</v>
      </c>
      <c r="AL34" s="1701" t="s">
        <v>2045</v>
      </c>
      <c r="AM34" s="1701" t="s">
        <v>2045</v>
      </c>
      <c r="AN34" s="1701" t="s">
        <v>1684</v>
      </c>
      <c r="AO34" s="1701" t="s">
        <v>1684</v>
      </c>
      <c r="AP34" s="1701" t="s">
        <v>2300</v>
      </c>
      <c r="AQ34" s="1701" t="s">
        <v>2301</v>
      </c>
      <c r="AR34" s="1701" t="s">
        <v>2272</v>
      </c>
      <c r="AS34" s="1701" t="s">
        <v>2272</v>
      </c>
      <c r="AT34" s="1701" t="s">
        <v>1864</v>
      </c>
      <c r="AU34" s="1701" t="s">
        <v>2302</v>
      </c>
      <c r="AV34" s="1701" t="s">
        <v>2302</v>
      </c>
      <c r="AW34" s="1701" t="s">
        <v>2302</v>
      </c>
      <c r="AX34" s="1701" t="s">
        <v>2302</v>
      </c>
      <c r="AY34" s="1701">
        <v>11.88</v>
      </c>
      <c r="AZ34" s="1701" t="s">
        <v>2303</v>
      </c>
      <c r="BA34" s="1701" t="s">
        <v>2303</v>
      </c>
      <c r="BB34" s="1701" t="s">
        <v>2303</v>
      </c>
      <c r="BC34" s="1701" t="s">
        <v>2303</v>
      </c>
      <c r="BD34" s="1701" t="s">
        <v>2303</v>
      </c>
      <c r="BE34" s="1701" t="s">
        <v>2303</v>
      </c>
      <c r="BF34" s="1701" t="s">
        <v>2303</v>
      </c>
      <c r="BG34" s="1701" t="s">
        <v>2303</v>
      </c>
      <c r="BH34" s="1701" t="s">
        <v>2303</v>
      </c>
      <c r="BI34" s="1701" t="s">
        <v>2304</v>
      </c>
      <c r="BJ34" s="1701" t="s">
        <v>2304</v>
      </c>
      <c r="BK34" s="1701" t="s">
        <v>2304</v>
      </c>
      <c r="BL34" s="1701" t="s">
        <v>2304</v>
      </c>
      <c r="BM34" s="1701" t="s">
        <v>2305</v>
      </c>
      <c r="BN34" s="1701" t="s">
        <v>2306</v>
      </c>
      <c r="BO34" s="1701" t="s">
        <v>2305</v>
      </c>
      <c r="BP34" s="1701" t="s">
        <v>2305</v>
      </c>
      <c r="BQ34" s="1701" t="s">
        <v>2305</v>
      </c>
      <c r="BR34" s="1701" t="s">
        <v>2305</v>
      </c>
      <c r="BS34" s="1701" t="s">
        <v>2307</v>
      </c>
      <c r="BT34" s="1701" t="s">
        <v>2307</v>
      </c>
      <c r="BU34" s="1701" t="s">
        <v>2238</v>
      </c>
      <c r="BV34" s="1701" t="s">
        <v>2238</v>
      </c>
      <c r="BW34" s="1701" t="s">
        <v>2308</v>
      </c>
      <c r="BX34" s="1701" t="s">
        <v>2238</v>
      </c>
      <c r="BY34" s="1701" t="s">
        <v>2309</v>
      </c>
      <c r="BZ34" s="1702" t="s">
        <v>2238</v>
      </c>
      <c r="CA34" s="1701" t="s">
        <v>2238</v>
      </c>
      <c r="CB34" s="1701" t="s">
        <v>2310</v>
      </c>
      <c r="CC34" s="1701" t="s">
        <v>2311</v>
      </c>
      <c r="CD34" s="1701" t="s">
        <v>2312</v>
      </c>
      <c r="CE34" s="1701" t="s">
        <v>2313</v>
      </c>
      <c r="CF34" s="1701" t="s">
        <v>2313</v>
      </c>
      <c r="CG34" s="1701" t="s">
        <v>2314</v>
      </c>
      <c r="CH34" s="1701" t="s">
        <v>2315</v>
      </c>
      <c r="CI34" s="1701" t="s">
        <v>2315</v>
      </c>
      <c r="CJ34" s="1701" t="s">
        <v>2314</v>
      </c>
      <c r="CK34" s="1701" t="s">
        <v>2316</v>
      </c>
      <c r="CL34" s="1701" t="s">
        <v>2316</v>
      </c>
      <c r="CM34" s="1701" t="s">
        <v>2317</v>
      </c>
      <c r="CN34" s="1701" t="s">
        <v>2318</v>
      </c>
      <c r="CO34" s="1701" t="s">
        <v>2317</v>
      </c>
      <c r="CP34" s="1701" t="s">
        <v>2317</v>
      </c>
      <c r="CQ34" s="1705" t="s">
        <v>2319</v>
      </c>
      <c r="CR34" s="1727" t="s">
        <v>2320</v>
      </c>
      <c r="CS34" s="1727" t="s">
        <v>2321</v>
      </c>
      <c r="CT34" s="1727" t="s">
        <v>2322</v>
      </c>
      <c r="CU34" s="1727" t="s">
        <v>2323</v>
      </c>
      <c r="CV34" s="1727" t="s">
        <v>2322</v>
      </c>
      <c r="CW34" s="1727" t="s">
        <v>2322</v>
      </c>
      <c r="CX34" s="1727" t="s">
        <v>2324</v>
      </c>
      <c r="CY34" s="1727" t="s">
        <v>2324</v>
      </c>
      <c r="CZ34" s="1727" t="s">
        <v>2324</v>
      </c>
      <c r="DA34" s="1727" t="s">
        <v>2325</v>
      </c>
      <c r="DB34" s="1727" t="s">
        <v>2325</v>
      </c>
      <c r="DC34" s="1728" t="s">
        <v>2326</v>
      </c>
      <c r="DD34" s="1728" t="s">
        <v>2327</v>
      </c>
      <c r="DE34" s="1728" t="s">
        <v>2328</v>
      </c>
      <c r="DF34" s="1728" t="s">
        <v>2328</v>
      </c>
      <c r="DG34" s="1728" t="s">
        <v>2328</v>
      </c>
      <c r="DH34" s="1728" t="s">
        <v>2329</v>
      </c>
      <c r="DI34" s="1728" t="s">
        <v>2330</v>
      </c>
      <c r="DJ34" s="1728" t="s">
        <v>2328</v>
      </c>
      <c r="DK34" s="1728" t="s">
        <v>2331</v>
      </c>
      <c r="DL34" s="1728" t="s">
        <v>2328</v>
      </c>
      <c r="DM34" s="1728" t="s">
        <v>2328</v>
      </c>
      <c r="DN34" s="1728" t="s">
        <v>2328</v>
      </c>
      <c r="DO34" s="1728" t="s">
        <v>2328</v>
      </c>
      <c r="DP34" s="1728" t="s">
        <v>2332</v>
      </c>
      <c r="DQ34" s="1728" t="s">
        <v>2333</v>
      </c>
      <c r="DR34" s="1728" t="s">
        <v>2334</v>
      </c>
      <c r="DS34" s="1728" t="s">
        <v>2333</v>
      </c>
      <c r="DT34" s="1728" t="s">
        <v>2333</v>
      </c>
      <c r="DU34" s="1728" t="s">
        <v>2335</v>
      </c>
      <c r="DV34" s="1728" t="s">
        <v>2335</v>
      </c>
      <c r="DW34" s="1728" t="s">
        <v>2336</v>
      </c>
      <c r="DX34" s="1728" t="s">
        <v>2337</v>
      </c>
      <c r="DY34" s="1728" t="s">
        <v>2338</v>
      </c>
      <c r="DZ34" s="1728" t="s">
        <v>2339</v>
      </c>
      <c r="EA34" s="1728" t="s">
        <v>2340</v>
      </c>
    </row>
    <row r="35" spans="1:131" ht="17.45" customHeight="1" x14ac:dyDescent="0.25">
      <c r="A35" s="1677" t="s">
        <v>2341</v>
      </c>
      <c r="B35" s="1699" t="s">
        <v>1542</v>
      </c>
      <c r="C35" s="1700" t="s">
        <v>1542</v>
      </c>
      <c r="D35" s="1700" t="s">
        <v>2239</v>
      </c>
      <c r="E35" s="1700" t="s">
        <v>2239</v>
      </c>
      <c r="F35" s="1699" t="s">
        <v>2239</v>
      </c>
      <c r="G35" s="1700" t="s">
        <v>2342</v>
      </c>
      <c r="H35" s="1700" t="s">
        <v>2342</v>
      </c>
      <c r="I35" s="1700" t="s">
        <v>2342</v>
      </c>
      <c r="J35" s="1700" t="s">
        <v>2342</v>
      </c>
      <c r="K35" s="1700" t="s">
        <v>2342</v>
      </c>
      <c r="L35" s="1700" t="s">
        <v>2342</v>
      </c>
      <c r="M35" s="1700" t="s">
        <v>2342</v>
      </c>
      <c r="N35" s="1699" t="s">
        <v>2343</v>
      </c>
      <c r="O35" s="1700" t="s">
        <v>2344</v>
      </c>
      <c r="P35" s="1700" t="s">
        <v>2345</v>
      </c>
      <c r="Q35" s="1699" t="s">
        <v>2345</v>
      </c>
      <c r="R35" s="1700" t="s">
        <v>2345</v>
      </c>
      <c r="S35" s="1700" t="s">
        <v>2345</v>
      </c>
      <c r="T35" s="1701" t="s">
        <v>2345</v>
      </c>
      <c r="U35" s="1701" t="s">
        <v>2346</v>
      </c>
      <c r="V35" s="1701" t="s">
        <v>2347</v>
      </c>
      <c r="W35" s="1701" t="s">
        <v>2347</v>
      </c>
      <c r="X35" s="1701" t="s">
        <v>2347</v>
      </c>
      <c r="Y35" s="1701" t="s">
        <v>2348</v>
      </c>
      <c r="Z35" s="1701" t="s">
        <v>2349</v>
      </c>
      <c r="AA35" s="1701" t="s">
        <v>2350</v>
      </c>
      <c r="AB35" s="1701" t="s">
        <v>2351</v>
      </c>
      <c r="AC35" s="1701" t="s">
        <v>2044</v>
      </c>
      <c r="AD35" s="1701" t="s">
        <v>2044</v>
      </c>
      <c r="AE35" s="1701" t="s">
        <v>2044</v>
      </c>
      <c r="AF35" s="1701" t="s">
        <v>2352</v>
      </c>
      <c r="AG35" s="1701" t="s">
        <v>2353</v>
      </c>
      <c r="AH35" s="1701" t="s">
        <v>2354</v>
      </c>
      <c r="AI35" s="1701" t="s">
        <v>2355</v>
      </c>
      <c r="AJ35" s="1701" t="s">
        <v>1473</v>
      </c>
      <c r="AK35" s="1701" t="s">
        <v>2356</v>
      </c>
      <c r="AL35" s="1701" t="s">
        <v>2356</v>
      </c>
      <c r="AM35" s="1701" t="s">
        <v>2357</v>
      </c>
      <c r="AN35" s="1701" t="s">
        <v>2357</v>
      </c>
      <c r="AO35" s="1701" t="s">
        <v>2357</v>
      </c>
      <c r="AP35" s="1701" t="s">
        <v>2358</v>
      </c>
      <c r="AQ35" s="1701" t="s">
        <v>1704</v>
      </c>
      <c r="AR35" s="1701" t="s">
        <v>1704</v>
      </c>
      <c r="AS35" s="1701" t="s">
        <v>1704</v>
      </c>
      <c r="AT35" s="1701" t="s">
        <v>1704</v>
      </c>
      <c r="AU35" s="1701" t="s">
        <v>2359</v>
      </c>
      <c r="AV35" s="1701" t="s">
        <v>2359</v>
      </c>
      <c r="AW35" s="1701" t="s">
        <v>2359</v>
      </c>
      <c r="AX35" s="1701" t="s">
        <v>2359</v>
      </c>
      <c r="AY35" s="1701" t="s">
        <v>2359</v>
      </c>
      <c r="AZ35" s="1701" t="s">
        <v>2359</v>
      </c>
      <c r="BA35" s="1701" t="s">
        <v>2359</v>
      </c>
      <c r="BB35" s="1701" t="s">
        <v>2359</v>
      </c>
      <c r="BC35" s="1701" t="s">
        <v>2359</v>
      </c>
      <c r="BD35" s="1701" t="s">
        <v>2360</v>
      </c>
      <c r="BE35" s="1701" t="s">
        <v>2360</v>
      </c>
      <c r="BF35" s="1701" t="s">
        <v>2360</v>
      </c>
      <c r="BG35" s="1701" t="s">
        <v>2360</v>
      </c>
      <c r="BH35" s="1701" t="s">
        <v>2360</v>
      </c>
      <c r="BI35" s="1701" t="s">
        <v>2360</v>
      </c>
      <c r="BJ35" s="1701" t="s">
        <v>2360</v>
      </c>
      <c r="BK35" s="1701" t="s">
        <v>2360</v>
      </c>
      <c r="BL35" s="1701" t="s">
        <v>2360</v>
      </c>
      <c r="BM35" s="1701" t="s">
        <v>2361</v>
      </c>
      <c r="BN35" s="1701" t="s">
        <v>2361</v>
      </c>
      <c r="BO35" s="1701" t="s">
        <v>2361</v>
      </c>
      <c r="BP35" s="1701" t="s">
        <v>2361</v>
      </c>
      <c r="BQ35" s="1701" t="s">
        <v>2361</v>
      </c>
      <c r="BR35" s="1701" t="s">
        <v>2361</v>
      </c>
      <c r="BS35" s="1701" t="s">
        <v>2362</v>
      </c>
      <c r="BT35" s="1701" t="s">
        <v>2362</v>
      </c>
      <c r="BU35" s="1701" t="s">
        <v>2238</v>
      </c>
      <c r="BV35" s="1701" t="s">
        <v>2238</v>
      </c>
      <c r="BW35" s="1701" t="s">
        <v>2363</v>
      </c>
      <c r="BX35" s="1701" t="s">
        <v>2364</v>
      </c>
      <c r="BY35" s="1701" t="s">
        <v>2365</v>
      </c>
      <c r="BZ35" s="1702" t="s">
        <v>1696</v>
      </c>
      <c r="CA35" s="1701" t="s">
        <v>1696</v>
      </c>
      <c r="CB35" s="1701" t="s">
        <v>2366</v>
      </c>
      <c r="CC35" s="1701" t="s">
        <v>2366</v>
      </c>
      <c r="CD35" s="1701" t="s">
        <v>1706</v>
      </c>
      <c r="CE35" s="1701" t="s">
        <v>1706</v>
      </c>
      <c r="CF35" s="1701" t="s">
        <v>1706</v>
      </c>
      <c r="CG35" s="1701" t="s">
        <v>2367</v>
      </c>
      <c r="CH35" s="1701" t="s">
        <v>1705</v>
      </c>
      <c r="CI35" s="1701" t="s">
        <v>2316</v>
      </c>
      <c r="CJ35" s="1701" t="s">
        <v>2316</v>
      </c>
      <c r="CK35" s="1701" t="s">
        <v>2316</v>
      </c>
      <c r="CL35" s="1701" t="s">
        <v>2316</v>
      </c>
      <c r="CM35" s="1701" t="s">
        <v>2368</v>
      </c>
      <c r="CN35" s="1701" t="s">
        <v>2369</v>
      </c>
      <c r="CO35" s="1701" t="s">
        <v>2370</v>
      </c>
      <c r="CP35" s="1701" t="s">
        <v>2316</v>
      </c>
      <c r="CQ35" s="1705" t="s">
        <v>2316</v>
      </c>
      <c r="CR35" s="1727" t="s">
        <v>2371</v>
      </c>
      <c r="CS35" s="1727" t="s">
        <v>2372</v>
      </c>
      <c r="CT35" s="1727" t="s">
        <v>2373</v>
      </c>
      <c r="CU35" s="1727" t="s">
        <v>2374</v>
      </c>
      <c r="CV35" s="1727" t="s">
        <v>2191</v>
      </c>
      <c r="CW35" s="1727" t="s">
        <v>2375</v>
      </c>
      <c r="CX35" s="1727" t="s">
        <v>2375</v>
      </c>
      <c r="CY35" s="1727" t="s">
        <v>2376</v>
      </c>
      <c r="CZ35" s="1727" t="s">
        <v>2249</v>
      </c>
      <c r="DA35" s="1727" t="s">
        <v>2248</v>
      </c>
      <c r="DB35" s="1727" t="s">
        <v>2377</v>
      </c>
      <c r="DC35" s="1728" t="s">
        <v>2251</v>
      </c>
      <c r="DD35" s="1728" t="s">
        <v>1718</v>
      </c>
      <c r="DE35" s="1728" t="s">
        <v>1719</v>
      </c>
      <c r="DF35" s="1728" t="s">
        <v>2378</v>
      </c>
      <c r="DG35" s="1728" t="s">
        <v>2379</v>
      </c>
      <c r="DH35" s="1728" t="s">
        <v>2380</v>
      </c>
      <c r="DI35" s="1728" t="s">
        <v>2381</v>
      </c>
      <c r="DJ35" s="1728" t="s">
        <v>2382</v>
      </c>
      <c r="DK35" s="1728" t="s">
        <v>2383</v>
      </c>
      <c r="DL35" s="1728" t="s">
        <v>2384</v>
      </c>
      <c r="DM35" s="1728" t="s">
        <v>2385</v>
      </c>
      <c r="DN35" s="1728" t="s">
        <v>2386</v>
      </c>
      <c r="DO35" s="1728" t="s">
        <v>2387</v>
      </c>
      <c r="DP35" s="1728" t="s">
        <v>2388</v>
      </c>
      <c r="DQ35" s="1728" t="s">
        <v>2389</v>
      </c>
      <c r="DR35" s="1728" t="s">
        <v>2390</v>
      </c>
      <c r="DS35" s="1728" t="s">
        <v>2391</v>
      </c>
      <c r="DT35" s="1728" t="s">
        <v>2391</v>
      </c>
      <c r="DU35" s="1728" t="s">
        <v>2392</v>
      </c>
      <c r="DV35" s="1728" t="s">
        <v>2393</v>
      </c>
      <c r="DW35" s="1728" t="s">
        <v>2394</v>
      </c>
      <c r="DX35" s="1728" t="s">
        <v>2395</v>
      </c>
      <c r="DY35" s="1728" t="s">
        <v>2396</v>
      </c>
      <c r="DZ35" s="1728" t="s">
        <v>2395</v>
      </c>
      <c r="EA35" s="1728" t="s">
        <v>2397</v>
      </c>
    </row>
    <row r="36" spans="1:131" ht="17.45" customHeight="1" x14ac:dyDescent="0.25">
      <c r="A36" s="1677" t="s">
        <v>2398</v>
      </c>
      <c r="B36" s="1699" t="s">
        <v>1667</v>
      </c>
      <c r="C36" s="1700" t="s">
        <v>2044</v>
      </c>
      <c r="D36" s="1700" t="s">
        <v>2044</v>
      </c>
      <c r="E36" s="1700" t="s">
        <v>2399</v>
      </c>
      <c r="F36" s="1699" t="s">
        <v>2044</v>
      </c>
      <c r="G36" s="1700" t="s">
        <v>2299</v>
      </c>
      <c r="H36" s="1700" t="s">
        <v>2299</v>
      </c>
      <c r="I36" s="1700" t="s">
        <v>2045</v>
      </c>
      <c r="J36" s="1700" t="s">
        <v>2045</v>
      </c>
      <c r="K36" s="1700" t="s">
        <v>2400</v>
      </c>
      <c r="L36" s="1700" t="s">
        <v>2045</v>
      </c>
      <c r="M36" s="1700" t="s">
        <v>2045</v>
      </c>
      <c r="N36" s="1699" t="s">
        <v>1686</v>
      </c>
      <c r="O36" s="1700" t="s">
        <v>1686</v>
      </c>
      <c r="P36" s="1700" t="s">
        <v>2299</v>
      </c>
      <c r="Q36" s="1699" t="s">
        <v>2299</v>
      </c>
      <c r="R36" s="1700" t="s">
        <v>2299</v>
      </c>
      <c r="S36" s="1700" t="s">
        <v>2299</v>
      </c>
      <c r="T36" s="1701" t="s">
        <v>2299</v>
      </c>
      <c r="U36" s="1701" t="s">
        <v>2299</v>
      </c>
      <c r="V36" s="1701" t="s">
        <v>2299</v>
      </c>
      <c r="W36" s="1701" t="s">
        <v>2401</v>
      </c>
      <c r="X36" s="1701" t="s">
        <v>2401</v>
      </c>
      <c r="Y36" s="1701" t="s">
        <v>2299</v>
      </c>
      <c r="Z36" s="1701" t="s">
        <v>2402</v>
      </c>
      <c r="AA36" s="1701" t="s">
        <v>2403</v>
      </c>
      <c r="AB36" s="1701" t="s">
        <v>2404</v>
      </c>
      <c r="AC36" s="1701" t="s">
        <v>2405</v>
      </c>
      <c r="AD36" s="1701" t="s">
        <v>1676</v>
      </c>
      <c r="AE36" s="1701" t="s">
        <v>2406</v>
      </c>
      <c r="AF36" s="1701" t="s">
        <v>2407</v>
      </c>
      <c r="AG36" s="1701" t="s">
        <v>2408</v>
      </c>
      <c r="AH36" s="1701" t="s">
        <v>2409</v>
      </c>
      <c r="AI36" s="1701" t="s">
        <v>2410</v>
      </c>
      <c r="AJ36" s="1701" t="s">
        <v>2411</v>
      </c>
      <c r="AK36" s="1701" t="s">
        <v>2412</v>
      </c>
      <c r="AL36" s="1701" t="s">
        <v>2412</v>
      </c>
      <c r="AM36" s="1701" t="s">
        <v>2413</v>
      </c>
      <c r="AN36" s="1701" t="s">
        <v>2414</v>
      </c>
      <c r="AO36" s="1701" t="s">
        <v>2414</v>
      </c>
      <c r="AP36" s="1701" t="s">
        <v>2415</v>
      </c>
      <c r="AQ36" s="1701" t="s">
        <v>2416</v>
      </c>
      <c r="AR36" s="1701" t="s">
        <v>2417</v>
      </c>
      <c r="AS36" s="1701" t="s">
        <v>2418</v>
      </c>
      <c r="AT36" s="1701" t="s">
        <v>2418</v>
      </c>
      <c r="AU36" s="1701" t="s">
        <v>2419</v>
      </c>
      <c r="AV36" s="1701" t="s">
        <v>2419</v>
      </c>
      <c r="AW36" s="1701" t="s">
        <v>2420</v>
      </c>
      <c r="AX36" s="1701" t="s">
        <v>1687</v>
      </c>
      <c r="AY36" s="1701" t="s">
        <v>2045</v>
      </c>
      <c r="AZ36" s="1701" t="s">
        <v>1676</v>
      </c>
      <c r="BA36" s="1701" t="s">
        <v>2421</v>
      </c>
      <c r="BB36" s="1701" t="s">
        <v>2421</v>
      </c>
      <c r="BC36" s="1701" t="s">
        <v>2421</v>
      </c>
      <c r="BD36" s="1701" t="s">
        <v>2422</v>
      </c>
      <c r="BE36" s="1701" t="s">
        <v>2422</v>
      </c>
      <c r="BF36" s="1701" t="s">
        <v>2422</v>
      </c>
      <c r="BG36" s="1701" t="s">
        <v>2422</v>
      </c>
      <c r="BH36" s="1701" t="s">
        <v>2422</v>
      </c>
      <c r="BI36" s="1701" t="s">
        <v>2422</v>
      </c>
      <c r="BJ36" s="1701" t="s">
        <v>2423</v>
      </c>
      <c r="BK36" s="1701" t="s">
        <v>2423</v>
      </c>
      <c r="BL36" s="1701" t="s">
        <v>2424</v>
      </c>
      <c r="BM36" s="1701" t="s">
        <v>2425</v>
      </c>
      <c r="BN36" s="1701" t="s">
        <v>2426</v>
      </c>
      <c r="BO36" s="1701" t="s">
        <v>2427</v>
      </c>
      <c r="BP36" s="1701" t="s">
        <v>2427</v>
      </c>
      <c r="BQ36" s="1701" t="s">
        <v>2427</v>
      </c>
      <c r="BR36" s="1701" t="s">
        <v>2427</v>
      </c>
      <c r="BS36" s="1701" t="s">
        <v>2428</v>
      </c>
      <c r="BT36" s="1701" t="s">
        <v>2428</v>
      </c>
      <c r="BU36" s="1701" t="s">
        <v>2429</v>
      </c>
      <c r="BV36" s="1701" t="s">
        <v>2429</v>
      </c>
      <c r="BW36" s="1701" t="s">
        <v>2430</v>
      </c>
      <c r="BX36" s="1701" t="s">
        <v>2431</v>
      </c>
      <c r="BY36" s="1701" t="s">
        <v>2431</v>
      </c>
      <c r="BZ36" s="1702" t="s">
        <v>2431</v>
      </c>
      <c r="CA36" s="1701" t="s">
        <v>2432</v>
      </c>
      <c r="CB36" s="1701" t="s">
        <v>2431</v>
      </c>
      <c r="CC36" s="1701" t="s">
        <v>2431</v>
      </c>
      <c r="CD36" s="1701" t="s">
        <v>2433</v>
      </c>
      <c r="CE36" s="1701" t="s">
        <v>2434</v>
      </c>
      <c r="CF36" s="1701" t="s">
        <v>2435</v>
      </c>
      <c r="CG36" s="1701" t="s">
        <v>2436</v>
      </c>
      <c r="CH36" s="1701" t="s">
        <v>2436</v>
      </c>
      <c r="CI36" s="1701" t="s">
        <v>2436</v>
      </c>
      <c r="CJ36" s="1701" t="s">
        <v>2436</v>
      </c>
      <c r="CK36" s="1701" t="s">
        <v>2436</v>
      </c>
      <c r="CL36" s="1701" t="s">
        <v>2436</v>
      </c>
      <c r="CM36" s="1701" t="s">
        <v>2436</v>
      </c>
      <c r="CN36" s="1701" t="s">
        <v>2437</v>
      </c>
      <c r="CO36" s="1701" t="s">
        <v>2437</v>
      </c>
      <c r="CP36" s="1701" t="s">
        <v>2437</v>
      </c>
      <c r="CQ36" s="1705" t="s">
        <v>2438</v>
      </c>
      <c r="CR36" s="1727" t="s">
        <v>2438</v>
      </c>
      <c r="CS36" s="1727" t="s">
        <v>1701</v>
      </c>
      <c r="CT36" s="1727" t="s">
        <v>1701</v>
      </c>
      <c r="CU36" s="1727" t="s">
        <v>2439</v>
      </c>
      <c r="CV36" s="1727" t="s">
        <v>1701</v>
      </c>
      <c r="CW36" s="1727" t="s">
        <v>1701</v>
      </c>
      <c r="CX36" s="1727" t="s">
        <v>1701</v>
      </c>
      <c r="CY36" s="1727" t="s">
        <v>2440</v>
      </c>
      <c r="CZ36" s="1727" t="s">
        <v>2440</v>
      </c>
      <c r="DA36" s="1727" t="s">
        <v>1706</v>
      </c>
      <c r="DB36" s="1727" t="s">
        <v>2331</v>
      </c>
      <c r="DC36" s="1728" t="s">
        <v>2441</v>
      </c>
      <c r="DD36" s="1728" t="s">
        <v>2442</v>
      </c>
      <c r="DE36" s="1728" t="s">
        <v>2443</v>
      </c>
      <c r="DF36" s="1728" t="s">
        <v>2444</v>
      </c>
      <c r="DG36" s="1728" t="s">
        <v>2443</v>
      </c>
      <c r="DH36" s="1728" t="s">
        <v>2443</v>
      </c>
      <c r="DI36" s="1728" t="s">
        <v>2443</v>
      </c>
      <c r="DJ36" s="1728" t="s">
        <v>2443</v>
      </c>
      <c r="DK36" s="1728" t="s">
        <v>2443</v>
      </c>
      <c r="DL36" s="1728" t="s">
        <v>2445</v>
      </c>
      <c r="DM36" s="1728" t="s">
        <v>2445</v>
      </c>
      <c r="DN36" s="1728" t="s">
        <v>2445</v>
      </c>
      <c r="DO36" s="1728" t="s">
        <v>2445</v>
      </c>
      <c r="DP36" s="1728" t="s">
        <v>2445</v>
      </c>
      <c r="DQ36" s="1728" t="s">
        <v>2446</v>
      </c>
      <c r="DR36" s="1728" t="s">
        <v>2447</v>
      </c>
      <c r="DS36" s="1728" t="s">
        <v>2448</v>
      </c>
      <c r="DT36" s="1728" t="s">
        <v>2448</v>
      </c>
      <c r="DU36" s="1728" t="s">
        <v>2449</v>
      </c>
      <c r="DV36" s="1728" t="s">
        <v>2450</v>
      </c>
      <c r="DW36" s="1728" t="s">
        <v>2448</v>
      </c>
      <c r="DX36" s="1728" t="s">
        <v>2448</v>
      </c>
      <c r="DY36" s="1728" t="s">
        <v>2451</v>
      </c>
      <c r="DZ36" s="1728" t="s">
        <v>2449</v>
      </c>
      <c r="EA36" s="1728" t="s">
        <v>2452</v>
      </c>
    </row>
    <row r="37" spans="1:131" ht="17.45" customHeight="1" x14ac:dyDescent="0.25">
      <c r="A37" s="1677" t="s">
        <v>2453</v>
      </c>
      <c r="B37" s="1699">
        <v>9.5</v>
      </c>
      <c r="C37" s="1700">
        <v>10</v>
      </c>
      <c r="D37" s="1700">
        <v>10</v>
      </c>
      <c r="E37" s="1700">
        <v>10</v>
      </c>
      <c r="F37" s="1699">
        <v>10</v>
      </c>
      <c r="G37" s="1700"/>
      <c r="H37" s="1700">
        <v>11</v>
      </c>
      <c r="I37" s="1700"/>
      <c r="J37" s="1700"/>
      <c r="K37" s="1700"/>
      <c r="L37" s="1700"/>
      <c r="M37" s="1700"/>
      <c r="N37" s="1699"/>
      <c r="O37" s="1700">
        <v>17</v>
      </c>
      <c r="P37" s="1700" t="s">
        <v>2454</v>
      </c>
      <c r="Q37" s="1699">
        <v>18</v>
      </c>
      <c r="R37" s="1700">
        <v>18</v>
      </c>
      <c r="S37" s="1700">
        <v>18</v>
      </c>
      <c r="T37" s="1701" t="s">
        <v>2454</v>
      </c>
      <c r="U37" s="1701">
        <v>18</v>
      </c>
      <c r="V37" s="1701" t="s">
        <v>2454</v>
      </c>
      <c r="W37" s="1732">
        <v>18</v>
      </c>
      <c r="X37" s="1701" t="s">
        <v>2454</v>
      </c>
      <c r="Y37" s="1701">
        <v>18</v>
      </c>
      <c r="Z37" s="1701" t="s">
        <v>2455</v>
      </c>
      <c r="AA37" s="1701" t="s">
        <v>2455</v>
      </c>
      <c r="AB37" s="1701">
        <v>18.25</v>
      </c>
      <c r="AC37" s="1701" t="s">
        <v>2456</v>
      </c>
      <c r="AD37" s="1701">
        <v>18.75</v>
      </c>
      <c r="AE37" s="1701" t="s">
        <v>2457</v>
      </c>
      <c r="AF37" s="1701">
        <v>18.75</v>
      </c>
      <c r="AG37" s="1701">
        <v>18.5</v>
      </c>
      <c r="AH37" s="1701">
        <v>12</v>
      </c>
      <c r="AI37" s="1701">
        <v>11.5</v>
      </c>
      <c r="AJ37" s="1701">
        <v>10.75</v>
      </c>
      <c r="AK37" s="1701" t="s">
        <v>2458</v>
      </c>
      <c r="AL37" s="1701" t="s">
        <v>2459</v>
      </c>
      <c r="AM37" s="1701" t="s">
        <v>2460</v>
      </c>
      <c r="AN37" s="1701" t="s">
        <v>2460</v>
      </c>
      <c r="AO37" s="1701" t="s">
        <v>2461</v>
      </c>
      <c r="AP37" s="1701" t="s">
        <v>2462</v>
      </c>
      <c r="AQ37" s="1701">
        <v>10.65</v>
      </c>
      <c r="AR37" s="1701">
        <v>10.65</v>
      </c>
      <c r="AS37" s="1701">
        <v>9.65</v>
      </c>
      <c r="AT37" s="1701">
        <v>9.65</v>
      </c>
      <c r="AU37" s="1701">
        <v>9.65</v>
      </c>
      <c r="AV37" s="1733">
        <v>0</v>
      </c>
      <c r="AW37" s="1733">
        <v>0</v>
      </c>
      <c r="AX37" s="1734">
        <v>9.65</v>
      </c>
      <c r="AY37" s="1701" t="s">
        <v>2463</v>
      </c>
      <c r="AZ37" s="1729">
        <v>0</v>
      </c>
      <c r="BA37" s="1729">
        <v>0</v>
      </c>
      <c r="BB37" s="1729">
        <v>0</v>
      </c>
      <c r="BC37" s="1730">
        <v>9.75</v>
      </c>
      <c r="BD37" s="1730">
        <v>0</v>
      </c>
      <c r="BE37" s="1730">
        <v>0</v>
      </c>
      <c r="BF37" s="1730">
        <v>0</v>
      </c>
      <c r="BG37" s="1730">
        <v>9.75</v>
      </c>
      <c r="BH37" s="1730">
        <v>0</v>
      </c>
      <c r="BI37" s="1730">
        <v>0</v>
      </c>
      <c r="BJ37" s="1730">
        <v>0</v>
      </c>
      <c r="BK37" s="1730">
        <v>9.75</v>
      </c>
      <c r="BL37" s="1730">
        <v>9.75</v>
      </c>
      <c r="BM37" s="1730">
        <v>8.85</v>
      </c>
      <c r="BN37" s="1730">
        <v>8.85</v>
      </c>
      <c r="BO37" s="1730">
        <v>8.85</v>
      </c>
      <c r="BP37" s="1730">
        <v>8.85</v>
      </c>
      <c r="BQ37" s="1730">
        <v>8.85</v>
      </c>
      <c r="BR37" s="1730">
        <v>8.85</v>
      </c>
      <c r="BS37" s="1730">
        <v>9.25</v>
      </c>
      <c r="BT37" s="1730">
        <v>9.25</v>
      </c>
      <c r="BU37" s="1701" t="s">
        <v>2464</v>
      </c>
      <c r="BV37" s="1701">
        <v>9.5</v>
      </c>
      <c r="BW37" s="1701" t="s">
        <v>2465</v>
      </c>
      <c r="BX37" s="1701" t="s">
        <v>2465</v>
      </c>
      <c r="BY37" s="1701" t="s">
        <v>2465</v>
      </c>
      <c r="BZ37" s="1702" t="s">
        <v>2465</v>
      </c>
      <c r="CA37" s="1701" t="s">
        <v>2465</v>
      </c>
      <c r="CB37" s="1701" t="s">
        <v>2466</v>
      </c>
      <c r="CC37" s="1701" t="s">
        <v>2466</v>
      </c>
      <c r="CD37" s="1701" t="s">
        <v>2467</v>
      </c>
      <c r="CE37" s="1701" t="s">
        <v>2468</v>
      </c>
      <c r="CF37" s="1701" t="s">
        <v>2469</v>
      </c>
      <c r="CG37" s="1701" t="s">
        <v>2470</v>
      </c>
      <c r="CH37" s="1701" t="s">
        <v>2471</v>
      </c>
      <c r="CI37" s="1701" t="s">
        <v>2471</v>
      </c>
      <c r="CJ37" s="1701" t="s">
        <v>2471</v>
      </c>
      <c r="CK37" s="1701" t="s">
        <v>2471</v>
      </c>
      <c r="CL37" s="1701" t="s">
        <v>2471</v>
      </c>
      <c r="CM37" s="1701" t="s">
        <v>2471</v>
      </c>
      <c r="CN37" s="1701" t="s">
        <v>2471</v>
      </c>
      <c r="CO37" s="1701" t="s">
        <v>2471</v>
      </c>
      <c r="CP37" s="1701" t="s">
        <v>2471</v>
      </c>
      <c r="CQ37" s="1705" t="s">
        <v>2471</v>
      </c>
      <c r="CR37" s="1727" t="s">
        <v>2471</v>
      </c>
      <c r="CS37" s="1727" t="s">
        <v>2471</v>
      </c>
      <c r="CT37" s="1727" t="s">
        <v>2472</v>
      </c>
      <c r="CU37" s="1727" t="s">
        <v>2473</v>
      </c>
      <c r="CV37" s="1727" t="s">
        <v>2473</v>
      </c>
      <c r="CW37" s="1727" t="s">
        <v>2473</v>
      </c>
      <c r="CX37" s="1727" t="s">
        <v>2473</v>
      </c>
      <c r="CY37" s="1727" t="s">
        <v>2473</v>
      </c>
      <c r="CZ37" s="1727" t="s">
        <v>2473</v>
      </c>
      <c r="DA37" s="1727" t="s">
        <v>2473</v>
      </c>
      <c r="DB37" s="1727" t="s">
        <v>2473</v>
      </c>
      <c r="DC37" s="1728" t="s">
        <v>2473</v>
      </c>
      <c r="DD37" s="1728" t="s">
        <v>2473</v>
      </c>
      <c r="DE37" s="1728" t="s">
        <v>2474</v>
      </c>
      <c r="DF37" s="1728" t="s">
        <v>2473</v>
      </c>
      <c r="DG37" s="1728" t="s">
        <v>2473</v>
      </c>
      <c r="DH37" s="1728" t="s">
        <v>2473</v>
      </c>
      <c r="DI37" s="1728" t="s">
        <v>2473</v>
      </c>
      <c r="DJ37" s="1728" t="s">
        <v>2473</v>
      </c>
      <c r="DK37" s="1728" t="s">
        <v>2473</v>
      </c>
      <c r="DL37" s="1728" t="s">
        <v>2473</v>
      </c>
      <c r="DM37" s="1728" t="s">
        <v>2475</v>
      </c>
      <c r="DN37" s="1728" t="s">
        <v>2473</v>
      </c>
      <c r="DO37" s="1728" t="s">
        <v>2473</v>
      </c>
      <c r="DP37" s="1728" t="s">
        <v>2476</v>
      </c>
      <c r="DQ37" s="1728" t="s">
        <v>2477</v>
      </c>
      <c r="DR37" s="1728" t="s">
        <v>1463</v>
      </c>
      <c r="DS37" s="1728" t="s">
        <v>2478</v>
      </c>
      <c r="DT37" s="1731">
        <v>8.5</v>
      </c>
      <c r="DU37" s="1731">
        <v>8.5</v>
      </c>
      <c r="DV37" s="1731">
        <v>8.1999999999999993</v>
      </c>
      <c r="DW37" s="1731">
        <v>8.1999999999999993</v>
      </c>
      <c r="DX37" s="1731">
        <v>8.1999999999999993</v>
      </c>
      <c r="DY37" s="1731">
        <v>8.1999999999999993</v>
      </c>
      <c r="DZ37" s="1731">
        <v>8.1999999999999993</v>
      </c>
      <c r="EA37" s="1728">
        <v>8.65</v>
      </c>
    </row>
    <row r="38" spans="1:131" ht="17.45" customHeight="1" x14ac:dyDescent="0.25">
      <c r="A38" s="1677" t="s">
        <v>2479</v>
      </c>
      <c r="B38" s="1699" t="s">
        <v>2067</v>
      </c>
      <c r="C38" s="1700" t="s">
        <v>2067</v>
      </c>
      <c r="D38" s="1700" t="s">
        <v>2043</v>
      </c>
      <c r="E38" s="1700" t="s">
        <v>2043</v>
      </c>
      <c r="F38" s="1699" t="s">
        <v>2043</v>
      </c>
      <c r="G38" s="1700" t="s">
        <v>2043</v>
      </c>
      <c r="H38" s="1700" t="s">
        <v>2043</v>
      </c>
      <c r="I38" s="1700" t="s">
        <v>2043</v>
      </c>
      <c r="J38" s="1700" t="s">
        <v>1594</v>
      </c>
      <c r="K38" s="1700" t="s">
        <v>1594</v>
      </c>
      <c r="L38" s="1700" t="s">
        <v>1594</v>
      </c>
      <c r="M38" s="1700" t="s">
        <v>1844</v>
      </c>
      <c r="N38" s="1699" t="s">
        <v>1594</v>
      </c>
      <c r="O38" s="1700" t="s">
        <v>1594</v>
      </c>
      <c r="P38" s="1700" t="s">
        <v>1594</v>
      </c>
      <c r="Q38" s="1699" t="s">
        <v>1594</v>
      </c>
      <c r="R38" s="1700" t="s">
        <v>1594</v>
      </c>
      <c r="S38" s="1700" t="s">
        <v>1594</v>
      </c>
      <c r="T38" s="1701" t="s">
        <v>1594</v>
      </c>
      <c r="U38" s="1701" t="s">
        <v>1594</v>
      </c>
      <c r="V38" s="1701" t="s">
        <v>1594</v>
      </c>
      <c r="W38" s="1701" t="s">
        <v>1594</v>
      </c>
      <c r="X38" s="1701" t="s">
        <v>1594</v>
      </c>
      <c r="Y38" s="1701" t="s">
        <v>1594</v>
      </c>
      <c r="Z38" s="1701" t="s">
        <v>1594</v>
      </c>
      <c r="AA38" s="1701" t="s">
        <v>1594</v>
      </c>
      <c r="AB38" s="1701" t="s">
        <v>1594</v>
      </c>
      <c r="AC38" s="1701" t="s">
        <v>1594</v>
      </c>
      <c r="AD38" s="1701" t="s">
        <v>1594</v>
      </c>
      <c r="AE38" s="1701" t="s">
        <v>1594</v>
      </c>
      <c r="AF38" s="1701" t="s">
        <v>1594</v>
      </c>
      <c r="AG38" s="1701" t="s">
        <v>2043</v>
      </c>
      <c r="AH38" s="1701" t="s">
        <v>2480</v>
      </c>
      <c r="AI38" s="1701" t="s">
        <v>2481</v>
      </c>
      <c r="AJ38" s="1701" t="s">
        <v>2482</v>
      </c>
      <c r="AK38" s="1701" t="s">
        <v>2483</v>
      </c>
      <c r="AL38" s="1701" t="s">
        <v>2484</v>
      </c>
      <c r="AM38" s="1701" t="s">
        <v>2485</v>
      </c>
      <c r="AN38" s="1701" t="s">
        <v>2486</v>
      </c>
      <c r="AO38" s="1701" t="s">
        <v>2485</v>
      </c>
      <c r="AP38" s="1701" t="s">
        <v>2487</v>
      </c>
      <c r="AQ38" s="1701" t="s">
        <v>2488</v>
      </c>
      <c r="AR38" s="1701" t="s">
        <v>2488</v>
      </c>
      <c r="AS38" s="1701" t="s">
        <v>2488</v>
      </c>
      <c r="AT38" s="1701" t="s">
        <v>2489</v>
      </c>
      <c r="AU38" s="1701" t="s">
        <v>2490</v>
      </c>
      <c r="AV38" s="1701" t="s">
        <v>2491</v>
      </c>
      <c r="AW38" s="1701" t="s">
        <v>2492</v>
      </c>
      <c r="AX38" s="1701" t="s">
        <v>2492</v>
      </c>
      <c r="AY38" s="1701" t="s">
        <v>2493</v>
      </c>
      <c r="AZ38" s="1701" t="s">
        <v>2494</v>
      </c>
      <c r="BA38" s="1701" t="s">
        <v>2494</v>
      </c>
      <c r="BB38" s="1701" t="s">
        <v>2494</v>
      </c>
      <c r="BC38" s="1701" t="s">
        <v>2494</v>
      </c>
      <c r="BD38" s="1701" t="s">
        <v>2494</v>
      </c>
      <c r="BE38" s="1701" t="s">
        <v>1968</v>
      </c>
      <c r="BF38" s="1701" t="s">
        <v>1968</v>
      </c>
      <c r="BG38" s="1701" t="s">
        <v>1968</v>
      </c>
      <c r="BH38" s="1701" t="s">
        <v>1968</v>
      </c>
      <c r="BI38" s="1701" t="s">
        <v>1968</v>
      </c>
      <c r="BJ38" s="1701" t="s">
        <v>1968</v>
      </c>
      <c r="BK38" s="1701" t="s">
        <v>1968</v>
      </c>
      <c r="BL38" s="1701" t="s">
        <v>1968</v>
      </c>
      <c r="BM38" s="1701" t="s">
        <v>1968</v>
      </c>
      <c r="BN38" s="1701" t="s">
        <v>1968</v>
      </c>
      <c r="BO38" s="1701" t="s">
        <v>2495</v>
      </c>
      <c r="BP38" s="1701" t="s">
        <v>2495</v>
      </c>
      <c r="BQ38" s="1701" t="s">
        <v>2495</v>
      </c>
      <c r="BR38" s="1701" t="s">
        <v>2495</v>
      </c>
      <c r="BS38" s="1701" t="s">
        <v>2496</v>
      </c>
      <c r="BT38" s="1701" t="s">
        <v>2496</v>
      </c>
      <c r="BU38" s="1701" t="s">
        <v>2497</v>
      </c>
      <c r="BV38" s="1701" t="s">
        <v>2497</v>
      </c>
      <c r="BW38" s="1701" t="s">
        <v>2497</v>
      </c>
      <c r="BX38" s="1701" t="s">
        <v>2498</v>
      </c>
      <c r="BY38" s="1701" t="s">
        <v>2498</v>
      </c>
      <c r="BZ38" s="1702" t="s">
        <v>2498</v>
      </c>
      <c r="CA38" s="1701" t="s">
        <v>2498</v>
      </c>
      <c r="CB38" s="1701" t="s">
        <v>2499</v>
      </c>
      <c r="CC38" s="1701" t="s">
        <v>2499</v>
      </c>
      <c r="CD38" s="1701" t="s">
        <v>2500</v>
      </c>
      <c r="CE38" s="1701" t="s">
        <v>2501</v>
      </c>
      <c r="CF38" s="1701" t="s">
        <v>2501</v>
      </c>
      <c r="CG38" s="1701" t="s">
        <v>2501</v>
      </c>
      <c r="CH38" s="1701" t="s">
        <v>2502</v>
      </c>
      <c r="CI38" s="1701" t="s">
        <v>2502</v>
      </c>
      <c r="CJ38" s="1701" t="s">
        <v>2502</v>
      </c>
      <c r="CK38" s="1701" t="s">
        <v>2502</v>
      </c>
      <c r="CL38" s="1701" t="s">
        <v>2502</v>
      </c>
      <c r="CM38" s="1701" t="s">
        <v>2502</v>
      </c>
      <c r="CN38" s="1701" t="s">
        <v>2502</v>
      </c>
      <c r="CO38" s="1701" t="s">
        <v>1939</v>
      </c>
      <c r="CP38" s="1701" t="s">
        <v>2503</v>
      </c>
      <c r="CQ38" s="1705" t="s">
        <v>1944</v>
      </c>
      <c r="CR38" s="1727" t="s">
        <v>2504</v>
      </c>
      <c r="CS38" s="1727" t="s">
        <v>2505</v>
      </c>
      <c r="CT38" s="1727" t="s">
        <v>2506</v>
      </c>
      <c r="CU38" s="1727" t="s">
        <v>2507</v>
      </c>
      <c r="CV38" s="1727" t="s">
        <v>1941</v>
      </c>
      <c r="CW38" s="1727" t="s">
        <v>2508</v>
      </c>
      <c r="CX38" s="1727" t="s">
        <v>2509</v>
      </c>
      <c r="CY38" s="1727" t="s">
        <v>2510</v>
      </c>
      <c r="CZ38" s="1727" t="s">
        <v>2511</v>
      </c>
      <c r="DA38" s="1727" t="s">
        <v>2512</v>
      </c>
      <c r="DB38" s="1727" t="s">
        <v>2513</v>
      </c>
      <c r="DC38" s="1728" t="s">
        <v>2514</v>
      </c>
      <c r="DD38" s="1728" t="s">
        <v>2515</v>
      </c>
      <c r="DE38" s="1728" t="s">
        <v>2503</v>
      </c>
      <c r="DF38" s="1728" t="s">
        <v>1938</v>
      </c>
      <c r="DG38" s="1728" t="s">
        <v>2516</v>
      </c>
      <c r="DH38" s="1728" t="s">
        <v>2517</v>
      </c>
      <c r="DI38" s="1728" t="s">
        <v>2506</v>
      </c>
      <c r="DJ38" s="1728" t="s">
        <v>2518</v>
      </c>
      <c r="DK38" s="1728" t="s">
        <v>2519</v>
      </c>
      <c r="DL38" s="1728" t="s">
        <v>2520</v>
      </c>
      <c r="DM38" s="1728" t="s">
        <v>2521</v>
      </c>
      <c r="DN38" s="1728" t="s">
        <v>2522</v>
      </c>
      <c r="DO38" s="1728" t="s">
        <v>2523</v>
      </c>
      <c r="DP38" s="1728" t="s">
        <v>2523</v>
      </c>
      <c r="DQ38" s="1728" t="s">
        <v>2523</v>
      </c>
      <c r="DR38" s="1728" t="s">
        <v>2523</v>
      </c>
      <c r="DS38" s="1728" t="s">
        <v>2523</v>
      </c>
      <c r="DT38" s="1728" t="s">
        <v>2524</v>
      </c>
      <c r="DU38" s="1728" t="s">
        <v>1964</v>
      </c>
      <c r="DV38" s="1728" t="s">
        <v>1964</v>
      </c>
      <c r="DW38" s="1728" t="s">
        <v>1964</v>
      </c>
      <c r="DX38" s="1728" t="s">
        <v>1944</v>
      </c>
      <c r="DY38" s="1728" t="s">
        <v>1944</v>
      </c>
      <c r="DZ38" s="1728" t="s">
        <v>1944</v>
      </c>
      <c r="EA38" s="1728" t="s">
        <v>1944</v>
      </c>
    </row>
    <row r="39" spans="1:131" ht="17.45" customHeight="1" x14ac:dyDescent="0.25">
      <c r="A39" s="1677" t="s">
        <v>2525</v>
      </c>
      <c r="B39" s="1699" t="s">
        <v>1594</v>
      </c>
      <c r="C39" s="1700" t="s">
        <v>1594</v>
      </c>
      <c r="D39" s="1700" t="s">
        <v>1594</v>
      </c>
      <c r="E39" s="1700" t="s">
        <v>1594</v>
      </c>
      <c r="F39" s="1699" t="s">
        <v>1594</v>
      </c>
      <c r="G39" s="1700" t="s">
        <v>1844</v>
      </c>
      <c r="H39" s="1700" t="s">
        <v>1594</v>
      </c>
      <c r="I39" s="1700" t="s">
        <v>1594</v>
      </c>
      <c r="J39" s="1700" t="s">
        <v>1594</v>
      </c>
      <c r="K39" s="1700" t="s">
        <v>1594</v>
      </c>
      <c r="L39" s="1700" t="s">
        <v>1594</v>
      </c>
      <c r="M39" s="1700" t="s">
        <v>1594</v>
      </c>
      <c r="N39" s="1699" t="s">
        <v>1594</v>
      </c>
      <c r="O39" s="1700" t="s">
        <v>1594</v>
      </c>
      <c r="P39" s="1700" t="s">
        <v>1594</v>
      </c>
      <c r="Q39" s="1699" t="s">
        <v>1594</v>
      </c>
      <c r="R39" s="1700" t="s">
        <v>1594</v>
      </c>
      <c r="S39" s="1700" t="s">
        <v>1594</v>
      </c>
      <c r="T39" s="1701" t="s">
        <v>1594</v>
      </c>
      <c r="U39" s="1701" t="s">
        <v>1594</v>
      </c>
      <c r="V39" s="1701" t="s">
        <v>1594</v>
      </c>
      <c r="W39" s="1701" t="s">
        <v>1594</v>
      </c>
      <c r="X39" s="1701" t="s">
        <v>1594</v>
      </c>
      <c r="Y39" s="1701" t="s">
        <v>1594</v>
      </c>
      <c r="Z39" s="1701" t="s">
        <v>1594</v>
      </c>
      <c r="AA39" s="1701" t="s">
        <v>1594</v>
      </c>
      <c r="AB39" s="1701" t="s">
        <v>1594</v>
      </c>
      <c r="AC39" s="1701" t="s">
        <v>1594</v>
      </c>
      <c r="AD39" s="1701" t="s">
        <v>1594</v>
      </c>
      <c r="AE39" s="1701" t="s">
        <v>1594</v>
      </c>
      <c r="AF39" s="1701" t="s">
        <v>1594</v>
      </c>
      <c r="AG39" s="1701" t="s">
        <v>2526</v>
      </c>
      <c r="AH39" s="1701" t="s">
        <v>2043</v>
      </c>
      <c r="AI39" s="1701" t="s">
        <v>1592</v>
      </c>
      <c r="AJ39" s="1701" t="s">
        <v>2527</v>
      </c>
      <c r="AK39" s="1701" t="s">
        <v>2482</v>
      </c>
      <c r="AL39" s="1701" t="s">
        <v>2528</v>
      </c>
      <c r="AM39" s="1701" t="s">
        <v>2529</v>
      </c>
      <c r="AN39" s="1701" t="s">
        <v>2529</v>
      </c>
      <c r="AO39" s="1701" t="s">
        <v>2529</v>
      </c>
      <c r="AP39" s="1701" t="s">
        <v>2530</v>
      </c>
      <c r="AQ39" s="1701" t="s">
        <v>2531</v>
      </c>
      <c r="AR39" s="1701" t="s">
        <v>2531</v>
      </c>
      <c r="AS39" s="1701" t="s">
        <v>2531</v>
      </c>
      <c r="AT39" s="1701" t="s">
        <v>2532</v>
      </c>
      <c r="AU39" s="1701" t="s">
        <v>2533</v>
      </c>
      <c r="AV39" s="1701" t="s">
        <v>2533</v>
      </c>
      <c r="AW39" s="1701" t="s">
        <v>2533</v>
      </c>
      <c r="AX39" s="1701" t="s">
        <v>2534</v>
      </c>
      <c r="AY39" s="1701" t="s">
        <v>2534</v>
      </c>
      <c r="AZ39" s="1701" t="s">
        <v>2534</v>
      </c>
      <c r="BA39" s="1701" t="s">
        <v>2534</v>
      </c>
      <c r="BB39" s="1701" t="s">
        <v>2534</v>
      </c>
      <c r="BC39" s="1701" t="s">
        <v>2534</v>
      </c>
      <c r="BD39" s="1701" t="s">
        <v>2534</v>
      </c>
      <c r="BE39" s="1701" t="s">
        <v>2534</v>
      </c>
      <c r="BF39" s="1701" t="s">
        <v>2534</v>
      </c>
      <c r="BG39" s="1701" t="s">
        <v>2534</v>
      </c>
      <c r="BH39" s="1701" t="s">
        <v>2534</v>
      </c>
      <c r="BI39" s="1701" t="s">
        <v>2534</v>
      </c>
      <c r="BJ39" s="1701" t="s">
        <v>2534</v>
      </c>
      <c r="BK39" s="1701" t="s">
        <v>2534</v>
      </c>
      <c r="BL39" s="1701" t="s">
        <v>2535</v>
      </c>
      <c r="BM39" s="1701" t="s">
        <v>2536</v>
      </c>
      <c r="BN39" s="1701" t="s">
        <v>2537</v>
      </c>
      <c r="BO39" s="1701" t="s">
        <v>2538</v>
      </c>
      <c r="BP39" s="1701" t="s">
        <v>2537</v>
      </c>
      <c r="BQ39" s="1701" t="s">
        <v>2537</v>
      </c>
      <c r="BR39" s="1701" t="s">
        <v>2537</v>
      </c>
      <c r="BS39" s="1701" t="s">
        <v>2539</v>
      </c>
      <c r="BT39" s="1701" t="s">
        <v>2539</v>
      </c>
      <c r="BU39" s="1701" t="s">
        <v>2540</v>
      </c>
      <c r="BV39" s="1701" t="s">
        <v>2540</v>
      </c>
      <c r="BW39" s="1701" t="s">
        <v>2541</v>
      </c>
      <c r="BX39" s="1701" t="s">
        <v>2542</v>
      </c>
      <c r="BY39" s="1701" t="s">
        <v>2543</v>
      </c>
      <c r="BZ39" s="1702" t="s">
        <v>2544</v>
      </c>
      <c r="CA39" s="1701" t="s">
        <v>2544</v>
      </c>
      <c r="CB39" s="1701" t="s">
        <v>2545</v>
      </c>
      <c r="CC39" s="1701" t="s">
        <v>2545</v>
      </c>
      <c r="CD39" s="1701" t="s">
        <v>2546</v>
      </c>
      <c r="CE39" s="1701" t="s">
        <v>2546</v>
      </c>
      <c r="CF39" s="1701" t="s">
        <v>2547</v>
      </c>
      <c r="CG39" s="1701" t="s">
        <v>2243</v>
      </c>
      <c r="CH39" s="1701" t="s">
        <v>2243</v>
      </c>
      <c r="CI39" s="1701" t="s">
        <v>2548</v>
      </c>
      <c r="CJ39" s="1701" t="s">
        <v>2549</v>
      </c>
      <c r="CK39" s="1701" t="s">
        <v>2549</v>
      </c>
      <c r="CL39" s="1701" t="s">
        <v>2550</v>
      </c>
      <c r="CM39" s="1701" t="s">
        <v>2551</v>
      </c>
      <c r="CN39" s="1701" t="s">
        <v>2552</v>
      </c>
      <c r="CO39" s="1701" t="s">
        <v>2553</v>
      </c>
      <c r="CP39" s="1701" t="s">
        <v>2554</v>
      </c>
      <c r="CQ39" s="1705" t="s">
        <v>2555</v>
      </c>
      <c r="CR39" s="1727" t="s">
        <v>2556</v>
      </c>
      <c r="CS39" s="1727" t="s">
        <v>2557</v>
      </c>
      <c r="CT39" s="1727" t="s">
        <v>2558</v>
      </c>
      <c r="CU39" s="1727" t="s">
        <v>2559</v>
      </c>
      <c r="CV39" s="1727" t="s">
        <v>1617</v>
      </c>
      <c r="CW39" s="1727" t="s">
        <v>2560</v>
      </c>
      <c r="CX39" s="1727" t="s">
        <v>1798</v>
      </c>
      <c r="CY39" s="1727" t="s">
        <v>2561</v>
      </c>
      <c r="CZ39" s="1727" t="s">
        <v>1798</v>
      </c>
      <c r="DA39" s="1727" t="s">
        <v>2085</v>
      </c>
      <c r="DB39" s="1727" t="s">
        <v>2562</v>
      </c>
      <c r="DC39" s="1728" t="s">
        <v>2563</v>
      </c>
      <c r="DD39" s="1728" t="s">
        <v>2564</v>
      </c>
      <c r="DE39" s="1728" t="s">
        <v>2565</v>
      </c>
      <c r="DF39" s="1728" t="s">
        <v>2566</v>
      </c>
      <c r="DG39" s="1728" t="s">
        <v>2567</v>
      </c>
      <c r="DH39" s="1728" t="s">
        <v>2568</v>
      </c>
      <c r="DI39" s="1728" t="s">
        <v>2569</v>
      </c>
      <c r="DJ39" s="1728" t="s">
        <v>2570</v>
      </c>
      <c r="DK39" s="1728" t="s">
        <v>2562</v>
      </c>
      <c r="DL39" s="1728" t="s">
        <v>2571</v>
      </c>
      <c r="DM39" s="1728" t="s">
        <v>2571</v>
      </c>
      <c r="DN39" s="1728" t="s">
        <v>2572</v>
      </c>
      <c r="DO39" s="1728" t="s">
        <v>2573</v>
      </c>
      <c r="DP39" s="1728" t="s">
        <v>2574</v>
      </c>
      <c r="DQ39" s="1728" t="s">
        <v>2574</v>
      </c>
      <c r="DR39" s="1728" t="s">
        <v>2574</v>
      </c>
      <c r="DS39" s="1728" t="s">
        <v>2574</v>
      </c>
      <c r="DT39" s="1728" t="s">
        <v>2575</v>
      </c>
      <c r="DU39" s="1728" t="s">
        <v>2576</v>
      </c>
      <c r="DV39" s="1728" t="s">
        <v>1825</v>
      </c>
      <c r="DW39" s="1728" t="s">
        <v>2577</v>
      </c>
      <c r="DX39" s="1728" t="s">
        <v>2577</v>
      </c>
      <c r="DY39" s="1728" t="s">
        <v>2577</v>
      </c>
      <c r="DZ39" s="1728" t="s">
        <v>2578</v>
      </c>
      <c r="EA39" s="1728" t="s">
        <v>2579</v>
      </c>
    </row>
    <row r="40" spans="1:131" ht="17.45" customHeight="1" x14ac:dyDescent="0.25">
      <c r="A40" s="1677" t="s">
        <v>2580</v>
      </c>
      <c r="B40" s="1699" t="s">
        <v>2581</v>
      </c>
      <c r="C40" s="1700" t="s">
        <v>2582</v>
      </c>
      <c r="D40" s="1700" t="s">
        <v>2582</v>
      </c>
      <c r="E40" s="1700" t="s">
        <v>2582</v>
      </c>
      <c r="F40" s="1699" t="s">
        <v>2582</v>
      </c>
      <c r="G40" s="1700" t="s">
        <v>2583</v>
      </c>
      <c r="H40" s="1700" t="s">
        <v>2583</v>
      </c>
      <c r="I40" s="1700"/>
      <c r="J40" s="1700"/>
      <c r="K40" s="1700"/>
      <c r="L40" s="1700"/>
      <c r="M40" s="1700"/>
      <c r="N40" s="1699"/>
      <c r="O40" s="1700"/>
      <c r="P40" s="1700"/>
      <c r="Q40" s="1699"/>
      <c r="R40" s="1700"/>
      <c r="S40" s="1700"/>
      <c r="T40" s="1701"/>
      <c r="U40" s="1701"/>
      <c r="V40" s="1701"/>
      <c r="W40" s="1701"/>
      <c r="X40" s="1701"/>
      <c r="Y40" s="1701"/>
      <c r="Z40" s="1701"/>
      <c r="AA40" s="1701"/>
      <c r="AB40" s="1701"/>
      <c r="AC40" s="1701"/>
      <c r="AD40" s="1701"/>
      <c r="AE40" s="1701"/>
      <c r="AF40" s="1701"/>
      <c r="AG40" s="1701">
        <v>20.399999999999999</v>
      </c>
      <c r="AH40" s="1701">
        <v>19.5</v>
      </c>
      <c r="AI40" s="1701">
        <v>19.5</v>
      </c>
      <c r="AJ40" s="1701">
        <v>19.5</v>
      </c>
      <c r="AK40" s="1701">
        <v>19.5</v>
      </c>
      <c r="AL40" s="1701">
        <v>19.5</v>
      </c>
      <c r="AM40" s="1701">
        <v>19.5</v>
      </c>
      <c r="AN40" s="1701">
        <v>19.5</v>
      </c>
      <c r="AO40" s="1701">
        <v>19.5</v>
      </c>
      <c r="AP40" s="1701">
        <v>19.5</v>
      </c>
      <c r="AQ40" s="1701">
        <v>19.5</v>
      </c>
      <c r="AR40" s="1701">
        <v>19.5</v>
      </c>
      <c r="AS40" s="1701">
        <v>19.5</v>
      </c>
      <c r="AT40" s="1701">
        <v>13.6</v>
      </c>
      <c r="AU40" s="1701" t="s">
        <v>2584</v>
      </c>
      <c r="AV40" s="1701" t="s">
        <v>2585</v>
      </c>
      <c r="AW40" s="1701" t="s">
        <v>2586</v>
      </c>
      <c r="AX40" s="1701" t="s">
        <v>2585</v>
      </c>
      <c r="AY40" s="1701" t="s">
        <v>2585</v>
      </c>
      <c r="AZ40" s="1701" t="s">
        <v>2585</v>
      </c>
      <c r="BA40" s="1701" t="s">
        <v>2585</v>
      </c>
      <c r="BB40" s="1701" t="s">
        <v>2585</v>
      </c>
      <c r="BC40" s="1701" t="s">
        <v>2585</v>
      </c>
      <c r="BD40" s="1701" t="s">
        <v>2587</v>
      </c>
      <c r="BE40" s="1701" t="s">
        <v>2587</v>
      </c>
      <c r="BF40" s="1701" t="s">
        <v>2587</v>
      </c>
      <c r="BG40" s="1701" t="s">
        <v>2587</v>
      </c>
      <c r="BH40" s="1701" t="s">
        <v>2588</v>
      </c>
      <c r="BI40" s="1701" t="s">
        <v>2588</v>
      </c>
      <c r="BJ40" s="1701" t="s">
        <v>2588</v>
      </c>
      <c r="BK40" s="1701" t="s">
        <v>2588</v>
      </c>
      <c r="BL40" s="1701" t="s">
        <v>2589</v>
      </c>
      <c r="BM40" s="1701" t="s">
        <v>2590</v>
      </c>
      <c r="BN40" s="1701" t="s">
        <v>2591</v>
      </c>
      <c r="BO40" s="1701" t="s">
        <v>2591</v>
      </c>
      <c r="BP40" s="1701" t="s">
        <v>2592</v>
      </c>
      <c r="BQ40" s="1701" t="s">
        <v>2591</v>
      </c>
      <c r="BR40" s="1701" t="s">
        <v>2592</v>
      </c>
      <c r="BS40" s="1701" t="s">
        <v>2593</v>
      </c>
      <c r="BT40" s="1701" t="s">
        <v>2593</v>
      </c>
      <c r="BU40" s="1701" t="s">
        <v>2594</v>
      </c>
      <c r="BV40" s="1701">
        <v>12.29</v>
      </c>
      <c r="BW40" s="1701" t="s">
        <v>2595</v>
      </c>
      <c r="BX40" s="1701">
        <v>12.2</v>
      </c>
      <c r="BY40" s="1701">
        <v>16.84</v>
      </c>
      <c r="BZ40" s="1702">
        <v>17.11</v>
      </c>
      <c r="CA40" s="1701">
        <v>17.12</v>
      </c>
      <c r="CB40" s="1701">
        <v>17.12</v>
      </c>
      <c r="CC40" s="1701" t="s">
        <v>2596</v>
      </c>
      <c r="CD40" s="1701" t="s">
        <v>2597</v>
      </c>
      <c r="CE40" s="1701" t="s">
        <v>2185</v>
      </c>
      <c r="CF40" s="1701" t="s">
        <v>2187</v>
      </c>
      <c r="CG40" s="1701" t="s">
        <v>2187</v>
      </c>
      <c r="CH40" s="1701" t="s">
        <v>2598</v>
      </c>
      <c r="CI40" s="1701" t="s">
        <v>2599</v>
      </c>
      <c r="CJ40" s="1701" t="s">
        <v>2599</v>
      </c>
      <c r="CK40" s="1701" t="s">
        <v>2599</v>
      </c>
      <c r="CL40" s="1701" t="s">
        <v>2599</v>
      </c>
      <c r="CM40" s="1701" t="s">
        <v>2599</v>
      </c>
      <c r="CN40" s="1701" t="s">
        <v>2599</v>
      </c>
      <c r="CO40" s="1701" t="s">
        <v>2599</v>
      </c>
      <c r="CP40" s="1701" t="s">
        <v>2599</v>
      </c>
      <c r="CQ40" s="1705" t="s">
        <v>2599</v>
      </c>
      <c r="CR40" s="1727" t="s">
        <v>2599</v>
      </c>
      <c r="CS40" s="1727" t="s">
        <v>2187</v>
      </c>
      <c r="CT40" s="1727" t="s">
        <v>2187</v>
      </c>
      <c r="CU40" s="1727" t="s">
        <v>2187</v>
      </c>
      <c r="CV40" s="1727" t="s">
        <v>2187</v>
      </c>
      <c r="CW40" s="1727" t="s">
        <v>2187</v>
      </c>
      <c r="CX40" s="1727" t="s">
        <v>2187</v>
      </c>
      <c r="CY40" s="1727" t="s">
        <v>1875</v>
      </c>
      <c r="CZ40" s="1727" t="s">
        <v>1875</v>
      </c>
      <c r="DA40" s="1727" t="s">
        <v>1875</v>
      </c>
      <c r="DB40" s="1727" t="s">
        <v>1875</v>
      </c>
      <c r="DC40" s="1728" t="s">
        <v>1875</v>
      </c>
      <c r="DD40" s="1728" t="s">
        <v>1875</v>
      </c>
      <c r="DE40" s="1728" t="s">
        <v>2600</v>
      </c>
      <c r="DF40" s="1728" t="s">
        <v>2600</v>
      </c>
      <c r="DG40" s="1728" t="s">
        <v>2600</v>
      </c>
      <c r="DH40" s="1728" t="s">
        <v>2601</v>
      </c>
      <c r="DI40" s="1728" t="s">
        <v>2602</v>
      </c>
      <c r="DJ40" s="1728" t="s">
        <v>2602</v>
      </c>
      <c r="DK40" s="1728" t="s">
        <v>2602</v>
      </c>
      <c r="DL40" s="1728" t="s">
        <v>2602</v>
      </c>
      <c r="DM40" s="1731" t="s">
        <v>664</v>
      </c>
      <c r="DN40" s="1731" t="s">
        <v>664</v>
      </c>
      <c r="DO40" s="1728" t="s">
        <v>2603</v>
      </c>
      <c r="DP40" s="1731" t="s">
        <v>664</v>
      </c>
      <c r="DQ40" s="1731" t="s">
        <v>664</v>
      </c>
      <c r="DR40" s="1731" t="s">
        <v>664</v>
      </c>
      <c r="DS40" s="1731" t="s">
        <v>664</v>
      </c>
      <c r="DT40" s="1731" t="s">
        <v>664</v>
      </c>
      <c r="DU40" s="1731">
        <v>18.420000000000002</v>
      </c>
      <c r="DV40" s="1731">
        <v>18.420000000000002</v>
      </c>
      <c r="DW40" s="1731" t="s">
        <v>664</v>
      </c>
      <c r="DX40" s="1731" t="s">
        <v>664</v>
      </c>
      <c r="DY40" s="1731" t="s">
        <v>664</v>
      </c>
      <c r="DZ40" s="1731" t="s">
        <v>664</v>
      </c>
      <c r="EA40" s="1728" t="s">
        <v>2604</v>
      </c>
    </row>
    <row r="41" spans="1:131" ht="17.45" customHeight="1" x14ac:dyDescent="0.25">
      <c r="A41" s="1677" t="s">
        <v>2605</v>
      </c>
      <c r="B41" s="1699" t="s">
        <v>2002</v>
      </c>
      <c r="C41" s="1700" t="s">
        <v>2604</v>
      </c>
      <c r="D41" s="1700" t="s">
        <v>1667</v>
      </c>
      <c r="E41" s="1700" t="s">
        <v>2604</v>
      </c>
      <c r="F41" s="1699" t="s">
        <v>1667</v>
      </c>
      <c r="G41" s="1700" t="s">
        <v>1687</v>
      </c>
      <c r="H41" s="1700" t="s">
        <v>1687</v>
      </c>
      <c r="I41" s="1700" t="s">
        <v>1687</v>
      </c>
      <c r="J41" s="1700" t="s">
        <v>2606</v>
      </c>
      <c r="K41" s="1700" t="s">
        <v>1687</v>
      </c>
      <c r="L41" s="1700" t="s">
        <v>2607</v>
      </c>
      <c r="M41" s="1700" t="s">
        <v>2608</v>
      </c>
      <c r="N41" s="1699" t="s">
        <v>2608</v>
      </c>
      <c r="O41" s="1700" t="s">
        <v>2609</v>
      </c>
      <c r="P41" s="1700" t="s">
        <v>2610</v>
      </c>
      <c r="Q41" s="1699" t="s">
        <v>2611</v>
      </c>
      <c r="R41" s="1700" t="s">
        <v>2612</v>
      </c>
      <c r="S41" s="1700" t="s">
        <v>2612</v>
      </c>
      <c r="T41" s="1701" t="s">
        <v>2613</v>
      </c>
      <c r="U41" s="1701" t="s">
        <v>2612</v>
      </c>
      <c r="V41" s="1701" t="s">
        <v>2612</v>
      </c>
      <c r="W41" s="1701" t="s">
        <v>2611</v>
      </c>
      <c r="X41" s="1701" t="s">
        <v>2611</v>
      </c>
      <c r="Y41" s="1701" t="s">
        <v>2612</v>
      </c>
      <c r="Z41" s="1701" t="s">
        <v>2044</v>
      </c>
      <c r="AA41" s="1701" t="s">
        <v>2044</v>
      </c>
      <c r="AB41" s="1701" t="s">
        <v>2614</v>
      </c>
      <c r="AC41" s="1701" t="s">
        <v>2615</v>
      </c>
      <c r="AD41" s="1701" t="s">
        <v>2614</v>
      </c>
      <c r="AE41" s="1701" t="s">
        <v>2614</v>
      </c>
      <c r="AF41" s="1701" t="s">
        <v>2614</v>
      </c>
      <c r="AG41" s="1701" t="s">
        <v>2614</v>
      </c>
      <c r="AH41" s="1701" t="s">
        <v>2614</v>
      </c>
      <c r="AI41" s="1701" t="s">
        <v>2614</v>
      </c>
      <c r="AJ41" s="1701" t="s">
        <v>2614</v>
      </c>
      <c r="AK41" s="1701" t="s">
        <v>2614</v>
      </c>
      <c r="AL41" s="1701" t="s">
        <v>2614</v>
      </c>
      <c r="AM41" s="1701" t="s">
        <v>2614</v>
      </c>
      <c r="AN41" s="1701" t="s">
        <v>2614</v>
      </c>
      <c r="AO41" s="1701" t="s">
        <v>2614</v>
      </c>
      <c r="AP41" s="1701" t="s">
        <v>2614</v>
      </c>
      <c r="AQ41" s="1701" t="s">
        <v>2614</v>
      </c>
      <c r="AR41" s="1701" t="s">
        <v>2614</v>
      </c>
      <c r="AS41" s="1701" t="s">
        <v>2614</v>
      </c>
      <c r="AT41" s="1701" t="s">
        <v>2614</v>
      </c>
      <c r="AU41" s="1701" t="s">
        <v>2616</v>
      </c>
      <c r="AV41" s="1701" t="s">
        <v>1999</v>
      </c>
      <c r="AW41" s="1701" t="s">
        <v>1999</v>
      </c>
      <c r="AX41" s="1701" t="s">
        <v>1999</v>
      </c>
      <c r="AY41" s="1701" t="s">
        <v>1999</v>
      </c>
      <c r="AZ41" s="1701" t="s">
        <v>1999</v>
      </c>
      <c r="BA41" s="1701" t="s">
        <v>1999</v>
      </c>
      <c r="BB41" s="1701" t="s">
        <v>1999</v>
      </c>
      <c r="BC41" s="1701" t="s">
        <v>1999</v>
      </c>
      <c r="BD41" s="1701" t="s">
        <v>1999</v>
      </c>
      <c r="BE41" s="1701" t="s">
        <v>1999</v>
      </c>
      <c r="BF41" s="1701" t="s">
        <v>1999</v>
      </c>
      <c r="BG41" s="1701" t="s">
        <v>1999</v>
      </c>
      <c r="BH41" s="1701" t="s">
        <v>1999</v>
      </c>
      <c r="BI41" s="1701" t="s">
        <v>1999</v>
      </c>
      <c r="BJ41" s="1701" t="s">
        <v>1999</v>
      </c>
      <c r="BK41" s="1701" t="s">
        <v>1999</v>
      </c>
      <c r="BL41" s="1701" t="s">
        <v>1999</v>
      </c>
      <c r="BM41" s="1701" t="s">
        <v>1997</v>
      </c>
      <c r="BN41" s="1701" t="s">
        <v>2617</v>
      </c>
      <c r="BO41" s="1701" t="s">
        <v>2617</v>
      </c>
      <c r="BP41" s="1701" t="s">
        <v>2617</v>
      </c>
      <c r="BQ41" s="1701" t="s">
        <v>2617</v>
      </c>
      <c r="BR41" s="1701" t="s">
        <v>2617</v>
      </c>
      <c r="BS41" s="1701" t="s">
        <v>2618</v>
      </c>
      <c r="BT41" s="1701" t="s">
        <v>2618</v>
      </c>
      <c r="BU41" s="1701" t="s">
        <v>2618</v>
      </c>
      <c r="BV41" s="1701" t="s">
        <v>2618</v>
      </c>
      <c r="BW41" s="1701" t="s">
        <v>2619</v>
      </c>
      <c r="BX41" s="1701" t="s">
        <v>2620</v>
      </c>
      <c r="BY41" s="1701" t="s">
        <v>2620</v>
      </c>
      <c r="BZ41" s="1702" t="s">
        <v>2621</v>
      </c>
      <c r="CA41" s="1701" t="s">
        <v>1541</v>
      </c>
      <c r="CB41" s="1701" t="s">
        <v>2622</v>
      </c>
      <c r="CC41" s="1701" t="s">
        <v>2623</v>
      </c>
      <c r="CD41" s="1701" t="s">
        <v>2624</v>
      </c>
      <c r="CE41" s="1701" t="s">
        <v>2624</v>
      </c>
      <c r="CF41" s="1701" t="s">
        <v>2624</v>
      </c>
      <c r="CG41" s="1701" t="s">
        <v>2624</v>
      </c>
      <c r="CH41" s="1701" t="s">
        <v>2624</v>
      </c>
      <c r="CI41" s="1701" t="s">
        <v>2624</v>
      </c>
      <c r="CJ41" s="1701" t="s">
        <v>2624</v>
      </c>
      <c r="CK41" s="1701" t="s">
        <v>2624</v>
      </c>
      <c r="CL41" s="1701" t="s">
        <v>2624</v>
      </c>
      <c r="CM41" s="1701" t="s">
        <v>2624</v>
      </c>
      <c r="CN41" s="1701" t="s">
        <v>2624</v>
      </c>
      <c r="CO41" s="1701" t="s">
        <v>2624</v>
      </c>
      <c r="CP41" s="1701" t="s">
        <v>2624</v>
      </c>
      <c r="CQ41" s="1705" t="s">
        <v>2625</v>
      </c>
      <c r="CR41" s="1727" t="s">
        <v>2626</v>
      </c>
      <c r="CS41" s="1727" t="s">
        <v>2627</v>
      </c>
      <c r="CT41" s="1727" t="s">
        <v>2628</v>
      </c>
      <c r="CU41" s="1727" t="s">
        <v>2628</v>
      </c>
      <c r="CV41" s="1727" t="s">
        <v>2629</v>
      </c>
      <c r="CW41" s="1727" t="s">
        <v>2137</v>
      </c>
      <c r="CX41" s="1727" t="s">
        <v>2630</v>
      </c>
      <c r="CY41" s="1727" t="s">
        <v>2631</v>
      </c>
      <c r="CZ41" s="1727" t="s">
        <v>2632</v>
      </c>
      <c r="DA41" s="1727" t="s">
        <v>2132</v>
      </c>
      <c r="DB41" s="1727" t="s">
        <v>2633</v>
      </c>
      <c r="DC41" s="1728" t="s">
        <v>2634</v>
      </c>
      <c r="DD41" s="1728" t="s">
        <v>2635</v>
      </c>
      <c r="DE41" s="1728" t="s">
        <v>2632</v>
      </c>
      <c r="DF41" s="1728" t="s">
        <v>2134</v>
      </c>
      <c r="DG41" s="1728" t="s">
        <v>2632</v>
      </c>
      <c r="DH41" s="1728" t="s">
        <v>1905</v>
      </c>
      <c r="DI41" s="1728" t="s">
        <v>2636</v>
      </c>
      <c r="DJ41" s="1728" t="s">
        <v>2636</v>
      </c>
      <c r="DK41" s="1728" t="s">
        <v>2637</v>
      </c>
      <c r="DL41" s="1728" t="s">
        <v>1783</v>
      </c>
      <c r="DM41" s="1728" t="s">
        <v>2637</v>
      </c>
      <c r="DN41" s="1728" t="s">
        <v>1902</v>
      </c>
      <c r="DO41" s="1728" t="s">
        <v>1905</v>
      </c>
      <c r="DP41" s="1728" t="s">
        <v>2638</v>
      </c>
      <c r="DQ41" s="1728" t="s">
        <v>2639</v>
      </c>
      <c r="DR41" s="1728" t="s">
        <v>2640</v>
      </c>
      <c r="DS41" s="1728" t="s">
        <v>2641</v>
      </c>
      <c r="DT41" s="1728" t="s">
        <v>2641</v>
      </c>
      <c r="DU41" s="1728" t="s">
        <v>2641</v>
      </c>
      <c r="DV41" s="1728" t="s">
        <v>2642</v>
      </c>
      <c r="DW41" s="1728" t="s">
        <v>2643</v>
      </c>
      <c r="DX41" s="1728" t="s">
        <v>2108</v>
      </c>
      <c r="DY41" s="1728" t="s">
        <v>2215</v>
      </c>
      <c r="DZ41" s="1728" t="s">
        <v>2644</v>
      </c>
      <c r="EA41" s="1728" t="s">
        <v>2579</v>
      </c>
    </row>
    <row r="42" spans="1:131" ht="17.45" customHeight="1" x14ac:dyDescent="0.25">
      <c r="A42" s="1677" t="s">
        <v>2645</v>
      </c>
      <c r="B42" s="1699" t="s">
        <v>1472</v>
      </c>
      <c r="C42" s="1700" t="s">
        <v>2646</v>
      </c>
      <c r="D42" s="1700" t="s">
        <v>1472</v>
      </c>
      <c r="E42" s="1700" t="s">
        <v>1472</v>
      </c>
      <c r="F42" s="1699" t="s">
        <v>1472</v>
      </c>
      <c r="G42" s="1700" t="s">
        <v>1472</v>
      </c>
      <c r="H42" s="1700" t="s">
        <v>1472</v>
      </c>
      <c r="I42" s="1700" t="s">
        <v>1472</v>
      </c>
      <c r="J42" s="1700" t="s">
        <v>1472</v>
      </c>
      <c r="K42" s="1700" t="s">
        <v>1472</v>
      </c>
      <c r="L42" s="1700" t="s">
        <v>1472</v>
      </c>
      <c r="M42" s="1700" t="s">
        <v>1472</v>
      </c>
      <c r="N42" s="1699" t="s">
        <v>1472</v>
      </c>
      <c r="O42" s="1700" t="s">
        <v>1472</v>
      </c>
      <c r="P42" s="1700" t="s">
        <v>1472</v>
      </c>
      <c r="Q42" s="1699" t="s">
        <v>1472</v>
      </c>
      <c r="R42" s="1700" t="s">
        <v>1472</v>
      </c>
      <c r="S42" s="1700" t="s">
        <v>1958</v>
      </c>
      <c r="T42" s="1701" t="s">
        <v>1958</v>
      </c>
      <c r="U42" s="1701" t="s">
        <v>1686</v>
      </c>
      <c r="V42" s="1701" t="s">
        <v>2647</v>
      </c>
      <c r="W42" s="1701" t="s">
        <v>2647</v>
      </c>
      <c r="X42" s="1701" t="s">
        <v>2648</v>
      </c>
      <c r="Y42" s="1701" t="s">
        <v>1686</v>
      </c>
      <c r="Z42" s="1701" t="s">
        <v>2649</v>
      </c>
      <c r="AA42" s="1701" t="s">
        <v>2650</v>
      </c>
      <c r="AB42" s="1701" t="s">
        <v>2651</v>
      </c>
      <c r="AC42" s="1701" t="s">
        <v>2650</v>
      </c>
      <c r="AD42" s="1701" t="s">
        <v>2652</v>
      </c>
      <c r="AE42" s="1701" t="s">
        <v>1678</v>
      </c>
      <c r="AF42" s="1701" t="s">
        <v>2653</v>
      </c>
      <c r="AG42" s="1701" t="s">
        <v>1686</v>
      </c>
      <c r="AH42" s="1701" t="s">
        <v>2654</v>
      </c>
      <c r="AI42" s="1701" t="s">
        <v>2647</v>
      </c>
      <c r="AJ42" s="1701" t="s">
        <v>2655</v>
      </c>
      <c r="AK42" s="1701" t="s">
        <v>2655</v>
      </c>
      <c r="AL42" s="1701" t="s">
        <v>2656</v>
      </c>
      <c r="AM42" s="1701" t="s">
        <v>2173</v>
      </c>
      <c r="AN42" s="1701" t="s">
        <v>2173</v>
      </c>
      <c r="AO42" s="1701" t="s">
        <v>2173</v>
      </c>
      <c r="AP42" s="1701" t="s">
        <v>2657</v>
      </c>
      <c r="AQ42" s="1701" t="s">
        <v>2658</v>
      </c>
      <c r="AR42" s="1701" t="s">
        <v>2658</v>
      </c>
      <c r="AS42" s="1701" t="s">
        <v>2658</v>
      </c>
      <c r="AT42" s="1701" t="s">
        <v>1864</v>
      </c>
      <c r="AU42" s="1701" t="s">
        <v>1864</v>
      </c>
      <c r="AV42" s="1701" t="s">
        <v>1864</v>
      </c>
      <c r="AW42" s="1701" t="s">
        <v>1864</v>
      </c>
      <c r="AX42" s="1701" t="s">
        <v>1864</v>
      </c>
      <c r="AY42" s="1701" t="s">
        <v>1864</v>
      </c>
      <c r="AZ42" s="1701" t="s">
        <v>1864</v>
      </c>
      <c r="BA42" s="1701" t="s">
        <v>1864</v>
      </c>
      <c r="BB42" s="1701" t="s">
        <v>1864</v>
      </c>
      <c r="BC42" s="1701" t="s">
        <v>1864</v>
      </c>
      <c r="BD42" s="1701" t="s">
        <v>1864</v>
      </c>
      <c r="BE42" s="1701" t="s">
        <v>1864</v>
      </c>
      <c r="BF42" s="1701" t="s">
        <v>1864</v>
      </c>
      <c r="BG42" s="1701" t="s">
        <v>1864</v>
      </c>
      <c r="BH42" s="1701" t="s">
        <v>1864</v>
      </c>
      <c r="BI42" s="1701" t="s">
        <v>2659</v>
      </c>
      <c r="BJ42" s="1701" t="s">
        <v>2659</v>
      </c>
      <c r="BK42" s="1701" t="s">
        <v>2659</v>
      </c>
      <c r="BL42" s="1701" t="s">
        <v>1864</v>
      </c>
      <c r="BM42" s="1701" t="s">
        <v>2182</v>
      </c>
      <c r="BN42" s="1701" t="s">
        <v>2066</v>
      </c>
      <c r="BO42" s="1701" t="s">
        <v>2066</v>
      </c>
      <c r="BP42" s="1701" t="s">
        <v>2066</v>
      </c>
      <c r="BQ42" s="1701" t="s">
        <v>2066</v>
      </c>
      <c r="BR42" s="1701" t="s">
        <v>2066</v>
      </c>
      <c r="BS42" s="1701" t="s">
        <v>2067</v>
      </c>
      <c r="BT42" s="1701" t="s">
        <v>2067</v>
      </c>
      <c r="BU42" s="1701" t="s">
        <v>2660</v>
      </c>
      <c r="BV42" s="1701" t="s">
        <v>2660</v>
      </c>
      <c r="BW42" s="1701" t="s">
        <v>2660</v>
      </c>
      <c r="BX42" s="1701" t="s">
        <v>2070</v>
      </c>
      <c r="BY42" s="1701" t="s">
        <v>2069</v>
      </c>
      <c r="BZ42" s="1702" t="s">
        <v>2069</v>
      </c>
      <c r="CA42" s="1701" t="s">
        <v>2069</v>
      </c>
      <c r="CB42" s="1701" t="s">
        <v>2661</v>
      </c>
      <c r="CC42" s="1701" t="s">
        <v>2662</v>
      </c>
      <c r="CD42" s="1701" t="s">
        <v>2358</v>
      </c>
      <c r="CE42" s="1701" t="s">
        <v>2243</v>
      </c>
      <c r="CF42" s="1701" t="s">
        <v>2243</v>
      </c>
      <c r="CG42" s="1701" t="s">
        <v>2243</v>
      </c>
      <c r="CH42" s="1701" t="s">
        <v>2546</v>
      </c>
      <c r="CI42" s="1701" t="s">
        <v>2546</v>
      </c>
      <c r="CJ42" s="1701" t="s">
        <v>2663</v>
      </c>
      <c r="CK42" s="1701" t="s">
        <v>2664</v>
      </c>
      <c r="CL42" s="1701" t="s">
        <v>2665</v>
      </c>
      <c r="CM42" s="1701" t="s">
        <v>2548</v>
      </c>
      <c r="CN42" s="1701" t="s">
        <v>2666</v>
      </c>
      <c r="CO42" s="1701" t="s">
        <v>2667</v>
      </c>
      <c r="CP42" s="1701" t="s">
        <v>2668</v>
      </c>
      <c r="CQ42" s="1705" t="s">
        <v>2669</v>
      </c>
      <c r="CR42" s="1727" t="s">
        <v>2670</v>
      </c>
      <c r="CS42" s="1727" t="s">
        <v>2671</v>
      </c>
      <c r="CT42" s="1727" t="s">
        <v>2672</v>
      </c>
      <c r="CU42" s="1727" t="s">
        <v>2673</v>
      </c>
      <c r="CV42" s="1727" t="s">
        <v>2674</v>
      </c>
      <c r="CW42" s="1727" t="s">
        <v>2675</v>
      </c>
      <c r="CX42" s="1727" t="s">
        <v>2674</v>
      </c>
      <c r="CY42" s="1727" t="s">
        <v>2676</v>
      </c>
      <c r="CZ42" s="1727" t="s">
        <v>2677</v>
      </c>
      <c r="DA42" s="1727" t="s">
        <v>2678</v>
      </c>
      <c r="DB42" s="1727" t="s">
        <v>2679</v>
      </c>
      <c r="DC42" s="1728" t="s">
        <v>2680</v>
      </c>
      <c r="DD42" s="1728" t="s">
        <v>2677</v>
      </c>
      <c r="DE42" s="1728" t="s">
        <v>2082</v>
      </c>
      <c r="DF42" s="1728" t="s">
        <v>2681</v>
      </c>
      <c r="DG42" s="1728" t="s">
        <v>2085</v>
      </c>
      <c r="DH42" s="1728" t="s">
        <v>2678</v>
      </c>
      <c r="DI42" s="1728" t="s">
        <v>2676</v>
      </c>
      <c r="DJ42" s="1728" t="s">
        <v>2682</v>
      </c>
      <c r="DK42" s="1728" t="s">
        <v>2085</v>
      </c>
      <c r="DL42" s="1728" t="s">
        <v>2680</v>
      </c>
      <c r="DM42" s="1728" t="s">
        <v>2674</v>
      </c>
      <c r="DN42" s="1728" t="s">
        <v>2085</v>
      </c>
      <c r="DO42" s="1728" t="s">
        <v>2677</v>
      </c>
      <c r="DP42" s="1728" t="s">
        <v>1905</v>
      </c>
      <c r="DQ42" s="1728" t="s">
        <v>2683</v>
      </c>
      <c r="DR42" s="1728" t="s">
        <v>2684</v>
      </c>
      <c r="DS42" s="1728" t="s">
        <v>2685</v>
      </c>
      <c r="DT42" s="1728" t="s">
        <v>2686</v>
      </c>
      <c r="DU42" s="1728" t="s">
        <v>2687</v>
      </c>
      <c r="DV42" s="1728" t="s">
        <v>2688</v>
      </c>
      <c r="DW42" s="1728" t="s">
        <v>2689</v>
      </c>
      <c r="DX42" s="1728" t="s">
        <v>2690</v>
      </c>
      <c r="DY42" s="1728" t="s">
        <v>2691</v>
      </c>
      <c r="DZ42" s="1728" t="s">
        <v>2689</v>
      </c>
      <c r="EA42" s="1728" t="s">
        <v>2579</v>
      </c>
    </row>
    <row r="43" spans="1:131" ht="17.45" customHeight="1" x14ac:dyDescent="0.25">
      <c r="A43" s="1677" t="s">
        <v>2692</v>
      </c>
      <c r="B43" s="1699" t="s">
        <v>2693</v>
      </c>
      <c r="C43" s="1700" t="s">
        <v>2694</v>
      </c>
      <c r="D43" s="1700" t="s">
        <v>2694</v>
      </c>
      <c r="E43" s="1700" t="s">
        <v>1595</v>
      </c>
      <c r="F43" s="1699" t="s">
        <v>2694</v>
      </c>
      <c r="G43" s="1700" t="s">
        <v>2695</v>
      </c>
      <c r="H43" s="1700" t="s">
        <v>2695</v>
      </c>
      <c r="I43" s="1700" t="s">
        <v>2695</v>
      </c>
      <c r="J43" s="1700" t="s">
        <v>2695</v>
      </c>
      <c r="K43" s="1700" t="s">
        <v>2695</v>
      </c>
      <c r="L43" s="1700" t="s">
        <v>2695</v>
      </c>
      <c r="M43" s="1700" t="s">
        <v>2695</v>
      </c>
      <c r="N43" s="1699" t="s">
        <v>2696</v>
      </c>
      <c r="O43" s="1700" t="s">
        <v>2697</v>
      </c>
      <c r="P43" s="1700" t="s">
        <v>2698</v>
      </c>
      <c r="Q43" s="1699" t="s">
        <v>2699</v>
      </c>
      <c r="R43" s="1700" t="s">
        <v>2699</v>
      </c>
      <c r="S43" s="1700" t="s">
        <v>2699</v>
      </c>
      <c r="T43" s="1701" t="s">
        <v>2699</v>
      </c>
      <c r="U43" s="1701" t="s">
        <v>2699</v>
      </c>
      <c r="V43" s="1701" t="s">
        <v>2699</v>
      </c>
      <c r="W43" s="1701" t="s">
        <v>2699</v>
      </c>
      <c r="X43" s="1701" t="s">
        <v>2699</v>
      </c>
      <c r="Y43" s="1701" t="s">
        <v>2699</v>
      </c>
      <c r="Z43" s="1701" t="s">
        <v>2700</v>
      </c>
      <c r="AA43" s="1701" t="s">
        <v>2045</v>
      </c>
      <c r="AB43" s="1701" t="s">
        <v>2701</v>
      </c>
      <c r="AC43" s="1701" t="s">
        <v>2702</v>
      </c>
      <c r="AD43" s="1701" t="s">
        <v>2703</v>
      </c>
      <c r="AE43" s="1701" t="s">
        <v>2704</v>
      </c>
      <c r="AF43" s="1701" t="s">
        <v>2705</v>
      </c>
      <c r="AG43" s="1701" t="s">
        <v>2706</v>
      </c>
      <c r="AH43" s="1701" t="s">
        <v>2707</v>
      </c>
      <c r="AI43" s="1701" t="s">
        <v>2708</v>
      </c>
      <c r="AJ43" s="1701" t="s">
        <v>2709</v>
      </c>
      <c r="AK43" s="1701" t="s">
        <v>1669</v>
      </c>
      <c r="AL43" s="1701" t="s">
        <v>2709</v>
      </c>
      <c r="AM43" s="1701" t="s">
        <v>2710</v>
      </c>
      <c r="AN43" s="1701" t="s">
        <v>2711</v>
      </c>
      <c r="AO43" s="1701" t="s">
        <v>2711</v>
      </c>
      <c r="AP43" s="1701" t="s">
        <v>2712</v>
      </c>
      <c r="AQ43" s="1701" t="s">
        <v>2382</v>
      </c>
      <c r="AR43" s="1701" t="s">
        <v>2382</v>
      </c>
      <c r="AS43" s="1701" t="s">
        <v>2382</v>
      </c>
      <c r="AT43" s="1701" t="s">
        <v>2713</v>
      </c>
      <c r="AU43" s="1701" t="s">
        <v>2714</v>
      </c>
      <c r="AV43" s="1701" t="s">
        <v>2714</v>
      </c>
      <c r="AW43" s="1701" t="s">
        <v>2714</v>
      </c>
      <c r="AX43" s="1701" t="s">
        <v>2714</v>
      </c>
      <c r="AY43" s="1701" t="s">
        <v>2714</v>
      </c>
      <c r="AZ43" s="1701" t="s">
        <v>2714</v>
      </c>
      <c r="BA43" s="1701" t="s">
        <v>2715</v>
      </c>
      <c r="BB43" s="1701" t="s">
        <v>2715</v>
      </c>
      <c r="BC43" s="1701" t="s">
        <v>2715</v>
      </c>
      <c r="BD43" s="1701" t="s">
        <v>2715</v>
      </c>
      <c r="BE43" s="1701" t="s">
        <v>2715</v>
      </c>
      <c r="BF43" s="1701" t="s">
        <v>2715</v>
      </c>
      <c r="BG43" s="1701" t="s">
        <v>2715</v>
      </c>
      <c r="BH43" s="1701" t="s">
        <v>2716</v>
      </c>
      <c r="BI43" s="1701" t="s">
        <v>2716</v>
      </c>
      <c r="BJ43" s="1701" t="s">
        <v>2716</v>
      </c>
      <c r="BK43" s="1701" t="s">
        <v>2716</v>
      </c>
      <c r="BL43" s="1701" t="s">
        <v>2716</v>
      </c>
      <c r="BM43" s="1701" t="s">
        <v>1870</v>
      </c>
      <c r="BN43" s="1701" t="s">
        <v>1870</v>
      </c>
      <c r="BO43" s="1701" t="s">
        <v>1870</v>
      </c>
      <c r="BP43" s="1701" t="s">
        <v>1870</v>
      </c>
      <c r="BQ43" s="1701" t="s">
        <v>1870</v>
      </c>
      <c r="BR43" s="1701" t="s">
        <v>1870</v>
      </c>
      <c r="BS43" s="1701" t="s">
        <v>2067</v>
      </c>
      <c r="BT43" s="1701" t="s">
        <v>2067</v>
      </c>
      <c r="BU43" s="1701" t="s">
        <v>2067</v>
      </c>
      <c r="BV43" s="1701" t="s">
        <v>2067</v>
      </c>
      <c r="BW43" s="1701" t="s">
        <v>2480</v>
      </c>
      <c r="BX43" s="1701" t="s">
        <v>1543</v>
      </c>
      <c r="BY43" s="1701" t="s">
        <v>2083</v>
      </c>
      <c r="BZ43" s="1702" t="s">
        <v>2717</v>
      </c>
      <c r="CA43" s="1701" t="s">
        <v>2717</v>
      </c>
      <c r="CB43" s="1701" t="s">
        <v>2718</v>
      </c>
      <c r="CC43" s="1701" t="s">
        <v>2718</v>
      </c>
      <c r="CD43" s="1701" t="s">
        <v>2719</v>
      </c>
      <c r="CE43" s="1701" t="s">
        <v>2720</v>
      </c>
      <c r="CF43" s="1701" t="s">
        <v>2720</v>
      </c>
      <c r="CG43" s="1701" t="s">
        <v>2720</v>
      </c>
      <c r="CH43" s="1701" t="s">
        <v>2720</v>
      </c>
      <c r="CI43" s="1701" t="s">
        <v>2720</v>
      </c>
      <c r="CJ43" s="1701" t="s">
        <v>2720</v>
      </c>
      <c r="CK43" s="1701" t="s">
        <v>2720</v>
      </c>
      <c r="CL43" s="1701" t="s">
        <v>2720</v>
      </c>
      <c r="CM43" s="1701" t="s">
        <v>2720</v>
      </c>
      <c r="CN43" s="1701" t="s">
        <v>2720</v>
      </c>
      <c r="CO43" s="1701" t="s">
        <v>2720</v>
      </c>
      <c r="CP43" s="1701" t="s">
        <v>2721</v>
      </c>
      <c r="CQ43" s="1705" t="s">
        <v>2184</v>
      </c>
      <c r="CR43" s="1727" t="s">
        <v>2722</v>
      </c>
      <c r="CS43" s="1727" t="s">
        <v>2723</v>
      </c>
      <c r="CT43" s="1727" t="s">
        <v>1900</v>
      </c>
      <c r="CU43" s="1727" t="s">
        <v>1900</v>
      </c>
      <c r="CV43" s="1727" t="s">
        <v>2724</v>
      </c>
      <c r="CW43" s="1727" t="s">
        <v>2725</v>
      </c>
      <c r="CX43" s="1727" t="s">
        <v>2726</v>
      </c>
      <c r="CY43" s="1727" t="s">
        <v>2025</v>
      </c>
      <c r="CZ43" s="1727" t="s">
        <v>2632</v>
      </c>
      <c r="DA43" s="1727" t="s">
        <v>2632</v>
      </c>
      <c r="DB43" s="1727" t="s">
        <v>2727</v>
      </c>
      <c r="DC43" s="1728" t="s">
        <v>2728</v>
      </c>
      <c r="DD43" s="1728" t="s">
        <v>2632</v>
      </c>
      <c r="DE43" s="1728" t="s">
        <v>2134</v>
      </c>
      <c r="DF43" s="1728" t="s">
        <v>2727</v>
      </c>
      <c r="DG43" s="1728" t="s">
        <v>2133</v>
      </c>
      <c r="DH43" s="1728" t="s">
        <v>2729</v>
      </c>
      <c r="DI43" s="1728" t="s">
        <v>2730</v>
      </c>
      <c r="DJ43" s="1728" t="s">
        <v>2731</v>
      </c>
      <c r="DK43" s="1728" t="s">
        <v>2732</v>
      </c>
      <c r="DL43" s="1728" t="s">
        <v>2732</v>
      </c>
      <c r="DM43" s="1728" t="s">
        <v>2733</v>
      </c>
      <c r="DN43" s="1728" t="s">
        <v>2734</v>
      </c>
      <c r="DO43" s="1728" t="s">
        <v>2735</v>
      </c>
      <c r="DP43" s="1728" t="s">
        <v>2736</v>
      </c>
      <c r="DQ43" s="1728" t="s">
        <v>2737</v>
      </c>
      <c r="DR43" s="1728" t="s">
        <v>2738</v>
      </c>
      <c r="DS43" s="1728" t="s">
        <v>2738</v>
      </c>
      <c r="DT43" s="1728" t="s">
        <v>2738</v>
      </c>
      <c r="DU43" s="1728" t="s">
        <v>2739</v>
      </c>
      <c r="DV43" s="1728" t="s">
        <v>2740</v>
      </c>
      <c r="DW43" s="1728" t="s">
        <v>2741</v>
      </c>
      <c r="DX43" s="1728" t="s">
        <v>2742</v>
      </c>
      <c r="DY43" s="1728" t="s">
        <v>2743</v>
      </c>
      <c r="DZ43" s="1728" t="s">
        <v>2740</v>
      </c>
      <c r="EA43" s="1728" t="s">
        <v>2738</v>
      </c>
    </row>
    <row r="44" spans="1:131" ht="17.45" customHeight="1" x14ac:dyDescent="0.25">
      <c r="A44" s="1677"/>
      <c r="B44" s="1662"/>
      <c r="C44" s="1663"/>
      <c r="D44" s="1663"/>
      <c r="E44" s="1663"/>
      <c r="F44" s="1662"/>
      <c r="G44" s="1663"/>
      <c r="H44" s="1663"/>
      <c r="I44" s="1663"/>
      <c r="J44" s="1663"/>
      <c r="K44" s="1663"/>
      <c r="L44" s="1663"/>
      <c r="M44" s="1663"/>
      <c r="N44" s="1662"/>
      <c r="O44" s="1663"/>
      <c r="P44" s="1663"/>
      <c r="Q44" s="1662"/>
      <c r="R44" s="1663"/>
      <c r="S44" s="1663"/>
      <c r="T44" s="1735"/>
      <c r="U44" s="1735"/>
      <c r="V44" s="1735"/>
      <c r="W44" s="1735"/>
      <c r="X44" s="1735"/>
      <c r="Y44" s="1735"/>
      <c r="Z44" s="1735"/>
      <c r="AA44" s="1735"/>
      <c r="AB44" s="1735"/>
      <c r="AC44" s="1735"/>
      <c r="AD44" s="1735"/>
      <c r="AE44" s="1735"/>
      <c r="AF44" s="1735"/>
      <c r="AG44" s="1735"/>
      <c r="AH44" s="1735"/>
      <c r="AI44" s="1735"/>
      <c r="AJ44" s="1735"/>
      <c r="AK44" s="1735"/>
      <c r="AL44" s="1735"/>
      <c r="AM44" s="1735"/>
      <c r="AN44" s="1735"/>
      <c r="AO44" s="1735"/>
      <c r="AP44" s="1735"/>
      <c r="AQ44" s="1735"/>
      <c r="AR44" s="1735"/>
      <c r="AS44" s="1735"/>
      <c r="AT44" s="1735"/>
      <c r="AU44" s="1735"/>
      <c r="AV44" s="1735"/>
      <c r="AW44" s="1735"/>
      <c r="AX44" s="1735"/>
      <c r="AY44" s="1735"/>
      <c r="AZ44" s="1735"/>
      <c r="BA44" s="1735"/>
      <c r="BB44" s="1735"/>
      <c r="BC44" s="1735"/>
      <c r="BD44" s="1735"/>
      <c r="BE44" s="1735"/>
      <c r="BF44" s="1735"/>
      <c r="BG44" s="1735"/>
      <c r="BH44" s="1735"/>
      <c r="BI44" s="1735"/>
      <c r="BJ44" s="1735"/>
      <c r="BK44" s="1735"/>
      <c r="BL44" s="1735"/>
      <c r="BM44" s="1735"/>
      <c r="BN44" s="1735"/>
      <c r="BO44" s="1735"/>
      <c r="BP44" s="1736"/>
      <c r="BQ44" s="1736"/>
      <c r="BR44" s="1736"/>
      <c r="BS44" s="1736"/>
      <c r="BT44" s="1736"/>
      <c r="BU44" s="1736"/>
      <c r="BV44" s="1736"/>
      <c r="BW44" s="1736"/>
      <c r="BX44" s="1736"/>
      <c r="BY44" s="1736"/>
      <c r="BZ44" s="1669"/>
      <c r="CA44" s="1736"/>
      <c r="CB44" s="1736"/>
      <c r="CC44" s="1736"/>
      <c r="CD44" s="1736"/>
      <c r="CE44" s="1736"/>
      <c r="CF44" s="1736"/>
      <c r="CG44" s="1736"/>
      <c r="CH44" s="1736"/>
      <c r="CI44" s="1736"/>
      <c r="CJ44" s="1736"/>
      <c r="CK44" s="1736"/>
      <c r="CL44" s="1736"/>
      <c r="CM44" s="1736"/>
      <c r="CN44" s="1736"/>
      <c r="CO44" s="1736"/>
      <c r="CP44" s="1736"/>
      <c r="CQ44" s="1705"/>
      <c r="CR44" s="1737"/>
      <c r="CS44" s="1737"/>
      <c r="CT44" s="1737"/>
      <c r="CU44" s="1737"/>
      <c r="CV44" s="1737"/>
      <c r="CW44" s="1737"/>
      <c r="CX44" s="1737"/>
      <c r="CY44" s="1737"/>
      <c r="CZ44" s="1737"/>
      <c r="DA44" s="1737"/>
      <c r="DB44" s="1737"/>
      <c r="DC44" s="1738"/>
      <c r="DD44" s="1738"/>
      <c r="DE44" s="1738"/>
      <c r="DF44" s="1738"/>
      <c r="DG44" s="1738"/>
      <c r="DH44" s="1738"/>
      <c r="DI44" s="1738"/>
      <c r="DJ44" s="1738"/>
      <c r="DK44" s="1738"/>
      <c r="DL44" s="1738"/>
      <c r="DM44" s="1738"/>
      <c r="DN44" s="1738"/>
      <c r="DO44" s="1738"/>
      <c r="DP44" s="1738"/>
      <c r="DQ44" s="1738"/>
      <c r="DR44" s="1738"/>
      <c r="DS44" s="1738"/>
      <c r="DT44" s="1738"/>
      <c r="DU44" s="1738"/>
      <c r="DV44" s="1738"/>
      <c r="DW44" s="1738"/>
      <c r="DX44" s="1738"/>
      <c r="DY44" s="1738"/>
      <c r="DZ44" s="1738"/>
      <c r="EA44" s="1738"/>
    </row>
    <row r="45" spans="1:131" ht="17.45" customHeight="1" x14ac:dyDescent="0.25">
      <c r="A45" s="1686" t="s">
        <v>2744</v>
      </c>
      <c r="B45" s="1662"/>
      <c r="C45" s="1663"/>
      <c r="D45" s="1663"/>
      <c r="E45" s="1663"/>
      <c r="F45" s="1662"/>
      <c r="G45" s="1663"/>
      <c r="H45" s="1663"/>
      <c r="I45" s="1663"/>
      <c r="J45" s="1663"/>
      <c r="K45" s="1663"/>
      <c r="L45" s="1663"/>
      <c r="M45" s="1663"/>
      <c r="N45" s="1662"/>
      <c r="O45" s="1663"/>
      <c r="P45" s="1663"/>
      <c r="Q45" s="1662"/>
      <c r="R45" s="1663"/>
      <c r="S45" s="1663"/>
      <c r="T45" s="1735"/>
      <c r="U45" s="1735"/>
      <c r="V45" s="1735"/>
      <c r="W45" s="1735"/>
      <c r="X45" s="1735"/>
      <c r="Y45" s="1735"/>
      <c r="Z45" s="1735"/>
      <c r="AA45" s="1735"/>
      <c r="AB45" s="1735"/>
      <c r="AC45" s="1735"/>
      <c r="AD45" s="1735"/>
      <c r="AE45" s="1735"/>
      <c r="AF45" s="1735"/>
      <c r="AG45" s="1735"/>
      <c r="AH45" s="1735"/>
      <c r="AI45" s="1735"/>
      <c r="AJ45" s="1735"/>
      <c r="AK45" s="1735"/>
      <c r="AL45" s="1735"/>
      <c r="AM45" s="1735"/>
      <c r="AN45" s="1735"/>
      <c r="AO45" s="1735"/>
      <c r="AP45" s="1735"/>
      <c r="AQ45" s="1735"/>
      <c r="AR45" s="1735"/>
      <c r="AS45" s="1735"/>
      <c r="AT45" s="1735"/>
      <c r="AU45" s="1735"/>
      <c r="AV45" s="1735"/>
      <c r="AW45" s="1735"/>
      <c r="AX45" s="1735"/>
      <c r="AY45" s="1735"/>
      <c r="AZ45" s="1735"/>
      <c r="BA45" s="1735"/>
      <c r="BB45" s="1735"/>
      <c r="BC45" s="1735"/>
      <c r="BD45" s="1735"/>
      <c r="BE45" s="1735"/>
      <c r="BF45" s="1735"/>
      <c r="BG45" s="1735"/>
      <c r="BH45" s="1735"/>
      <c r="BI45" s="1735"/>
      <c r="BJ45" s="1735"/>
      <c r="BK45" s="1735"/>
      <c r="BL45" s="1735"/>
      <c r="BM45" s="1735"/>
      <c r="BN45" s="1735"/>
      <c r="BO45" s="1735"/>
      <c r="BP45" s="1736"/>
      <c r="BQ45" s="1736"/>
      <c r="BR45" s="1736"/>
      <c r="BS45" s="1736"/>
      <c r="BT45" s="1736"/>
      <c r="BU45" s="1736"/>
      <c r="BV45" s="1736"/>
      <c r="BW45" s="1736"/>
      <c r="BX45" s="1736"/>
      <c r="BY45" s="1736"/>
      <c r="BZ45" s="1669"/>
      <c r="CA45" s="1736"/>
      <c r="CB45" s="1736"/>
      <c r="CC45" s="1736"/>
      <c r="CD45" s="1736"/>
      <c r="CE45" s="1736"/>
      <c r="CF45" s="1736"/>
      <c r="CG45" s="1736"/>
      <c r="CH45" s="1736"/>
      <c r="CI45" s="1736"/>
      <c r="CJ45" s="1736"/>
      <c r="CK45" s="1736"/>
      <c r="CL45" s="1736"/>
      <c r="CM45" s="1736"/>
      <c r="CN45" s="1736"/>
      <c r="CO45" s="1736"/>
      <c r="CP45" s="1736"/>
      <c r="CQ45" s="1697"/>
      <c r="CR45" s="1737"/>
      <c r="CS45" s="1737"/>
      <c r="CT45" s="1737"/>
      <c r="CU45" s="1737"/>
      <c r="CV45" s="1737"/>
      <c r="CW45" s="1737"/>
      <c r="CX45" s="1737"/>
      <c r="CY45" s="1737"/>
      <c r="CZ45" s="1737"/>
      <c r="DA45" s="1737"/>
      <c r="DB45" s="1737"/>
      <c r="DC45" s="1738"/>
      <c r="DD45" s="1738"/>
      <c r="DE45" s="1738"/>
      <c r="DF45" s="1738"/>
      <c r="DG45" s="1738"/>
      <c r="DH45" s="1738"/>
      <c r="DI45" s="1738"/>
      <c r="DJ45" s="1738"/>
      <c r="DK45" s="1738"/>
      <c r="DL45" s="1738"/>
      <c r="DM45" s="1738"/>
      <c r="DN45" s="1738"/>
      <c r="DO45" s="1738"/>
      <c r="DP45" s="1738"/>
      <c r="DQ45" s="1738"/>
      <c r="DR45" s="1738"/>
      <c r="DS45" s="1738"/>
      <c r="DT45" s="1738"/>
      <c r="DU45" s="1738"/>
      <c r="DV45" s="1738"/>
      <c r="DW45" s="1738"/>
      <c r="DX45" s="1738"/>
      <c r="DY45" s="1738"/>
      <c r="DZ45" s="1738"/>
      <c r="EA45" s="1738"/>
    </row>
    <row r="46" spans="1:131" ht="17.45" customHeight="1" x14ac:dyDescent="0.25">
      <c r="A46" s="1677" t="s">
        <v>2745</v>
      </c>
      <c r="B46" s="1739" t="s">
        <v>2746</v>
      </c>
      <c r="C46" s="1740">
        <v>5</v>
      </c>
      <c r="D46" s="1740">
        <v>5</v>
      </c>
      <c r="E46" s="1740">
        <v>5</v>
      </c>
      <c r="F46" s="1739">
        <v>5</v>
      </c>
      <c r="G46" s="1740" t="s">
        <v>2747</v>
      </c>
      <c r="H46" s="1740" t="s">
        <v>2747</v>
      </c>
      <c r="I46" s="1740" t="s">
        <v>2747</v>
      </c>
      <c r="J46" s="1740" t="s">
        <v>2747</v>
      </c>
      <c r="K46" s="1740" t="s">
        <v>2747</v>
      </c>
      <c r="L46" s="1740" t="s">
        <v>2747</v>
      </c>
      <c r="M46" s="1740" t="s">
        <v>2747</v>
      </c>
      <c r="N46" s="1739" t="s">
        <v>2748</v>
      </c>
      <c r="O46" s="1740" t="s">
        <v>2748</v>
      </c>
      <c r="P46" s="1740" t="s">
        <v>2749</v>
      </c>
      <c r="Q46" s="1739" t="s">
        <v>2749</v>
      </c>
      <c r="R46" s="1740" t="s">
        <v>2749</v>
      </c>
      <c r="S46" s="1740" t="s">
        <v>2749</v>
      </c>
      <c r="T46" s="1741" t="s">
        <v>2749</v>
      </c>
      <c r="U46" s="1741" t="s">
        <v>2749</v>
      </c>
      <c r="V46" s="1741" t="s">
        <v>2749</v>
      </c>
      <c r="W46" s="1741" t="s">
        <v>2749</v>
      </c>
      <c r="X46" s="1741" t="s">
        <v>2749</v>
      </c>
      <c r="Y46" s="1741" t="s">
        <v>2749</v>
      </c>
      <c r="Z46" s="1741" t="s">
        <v>2750</v>
      </c>
      <c r="AA46" s="1741" t="s">
        <v>2750</v>
      </c>
      <c r="AB46" s="1741" t="s">
        <v>2750</v>
      </c>
      <c r="AC46" s="1741" t="s">
        <v>2750</v>
      </c>
      <c r="AD46" s="1741" t="s">
        <v>2750</v>
      </c>
      <c r="AE46" s="1741" t="s">
        <v>2750</v>
      </c>
      <c r="AF46" s="1741" t="s">
        <v>2750</v>
      </c>
      <c r="AG46" s="1741" t="s">
        <v>2751</v>
      </c>
      <c r="AH46" s="1741" t="s">
        <v>2752</v>
      </c>
      <c r="AI46" s="1741" t="s">
        <v>1112</v>
      </c>
      <c r="AJ46" s="1741" t="s">
        <v>1127</v>
      </c>
      <c r="AK46" s="1741" t="s">
        <v>1127</v>
      </c>
      <c r="AL46" s="1741" t="s">
        <v>2753</v>
      </c>
      <c r="AM46" s="1741" t="s">
        <v>2753</v>
      </c>
      <c r="AN46" s="1741" t="s">
        <v>2753</v>
      </c>
      <c r="AO46" s="1741" t="s">
        <v>2753</v>
      </c>
      <c r="AP46" s="1741" t="s">
        <v>2754</v>
      </c>
      <c r="AQ46" s="1741" t="s">
        <v>971</v>
      </c>
      <c r="AR46" s="1741" t="s">
        <v>971</v>
      </c>
      <c r="AS46" s="1741" t="s">
        <v>971</v>
      </c>
      <c r="AT46" s="1741" t="s">
        <v>2755</v>
      </c>
      <c r="AU46" s="1741" t="s">
        <v>2756</v>
      </c>
      <c r="AV46" s="1741" t="s">
        <v>2756</v>
      </c>
      <c r="AW46" s="1741" t="s">
        <v>2756</v>
      </c>
      <c r="AX46" s="1741" t="s">
        <v>2756</v>
      </c>
      <c r="AY46" s="1741" t="s">
        <v>2756</v>
      </c>
      <c r="AZ46" s="1741" t="s">
        <v>2756</v>
      </c>
      <c r="BA46" s="1741" t="s">
        <v>2756</v>
      </c>
      <c r="BB46" s="1741" t="s">
        <v>2756</v>
      </c>
      <c r="BC46" s="1741" t="s">
        <v>2756</v>
      </c>
      <c r="BD46" s="1741" t="s">
        <v>2756</v>
      </c>
      <c r="BE46" s="1741" t="s">
        <v>2756</v>
      </c>
      <c r="BF46" s="1741" t="s">
        <v>2756</v>
      </c>
      <c r="BG46" s="1741" t="s">
        <v>2756</v>
      </c>
      <c r="BH46" s="1741" t="s">
        <v>2756</v>
      </c>
      <c r="BI46" s="1741" t="s">
        <v>2756</v>
      </c>
      <c r="BJ46" s="1741" t="s">
        <v>2756</v>
      </c>
      <c r="BK46" s="1741" t="s">
        <v>2756</v>
      </c>
      <c r="BL46" s="1741" t="s">
        <v>2757</v>
      </c>
      <c r="BM46" s="1741" t="s">
        <v>987</v>
      </c>
      <c r="BN46" s="1741" t="s">
        <v>987</v>
      </c>
      <c r="BO46" s="1741" t="s">
        <v>987</v>
      </c>
      <c r="BP46" s="1741" t="s">
        <v>987</v>
      </c>
      <c r="BQ46" s="1741" t="s">
        <v>987</v>
      </c>
      <c r="BR46" s="1741" t="s">
        <v>987</v>
      </c>
      <c r="BS46" s="1741" t="s">
        <v>987</v>
      </c>
      <c r="BT46" s="1741" t="s">
        <v>987</v>
      </c>
      <c r="BU46" s="1741" t="s">
        <v>2758</v>
      </c>
      <c r="BV46" s="1741" t="s">
        <v>2758</v>
      </c>
      <c r="BW46" s="1741" t="s">
        <v>2758</v>
      </c>
      <c r="BX46" s="1741" t="s">
        <v>2758</v>
      </c>
      <c r="BY46" s="1741" t="s">
        <v>2758</v>
      </c>
      <c r="BZ46" s="1742" t="s">
        <v>2758</v>
      </c>
      <c r="CA46" s="1741" t="s">
        <v>2758</v>
      </c>
      <c r="CB46" s="1741" t="s">
        <v>2758</v>
      </c>
      <c r="CC46" s="1741" t="s">
        <v>2758</v>
      </c>
      <c r="CD46" s="1741" t="s">
        <v>2759</v>
      </c>
      <c r="CE46" s="1741" t="s">
        <v>2760</v>
      </c>
      <c r="CF46" s="1741" t="s">
        <v>2760</v>
      </c>
      <c r="CG46" s="1741" t="s">
        <v>2760</v>
      </c>
      <c r="CH46" s="1741" t="s">
        <v>2760</v>
      </c>
      <c r="CI46" s="1741" t="s">
        <v>2760</v>
      </c>
      <c r="CJ46" s="1741" t="s">
        <v>2760</v>
      </c>
      <c r="CK46" s="1741" t="s">
        <v>2760</v>
      </c>
      <c r="CL46" s="1741" t="s">
        <v>2760</v>
      </c>
      <c r="CM46" s="1741" t="s">
        <v>2760</v>
      </c>
      <c r="CN46" s="1741" t="s">
        <v>2760</v>
      </c>
      <c r="CO46" s="1741" t="s">
        <v>2760</v>
      </c>
      <c r="CP46" s="1741" t="s">
        <v>2760</v>
      </c>
      <c r="CQ46" s="1743" t="s">
        <v>2760</v>
      </c>
      <c r="CR46" s="1744" t="s">
        <v>2760</v>
      </c>
      <c r="CS46" s="1744" t="s">
        <v>2761</v>
      </c>
      <c r="CT46" s="1744" t="s">
        <v>2762</v>
      </c>
      <c r="CU46" s="1744" t="s">
        <v>2762</v>
      </c>
      <c r="CV46" s="1744" t="s">
        <v>2762</v>
      </c>
      <c r="CW46" s="1744" t="s">
        <v>2763</v>
      </c>
      <c r="CX46" s="1744" t="s">
        <v>2763</v>
      </c>
      <c r="CY46" s="1744" t="s">
        <v>2763</v>
      </c>
      <c r="CZ46" s="1744" t="s">
        <v>2763</v>
      </c>
      <c r="DA46" s="1744" t="s">
        <v>2763</v>
      </c>
      <c r="DB46" s="1744" t="s">
        <v>2764</v>
      </c>
      <c r="DC46" s="1744" t="s">
        <v>2764</v>
      </c>
      <c r="DD46" s="1744" t="s">
        <v>2764</v>
      </c>
      <c r="DE46" s="1744" t="s">
        <v>2764</v>
      </c>
      <c r="DF46" s="1744" t="s">
        <v>2764</v>
      </c>
      <c r="DG46" s="1744" t="s">
        <v>2764</v>
      </c>
      <c r="DH46" s="1744" t="s">
        <v>2764</v>
      </c>
      <c r="DI46" s="1744" t="s">
        <v>2764</v>
      </c>
      <c r="DJ46" s="1744" t="s">
        <v>2764</v>
      </c>
      <c r="DK46" s="1744" t="s">
        <v>2765</v>
      </c>
      <c r="DL46" s="1744" t="s">
        <v>1144</v>
      </c>
      <c r="DM46" s="1744" t="s">
        <v>1144</v>
      </c>
      <c r="DN46" s="1744" t="s">
        <v>1144</v>
      </c>
      <c r="DO46" s="1744" t="s">
        <v>1144</v>
      </c>
      <c r="DP46" s="1744" t="s">
        <v>1144</v>
      </c>
      <c r="DQ46" s="1744" t="s">
        <v>1144</v>
      </c>
      <c r="DR46" s="1744" t="s">
        <v>1144</v>
      </c>
      <c r="DS46" s="1744" t="s">
        <v>1144</v>
      </c>
      <c r="DT46" s="1744" t="s">
        <v>1144</v>
      </c>
      <c r="DU46" s="1744" t="s">
        <v>1144</v>
      </c>
      <c r="DV46" s="1744" t="s">
        <v>1144</v>
      </c>
      <c r="DW46" s="1744" t="s">
        <v>1144</v>
      </c>
      <c r="DX46" s="1744" t="s">
        <v>1144</v>
      </c>
      <c r="DY46" s="1744" t="s">
        <v>1144</v>
      </c>
      <c r="DZ46" s="1744" t="s">
        <v>1144</v>
      </c>
      <c r="EA46" s="1744" t="s">
        <v>1144</v>
      </c>
    </row>
    <row r="47" spans="1:131" ht="17.45" customHeight="1" x14ac:dyDescent="0.25">
      <c r="A47" s="1677" t="s">
        <v>2766</v>
      </c>
      <c r="B47" s="1707"/>
      <c r="C47" s="1708"/>
      <c r="D47" s="1708"/>
      <c r="E47" s="1708"/>
      <c r="F47" s="1707"/>
      <c r="G47" s="1708"/>
      <c r="H47" s="1708"/>
      <c r="I47" s="1708"/>
      <c r="J47" s="1708"/>
      <c r="K47" s="1708"/>
      <c r="L47" s="1708"/>
      <c r="M47" s="1708"/>
      <c r="N47" s="1707"/>
      <c r="O47" s="1708"/>
      <c r="P47" s="1708"/>
      <c r="Q47" s="1707"/>
      <c r="R47" s="1708"/>
      <c r="S47" s="1708"/>
      <c r="T47" s="1709"/>
      <c r="U47" s="1709"/>
      <c r="V47" s="1709"/>
      <c r="W47" s="1709"/>
      <c r="X47" s="1709"/>
      <c r="Y47" s="1709"/>
      <c r="Z47" s="1709"/>
      <c r="AA47" s="1709"/>
      <c r="AB47" s="1709"/>
      <c r="AC47" s="1709"/>
      <c r="AD47" s="1709"/>
      <c r="AE47" s="1709"/>
      <c r="AF47" s="1709"/>
      <c r="AG47" s="1709"/>
      <c r="AH47" s="1709"/>
      <c r="AI47" s="1709"/>
      <c r="AJ47" s="1709"/>
      <c r="AK47" s="1709"/>
      <c r="AL47" s="1709"/>
      <c r="AM47" s="1709"/>
      <c r="AN47" s="1709"/>
      <c r="AO47" s="1709"/>
      <c r="AP47" s="1709"/>
      <c r="AQ47" s="1709"/>
      <c r="AR47" s="1709"/>
      <c r="AS47" s="1709"/>
      <c r="AT47" s="1709"/>
      <c r="AU47" s="1709"/>
      <c r="AV47" s="1709"/>
      <c r="AW47" s="1709"/>
      <c r="AX47" s="1709"/>
      <c r="AY47" s="1709"/>
      <c r="AZ47" s="1709"/>
      <c r="BA47" s="1709"/>
      <c r="BB47" s="1709"/>
      <c r="BC47" s="1709"/>
      <c r="BD47" s="1709"/>
      <c r="BE47" s="1709"/>
      <c r="BF47" s="1709"/>
      <c r="BG47" s="1709"/>
      <c r="BH47" s="1709"/>
      <c r="BI47" s="1709"/>
      <c r="BJ47" s="1709"/>
      <c r="BK47" s="1709"/>
      <c r="BL47" s="1709"/>
      <c r="BM47" s="1709"/>
      <c r="BN47" s="1709"/>
      <c r="BO47" s="1709"/>
      <c r="BP47" s="1745"/>
      <c r="BQ47" s="1745"/>
      <c r="BR47" s="1745"/>
      <c r="BS47" s="1745"/>
      <c r="BT47" s="1745"/>
      <c r="BU47" s="1745"/>
      <c r="BV47" s="1745"/>
      <c r="BW47" s="1745"/>
      <c r="BX47" s="1745"/>
      <c r="BY47" s="1745"/>
      <c r="BZ47" s="1746"/>
      <c r="CA47" s="1745"/>
      <c r="CB47" s="1745"/>
      <c r="CC47" s="1745"/>
      <c r="CD47" s="1745"/>
      <c r="CE47" s="1745"/>
      <c r="CF47" s="1745"/>
      <c r="CG47" s="1745"/>
      <c r="CH47" s="1745"/>
      <c r="CI47" s="1745"/>
      <c r="CJ47" s="1745"/>
      <c r="CK47" s="1745"/>
      <c r="CL47" s="1745"/>
      <c r="CM47" s="1745"/>
      <c r="CN47" s="1745"/>
      <c r="CO47" s="1745"/>
      <c r="CP47" s="1745"/>
      <c r="CQ47" s="1697"/>
      <c r="CR47" s="1737"/>
      <c r="CS47" s="1737"/>
      <c r="CT47" s="1737"/>
      <c r="CU47" s="1737"/>
      <c r="CV47" s="1737"/>
      <c r="CW47" s="1737"/>
      <c r="CX47" s="1737"/>
      <c r="CY47" s="1737"/>
      <c r="CZ47" s="1737"/>
      <c r="DA47" s="1737"/>
      <c r="DB47" s="1737"/>
      <c r="DC47" s="1738"/>
      <c r="DD47" s="1738"/>
      <c r="DE47" s="1738"/>
      <c r="DF47" s="1738"/>
      <c r="DG47" s="1738"/>
      <c r="DH47" s="1738"/>
      <c r="DI47" s="1738"/>
      <c r="DJ47" s="1738"/>
      <c r="DK47" s="1738"/>
      <c r="DL47" s="1738"/>
      <c r="DM47" s="1738"/>
      <c r="DN47" s="1738"/>
      <c r="DO47" s="1738"/>
      <c r="DP47" s="1738"/>
      <c r="DQ47" s="1738"/>
      <c r="DR47" s="1738"/>
      <c r="DS47" s="1738"/>
      <c r="DT47" s="1738"/>
      <c r="DU47" s="1738"/>
      <c r="DV47" s="1738"/>
      <c r="DW47" s="1738"/>
      <c r="DX47" s="1738"/>
      <c r="DY47" s="1738"/>
      <c r="DZ47" s="1738"/>
      <c r="EA47" s="1738"/>
    </row>
    <row r="48" spans="1:131" ht="17.45" customHeight="1" x14ac:dyDescent="0.25">
      <c r="A48" s="1677" t="s">
        <v>2767</v>
      </c>
      <c r="B48" s="1699" t="s">
        <v>2768</v>
      </c>
      <c r="C48" s="1700" t="s">
        <v>2769</v>
      </c>
      <c r="D48" s="1700" t="s">
        <v>2770</v>
      </c>
      <c r="E48" s="1700" t="s">
        <v>2770</v>
      </c>
      <c r="F48" s="1699" t="s">
        <v>2770</v>
      </c>
      <c r="G48" s="1700" t="s">
        <v>2771</v>
      </c>
      <c r="H48" s="1700" t="s">
        <v>2772</v>
      </c>
      <c r="I48" s="1700" t="s">
        <v>2772</v>
      </c>
      <c r="J48" s="1700" t="s">
        <v>2773</v>
      </c>
      <c r="K48" s="1700" t="s">
        <v>2773</v>
      </c>
      <c r="L48" s="1700" t="s">
        <v>2772</v>
      </c>
      <c r="M48" s="1700" t="s">
        <v>2774</v>
      </c>
      <c r="N48" s="1699" t="s">
        <v>2775</v>
      </c>
      <c r="O48" s="1700" t="s">
        <v>2775</v>
      </c>
      <c r="P48" s="1700" t="s">
        <v>2776</v>
      </c>
      <c r="Q48" s="1699" t="s">
        <v>2776</v>
      </c>
      <c r="R48" s="1700" t="s">
        <v>2776</v>
      </c>
      <c r="S48" s="1700" t="s">
        <v>2776</v>
      </c>
      <c r="T48" s="1701" t="s">
        <v>2776</v>
      </c>
      <c r="U48" s="1701" t="s">
        <v>2776</v>
      </c>
      <c r="V48" s="1701" t="s">
        <v>2776</v>
      </c>
      <c r="W48" s="1701" t="s">
        <v>2776</v>
      </c>
      <c r="X48" s="1701" t="s">
        <v>2777</v>
      </c>
      <c r="Y48" s="1701" t="s">
        <v>2777</v>
      </c>
      <c r="Z48" s="1701" t="s">
        <v>1116</v>
      </c>
      <c r="AA48" s="1701" t="s">
        <v>1116</v>
      </c>
      <c r="AB48" s="1701" t="s">
        <v>1116</v>
      </c>
      <c r="AC48" s="1701" t="s">
        <v>1116</v>
      </c>
      <c r="AD48" s="1701" t="s">
        <v>1116</v>
      </c>
      <c r="AE48" s="1701" t="s">
        <v>1116</v>
      </c>
      <c r="AF48" s="1701" t="s">
        <v>1116</v>
      </c>
      <c r="AG48" s="1701" t="s">
        <v>2778</v>
      </c>
      <c r="AH48" s="1701" t="s">
        <v>2753</v>
      </c>
      <c r="AI48" s="1701" t="s">
        <v>1195</v>
      </c>
      <c r="AJ48" s="1701" t="s">
        <v>2779</v>
      </c>
      <c r="AK48" s="1701" t="s">
        <v>2779</v>
      </c>
      <c r="AL48" s="1701" t="s">
        <v>2780</v>
      </c>
      <c r="AM48" s="1701" t="s">
        <v>2781</v>
      </c>
      <c r="AN48" s="1701" t="s">
        <v>2781</v>
      </c>
      <c r="AO48" s="1701">
        <v>6</v>
      </c>
      <c r="AP48" s="1701">
        <v>6</v>
      </c>
      <c r="AQ48" s="1701">
        <v>6</v>
      </c>
      <c r="AR48" s="1701">
        <v>6</v>
      </c>
      <c r="AS48" s="1701">
        <v>6</v>
      </c>
      <c r="AT48" s="1701">
        <v>6</v>
      </c>
      <c r="AU48" s="1701">
        <v>2.5</v>
      </c>
      <c r="AV48" s="1701">
        <v>2.5</v>
      </c>
      <c r="AW48" s="1701" t="s">
        <v>2782</v>
      </c>
      <c r="AX48" s="1701" t="s">
        <v>2782</v>
      </c>
      <c r="AY48" s="1701" t="s">
        <v>1164</v>
      </c>
      <c r="AZ48" s="1701">
        <v>2.5</v>
      </c>
      <c r="BA48" s="1701">
        <v>2.5</v>
      </c>
      <c r="BB48" s="1701">
        <v>2.5</v>
      </c>
      <c r="BC48" s="1701">
        <v>2.5</v>
      </c>
      <c r="BD48" s="1701" t="s">
        <v>2783</v>
      </c>
      <c r="BE48" s="1701" t="s">
        <v>2783</v>
      </c>
      <c r="BF48" s="1701" t="s">
        <v>2783</v>
      </c>
      <c r="BG48" s="1701" t="s">
        <v>2783</v>
      </c>
      <c r="BH48" s="1701" t="s">
        <v>2783</v>
      </c>
      <c r="BI48" s="1701" t="s">
        <v>2783</v>
      </c>
      <c r="BJ48" s="1701" t="s">
        <v>2784</v>
      </c>
      <c r="BK48" s="1701" t="s">
        <v>2784</v>
      </c>
      <c r="BL48" s="1701" t="s">
        <v>2784</v>
      </c>
      <c r="BM48" s="1701">
        <v>2.5</v>
      </c>
      <c r="BN48" s="1701" t="s">
        <v>2782</v>
      </c>
      <c r="BO48" s="1701" t="s">
        <v>2782</v>
      </c>
      <c r="BP48" s="1701">
        <v>2.5</v>
      </c>
      <c r="BQ48" s="1701">
        <v>2.5</v>
      </c>
      <c r="BR48" s="1701">
        <v>2.5</v>
      </c>
      <c r="BS48" s="1701">
        <v>2.5</v>
      </c>
      <c r="BT48" s="1701">
        <v>2.5</v>
      </c>
      <c r="BU48" s="1701">
        <v>2.5</v>
      </c>
      <c r="BV48" s="1701">
        <v>2.5</v>
      </c>
      <c r="BW48" s="1701" t="s">
        <v>2785</v>
      </c>
      <c r="BX48" s="1701" t="s">
        <v>2785</v>
      </c>
      <c r="BY48" s="1701" t="s">
        <v>2785</v>
      </c>
      <c r="BZ48" s="1702" t="s">
        <v>2785</v>
      </c>
      <c r="CA48" s="1701" t="s">
        <v>2786</v>
      </c>
      <c r="CB48" s="1701" t="s">
        <v>2787</v>
      </c>
      <c r="CC48" s="1701" t="s">
        <v>2787</v>
      </c>
      <c r="CD48" s="1701" t="s">
        <v>2788</v>
      </c>
      <c r="CE48" s="1701" t="s">
        <v>2789</v>
      </c>
      <c r="CF48" s="1701" t="s">
        <v>2790</v>
      </c>
      <c r="CG48" s="1701" t="s">
        <v>2790</v>
      </c>
      <c r="CH48" s="1701" t="s">
        <v>2791</v>
      </c>
      <c r="CI48" s="1701" t="s">
        <v>2791</v>
      </c>
      <c r="CJ48" s="1701" t="s">
        <v>2791</v>
      </c>
      <c r="CK48" s="1701" t="s">
        <v>2792</v>
      </c>
      <c r="CL48" s="1701" t="s">
        <v>2793</v>
      </c>
      <c r="CM48" s="1701" t="s">
        <v>2794</v>
      </c>
      <c r="CN48" s="1701" t="s">
        <v>2794</v>
      </c>
      <c r="CO48" s="1701" t="s">
        <v>2794</v>
      </c>
      <c r="CP48" s="1701" t="s">
        <v>2795</v>
      </c>
      <c r="CQ48" s="1705" t="s">
        <v>2796</v>
      </c>
      <c r="CR48" s="1727" t="s">
        <v>2797</v>
      </c>
      <c r="CS48" s="1727" t="s">
        <v>2798</v>
      </c>
      <c r="CT48" s="1727" t="s">
        <v>2798</v>
      </c>
      <c r="CU48" s="1727" t="s">
        <v>2799</v>
      </c>
      <c r="CV48" s="1727" t="s">
        <v>2800</v>
      </c>
      <c r="CW48" s="1727" t="s">
        <v>2800</v>
      </c>
      <c r="CX48" s="1727" t="s">
        <v>2800</v>
      </c>
      <c r="CY48" s="1727" t="s">
        <v>2800</v>
      </c>
      <c r="CZ48" s="1727" t="s">
        <v>2800</v>
      </c>
      <c r="DA48" s="1727" t="s">
        <v>2800</v>
      </c>
      <c r="DB48" s="1727" t="s">
        <v>2800</v>
      </c>
      <c r="DC48" s="1728" t="s">
        <v>2800</v>
      </c>
      <c r="DD48" s="1728" t="s">
        <v>2800</v>
      </c>
      <c r="DE48" s="1728" t="s">
        <v>2801</v>
      </c>
      <c r="DF48" s="1728" t="s">
        <v>2801</v>
      </c>
      <c r="DG48" s="1728" t="s">
        <v>2801</v>
      </c>
      <c r="DH48" s="1728" t="s">
        <v>2801</v>
      </c>
      <c r="DI48" s="1728" t="s">
        <v>2801</v>
      </c>
      <c r="DJ48" s="1728" t="s">
        <v>2801</v>
      </c>
      <c r="DK48" s="1728" t="s">
        <v>2802</v>
      </c>
      <c r="DL48" s="1728" t="s">
        <v>2802</v>
      </c>
      <c r="DM48" s="1728" t="s">
        <v>2801</v>
      </c>
      <c r="DN48" s="1728" t="s">
        <v>2801</v>
      </c>
      <c r="DO48" s="1728" t="s">
        <v>2801</v>
      </c>
      <c r="DP48" s="1728" t="s">
        <v>2803</v>
      </c>
      <c r="DQ48" s="1728" t="s">
        <v>2803</v>
      </c>
      <c r="DR48" s="1728" t="s">
        <v>2803</v>
      </c>
      <c r="DS48" s="1728" t="s">
        <v>2803</v>
      </c>
      <c r="DT48" s="1728" t="s">
        <v>2803</v>
      </c>
      <c r="DU48" s="1728" t="s">
        <v>2803</v>
      </c>
      <c r="DV48" s="1728" t="s">
        <v>2804</v>
      </c>
      <c r="DW48" s="1728" t="s">
        <v>2804</v>
      </c>
      <c r="DX48" s="1728" t="s">
        <v>2804</v>
      </c>
      <c r="DY48" s="1728" t="s">
        <v>2804</v>
      </c>
      <c r="DZ48" s="1728" t="s">
        <v>2804</v>
      </c>
      <c r="EA48" s="1728">
        <v>2.75</v>
      </c>
    </row>
    <row r="49" spans="1:131" ht="17.45" customHeight="1" x14ac:dyDescent="0.25">
      <c r="A49" s="1677" t="s">
        <v>2805</v>
      </c>
      <c r="B49" s="1699" t="s">
        <v>2806</v>
      </c>
      <c r="C49" s="1700" t="s">
        <v>2807</v>
      </c>
      <c r="D49" s="1700" t="s">
        <v>2807</v>
      </c>
      <c r="E49" s="1700" t="s">
        <v>2807</v>
      </c>
      <c r="F49" s="1699" t="s">
        <v>2807</v>
      </c>
      <c r="G49" s="1700" t="s">
        <v>2808</v>
      </c>
      <c r="H49" s="1700" t="s">
        <v>2808</v>
      </c>
      <c r="I49" s="1700" t="s">
        <v>2808</v>
      </c>
      <c r="J49" s="1700" t="s">
        <v>2808</v>
      </c>
      <c r="K49" s="1700" t="s">
        <v>2808</v>
      </c>
      <c r="L49" s="1700" t="s">
        <v>2808</v>
      </c>
      <c r="M49" s="1700" t="s">
        <v>2808</v>
      </c>
      <c r="N49" s="1699" t="s">
        <v>2809</v>
      </c>
      <c r="O49" s="1700" t="s">
        <v>2809</v>
      </c>
      <c r="P49" s="1700" t="s">
        <v>2810</v>
      </c>
      <c r="Q49" s="1699" t="s">
        <v>2811</v>
      </c>
      <c r="R49" s="1700" t="s">
        <v>2811</v>
      </c>
      <c r="S49" s="1700" t="s">
        <v>2811</v>
      </c>
      <c r="T49" s="1701" t="s">
        <v>2306</v>
      </c>
      <c r="U49" s="1701" t="s">
        <v>2306</v>
      </c>
      <c r="V49" s="1701" t="s">
        <v>2812</v>
      </c>
      <c r="W49" s="1701" t="s">
        <v>2813</v>
      </c>
      <c r="X49" s="1701" t="s">
        <v>2811</v>
      </c>
      <c r="Y49" s="1701" t="s">
        <v>2814</v>
      </c>
      <c r="Z49" s="1701" t="s">
        <v>1109</v>
      </c>
      <c r="AA49" s="1701" t="s">
        <v>2236</v>
      </c>
      <c r="AB49" s="1701" t="s">
        <v>2236</v>
      </c>
      <c r="AC49" s="1701" t="s">
        <v>2236</v>
      </c>
      <c r="AD49" s="1701" t="s">
        <v>2236</v>
      </c>
      <c r="AE49" s="1701" t="s">
        <v>2236</v>
      </c>
      <c r="AF49" s="1701" t="s">
        <v>2236</v>
      </c>
      <c r="AG49" s="1701" t="s">
        <v>2815</v>
      </c>
      <c r="AH49" s="1701" t="s">
        <v>2816</v>
      </c>
      <c r="AI49" s="1701" t="s">
        <v>2816</v>
      </c>
      <c r="AJ49" s="1701" t="s">
        <v>2817</v>
      </c>
      <c r="AK49" s="1701" t="s">
        <v>2818</v>
      </c>
      <c r="AL49" s="1701" t="s">
        <v>2819</v>
      </c>
      <c r="AM49" s="1701" t="s">
        <v>2820</v>
      </c>
      <c r="AN49" s="1701" t="s">
        <v>2820</v>
      </c>
      <c r="AO49" s="1701" t="s">
        <v>2820</v>
      </c>
      <c r="AP49" s="1701" t="s">
        <v>2821</v>
      </c>
      <c r="AQ49" s="1701" t="s">
        <v>2822</v>
      </c>
      <c r="AR49" s="1701" t="s">
        <v>1117</v>
      </c>
      <c r="AS49" s="1701" t="s">
        <v>1117</v>
      </c>
      <c r="AT49" s="1701" t="s">
        <v>1199</v>
      </c>
      <c r="AU49" s="1701" t="s">
        <v>1199</v>
      </c>
      <c r="AV49" s="1701" t="s">
        <v>1199</v>
      </c>
      <c r="AW49" s="1701" t="s">
        <v>1199</v>
      </c>
      <c r="AX49" s="1701" t="s">
        <v>1199</v>
      </c>
      <c r="AY49" s="1701" t="s">
        <v>1199</v>
      </c>
      <c r="AZ49" s="1701" t="s">
        <v>1199</v>
      </c>
      <c r="BA49" s="1701" t="s">
        <v>1199</v>
      </c>
      <c r="BB49" s="1701" t="s">
        <v>1199</v>
      </c>
      <c r="BC49" s="1701" t="s">
        <v>1199</v>
      </c>
      <c r="BD49" s="1701" t="s">
        <v>1199</v>
      </c>
      <c r="BE49" s="1701" t="s">
        <v>2823</v>
      </c>
      <c r="BF49" s="1701" t="s">
        <v>2823</v>
      </c>
      <c r="BG49" s="1701" t="s">
        <v>2823</v>
      </c>
      <c r="BH49" s="1701" t="s">
        <v>2824</v>
      </c>
      <c r="BI49" s="1701" t="s">
        <v>2825</v>
      </c>
      <c r="BJ49" s="1701" t="s">
        <v>2825</v>
      </c>
      <c r="BK49" s="1701" t="s">
        <v>2825</v>
      </c>
      <c r="BL49" s="1701" t="s">
        <v>2825</v>
      </c>
      <c r="BM49" s="1701" t="s">
        <v>2826</v>
      </c>
      <c r="BN49" s="1701" t="s">
        <v>2827</v>
      </c>
      <c r="BO49" s="1701" t="s">
        <v>2828</v>
      </c>
      <c r="BP49" s="1701" t="s">
        <v>2828</v>
      </c>
      <c r="BQ49" s="1701" t="s">
        <v>2829</v>
      </c>
      <c r="BR49" s="1701" t="s">
        <v>2829</v>
      </c>
      <c r="BS49" s="1701" t="s">
        <v>2830</v>
      </c>
      <c r="BT49" s="1701" t="s">
        <v>2830</v>
      </c>
      <c r="BU49" s="1701" t="s">
        <v>2831</v>
      </c>
      <c r="BV49" s="1701" t="s">
        <v>2831</v>
      </c>
      <c r="BW49" s="1701" t="s">
        <v>2831</v>
      </c>
      <c r="BX49" s="1701" t="s">
        <v>2831</v>
      </c>
      <c r="BY49" s="1701" t="s">
        <v>2831</v>
      </c>
      <c r="BZ49" s="1702" t="s">
        <v>2831</v>
      </c>
      <c r="CA49" s="1701" t="s">
        <v>2831</v>
      </c>
      <c r="CB49" s="1701" t="s">
        <v>2832</v>
      </c>
      <c r="CC49" s="1701" t="s">
        <v>2832</v>
      </c>
      <c r="CD49" s="1701" t="s">
        <v>2833</v>
      </c>
      <c r="CE49" s="1701" t="s">
        <v>2833</v>
      </c>
      <c r="CF49" s="1701" t="s">
        <v>2833</v>
      </c>
      <c r="CG49" s="1701" t="s">
        <v>2833</v>
      </c>
      <c r="CH49" s="1701" t="s">
        <v>2833</v>
      </c>
      <c r="CI49" s="1701" t="s">
        <v>2833</v>
      </c>
      <c r="CJ49" s="1701" t="s">
        <v>2834</v>
      </c>
      <c r="CK49" s="1701" t="s">
        <v>2833</v>
      </c>
      <c r="CL49" s="1701" t="s">
        <v>2833</v>
      </c>
      <c r="CM49" s="1701" t="s">
        <v>2833</v>
      </c>
      <c r="CN49" s="1701" t="s">
        <v>2833</v>
      </c>
      <c r="CO49" s="1701" t="s">
        <v>2833</v>
      </c>
      <c r="CP49" s="1701" t="s">
        <v>2833</v>
      </c>
      <c r="CQ49" s="1705" t="s">
        <v>2835</v>
      </c>
      <c r="CR49" s="1727" t="s">
        <v>2836</v>
      </c>
      <c r="CS49" s="1727" t="s">
        <v>2837</v>
      </c>
      <c r="CT49" s="1727" t="s">
        <v>2838</v>
      </c>
      <c r="CU49" s="1727" t="s">
        <v>2839</v>
      </c>
      <c r="CV49" s="1727" t="s">
        <v>2839</v>
      </c>
      <c r="CW49" s="1727" t="s">
        <v>2839</v>
      </c>
      <c r="CX49" s="1727" t="s">
        <v>2840</v>
      </c>
      <c r="CY49" s="1727" t="s">
        <v>2839</v>
      </c>
      <c r="CZ49" s="1727" t="s">
        <v>2839</v>
      </c>
      <c r="DA49" s="1727" t="s">
        <v>2838</v>
      </c>
      <c r="DB49" s="1727" t="s">
        <v>2838</v>
      </c>
      <c r="DC49" s="1728" t="s">
        <v>2841</v>
      </c>
      <c r="DD49" s="1728" t="s">
        <v>2838</v>
      </c>
      <c r="DE49" s="1728" t="s">
        <v>2842</v>
      </c>
      <c r="DF49" s="1728" t="s">
        <v>2843</v>
      </c>
      <c r="DG49" s="1728" t="s">
        <v>2844</v>
      </c>
      <c r="DH49" s="1728" t="s">
        <v>2844</v>
      </c>
      <c r="DI49" s="1728" t="s">
        <v>2844</v>
      </c>
      <c r="DJ49" s="1728" t="s">
        <v>2844</v>
      </c>
      <c r="DK49" s="1728" t="s">
        <v>2845</v>
      </c>
      <c r="DL49" s="1728" t="s">
        <v>2844</v>
      </c>
      <c r="DM49" s="1728" t="s">
        <v>2844</v>
      </c>
      <c r="DN49" s="1728" t="s">
        <v>2844</v>
      </c>
      <c r="DO49" s="1728" t="s">
        <v>2844</v>
      </c>
      <c r="DP49" s="1728" t="s">
        <v>2846</v>
      </c>
      <c r="DQ49" s="1728" t="s">
        <v>2846</v>
      </c>
      <c r="DR49" s="1728" t="s">
        <v>2846</v>
      </c>
      <c r="DS49" s="1728" t="s">
        <v>2846</v>
      </c>
      <c r="DT49" s="1728" t="s">
        <v>2846</v>
      </c>
      <c r="DU49" s="1728" t="s">
        <v>2846</v>
      </c>
      <c r="DV49" s="1728" t="s">
        <v>2847</v>
      </c>
      <c r="DW49" s="1728" t="s">
        <v>2847</v>
      </c>
      <c r="DX49" s="1728" t="s">
        <v>2847</v>
      </c>
      <c r="DY49" s="1728" t="s">
        <v>2847</v>
      </c>
      <c r="DZ49" s="1728" t="s">
        <v>2847</v>
      </c>
      <c r="EA49" s="1728" t="s">
        <v>2847</v>
      </c>
    </row>
    <row r="50" spans="1:131" ht="17.45" customHeight="1" x14ac:dyDescent="0.25">
      <c r="A50" s="1677" t="s">
        <v>2848</v>
      </c>
      <c r="B50" s="1699" t="s">
        <v>2849</v>
      </c>
      <c r="C50" s="1700" t="s">
        <v>2850</v>
      </c>
      <c r="D50" s="1700" t="s">
        <v>2851</v>
      </c>
      <c r="E50" s="1700" t="s">
        <v>2852</v>
      </c>
      <c r="F50" s="1699" t="s">
        <v>2853</v>
      </c>
      <c r="G50" s="1700" t="s">
        <v>2854</v>
      </c>
      <c r="H50" s="1700" t="s">
        <v>2855</v>
      </c>
      <c r="I50" s="1700" t="s">
        <v>2856</v>
      </c>
      <c r="J50" s="1700" t="s">
        <v>2856</v>
      </c>
      <c r="K50" s="1700" t="s">
        <v>2857</v>
      </c>
      <c r="L50" s="1700" t="s">
        <v>2857</v>
      </c>
      <c r="M50" s="1700" t="s">
        <v>2855</v>
      </c>
      <c r="N50" s="1699" t="s">
        <v>2858</v>
      </c>
      <c r="O50" s="1700" t="s">
        <v>2859</v>
      </c>
      <c r="P50" s="1700" t="s">
        <v>2860</v>
      </c>
      <c r="Q50" s="1699" t="s">
        <v>2812</v>
      </c>
      <c r="R50" s="1700" t="s">
        <v>2812</v>
      </c>
      <c r="S50" s="1700" t="s">
        <v>2861</v>
      </c>
      <c r="T50" s="1701" t="s">
        <v>2266</v>
      </c>
      <c r="U50" s="1701" t="s">
        <v>2862</v>
      </c>
      <c r="V50" s="1701" t="s">
        <v>2863</v>
      </c>
      <c r="W50" s="1701" t="s">
        <v>2862</v>
      </c>
      <c r="X50" s="1701" t="s">
        <v>2266</v>
      </c>
      <c r="Y50" s="1701" t="s">
        <v>2862</v>
      </c>
      <c r="Z50" s="1701" t="s">
        <v>2864</v>
      </c>
      <c r="AA50" s="1701" t="s">
        <v>2865</v>
      </c>
      <c r="AB50" s="1701" t="s">
        <v>2866</v>
      </c>
      <c r="AC50" s="1701" t="s">
        <v>1175</v>
      </c>
      <c r="AD50" s="1701" t="s">
        <v>1175</v>
      </c>
      <c r="AE50" s="1701" t="s">
        <v>1175</v>
      </c>
      <c r="AF50" s="1701" t="s">
        <v>2864</v>
      </c>
      <c r="AG50" s="1701" t="s">
        <v>2867</v>
      </c>
      <c r="AH50" s="1701" t="s">
        <v>2868</v>
      </c>
      <c r="AI50" s="1701" t="s">
        <v>2868</v>
      </c>
      <c r="AJ50" s="1701" t="s">
        <v>2778</v>
      </c>
      <c r="AK50" s="1701" t="s">
        <v>2869</v>
      </c>
      <c r="AL50" s="1701" t="s">
        <v>1114</v>
      </c>
      <c r="AM50" s="1701" t="s">
        <v>1114</v>
      </c>
      <c r="AN50" s="1701" t="s">
        <v>1114</v>
      </c>
      <c r="AO50" s="1701" t="s">
        <v>1280</v>
      </c>
      <c r="AP50" s="1701" t="s">
        <v>2870</v>
      </c>
      <c r="AQ50" s="1701" t="s">
        <v>2871</v>
      </c>
      <c r="AR50" s="1701" t="s">
        <v>2871</v>
      </c>
      <c r="AS50" s="1701" t="s">
        <v>2872</v>
      </c>
      <c r="AT50" s="1701" t="s">
        <v>2873</v>
      </c>
      <c r="AU50" s="1701" t="s">
        <v>2874</v>
      </c>
      <c r="AV50" s="1701" t="s">
        <v>2875</v>
      </c>
      <c r="AW50" s="1701" t="s">
        <v>2875</v>
      </c>
      <c r="AX50" s="1701" t="s">
        <v>2875</v>
      </c>
      <c r="AY50" s="1701" t="s">
        <v>2875</v>
      </c>
      <c r="AZ50" s="1701" t="s">
        <v>2876</v>
      </c>
      <c r="BA50" s="1701" t="s">
        <v>2877</v>
      </c>
      <c r="BB50" s="1701" t="s">
        <v>2877</v>
      </c>
      <c r="BC50" s="1701" t="s">
        <v>2878</v>
      </c>
      <c r="BD50" s="1701" t="s">
        <v>2878</v>
      </c>
      <c r="BE50" s="1701" t="s">
        <v>2878</v>
      </c>
      <c r="BF50" s="1701" t="s">
        <v>2878</v>
      </c>
      <c r="BG50" s="1701" t="s">
        <v>2878</v>
      </c>
      <c r="BH50" s="1701" t="s">
        <v>2878</v>
      </c>
      <c r="BI50" s="1701" t="s">
        <v>2878</v>
      </c>
      <c r="BJ50" s="1701" t="s">
        <v>2878</v>
      </c>
      <c r="BK50" s="1701" t="s">
        <v>2878</v>
      </c>
      <c r="BL50" s="1701" t="s">
        <v>2878</v>
      </c>
      <c r="BM50" s="1701" t="s">
        <v>2879</v>
      </c>
      <c r="BN50" s="1701" t="s">
        <v>2879</v>
      </c>
      <c r="BO50" s="1701" t="s">
        <v>2879</v>
      </c>
      <c r="BP50" s="1701" t="s">
        <v>2879</v>
      </c>
      <c r="BQ50" s="1701" t="s">
        <v>2879</v>
      </c>
      <c r="BR50" s="1701" t="s">
        <v>2879</v>
      </c>
      <c r="BS50" s="1701" t="s">
        <v>1167</v>
      </c>
      <c r="BT50" s="1701" t="s">
        <v>1167</v>
      </c>
      <c r="BU50" s="1701" t="s">
        <v>2880</v>
      </c>
      <c r="BV50" s="1701" t="s">
        <v>2880</v>
      </c>
      <c r="BW50" s="1701" t="s">
        <v>2880</v>
      </c>
      <c r="BX50" s="1701" t="s">
        <v>2881</v>
      </c>
      <c r="BY50" s="1701" t="s">
        <v>2882</v>
      </c>
      <c r="BZ50" s="1702" t="s">
        <v>2883</v>
      </c>
      <c r="CA50" s="1701" t="s">
        <v>2884</v>
      </c>
      <c r="CB50" s="1701" t="s">
        <v>2884</v>
      </c>
      <c r="CC50" s="1701" t="s">
        <v>2885</v>
      </c>
      <c r="CD50" s="1701" t="s">
        <v>2886</v>
      </c>
      <c r="CE50" s="1701" t="s">
        <v>2887</v>
      </c>
      <c r="CF50" s="1701" t="s">
        <v>2888</v>
      </c>
      <c r="CG50" s="1701" t="s">
        <v>2888</v>
      </c>
      <c r="CH50" s="1701" t="s">
        <v>2889</v>
      </c>
      <c r="CI50" s="1701" t="s">
        <v>2890</v>
      </c>
      <c r="CJ50" s="1701" t="s">
        <v>2890</v>
      </c>
      <c r="CK50" s="1701" t="s">
        <v>2890</v>
      </c>
      <c r="CL50" s="1701" t="s">
        <v>2891</v>
      </c>
      <c r="CM50" s="1701" t="s">
        <v>2891</v>
      </c>
      <c r="CN50" s="1701" t="s">
        <v>2888</v>
      </c>
      <c r="CO50" s="1701" t="s">
        <v>2892</v>
      </c>
      <c r="CP50" s="1701" t="s">
        <v>2893</v>
      </c>
      <c r="CQ50" s="1705" t="s">
        <v>2894</v>
      </c>
      <c r="CR50" s="1727" t="s">
        <v>2895</v>
      </c>
      <c r="CS50" s="1727" t="s">
        <v>2896</v>
      </c>
      <c r="CT50" s="1727" t="s">
        <v>2897</v>
      </c>
      <c r="CU50" s="1727" t="s">
        <v>2898</v>
      </c>
      <c r="CV50" s="1727" t="s">
        <v>2895</v>
      </c>
      <c r="CW50" s="1727" t="s">
        <v>2899</v>
      </c>
      <c r="CX50" s="1727" t="s">
        <v>2900</v>
      </c>
      <c r="CY50" s="1727" t="s">
        <v>2901</v>
      </c>
      <c r="CZ50" s="1727" t="s">
        <v>2901</v>
      </c>
      <c r="DA50" s="1727" t="s">
        <v>2901</v>
      </c>
      <c r="DB50" s="1727" t="s">
        <v>2902</v>
      </c>
      <c r="DC50" s="1728" t="s">
        <v>2895</v>
      </c>
      <c r="DD50" s="1728" t="s">
        <v>2903</v>
      </c>
      <c r="DE50" s="1728" t="s">
        <v>2895</v>
      </c>
      <c r="DF50" s="1728" t="s">
        <v>2904</v>
      </c>
      <c r="DG50" s="1728" t="s">
        <v>2905</v>
      </c>
      <c r="DH50" s="1728" t="s">
        <v>2906</v>
      </c>
      <c r="DI50" s="1728" t="s">
        <v>2907</v>
      </c>
      <c r="DJ50" s="1728" t="s">
        <v>2908</v>
      </c>
      <c r="DK50" s="1728" t="s">
        <v>2909</v>
      </c>
      <c r="DL50" s="1728" t="s">
        <v>2910</v>
      </c>
      <c r="DM50" s="1728" t="s">
        <v>2911</v>
      </c>
      <c r="DN50" s="1728" t="s">
        <v>2912</v>
      </c>
      <c r="DO50" s="1728" t="s">
        <v>2913</v>
      </c>
      <c r="DP50" s="1728" t="s">
        <v>2914</v>
      </c>
      <c r="DQ50" s="1728" t="s">
        <v>2915</v>
      </c>
      <c r="DR50" s="1728" t="s">
        <v>2916</v>
      </c>
      <c r="DS50" s="1728" t="s">
        <v>2917</v>
      </c>
      <c r="DT50" s="1728" t="s">
        <v>2918</v>
      </c>
      <c r="DU50" s="1728" t="s">
        <v>2919</v>
      </c>
      <c r="DV50" s="1728" t="s">
        <v>2919</v>
      </c>
      <c r="DW50" s="1728" t="s">
        <v>2920</v>
      </c>
      <c r="DX50" s="1728" t="s">
        <v>2921</v>
      </c>
      <c r="DY50" s="1728" t="s">
        <v>2922</v>
      </c>
      <c r="DZ50" s="1728" t="s">
        <v>2923</v>
      </c>
      <c r="EA50" s="1728" t="s">
        <v>2923</v>
      </c>
    </row>
    <row r="51" spans="1:131" ht="17.45" customHeight="1" x14ac:dyDescent="0.25">
      <c r="A51" s="1677" t="s">
        <v>2924</v>
      </c>
      <c r="B51" s="1699" t="s">
        <v>2925</v>
      </c>
      <c r="C51" s="1700" t="s">
        <v>2926</v>
      </c>
      <c r="D51" s="1700" t="s">
        <v>2927</v>
      </c>
      <c r="E51" s="1700" t="s">
        <v>2927</v>
      </c>
      <c r="F51" s="1699" t="s">
        <v>2928</v>
      </c>
      <c r="G51" s="1700" t="s">
        <v>2929</v>
      </c>
      <c r="H51" s="1700" t="s">
        <v>2871</v>
      </c>
      <c r="I51" s="1700" t="s">
        <v>2929</v>
      </c>
      <c r="J51" s="1700" t="s">
        <v>2929</v>
      </c>
      <c r="K51" s="1700" t="s">
        <v>2929</v>
      </c>
      <c r="L51" s="1700" t="s">
        <v>2929</v>
      </c>
      <c r="M51" s="1700" t="s">
        <v>2930</v>
      </c>
      <c r="N51" s="1699" t="s">
        <v>2931</v>
      </c>
      <c r="O51" s="1700" t="s">
        <v>2932</v>
      </c>
      <c r="P51" s="1700" t="s">
        <v>2933</v>
      </c>
      <c r="Q51" s="1699" t="s">
        <v>2934</v>
      </c>
      <c r="R51" s="1700" t="s">
        <v>2452</v>
      </c>
      <c r="S51" s="1700" t="s">
        <v>2935</v>
      </c>
      <c r="T51" s="1701" t="s">
        <v>2862</v>
      </c>
      <c r="U51" s="1701" t="s">
        <v>2936</v>
      </c>
      <c r="V51" s="1701" t="s">
        <v>2937</v>
      </c>
      <c r="W51" s="1701" t="s">
        <v>2938</v>
      </c>
      <c r="X51" s="1701" t="s">
        <v>2862</v>
      </c>
      <c r="Y51" s="1701" t="s">
        <v>2267</v>
      </c>
      <c r="Z51" s="1701" t="s">
        <v>2939</v>
      </c>
      <c r="AA51" s="1701" t="s">
        <v>2940</v>
      </c>
      <c r="AB51" s="1701" t="s">
        <v>2941</v>
      </c>
      <c r="AC51" s="1701" t="s">
        <v>2941</v>
      </c>
      <c r="AD51" s="1701" t="s">
        <v>2864</v>
      </c>
      <c r="AE51" s="1701" t="s">
        <v>2864</v>
      </c>
      <c r="AF51" s="1701" t="s">
        <v>2942</v>
      </c>
      <c r="AG51" s="1701" t="s">
        <v>2943</v>
      </c>
      <c r="AH51" s="1701" t="s">
        <v>2944</v>
      </c>
      <c r="AI51" s="1701" t="s">
        <v>2945</v>
      </c>
      <c r="AJ51" s="1701" t="s">
        <v>2946</v>
      </c>
      <c r="AK51" s="1701" t="s">
        <v>2946</v>
      </c>
      <c r="AL51" s="1701" t="s">
        <v>2947</v>
      </c>
      <c r="AM51" s="1701" t="s">
        <v>2947</v>
      </c>
      <c r="AN51" s="1701" t="s">
        <v>2948</v>
      </c>
      <c r="AO51" s="1701" t="s">
        <v>2949</v>
      </c>
      <c r="AP51" s="1701" t="s">
        <v>2950</v>
      </c>
      <c r="AQ51" s="1701" t="s">
        <v>2951</v>
      </c>
      <c r="AR51" s="1701" t="s">
        <v>1110</v>
      </c>
      <c r="AS51" s="1701" t="s">
        <v>2873</v>
      </c>
      <c r="AT51" s="1701" t="s">
        <v>2952</v>
      </c>
      <c r="AU51" s="1701" t="s">
        <v>2877</v>
      </c>
      <c r="AV51" s="1701" t="s">
        <v>2877</v>
      </c>
      <c r="AW51" s="1701" t="s">
        <v>2877</v>
      </c>
      <c r="AX51" s="1701" t="s">
        <v>2877</v>
      </c>
      <c r="AY51" s="1701" t="s">
        <v>2877</v>
      </c>
      <c r="AZ51" s="1701" t="s">
        <v>2953</v>
      </c>
      <c r="BA51" s="1701" t="s">
        <v>2877</v>
      </c>
      <c r="BB51" s="1701" t="s">
        <v>2877</v>
      </c>
      <c r="BC51" s="1701" t="s">
        <v>2877</v>
      </c>
      <c r="BD51" s="1701" t="s">
        <v>2877</v>
      </c>
      <c r="BE51" s="1701" t="s">
        <v>2877</v>
      </c>
      <c r="BF51" s="1701" t="s">
        <v>2877</v>
      </c>
      <c r="BG51" s="1701" t="s">
        <v>2877</v>
      </c>
      <c r="BH51" s="1701" t="s">
        <v>2877</v>
      </c>
      <c r="BI51" s="1701" t="s">
        <v>2877</v>
      </c>
      <c r="BJ51" s="1701" t="s">
        <v>2877</v>
      </c>
      <c r="BK51" s="1701" t="s">
        <v>2877</v>
      </c>
      <c r="BL51" s="1701" t="s">
        <v>2877</v>
      </c>
      <c r="BM51" s="1701" t="s">
        <v>2879</v>
      </c>
      <c r="BN51" s="1701" t="s">
        <v>2954</v>
      </c>
      <c r="BO51" s="1701" t="s">
        <v>2954</v>
      </c>
      <c r="BP51" s="1701" t="s">
        <v>2954</v>
      </c>
      <c r="BQ51" s="1701" t="s">
        <v>2954</v>
      </c>
      <c r="BR51" s="1701" t="s">
        <v>2954</v>
      </c>
      <c r="BS51" s="1701" t="s">
        <v>2955</v>
      </c>
      <c r="BT51" s="1701" t="s">
        <v>2955</v>
      </c>
      <c r="BU51" s="1701" t="s">
        <v>2956</v>
      </c>
      <c r="BV51" s="1701" t="s">
        <v>2957</v>
      </c>
      <c r="BW51" s="1701" t="s">
        <v>2958</v>
      </c>
      <c r="BX51" s="1701" t="s">
        <v>1169</v>
      </c>
      <c r="BY51" s="1701" t="s">
        <v>2959</v>
      </c>
      <c r="BZ51" s="1702" t="s">
        <v>2959</v>
      </c>
      <c r="CA51" s="1701" t="s">
        <v>2960</v>
      </c>
      <c r="CB51" s="1701" t="s">
        <v>2961</v>
      </c>
      <c r="CC51" s="1701" t="s">
        <v>2849</v>
      </c>
      <c r="CD51" s="1701" t="s">
        <v>2962</v>
      </c>
      <c r="CE51" s="1701" t="s">
        <v>2963</v>
      </c>
      <c r="CF51" s="1701" t="s">
        <v>2964</v>
      </c>
      <c r="CG51" s="1701" t="s">
        <v>2964</v>
      </c>
      <c r="CH51" s="1701" t="s">
        <v>2965</v>
      </c>
      <c r="CI51" s="1701" t="s">
        <v>2828</v>
      </c>
      <c r="CJ51" s="1701" t="s">
        <v>2828</v>
      </c>
      <c r="CK51" s="1701" t="s">
        <v>2966</v>
      </c>
      <c r="CL51" s="1701" t="s">
        <v>2967</v>
      </c>
      <c r="CM51" s="1701" t="s">
        <v>2828</v>
      </c>
      <c r="CN51" s="1701" t="s">
        <v>2828</v>
      </c>
      <c r="CO51" s="1701" t="s">
        <v>2828</v>
      </c>
      <c r="CP51" s="1701" t="s">
        <v>2968</v>
      </c>
      <c r="CQ51" s="1705" t="s">
        <v>2969</v>
      </c>
      <c r="CR51" s="1727" t="s">
        <v>2970</v>
      </c>
      <c r="CS51" s="1727" t="s">
        <v>2970</v>
      </c>
      <c r="CT51" s="1727" t="s">
        <v>2971</v>
      </c>
      <c r="CU51" s="1727" t="s">
        <v>2972</v>
      </c>
      <c r="CV51" s="1727" t="s">
        <v>2973</v>
      </c>
      <c r="CW51" s="1727" t="s">
        <v>2974</v>
      </c>
      <c r="CX51" s="1727" t="s">
        <v>2901</v>
      </c>
      <c r="CY51" s="1727" t="s">
        <v>2901</v>
      </c>
      <c r="CZ51" s="1727" t="s">
        <v>2901</v>
      </c>
      <c r="DA51" s="1727" t="s">
        <v>2974</v>
      </c>
      <c r="DB51" s="1727" t="s">
        <v>2903</v>
      </c>
      <c r="DC51" s="1728" t="s">
        <v>2903</v>
      </c>
      <c r="DD51" s="1728" t="s">
        <v>2975</v>
      </c>
      <c r="DE51" s="1728" t="s">
        <v>2976</v>
      </c>
      <c r="DF51" s="1728" t="s">
        <v>2977</v>
      </c>
      <c r="DG51" s="1728" t="s">
        <v>2978</v>
      </c>
      <c r="DH51" s="1728" t="s">
        <v>2979</v>
      </c>
      <c r="DI51" s="1728" t="s">
        <v>2980</v>
      </c>
      <c r="DJ51" s="1728" t="s">
        <v>2980</v>
      </c>
      <c r="DK51" s="1728" t="s">
        <v>2981</v>
      </c>
      <c r="DL51" s="1728" t="s">
        <v>2981</v>
      </c>
      <c r="DM51" s="1728" t="s">
        <v>2982</v>
      </c>
      <c r="DN51" s="1728" t="s">
        <v>2983</v>
      </c>
      <c r="DO51" s="1728" t="s">
        <v>2983</v>
      </c>
      <c r="DP51" s="1728" t="s">
        <v>2984</v>
      </c>
      <c r="DQ51" s="1728" t="s">
        <v>2985</v>
      </c>
      <c r="DR51" s="1728" t="s">
        <v>2918</v>
      </c>
      <c r="DS51" s="1728" t="s">
        <v>2986</v>
      </c>
      <c r="DT51" s="1728" t="s">
        <v>2986</v>
      </c>
      <c r="DU51" s="1728" t="s">
        <v>2986</v>
      </c>
      <c r="DV51" s="1728" t="s">
        <v>2986</v>
      </c>
      <c r="DW51" s="1728" t="s">
        <v>2987</v>
      </c>
      <c r="DX51" s="1728" t="s">
        <v>2988</v>
      </c>
      <c r="DY51" s="1728" t="s">
        <v>2989</v>
      </c>
      <c r="DZ51" s="1728" t="s">
        <v>2990</v>
      </c>
      <c r="EA51" s="1728" t="s">
        <v>2920</v>
      </c>
    </row>
    <row r="52" spans="1:131" ht="17.45" customHeight="1" x14ac:dyDescent="0.25">
      <c r="A52" s="1677" t="s">
        <v>2991</v>
      </c>
      <c r="B52" s="1699" t="s">
        <v>2992</v>
      </c>
      <c r="C52" s="1700" t="s">
        <v>2993</v>
      </c>
      <c r="D52" s="1700" t="s">
        <v>2852</v>
      </c>
      <c r="E52" s="1700" t="s">
        <v>2852</v>
      </c>
      <c r="F52" s="1699" t="s">
        <v>2852</v>
      </c>
      <c r="G52" s="1700" t="s">
        <v>2994</v>
      </c>
      <c r="H52" s="1700" t="s">
        <v>2995</v>
      </c>
      <c r="I52" s="1700" t="s">
        <v>2996</v>
      </c>
      <c r="J52" s="1700" t="s">
        <v>2996</v>
      </c>
      <c r="K52" s="1700" t="s">
        <v>2994</v>
      </c>
      <c r="L52" s="1700" t="s">
        <v>2994</v>
      </c>
      <c r="M52" s="1700" t="s">
        <v>2997</v>
      </c>
      <c r="N52" s="1699" t="s">
        <v>2998</v>
      </c>
      <c r="O52" s="1700" t="s">
        <v>2998</v>
      </c>
      <c r="P52" s="1700" t="s">
        <v>2999</v>
      </c>
      <c r="Q52" s="1699" t="s">
        <v>3000</v>
      </c>
      <c r="R52" s="1700" t="s">
        <v>3000</v>
      </c>
      <c r="S52" s="1700" t="s">
        <v>3001</v>
      </c>
      <c r="T52" s="1701" t="s">
        <v>3002</v>
      </c>
      <c r="U52" s="1701" t="s">
        <v>3003</v>
      </c>
      <c r="V52" s="1701" t="s">
        <v>3004</v>
      </c>
      <c r="W52" s="1701" t="s">
        <v>3005</v>
      </c>
      <c r="X52" s="1701" t="s">
        <v>3005</v>
      </c>
      <c r="Y52" s="1701" t="s">
        <v>3006</v>
      </c>
      <c r="Z52" s="1701" t="s">
        <v>3007</v>
      </c>
      <c r="AA52" s="1701" t="s">
        <v>3008</v>
      </c>
      <c r="AB52" s="1701" t="s">
        <v>3009</v>
      </c>
      <c r="AC52" s="1701" t="s">
        <v>3009</v>
      </c>
      <c r="AD52" s="1701" t="s">
        <v>3009</v>
      </c>
      <c r="AE52" s="1701" t="s">
        <v>3010</v>
      </c>
      <c r="AF52" s="1701" t="s">
        <v>3010</v>
      </c>
      <c r="AG52" s="1701" t="s">
        <v>3010</v>
      </c>
      <c r="AH52" s="1701" t="s">
        <v>3010</v>
      </c>
      <c r="AI52" s="1701" t="s">
        <v>3010</v>
      </c>
      <c r="AJ52" s="1701" t="s">
        <v>3011</v>
      </c>
      <c r="AK52" s="1701" t="s">
        <v>3012</v>
      </c>
      <c r="AL52" s="1701" t="s">
        <v>3012</v>
      </c>
      <c r="AM52" s="1701" t="s">
        <v>3013</v>
      </c>
      <c r="AN52" s="1701" t="s">
        <v>3014</v>
      </c>
      <c r="AO52" s="1701" t="s">
        <v>3014</v>
      </c>
      <c r="AP52" s="1701" t="s">
        <v>3015</v>
      </c>
      <c r="AQ52" s="1701" t="s">
        <v>3015</v>
      </c>
      <c r="AR52" s="1701" t="s">
        <v>3016</v>
      </c>
      <c r="AS52" s="1701" t="s">
        <v>3016</v>
      </c>
      <c r="AT52" s="1701" t="s">
        <v>3016</v>
      </c>
      <c r="AU52" s="1701" t="s">
        <v>3017</v>
      </c>
      <c r="AV52" s="1701" t="s">
        <v>3018</v>
      </c>
      <c r="AW52" s="1701" t="s">
        <v>3018</v>
      </c>
      <c r="AX52" s="1701" t="s">
        <v>3018</v>
      </c>
      <c r="AY52" s="1701" t="s">
        <v>2877</v>
      </c>
      <c r="AZ52" s="1701" t="s">
        <v>2877</v>
      </c>
      <c r="BA52" s="1701" t="s">
        <v>2877</v>
      </c>
      <c r="BB52" s="1701" t="s">
        <v>2877</v>
      </c>
      <c r="BC52" s="1701" t="s">
        <v>2877</v>
      </c>
      <c r="BD52" s="1701" t="s">
        <v>3019</v>
      </c>
      <c r="BE52" s="1701" t="s">
        <v>2877</v>
      </c>
      <c r="BF52" s="1701" t="s">
        <v>2877</v>
      </c>
      <c r="BG52" s="1701" t="s">
        <v>2877</v>
      </c>
      <c r="BH52" s="1701" t="s">
        <v>2877</v>
      </c>
      <c r="BI52" s="1701" t="s">
        <v>3019</v>
      </c>
      <c r="BJ52" s="1701" t="s">
        <v>3019</v>
      </c>
      <c r="BK52" s="1701" t="s">
        <v>2877</v>
      </c>
      <c r="BL52" s="1701" t="s">
        <v>3020</v>
      </c>
      <c r="BM52" s="1701" t="s">
        <v>3021</v>
      </c>
      <c r="BN52" s="1701" t="s">
        <v>3022</v>
      </c>
      <c r="BO52" s="1701" t="s">
        <v>3022</v>
      </c>
      <c r="BP52" s="1701" t="s">
        <v>3022</v>
      </c>
      <c r="BQ52" s="1701" t="s">
        <v>3022</v>
      </c>
      <c r="BR52" s="1701" t="s">
        <v>3022</v>
      </c>
      <c r="BS52" s="1701" t="s">
        <v>3023</v>
      </c>
      <c r="BT52" s="1701" t="s">
        <v>3023</v>
      </c>
      <c r="BU52" s="1701" t="s">
        <v>3023</v>
      </c>
      <c r="BV52" s="1701" t="s">
        <v>3023</v>
      </c>
      <c r="BW52" s="1701" t="s">
        <v>3024</v>
      </c>
      <c r="BX52" s="1701" t="s">
        <v>3025</v>
      </c>
      <c r="BY52" s="1701" t="s">
        <v>3026</v>
      </c>
      <c r="BZ52" s="1702" t="s">
        <v>3026</v>
      </c>
      <c r="CA52" s="1701" t="s">
        <v>3026</v>
      </c>
      <c r="CB52" s="1701" t="s">
        <v>3026</v>
      </c>
      <c r="CC52" s="1701" t="s">
        <v>3026</v>
      </c>
      <c r="CD52" s="1701" t="s">
        <v>3027</v>
      </c>
      <c r="CE52" s="1701" t="s">
        <v>3028</v>
      </c>
      <c r="CF52" s="1701" t="s">
        <v>3028</v>
      </c>
      <c r="CG52" s="1701" t="s">
        <v>3028</v>
      </c>
      <c r="CH52" s="1701" t="s">
        <v>3029</v>
      </c>
      <c r="CI52" s="1701" t="s">
        <v>3030</v>
      </c>
      <c r="CJ52" s="1701" t="s">
        <v>3031</v>
      </c>
      <c r="CK52" s="1701" t="s">
        <v>3032</v>
      </c>
      <c r="CL52" s="1701" t="s">
        <v>2967</v>
      </c>
      <c r="CM52" s="1701" t="s">
        <v>2827</v>
      </c>
      <c r="CN52" s="1701" t="s">
        <v>3033</v>
      </c>
      <c r="CO52" s="1701" t="s">
        <v>3034</v>
      </c>
      <c r="CP52" s="1701" t="s">
        <v>3035</v>
      </c>
      <c r="CQ52" s="1705" t="s">
        <v>3036</v>
      </c>
      <c r="CR52" s="1727" t="s">
        <v>3037</v>
      </c>
      <c r="CS52" s="1727" t="s">
        <v>3038</v>
      </c>
      <c r="CT52" s="1727" t="s">
        <v>3039</v>
      </c>
      <c r="CU52" s="1727" t="s">
        <v>3040</v>
      </c>
      <c r="CV52" s="1727" t="s">
        <v>2901</v>
      </c>
      <c r="CW52" s="1727" t="s">
        <v>3041</v>
      </c>
      <c r="CX52" s="1727" t="s">
        <v>3041</v>
      </c>
      <c r="CY52" s="1727" t="s">
        <v>2974</v>
      </c>
      <c r="CZ52" s="1727" t="s">
        <v>2974</v>
      </c>
      <c r="DA52" s="1727" t="s">
        <v>3042</v>
      </c>
      <c r="DB52" s="1727" t="s">
        <v>3043</v>
      </c>
      <c r="DC52" s="1728" t="s">
        <v>3044</v>
      </c>
      <c r="DD52" s="1728" t="s">
        <v>3045</v>
      </c>
      <c r="DE52" s="1728" t="s">
        <v>3046</v>
      </c>
      <c r="DF52" s="1728" t="s">
        <v>3047</v>
      </c>
      <c r="DG52" s="1728" t="s">
        <v>3048</v>
      </c>
      <c r="DH52" s="1728" t="s">
        <v>3049</v>
      </c>
      <c r="DI52" s="1728" t="s">
        <v>3050</v>
      </c>
      <c r="DJ52" s="1728" t="s">
        <v>3051</v>
      </c>
      <c r="DK52" s="1728" t="s">
        <v>3052</v>
      </c>
      <c r="DL52" s="1728" t="s">
        <v>3053</v>
      </c>
      <c r="DM52" s="1728" t="s">
        <v>3054</v>
      </c>
      <c r="DN52" s="1728" t="s">
        <v>3055</v>
      </c>
      <c r="DO52" s="1728" t="s">
        <v>3056</v>
      </c>
      <c r="DP52" s="1728" t="s">
        <v>3057</v>
      </c>
      <c r="DQ52" s="1728" t="s">
        <v>3058</v>
      </c>
      <c r="DR52" s="1728" t="s">
        <v>3059</v>
      </c>
      <c r="DS52" s="1728" t="s">
        <v>3059</v>
      </c>
      <c r="DT52" s="1728" t="s">
        <v>3060</v>
      </c>
      <c r="DU52" s="1728" t="s">
        <v>3060</v>
      </c>
      <c r="DV52" s="1728" t="s">
        <v>3061</v>
      </c>
      <c r="DW52" s="1728" t="s">
        <v>3062</v>
      </c>
      <c r="DX52" s="1728" t="s">
        <v>2918</v>
      </c>
      <c r="DY52" s="1728" t="s">
        <v>2918</v>
      </c>
      <c r="DZ52" s="1728" t="s">
        <v>3063</v>
      </c>
      <c r="EA52" s="1728" t="s">
        <v>3064</v>
      </c>
    </row>
    <row r="53" spans="1:131" ht="17.45" customHeight="1" x14ac:dyDescent="0.25">
      <c r="A53" s="1677" t="s">
        <v>3065</v>
      </c>
      <c r="B53" s="1699" t="s">
        <v>1198</v>
      </c>
      <c r="C53" s="1700" t="s">
        <v>2993</v>
      </c>
      <c r="D53" s="1700" t="s">
        <v>3066</v>
      </c>
      <c r="E53" s="1700" t="s">
        <v>3066</v>
      </c>
      <c r="F53" s="1699" t="s">
        <v>3066</v>
      </c>
      <c r="G53" s="1700" t="s">
        <v>3067</v>
      </c>
      <c r="H53" s="1700" t="s">
        <v>3068</v>
      </c>
      <c r="I53" s="1700" t="s">
        <v>3069</v>
      </c>
      <c r="J53" s="1700" t="s">
        <v>3069</v>
      </c>
      <c r="K53" s="1700" t="s">
        <v>3069</v>
      </c>
      <c r="L53" s="1700" t="s">
        <v>3069</v>
      </c>
      <c r="M53" s="1700" t="s">
        <v>3070</v>
      </c>
      <c r="N53" s="1699" t="s">
        <v>3068</v>
      </c>
      <c r="O53" s="1700" t="s">
        <v>3071</v>
      </c>
      <c r="P53" s="1700" t="s">
        <v>3072</v>
      </c>
      <c r="Q53" s="1699" t="s">
        <v>3073</v>
      </c>
      <c r="R53" s="1700" t="s">
        <v>3011</v>
      </c>
      <c r="S53" s="1700" t="s">
        <v>3074</v>
      </c>
      <c r="T53" s="1701" t="s">
        <v>3075</v>
      </c>
      <c r="U53" s="1701" t="s">
        <v>3076</v>
      </c>
      <c r="V53" s="1701" t="s">
        <v>3007</v>
      </c>
      <c r="W53" s="1701" t="s">
        <v>3007</v>
      </c>
      <c r="X53" s="1701" t="s">
        <v>3009</v>
      </c>
      <c r="Y53" s="1701" t="s">
        <v>3009</v>
      </c>
      <c r="Z53" s="1701" t="s">
        <v>3009</v>
      </c>
      <c r="AA53" s="1701" t="s">
        <v>3077</v>
      </c>
      <c r="AB53" s="1701" t="s">
        <v>3007</v>
      </c>
      <c r="AC53" s="1701" t="s">
        <v>3007</v>
      </c>
      <c r="AD53" s="1701" t="s">
        <v>3007</v>
      </c>
      <c r="AE53" s="1701" t="s">
        <v>3078</v>
      </c>
      <c r="AF53" s="1701" t="s">
        <v>3079</v>
      </c>
      <c r="AG53" s="1701" t="s">
        <v>3080</v>
      </c>
      <c r="AH53" s="1701" t="s">
        <v>3081</v>
      </c>
      <c r="AI53" s="1701" t="s">
        <v>3081</v>
      </c>
      <c r="AJ53" s="1701" t="s">
        <v>3082</v>
      </c>
      <c r="AK53" s="1701" t="s">
        <v>3083</v>
      </c>
      <c r="AL53" s="1701" t="s">
        <v>3083</v>
      </c>
      <c r="AM53" s="1701" t="s">
        <v>3083</v>
      </c>
      <c r="AN53" s="1701" t="s">
        <v>3084</v>
      </c>
      <c r="AO53" s="1701" t="s">
        <v>3084</v>
      </c>
      <c r="AP53" s="1701" t="s">
        <v>3084</v>
      </c>
      <c r="AQ53" s="1701" t="s">
        <v>3015</v>
      </c>
      <c r="AR53" s="1701" t="s">
        <v>3084</v>
      </c>
      <c r="AS53" s="1701" t="s">
        <v>3085</v>
      </c>
      <c r="AT53" s="1701" t="s">
        <v>3085</v>
      </c>
      <c r="AU53" s="1701" t="s">
        <v>3086</v>
      </c>
      <c r="AV53" s="1701" t="s">
        <v>3087</v>
      </c>
      <c r="AW53" s="1701" t="s">
        <v>3087</v>
      </c>
      <c r="AX53" s="1701" t="s">
        <v>3087</v>
      </c>
      <c r="AY53" s="1701" t="s">
        <v>2877</v>
      </c>
      <c r="AZ53" s="1701" t="s">
        <v>2877</v>
      </c>
      <c r="BA53" s="1701" t="s">
        <v>2877</v>
      </c>
      <c r="BB53" s="1701" t="s">
        <v>2877</v>
      </c>
      <c r="BC53" s="1701" t="s">
        <v>2877</v>
      </c>
      <c r="BD53" s="1701" t="s">
        <v>2878</v>
      </c>
      <c r="BE53" s="1701" t="s">
        <v>3020</v>
      </c>
      <c r="BF53" s="1701" t="s">
        <v>3020</v>
      </c>
      <c r="BG53" s="1701" t="s">
        <v>3019</v>
      </c>
      <c r="BH53" s="1701" t="s">
        <v>3019</v>
      </c>
      <c r="BI53" s="1701" t="s">
        <v>3019</v>
      </c>
      <c r="BJ53" s="1701" t="s">
        <v>3019</v>
      </c>
      <c r="BK53" s="1701" t="s">
        <v>3019</v>
      </c>
      <c r="BL53" s="1701" t="s">
        <v>3088</v>
      </c>
      <c r="BM53" s="1701" t="s">
        <v>3089</v>
      </c>
      <c r="BN53" s="1701" t="s">
        <v>3021</v>
      </c>
      <c r="BO53" s="1701" t="s">
        <v>2877</v>
      </c>
      <c r="BP53" s="1701" t="s">
        <v>2877</v>
      </c>
      <c r="BQ53" s="1701" t="s">
        <v>2877</v>
      </c>
      <c r="BR53" s="1701" t="s">
        <v>2877</v>
      </c>
      <c r="BS53" s="1701" t="s">
        <v>2877</v>
      </c>
      <c r="BT53" s="1701" t="s">
        <v>2877</v>
      </c>
      <c r="BU53" s="1701" t="s">
        <v>2877</v>
      </c>
      <c r="BV53" s="1701" t="s">
        <v>3019</v>
      </c>
      <c r="BW53" s="1701" t="s">
        <v>3090</v>
      </c>
      <c r="BX53" s="1701" t="s">
        <v>3091</v>
      </c>
      <c r="BY53" s="1701" t="s">
        <v>3090</v>
      </c>
      <c r="BZ53" s="1702" t="s">
        <v>3019</v>
      </c>
      <c r="CA53" s="1701" t="s">
        <v>3019</v>
      </c>
      <c r="CB53" s="1701" t="s">
        <v>3019</v>
      </c>
      <c r="CC53" s="1701" t="s">
        <v>3019</v>
      </c>
      <c r="CD53" s="1701" t="s">
        <v>3092</v>
      </c>
      <c r="CE53" s="1701" t="s">
        <v>3092</v>
      </c>
      <c r="CF53" s="1701" t="s">
        <v>3092</v>
      </c>
      <c r="CG53" s="1701" t="s">
        <v>3092</v>
      </c>
      <c r="CH53" s="1701" t="s">
        <v>3093</v>
      </c>
      <c r="CI53" s="1725" t="s">
        <v>3094</v>
      </c>
      <c r="CJ53" s="1725" t="s">
        <v>3094</v>
      </c>
      <c r="CK53" s="1725" t="s">
        <v>3093</v>
      </c>
      <c r="CL53" s="1725" t="s">
        <v>3093</v>
      </c>
      <c r="CM53" s="1725" t="s">
        <v>3093</v>
      </c>
      <c r="CN53" s="1725" t="s">
        <v>3093</v>
      </c>
      <c r="CO53" s="1725" t="s">
        <v>3095</v>
      </c>
      <c r="CP53" s="1725" t="s">
        <v>3095</v>
      </c>
      <c r="CQ53" s="1705" t="s">
        <v>3095</v>
      </c>
      <c r="CR53" s="1747" t="s">
        <v>3095</v>
      </c>
      <c r="CS53" s="1747" t="s">
        <v>3096</v>
      </c>
      <c r="CT53" s="1747" t="s">
        <v>3095</v>
      </c>
      <c r="CU53" s="1747" t="s">
        <v>3097</v>
      </c>
      <c r="CV53" s="1747" t="s">
        <v>3098</v>
      </c>
      <c r="CW53" s="1747" t="s">
        <v>3099</v>
      </c>
      <c r="CX53" s="1747" t="s">
        <v>3099</v>
      </c>
      <c r="CY53" s="1747" t="s">
        <v>3100</v>
      </c>
      <c r="CZ53" s="1747" t="s">
        <v>3100</v>
      </c>
      <c r="DA53" s="1747" t="s">
        <v>3101</v>
      </c>
      <c r="DB53" s="1747" t="s">
        <v>3048</v>
      </c>
      <c r="DC53" s="1748" t="s">
        <v>3102</v>
      </c>
      <c r="DD53" s="1748" t="s">
        <v>3103</v>
      </c>
      <c r="DE53" s="1748" t="s">
        <v>3104</v>
      </c>
      <c r="DF53" s="1748" t="s">
        <v>3104</v>
      </c>
      <c r="DG53" s="1748" t="s">
        <v>3105</v>
      </c>
      <c r="DH53" s="1748" t="s">
        <v>1142</v>
      </c>
      <c r="DI53" s="1748" t="s">
        <v>3106</v>
      </c>
      <c r="DJ53" s="1748" t="s">
        <v>3107</v>
      </c>
      <c r="DK53" s="1748" t="s">
        <v>3108</v>
      </c>
      <c r="DL53" s="1748" t="s">
        <v>3108</v>
      </c>
      <c r="DM53" s="1748" t="s">
        <v>3109</v>
      </c>
      <c r="DN53" s="1748" t="s">
        <v>2960</v>
      </c>
      <c r="DO53" s="1748" t="s">
        <v>3110</v>
      </c>
      <c r="DP53" s="1748" t="s">
        <v>3111</v>
      </c>
      <c r="DQ53" s="1748" t="s">
        <v>2956</v>
      </c>
      <c r="DR53" s="1748" t="s">
        <v>3112</v>
      </c>
      <c r="DS53" s="1748" t="s">
        <v>3112</v>
      </c>
      <c r="DT53" s="1748" t="s">
        <v>1143</v>
      </c>
      <c r="DU53" s="1748" t="s">
        <v>3113</v>
      </c>
      <c r="DV53" s="1748" t="s">
        <v>3113</v>
      </c>
      <c r="DW53" s="1748" t="s">
        <v>3114</v>
      </c>
      <c r="DX53" s="1748" t="s">
        <v>3115</v>
      </c>
      <c r="DY53" s="1748" t="s">
        <v>3115</v>
      </c>
      <c r="DZ53" s="1748" t="s">
        <v>3116</v>
      </c>
      <c r="EA53" s="1748" t="s">
        <v>3117</v>
      </c>
    </row>
    <row r="54" spans="1:131" ht="17.45" customHeight="1" x14ac:dyDescent="0.25">
      <c r="A54" s="1677" t="s">
        <v>3118</v>
      </c>
      <c r="B54" s="1699" t="s">
        <v>3119</v>
      </c>
      <c r="C54" s="1700" t="s">
        <v>3120</v>
      </c>
      <c r="D54" s="1700" t="s">
        <v>3121</v>
      </c>
      <c r="E54" s="1700" t="s">
        <v>3068</v>
      </c>
      <c r="F54" s="1699" t="s">
        <v>3068</v>
      </c>
      <c r="G54" s="1700" t="s">
        <v>3122</v>
      </c>
      <c r="H54" s="1700" t="s">
        <v>3123</v>
      </c>
      <c r="I54" s="1700" t="s">
        <v>3124</v>
      </c>
      <c r="J54" s="1700" t="s">
        <v>3122</v>
      </c>
      <c r="K54" s="1700" t="s">
        <v>3122</v>
      </c>
      <c r="L54" s="1700" t="s">
        <v>3122</v>
      </c>
      <c r="M54" s="1700" t="s">
        <v>3122</v>
      </c>
      <c r="N54" s="1699" t="s">
        <v>3121</v>
      </c>
      <c r="O54" s="1700" t="s">
        <v>3121</v>
      </c>
      <c r="P54" s="1700" t="s">
        <v>3125</v>
      </c>
      <c r="Q54" s="1699" t="s">
        <v>3006</v>
      </c>
      <c r="R54" s="1700" t="s">
        <v>3006</v>
      </c>
      <c r="S54" s="1700" t="s">
        <v>3126</v>
      </c>
      <c r="T54" s="1701" t="s">
        <v>3007</v>
      </c>
      <c r="U54" s="1701" t="s">
        <v>3009</v>
      </c>
      <c r="V54" s="1701" t="s">
        <v>3009</v>
      </c>
      <c r="W54" s="1701" t="s">
        <v>3009</v>
      </c>
      <c r="X54" s="1701" t="s">
        <v>3127</v>
      </c>
      <c r="Y54" s="1701" t="s">
        <v>3128</v>
      </c>
      <c r="Z54" s="1701" t="s">
        <v>3128</v>
      </c>
      <c r="AA54" s="1701" t="s">
        <v>3129</v>
      </c>
      <c r="AB54" s="1701" t="s">
        <v>3007</v>
      </c>
      <c r="AC54" s="1701" t="s">
        <v>3007</v>
      </c>
      <c r="AD54" s="1701" t="s">
        <v>3007</v>
      </c>
      <c r="AE54" s="1701" t="s">
        <v>3126</v>
      </c>
      <c r="AF54" s="1701" t="s">
        <v>3126</v>
      </c>
      <c r="AG54" s="1701" t="s">
        <v>3126</v>
      </c>
      <c r="AH54" s="1701" t="s">
        <v>3126</v>
      </c>
      <c r="AI54" s="1701" t="s">
        <v>3130</v>
      </c>
      <c r="AJ54" s="1701" t="s">
        <v>3131</v>
      </c>
      <c r="AK54" s="1701" t="s">
        <v>3132</v>
      </c>
      <c r="AL54" s="1701" t="s">
        <v>3133</v>
      </c>
      <c r="AM54" s="1701" t="s">
        <v>1126</v>
      </c>
      <c r="AN54" s="1701" t="s">
        <v>1126</v>
      </c>
      <c r="AO54" s="1701" t="s">
        <v>1126</v>
      </c>
      <c r="AP54" s="1701" t="s">
        <v>3133</v>
      </c>
      <c r="AQ54" s="1701" t="s">
        <v>3134</v>
      </c>
      <c r="AR54" s="1701" t="s">
        <v>3135</v>
      </c>
      <c r="AS54" s="1701" t="s">
        <v>3135</v>
      </c>
      <c r="AT54" s="1701" t="s">
        <v>3135</v>
      </c>
      <c r="AU54" s="1701" t="s">
        <v>3136</v>
      </c>
      <c r="AV54" s="1701" t="s">
        <v>3136</v>
      </c>
      <c r="AW54" s="1701" t="s">
        <v>3136</v>
      </c>
      <c r="AX54" s="1701" t="s">
        <v>3136</v>
      </c>
      <c r="AY54" s="1701" t="s">
        <v>3136</v>
      </c>
      <c r="AZ54" s="1701" t="s">
        <v>3136</v>
      </c>
      <c r="BA54" s="1701" t="s">
        <v>3136</v>
      </c>
      <c r="BB54" s="1701" t="s">
        <v>3136</v>
      </c>
      <c r="BC54" s="1701" t="s">
        <v>3136</v>
      </c>
      <c r="BD54" s="1701" t="s">
        <v>3136</v>
      </c>
      <c r="BE54" s="1701" t="s">
        <v>3091</v>
      </c>
      <c r="BF54" s="1701" t="s">
        <v>3091</v>
      </c>
      <c r="BG54" s="1701" t="s">
        <v>3137</v>
      </c>
      <c r="BH54" s="1701" t="s">
        <v>3137</v>
      </c>
      <c r="BI54" s="1701" t="s">
        <v>2877</v>
      </c>
      <c r="BJ54" s="1701" t="s">
        <v>2877</v>
      </c>
      <c r="BK54" s="1701" t="s">
        <v>3091</v>
      </c>
      <c r="BL54" s="1701" t="s">
        <v>3091</v>
      </c>
      <c r="BM54" s="1701" t="s">
        <v>3138</v>
      </c>
      <c r="BN54" s="1701" t="s">
        <v>3139</v>
      </c>
      <c r="BO54" s="1701" t="s">
        <v>3139</v>
      </c>
      <c r="BP54" s="1701" t="s">
        <v>3140</v>
      </c>
      <c r="BQ54" s="1701" t="s">
        <v>3141</v>
      </c>
      <c r="BR54" s="1701" t="s">
        <v>3141</v>
      </c>
      <c r="BS54" s="1701" t="s">
        <v>3141</v>
      </c>
      <c r="BT54" s="1701" t="s">
        <v>3141</v>
      </c>
      <c r="BU54" s="1701" t="s">
        <v>3138</v>
      </c>
      <c r="BV54" s="1701" t="s">
        <v>3138</v>
      </c>
      <c r="BW54" s="1701" t="s">
        <v>3142</v>
      </c>
      <c r="BX54" s="1701" t="s">
        <v>3142</v>
      </c>
      <c r="BY54" s="1701" t="s">
        <v>3142</v>
      </c>
      <c r="BZ54" s="1702" t="s">
        <v>3143</v>
      </c>
      <c r="CA54" s="1701" t="s">
        <v>2879</v>
      </c>
      <c r="CB54" s="1701" t="s">
        <v>2879</v>
      </c>
      <c r="CC54" s="1701" t="s">
        <v>3143</v>
      </c>
      <c r="CD54" s="1701" t="s">
        <v>2879</v>
      </c>
      <c r="CE54" s="1701" t="s">
        <v>3089</v>
      </c>
      <c r="CF54" s="1701" t="s">
        <v>3144</v>
      </c>
      <c r="CG54" s="1701" t="s">
        <v>3144</v>
      </c>
      <c r="CH54" s="1701" t="s">
        <v>3145</v>
      </c>
      <c r="CI54" s="1701" t="s">
        <v>3143</v>
      </c>
      <c r="CJ54" s="1701" t="s">
        <v>3143</v>
      </c>
      <c r="CK54" s="1701" t="s">
        <v>3145</v>
      </c>
      <c r="CL54" s="1701" t="s">
        <v>3145</v>
      </c>
      <c r="CM54" s="1701" t="s">
        <v>2954</v>
      </c>
      <c r="CN54" s="1701" t="s">
        <v>2954</v>
      </c>
      <c r="CO54" s="1701" t="s">
        <v>3146</v>
      </c>
      <c r="CP54" s="1701" t="s">
        <v>3147</v>
      </c>
      <c r="CQ54" s="1705" t="s">
        <v>3147</v>
      </c>
      <c r="CR54" s="1727" t="s">
        <v>3148</v>
      </c>
      <c r="CS54" s="1727" t="s">
        <v>3148</v>
      </c>
      <c r="CT54" s="1727" t="s">
        <v>3149</v>
      </c>
      <c r="CU54" s="1727" t="s">
        <v>3150</v>
      </c>
      <c r="CV54" s="1727" t="s">
        <v>3100</v>
      </c>
      <c r="CW54" s="1727" t="s">
        <v>3151</v>
      </c>
      <c r="CX54" s="1727" t="s">
        <v>3101</v>
      </c>
      <c r="CY54" s="1727" t="s">
        <v>3048</v>
      </c>
      <c r="CZ54" s="1727" t="s">
        <v>3048</v>
      </c>
      <c r="DA54" s="1727" t="s">
        <v>3102</v>
      </c>
      <c r="DB54" s="1727" t="s">
        <v>3152</v>
      </c>
      <c r="DC54" s="1728" t="s">
        <v>3104</v>
      </c>
      <c r="DD54" s="1728" t="s">
        <v>3153</v>
      </c>
      <c r="DE54" s="1728" t="s">
        <v>3105</v>
      </c>
      <c r="DF54" s="1728" t="s">
        <v>3154</v>
      </c>
      <c r="DG54" s="1728" t="s">
        <v>3155</v>
      </c>
      <c r="DH54" s="1728" t="s">
        <v>3155</v>
      </c>
      <c r="DI54" s="1728" t="s">
        <v>3156</v>
      </c>
      <c r="DJ54" s="1728" t="s">
        <v>3157</v>
      </c>
      <c r="DK54" s="1728" t="s">
        <v>3157</v>
      </c>
      <c r="DL54" s="1728" t="s">
        <v>3155</v>
      </c>
      <c r="DM54" s="1728" t="s">
        <v>3155</v>
      </c>
      <c r="DN54" s="1728" t="s">
        <v>3155</v>
      </c>
      <c r="DO54" s="1728" t="s">
        <v>3158</v>
      </c>
      <c r="DP54" s="1728" t="s">
        <v>3159</v>
      </c>
      <c r="DQ54" s="1728" t="s">
        <v>2836</v>
      </c>
      <c r="DR54" s="1728" t="s">
        <v>3160</v>
      </c>
      <c r="DS54" s="1728" t="s">
        <v>3161</v>
      </c>
      <c r="DT54" s="1728" t="s">
        <v>3162</v>
      </c>
      <c r="DU54" s="1728" t="s">
        <v>2836</v>
      </c>
      <c r="DV54" s="1728" t="s">
        <v>2836</v>
      </c>
      <c r="DW54" s="1728" t="s">
        <v>2836</v>
      </c>
      <c r="DX54" s="1728" t="s">
        <v>3163</v>
      </c>
      <c r="DY54" s="1728" t="s">
        <v>3164</v>
      </c>
      <c r="DZ54" s="1728" t="s">
        <v>3165</v>
      </c>
      <c r="EA54" s="1728" t="s">
        <v>3165</v>
      </c>
    </row>
    <row r="55" spans="1:131" ht="17.45" customHeight="1" x14ac:dyDescent="0.25">
      <c r="A55" s="1677" t="s">
        <v>3166</v>
      </c>
      <c r="B55" s="1699" t="s">
        <v>3167</v>
      </c>
      <c r="C55" s="1700" t="s">
        <v>3167</v>
      </c>
      <c r="D55" s="1700" t="s">
        <v>3168</v>
      </c>
      <c r="E55" s="1700" t="s">
        <v>3168</v>
      </c>
      <c r="F55" s="1699" t="s">
        <v>3168</v>
      </c>
      <c r="G55" s="1700" t="s">
        <v>3169</v>
      </c>
      <c r="H55" s="1700" t="s">
        <v>3170</v>
      </c>
      <c r="I55" s="1700" t="s">
        <v>3016</v>
      </c>
      <c r="J55" s="1700" t="s">
        <v>3168</v>
      </c>
      <c r="K55" s="1700" t="s">
        <v>3168</v>
      </c>
      <c r="L55" s="1700" t="s">
        <v>3168</v>
      </c>
      <c r="M55" s="1700" t="s">
        <v>3168</v>
      </c>
      <c r="N55" s="1699" t="s">
        <v>3171</v>
      </c>
      <c r="O55" s="1700" t="s">
        <v>3168</v>
      </c>
      <c r="P55" s="1700" t="s">
        <v>3015</v>
      </c>
      <c r="Q55" s="1699" t="s">
        <v>3084</v>
      </c>
      <c r="R55" s="1700" t="s">
        <v>3134</v>
      </c>
      <c r="S55" s="1700" t="s">
        <v>3172</v>
      </c>
      <c r="T55" s="1701" t="s">
        <v>3173</v>
      </c>
      <c r="U55" s="1701" t="s">
        <v>3174</v>
      </c>
      <c r="V55" s="1701" t="s">
        <v>3174</v>
      </c>
      <c r="W55" s="1701" t="s">
        <v>3173</v>
      </c>
      <c r="X55" s="1701" t="s">
        <v>3134</v>
      </c>
      <c r="Y55" s="1701" t="s">
        <v>3134</v>
      </c>
      <c r="Z55" s="1701" t="s">
        <v>3175</v>
      </c>
      <c r="AA55" s="1701" t="s">
        <v>3176</v>
      </c>
      <c r="AB55" s="1701" t="s">
        <v>3134</v>
      </c>
      <c r="AC55" s="1701" t="s">
        <v>3134</v>
      </c>
      <c r="AD55" s="1701" t="s">
        <v>3134</v>
      </c>
      <c r="AE55" s="1701" t="s">
        <v>3177</v>
      </c>
      <c r="AF55" s="1701" t="s">
        <v>3177</v>
      </c>
      <c r="AG55" s="1701" t="s">
        <v>3178</v>
      </c>
      <c r="AH55" s="1701" t="s">
        <v>3176</v>
      </c>
      <c r="AI55" s="1701" t="s">
        <v>3134</v>
      </c>
      <c r="AJ55" s="1701" t="s">
        <v>3134</v>
      </c>
      <c r="AK55" s="1701" t="s">
        <v>3134</v>
      </c>
      <c r="AL55" s="1701" t="s">
        <v>3179</v>
      </c>
      <c r="AM55" s="1701" t="s">
        <v>3180</v>
      </c>
      <c r="AN55" s="1701" t="s">
        <v>3181</v>
      </c>
      <c r="AO55" s="1701" t="s">
        <v>3181</v>
      </c>
      <c r="AP55" s="1701" t="s">
        <v>3182</v>
      </c>
      <c r="AQ55" s="1701" t="s">
        <v>3183</v>
      </c>
      <c r="AR55" s="1701" t="s">
        <v>3183</v>
      </c>
      <c r="AS55" s="1701" t="s">
        <v>3184</v>
      </c>
      <c r="AT55" s="1701" t="s">
        <v>3168</v>
      </c>
      <c r="AU55" s="1701" t="s">
        <v>3185</v>
      </c>
      <c r="AV55" s="1701" t="s">
        <v>3186</v>
      </c>
      <c r="AW55" s="1701" t="s">
        <v>3186</v>
      </c>
      <c r="AX55" s="1701" t="s">
        <v>3186</v>
      </c>
      <c r="AY55" s="1701" t="s">
        <v>3186</v>
      </c>
      <c r="AZ55" s="1701" t="s">
        <v>3187</v>
      </c>
      <c r="BA55" s="1701" t="s">
        <v>3188</v>
      </c>
      <c r="BB55" s="1701" t="s">
        <v>3189</v>
      </c>
      <c r="BC55" s="1701" t="s">
        <v>3189</v>
      </c>
      <c r="BD55" s="1701" t="s">
        <v>3190</v>
      </c>
      <c r="BE55" s="1701" t="s">
        <v>3191</v>
      </c>
      <c r="BF55" s="1701" t="s">
        <v>3191</v>
      </c>
      <c r="BG55" s="1701" t="s">
        <v>3191</v>
      </c>
      <c r="BH55" s="1701" t="s">
        <v>3190</v>
      </c>
      <c r="BI55" s="1701" t="s">
        <v>3192</v>
      </c>
      <c r="BJ55" s="1701" t="s">
        <v>3192</v>
      </c>
      <c r="BK55" s="1701" t="s">
        <v>3087</v>
      </c>
      <c r="BL55" s="1701" t="s">
        <v>3176</v>
      </c>
      <c r="BM55" s="1701" t="s">
        <v>3193</v>
      </c>
      <c r="BN55" s="1701" t="s">
        <v>3185</v>
      </c>
      <c r="BO55" s="1701" t="s">
        <v>3185</v>
      </c>
      <c r="BP55" s="1701" t="s">
        <v>3185</v>
      </c>
      <c r="BQ55" s="1701" t="s">
        <v>3185</v>
      </c>
      <c r="BR55" s="1701" t="s">
        <v>3185</v>
      </c>
      <c r="BS55" s="1701" t="s">
        <v>3185</v>
      </c>
      <c r="BT55" s="1701" t="s">
        <v>3185</v>
      </c>
      <c r="BU55" s="1701" t="s">
        <v>3185</v>
      </c>
      <c r="BV55" s="1701" t="s">
        <v>3185</v>
      </c>
      <c r="BW55" s="1701" t="s">
        <v>3194</v>
      </c>
      <c r="BX55" s="1701" t="s">
        <v>3194</v>
      </c>
      <c r="BY55" s="1701" t="s">
        <v>3194</v>
      </c>
      <c r="BZ55" s="1702" t="s">
        <v>3194</v>
      </c>
      <c r="CA55" s="1701" t="s">
        <v>3194</v>
      </c>
      <c r="CB55" s="1701" t="s">
        <v>3194</v>
      </c>
      <c r="CC55" s="1701" t="s">
        <v>3194</v>
      </c>
      <c r="CD55" s="1701" t="s">
        <v>3195</v>
      </c>
      <c r="CE55" s="1701" t="s">
        <v>3196</v>
      </c>
      <c r="CF55" s="1701" t="s">
        <v>3195</v>
      </c>
      <c r="CG55" s="1701" t="s">
        <v>3195</v>
      </c>
      <c r="CH55" s="1701" t="s">
        <v>3142</v>
      </c>
      <c r="CI55" s="1701" t="s">
        <v>3142</v>
      </c>
      <c r="CJ55" s="1701" t="s">
        <v>3142</v>
      </c>
      <c r="CK55" s="1701" t="s">
        <v>3021</v>
      </c>
      <c r="CL55" s="1701" t="s">
        <v>2879</v>
      </c>
      <c r="CM55" s="1701" t="s">
        <v>3197</v>
      </c>
      <c r="CN55" s="1701" t="s">
        <v>3197</v>
      </c>
      <c r="CO55" s="1701" t="s">
        <v>3197</v>
      </c>
      <c r="CP55" s="1701" t="s">
        <v>3197</v>
      </c>
      <c r="CQ55" s="1705" t="s">
        <v>3197</v>
      </c>
      <c r="CR55" s="1727" t="s">
        <v>3197</v>
      </c>
      <c r="CS55" s="1727" t="s">
        <v>3197</v>
      </c>
      <c r="CT55" s="1727" t="s">
        <v>3198</v>
      </c>
      <c r="CU55" s="1727" t="s">
        <v>3198</v>
      </c>
      <c r="CV55" s="1727" t="s">
        <v>3199</v>
      </c>
      <c r="CW55" s="1727" t="s">
        <v>3199</v>
      </c>
      <c r="CX55" s="1727" t="s">
        <v>3200</v>
      </c>
      <c r="CY55" s="1727" t="s">
        <v>3201</v>
      </c>
      <c r="CZ55" s="1727" t="s">
        <v>3201</v>
      </c>
      <c r="DA55" s="1727" t="s">
        <v>3201</v>
      </c>
      <c r="DB55" s="1727" t="s">
        <v>3201</v>
      </c>
      <c r="DC55" s="1728" t="s">
        <v>3153</v>
      </c>
      <c r="DD55" s="1728" t="s">
        <v>3097</v>
      </c>
      <c r="DE55" s="1728" t="s">
        <v>3202</v>
      </c>
      <c r="DF55" s="1728" t="s">
        <v>3203</v>
      </c>
      <c r="DG55" s="1728" t="s">
        <v>3203</v>
      </c>
      <c r="DH55" s="1728" t="s">
        <v>3204</v>
      </c>
      <c r="DI55" s="1728" t="s">
        <v>3205</v>
      </c>
      <c r="DJ55" s="1728" t="s">
        <v>3206</v>
      </c>
      <c r="DK55" s="1728" t="s">
        <v>3207</v>
      </c>
      <c r="DL55" s="1728" t="s">
        <v>3207</v>
      </c>
      <c r="DM55" s="1728" t="s">
        <v>3208</v>
      </c>
      <c r="DN55" s="1728" t="s">
        <v>3209</v>
      </c>
      <c r="DO55" s="1728" t="s">
        <v>3209</v>
      </c>
      <c r="DP55" s="1728" t="s">
        <v>3210</v>
      </c>
      <c r="DQ55" s="1728" t="s">
        <v>3210</v>
      </c>
      <c r="DR55" s="1728" t="s">
        <v>3211</v>
      </c>
      <c r="DS55" s="1728" t="s">
        <v>3211</v>
      </c>
      <c r="DT55" s="1728" t="s">
        <v>3211</v>
      </c>
      <c r="DU55" s="1728" t="s">
        <v>3212</v>
      </c>
      <c r="DV55" s="1728" t="s">
        <v>3212</v>
      </c>
      <c r="DW55" s="1728" t="s">
        <v>3211</v>
      </c>
      <c r="DX55" s="1728" t="s">
        <v>3213</v>
      </c>
      <c r="DY55" s="1728" t="s">
        <v>3213</v>
      </c>
      <c r="DZ55" s="1728" t="s">
        <v>3214</v>
      </c>
      <c r="EA55" s="1728" t="s">
        <v>3214</v>
      </c>
    </row>
    <row r="56" spans="1:131" ht="17.45" customHeight="1" x14ac:dyDescent="0.25">
      <c r="A56" s="1677" t="s">
        <v>3215</v>
      </c>
      <c r="B56" s="1699" t="s">
        <v>3216</v>
      </c>
      <c r="C56" s="1700" t="s">
        <v>2996</v>
      </c>
      <c r="D56" s="1700" t="s">
        <v>2995</v>
      </c>
      <c r="E56" s="1700" t="s">
        <v>3016</v>
      </c>
      <c r="F56" s="1699" t="s">
        <v>3016</v>
      </c>
      <c r="G56" s="1700" t="s">
        <v>3016</v>
      </c>
      <c r="H56" s="1700" t="s">
        <v>3217</v>
      </c>
      <c r="I56" s="1700" t="s">
        <v>3016</v>
      </c>
      <c r="J56" s="1700" t="s">
        <v>3016</v>
      </c>
      <c r="K56" s="1700" t="s">
        <v>3016</v>
      </c>
      <c r="L56" s="1700" t="s">
        <v>3016</v>
      </c>
      <c r="M56" s="1700" t="s">
        <v>3016</v>
      </c>
      <c r="N56" s="1699" t="s">
        <v>3016</v>
      </c>
      <c r="O56" s="1700" t="s">
        <v>3016</v>
      </c>
      <c r="P56" s="1700" t="s">
        <v>3218</v>
      </c>
      <c r="Q56" s="1699" t="s">
        <v>3135</v>
      </c>
      <c r="R56" s="1700" t="s">
        <v>3135</v>
      </c>
      <c r="S56" s="1700" t="s">
        <v>3219</v>
      </c>
      <c r="T56" s="1701" t="s">
        <v>3174</v>
      </c>
      <c r="U56" s="1701" t="s">
        <v>3220</v>
      </c>
      <c r="V56" s="1701" t="s">
        <v>3174</v>
      </c>
      <c r="W56" s="1701" t="s">
        <v>3174</v>
      </c>
      <c r="X56" s="1701" t="s">
        <v>3174</v>
      </c>
      <c r="Y56" s="1701" t="s">
        <v>3221</v>
      </c>
      <c r="Z56" s="1701" t="s">
        <v>3222</v>
      </c>
      <c r="AA56" s="1701" t="s">
        <v>3223</v>
      </c>
      <c r="AB56" s="1701" t="s">
        <v>3223</v>
      </c>
      <c r="AC56" s="1701" t="s">
        <v>3223</v>
      </c>
      <c r="AD56" s="1701" t="s">
        <v>3223</v>
      </c>
      <c r="AE56" s="1701" t="s">
        <v>3173</v>
      </c>
      <c r="AF56" s="1701" t="s">
        <v>3173</v>
      </c>
      <c r="AG56" s="1701" t="s">
        <v>3178</v>
      </c>
      <c r="AH56" s="1701" t="s">
        <v>3178</v>
      </c>
      <c r="AI56" s="1701" t="s">
        <v>2951</v>
      </c>
      <c r="AJ56" s="1701" t="s">
        <v>3224</v>
      </c>
      <c r="AK56" s="1701" t="s">
        <v>3224</v>
      </c>
      <c r="AL56" s="1701" t="s">
        <v>3225</v>
      </c>
      <c r="AM56" s="1701" t="s">
        <v>3225</v>
      </c>
      <c r="AN56" s="1701" t="s">
        <v>3225</v>
      </c>
      <c r="AO56" s="1701" t="s">
        <v>3225</v>
      </c>
      <c r="AP56" s="1701" t="s">
        <v>3224</v>
      </c>
      <c r="AQ56" s="1701" t="s">
        <v>3226</v>
      </c>
      <c r="AR56" s="1701" t="s">
        <v>3226</v>
      </c>
      <c r="AS56" s="1701" t="s">
        <v>3226</v>
      </c>
      <c r="AT56" s="1701" t="s">
        <v>3226</v>
      </c>
      <c r="AU56" s="1701" t="s">
        <v>3227</v>
      </c>
      <c r="AV56" s="1701" t="s">
        <v>3227</v>
      </c>
      <c r="AW56" s="1701" t="s">
        <v>3227</v>
      </c>
      <c r="AX56" s="1701" t="s">
        <v>3227</v>
      </c>
      <c r="AY56" s="1701" t="s">
        <v>3227</v>
      </c>
      <c r="AZ56" s="1701" t="s">
        <v>3228</v>
      </c>
      <c r="BA56" s="1701" t="s">
        <v>3228</v>
      </c>
      <c r="BB56" s="1701" t="s">
        <v>3228</v>
      </c>
      <c r="BC56" s="1701" t="s">
        <v>3228</v>
      </c>
      <c r="BD56" s="1701" t="s">
        <v>3228</v>
      </c>
      <c r="BE56" s="1701" t="s">
        <v>3017</v>
      </c>
      <c r="BF56" s="1701" t="s">
        <v>3017</v>
      </c>
      <c r="BG56" s="1701" t="s">
        <v>3017</v>
      </c>
      <c r="BH56" s="1701" t="s">
        <v>3229</v>
      </c>
      <c r="BI56" s="1701" t="s">
        <v>3230</v>
      </c>
      <c r="BJ56" s="1701" t="s">
        <v>2871</v>
      </c>
      <c r="BK56" s="1701" t="s">
        <v>2871</v>
      </c>
      <c r="BL56" s="1701" t="s">
        <v>2871</v>
      </c>
      <c r="BM56" s="1701" t="s">
        <v>3017</v>
      </c>
      <c r="BN56" s="1701" t="s">
        <v>2871</v>
      </c>
      <c r="BO56" s="1701" t="s">
        <v>3231</v>
      </c>
      <c r="BP56" s="1701" t="s">
        <v>3232</v>
      </c>
      <c r="BQ56" s="1701" t="s">
        <v>3232</v>
      </c>
      <c r="BR56" s="1701" t="s">
        <v>3016</v>
      </c>
      <c r="BS56" s="1701" t="s">
        <v>3016</v>
      </c>
      <c r="BT56" s="1701" t="s">
        <v>3016</v>
      </c>
      <c r="BU56" s="1701" t="s">
        <v>3016</v>
      </c>
      <c r="BV56" s="1701" t="s">
        <v>3016</v>
      </c>
      <c r="BW56" s="1701" t="s">
        <v>3233</v>
      </c>
      <c r="BX56" s="1701" t="s">
        <v>3233</v>
      </c>
      <c r="BY56" s="1701" t="s">
        <v>3233</v>
      </c>
      <c r="BZ56" s="1702" t="s">
        <v>3233</v>
      </c>
      <c r="CA56" s="1701" t="s">
        <v>3233</v>
      </c>
      <c r="CB56" s="1701" t="s">
        <v>3233</v>
      </c>
      <c r="CC56" s="1701" t="s">
        <v>3233</v>
      </c>
      <c r="CD56" s="1701" t="s">
        <v>3230</v>
      </c>
      <c r="CE56" s="1701" t="s">
        <v>3234</v>
      </c>
      <c r="CF56" s="1701" t="s">
        <v>3234</v>
      </c>
      <c r="CG56" s="1701" t="s">
        <v>3234</v>
      </c>
      <c r="CH56" s="1701" t="s">
        <v>3194</v>
      </c>
      <c r="CI56" s="1701" t="s">
        <v>3194</v>
      </c>
      <c r="CJ56" s="1701" t="s">
        <v>3194</v>
      </c>
      <c r="CK56" s="1701" t="s">
        <v>3022</v>
      </c>
      <c r="CL56" s="1701" t="s">
        <v>3235</v>
      </c>
      <c r="CM56" s="1701" t="s">
        <v>3236</v>
      </c>
      <c r="CN56" s="1701" t="s">
        <v>3237</v>
      </c>
      <c r="CO56" s="1701" t="s">
        <v>3238</v>
      </c>
      <c r="CP56" s="1701" t="s">
        <v>3237</v>
      </c>
      <c r="CQ56" s="1705" t="s">
        <v>3237</v>
      </c>
      <c r="CR56" s="1727" t="s">
        <v>3236</v>
      </c>
      <c r="CS56" s="1727" t="s">
        <v>3236</v>
      </c>
      <c r="CT56" s="1727" t="s">
        <v>3239</v>
      </c>
      <c r="CU56" s="1727" t="s">
        <v>3153</v>
      </c>
      <c r="CV56" s="1727" t="s">
        <v>3201</v>
      </c>
      <c r="CW56" s="1727" t="s">
        <v>3104</v>
      </c>
      <c r="CX56" s="1727" t="s">
        <v>3104</v>
      </c>
      <c r="CY56" s="1727" t="s">
        <v>3202</v>
      </c>
      <c r="CZ56" s="1727" t="s">
        <v>3240</v>
      </c>
      <c r="DA56" s="1727" t="s">
        <v>3241</v>
      </c>
      <c r="DB56" s="1727" t="s">
        <v>3242</v>
      </c>
      <c r="DC56" s="1728" t="s">
        <v>3204</v>
      </c>
      <c r="DD56" s="1728" t="s">
        <v>3204</v>
      </c>
      <c r="DE56" s="1728" t="s">
        <v>3206</v>
      </c>
      <c r="DF56" s="1728" t="s">
        <v>3243</v>
      </c>
      <c r="DG56" s="1728" t="s">
        <v>3208</v>
      </c>
      <c r="DH56" s="1728" t="s">
        <v>3244</v>
      </c>
      <c r="DI56" s="1728" t="s">
        <v>3245</v>
      </c>
      <c r="DJ56" s="1728" t="s">
        <v>3208</v>
      </c>
      <c r="DK56" s="1728" t="s">
        <v>3246</v>
      </c>
      <c r="DL56" s="1728" t="s">
        <v>3247</v>
      </c>
      <c r="DM56" s="1728" t="s">
        <v>3248</v>
      </c>
      <c r="DN56" s="1728" t="s">
        <v>3249</v>
      </c>
      <c r="DO56" s="1728" t="s">
        <v>3250</v>
      </c>
      <c r="DP56" s="1728" t="s">
        <v>3251</v>
      </c>
      <c r="DQ56" s="1728" t="s">
        <v>3252</v>
      </c>
      <c r="DR56" s="1728" t="s">
        <v>3253</v>
      </c>
      <c r="DS56" s="1728" t="s">
        <v>3253</v>
      </c>
      <c r="DT56" s="1728" t="s">
        <v>3253</v>
      </c>
      <c r="DU56" s="1728" t="s">
        <v>3252</v>
      </c>
      <c r="DV56" s="1728" t="s">
        <v>3252</v>
      </c>
      <c r="DW56" s="1728" t="s">
        <v>3252</v>
      </c>
      <c r="DX56" s="1728" t="s">
        <v>3252</v>
      </c>
      <c r="DY56" s="1728" t="s">
        <v>3252</v>
      </c>
      <c r="DZ56" s="1728" t="s">
        <v>3252</v>
      </c>
      <c r="EA56" s="1728" t="s">
        <v>3254</v>
      </c>
    </row>
    <row r="57" spans="1:131" ht="17.45" customHeight="1" x14ac:dyDescent="0.25">
      <c r="A57" s="1677" t="s">
        <v>3255</v>
      </c>
      <c r="B57" s="1699" t="s">
        <v>3256</v>
      </c>
      <c r="C57" s="1700" t="s">
        <v>3134</v>
      </c>
      <c r="D57" s="1700" t="s">
        <v>3085</v>
      </c>
      <c r="E57" s="1700" t="s">
        <v>3085</v>
      </c>
      <c r="F57" s="1699" t="s">
        <v>3085</v>
      </c>
      <c r="G57" s="1700" t="s">
        <v>3177</v>
      </c>
      <c r="H57" s="1700" t="s">
        <v>3177</v>
      </c>
      <c r="I57" s="1700" t="s">
        <v>3177</v>
      </c>
      <c r="J57" s="1700" t="s">
        <v>3177</v>
      </c>
      <c r="K57" s="1700" t="s">
        <v>3177</v>
      </c>
      <c r="L57" s="1700" t="s">
        <v>3177</v>
      </c>
      <c r="M57" s="1700" t="s">
        <v>3177</v>
      </c>
      <c r="N57" s="1699" t="s">
        <v>3178</v>
      </c>
      <c r="O57" s="1700" t="s">
        <v>3178</v>
      </c>
      <c r="P57" s="1700" t="s">
        <v>3130</v>
      </c>
      <c r="Q57" s="1699" t="s">
        <v>3130</v>
      </c>
      <c r="R57" s="1700" t="s">
        <v>3173</v>
      </c>
      <c r="S57" s="1700" t="s">
        <v>3173</v>
      </c>
      <c r="T57" s="1701" t="s">
        <v>3257</v>
      </c>
      <c r="U57" s="1701" t="s">
        <v>3258</v>
      </c>
      <c r="V57" s="1701" t="s">
        <v>3259</v>
      </c>
      <c r="W57" s="1701" t="s">
        <v>3259</v>
      </c>
      <c r="X57" s="1701" t="s">
        <v>3257</v>
      </c>
      <c r="Y57" s="1701" t="s">
        <v>3259</v>
      </c>
      <c r="Z57" s="1701" t="s">
        <v>3172</v>
      </c>
      <c r="AA57" s="1701" t="s">
        <v>3172</v>
      </c>
      <c r="AB57" s="1701" t="s">
        <v>3172</v>
      </c>
      <c r="AC57" s="1701" t="s">
        <v>3172</v>
      </c>
      <c r="AD57" s="1701" t="s">
        <v>3172</v>
      </c>
      <c r="AE57" s="1701" t="s">
        <v>3223</v>
      </c>
      <c r="AF57" s="1701" t="s">
        <v>3223</v>
      </c>
      <c r="AG57" s="1701" t="s">
        <v>3174</v>
      </c>
      <c r="AH57" s="1701" t="s">
        <v>3260</v>
      </c>
      <c r="AI57" s="1701" t="s">
        <v>3261</v>
      </c>
      <c r="AJ57" s="1701" t="s">
        <v>3262</v>
      </c>
      <c r="AK57" s="1701" t="s">
        <v>3262</v>
      </c>
      <c r="AL57" s="1701" t="s">
        <v>3263</v>
      </c>
      <c r="AM57" s="1701" t="s">
        <v>3263</v>
      </c>
      <c r="AN57" s="1701" t="s">
        <v>3263</v>
      </c>
      <c r="AO57" s="1701" t="s">
        <v>3263</v>
      </c>
      <c r="AP57" s="1701" t="s">
        <v>3264</v>
      </c>
      <c r="AQ57" s="1701" t="s">
        <v>2260</v>
      </c>
      <c r="AR57" s="1701" t="s">
        <v>2260</v>
      </c>
      <c r="AS57" s="1701" t="s">
        <v>2260</v>
      </c>
      <c r="AT57" s="1701" t="s">
        <v>2260</v>
      </c>
      <c r="AU57" s="1701" t="s">
        <v>3265</v>
      </c>
      <c r="AV57" s="1701" t="s">
        <v>3266</v>
      </c>
      <c r="AW57" s="1701" t="s">
        <v>3266</v>
      </c>
      <c r="AX57" s="1701" t="s">
        <v>2260</v>
      </c>
      <c r="AY57" s="1701" t="s">
        <v>2260</v>
      </c>
      <c r="AZ57" s="1701" t="s">
        <v>2260</v>
      </c>
      <c r="BA57" s="1701" t="s">
        <v>2260</v>
      </c>
      <c r="BB57" s="1701" t="s">
        <v>2260</v>
      </c>
      <c r="BC57" s="1701" t="s">
        <v>2260</v>
      </c>
      <c r="BD57" s="1701" t="s">
        <v>3267</v>
      </c>
      <c r="BE57" s="1701" t="s">
        <v>3267</v>
      </c>
      <c r="BF57" s="1701" t="s">
        <v>3267</v>
      </c>
      <c r="BG57" s="1701" t="s">
        <v>3267</v>
      </c>
      <c r="BH57" s="1701" t="s">
        <v>3267</v>
      </c>
      <c r="BI57" s="1701" t="s">
        <v>3268</v>
      </c>
      <c r="BJ57" s="1701" t="s">
        <v>3267</v>
      </c>
      <c r="BK57" s="1701" t="s">
        <v>3267</v>
      </c>
      <c r="BL57" s="1701" t="s">
        <v>3267</v>
      </c>
      <c r="BM57" s="1701" t="s">
        <v>3269</v>
      </c>
      <c r="BN57" s="1701" t="s">
        <v>3269</v>
      </c>
      <c r="BO57" s="1701" t="s">
        <v>3270</v>
      </c>
      <c r="BP57" s="1701" t="s">
        <v>3270</v>
      </c>
      <c r="BQ57" s="1701" t="s">
        <v>3270</v>
      </c>
      <c r="BR57" s="1701" t="s">
        <v>3270</v>
      </c>
      <c r="BS57" s="1701" t="s">
        <v>3271</v>
      </c>
      <c r="BT57" s="1701" t="s">
        <v>3271</v>
      </c>
      <c r="BU57" s="1701" t="s">
        <v>3271</v>
      </c>
      <c r="BV57" s="1701" t="s">
        <v>3271</v>
      </c>
      <c r="BW57" s="1701" t="s">
        <v>3272</v>
      </c>
      <c r="BX57" s="1701" t="s">
        <v>3272</v>
      </c>
      <c r="BY57" s="1701" t="s">
        <v>3272</v>
      </c>
      <c r="BZ57" s="1702" t="s">
        <v>3272</v>
      </c>
      <c r="CA57" s="1701" t="s">
        <v>3273</v>
      </c>
      <c r="CB57" s="1701" t="s">
        <v>3274</v>
      </c>
      <c r="CC57" s="1701" t="s">
        <v>3275</v>
      </c>
      <c r="CD57" s="1701" t="s">
        <v>3023</v>
      </c>
      <c r="CE57" s="1701" t="s">
        <v>3023</v>
      </c>
      <c r="CF57" s="1701" t="s">
        <v>3023</v>
      </c>
      <c r="CG57" s="1701" t="s">
        <v>3023</v>
      </c>
      <c r="CH57" s="1701" t="s">
        <v>3276</v>
      </c>
      <c r="CI57" s="1701" t="s">
        <v>3276</v>
      </c>
      <c r="CJ57" s="1701" t="s">
        <v>3276</v>
      </c>
      <c r="CK57" s="1701" t="s">
        <v>3276</v>
      </c>
      <c r="CL57" s="1701" t="s">
        <v>3276</v>
      </c>
      <c r="CM57" s="1701" t="s">
        <v>3276</v>
      </c>
      <c r="CN57" s="1701" t="s">
        <v>3276</v>
      </c>
      <c r="CO57" s="1701" t="s">
        <v>3277</v>
      </c>
      <c r="CP57" s="1701" t="s">
        <v>3277</v>
      </c>
      <c r="CQ57" s="1705" t="s">
        <v>3277</v>
      </c>
      <c r="CR57" s="1727" t="s">
        <v>3278</v>
      </c>
      <c r="CS57" s="1727" t="s">
        <v>3279</v>
      </c>
      <c r="CT57" s="1727" t="s">
        <v>3280</v>
      </c>
      <c r="CU57" s="1727" t="s">
        <v>3280</v>
      </c>
      <c r="CV57" s="1727" t="s">
        <v>3280</v>
      </c>
      <c r="CW57" s="1727" t="s">
        <v>3281</v>
      </c>
      <c r="CX57" s="1727" t="s">
        <v>3280</v>
      </c>
      <c r="CY57" s="1727" t="s">
        <v>3280</v>
      </c>
      <c r="CZ57" s="1727" t="s">
        <v>3280</v>
      </c>
      <c r="DA57" s="1727" t="s">
        <v>3280</v>
      </c>
      <c r="DB57" s="1727" t="s">
        <v>3280</v>
      </c>
      <c r="DC57" s="1728" t="s">
        <v>3280</v>
      </c>
      <c r="DD57" s="1728" t="s">
        <v>3280</v>
      </c>
      <c r="DE57" s="1728" t="s">
        <v>3282</v>
      </c>
      <c r="DF57" s="1728" t="s">
        <v>3283</v>
      </c>
      <c r="DG57" s="1728" t="s">
        <v>3283</v>
      </c>
      <c r="DH57" s="1728" t="s">
        <v>3284</v>
      </c>
      <c r="DI57" s="1728" t="s">
        <v>3285</v>
      </c>
      <c r="DJ57" s="1728" t="s">
        <v>3285</v>
      </c>
      <c r="DK57" s="1728" t="s">
        <v>3286</v>
      </c>
      <c r="DL57" s="1728" t="s">
        <v>3287</v>
      </c>
      <c r="DM57" s="1728" t="s">
        <v>3287</v>
      </c>
      <c r="DN57" s="1728" t="s">
        <v>3287</v>
      </c>
      <c r="DO57" s="1728" t="s">
        <v>3288</v>
      </c>
      <c r="DP57" s="1728" t="s">
        <v>3289</v>
      </c>
      <c r="DQ57" s="1728" t="s">
        <v>3290</v>
      </c>
      <c r="DR57" s="1728" t="s">
        <v>3289</v>
      </c>
      <c r="DS57" s="1728" t="s">
        <v>3289</v>
      </c>
      <c r="DT57" s="1728" t="s">
        <v>3289</v>
      </c>
      <c r="DU57" s="1728" t="s">
        <v>3291</v>
      </c>
      <c r="DV57" s="1728" t="s">
        <v>3292</v>
      </c>
      <c r="DW57" s="1728" t="s">
        <v>3292</v>
      </c>
      <c r="DX57" s="1728" t="s">
        <v>3293</v>
      </c>
      <c r="DY57" s="1728" t="s">
        <v>3293</v>
      </c>
      <c r="DZ57" s="1728" t="s">
        <v>3293</v>
      </c>
      <c r="EA57" s="1728" t="s">
        <v>3294</v>
      </c>
    </row>
    <row r="58" spans="1:131" ht="17.45" customHeight="1" x14ac:dyDescent="0.25">
      <c r="A58" s="1677" t="s">
        <v>3295</v>
      </c>
      <c r="B58" s="1699" t="s">
        <v>3296</v>
      </c>
      <c r="C58" s="1700" t="s">
        <v>3297</v>
      </c>
      <c r="D58" s="1700" t="s">
        <v>3263</v>
      </c>
      <c r="E58" s="1700" t="s">
        <v>3263</v>
      </c>
      <c r="F58" s="1699" t="s">
        <v>3263</v>
      </c>
      <c r="G58" s="1700" t="s">
        <v>1173</v>
      </c>
      <c r="H58" s="1700" t="s">
        <v>1173</v>
      </c>
      <c r="I58" s="1700" t="s">
        <v>1173</v>
      </c>
      <c r="J58" s="1700" t="s">
        <v>1173</v>
      </c>
      <c r="K58" s="1700" t="s">
        <v>1173</v>
      </c>
      <c r="L58" s="1700" t="s">
        <v>1173</v>
      </c>
      <c r="M58" s="1700" t="s">
        <v>1173</v>
      </c>
      <c r="N58" s="1699" t="s">
        <v>3298</v>
      </c>
      <c r="O58" s="1700" t="s">
        <v>3298</v>
      </c>
      <c r="P58" s="1700" t="s">
        <v>1578</v>
      </c>
      <c r="Q58" s="1699" t="s">
        <v>1578</v>
      </c>
      <c r="R58" s="1700" t="s">
        <v>1578</v>
      </c>
      <c r="S58" s="1700" t="s">
        <v>1578</v>
      </c>
      <c r="T58" s="1701" t="s">
        <v>1578</v>
      </c>
      <c r="U58" s="1701" t="s">
        <v>1578</v>
      </c>
      <c r="V58" s="1701" t="s">
        <v>1578</v>
      </c>
      <c r="W58" s="1701" t="s">
        <v>1578</v>
      </c>
      <c r="X58" s="1701" t="s">
        <v>3299</v>
      </c>
      <c r="Y58" s="1701" t="s">
        <v>3298</v>
      </c>
      <c r="Z58" s="1701" t="s">
        <v>1578</v>
      </c>
      <c r="AA58" s="1701" t="s">
        <v>3300</v>
      </c>
      <c r="AB58" s="1701" t="s">
        <v>3300</v>
      </c>
      <c r="AC58" s="1701" t="s">
        <v>3300</v>
      </c>
      <c r="AD58" s="1701" t="s">
        <v>3300</v>
      </c>
      <c r="AE58" s="1701" t="s">
        <v>3300</v>
      </c>
      <c r="AF58" s="1701" t="s">
        <v>3300</v>
      </c>
      <c r="AG58" s="1701" t="s">
        <v>3301</v>
      </c>
      <c r="AH58" s="1701" t="s">
        <v>3301</v>
      </c>
      <c r="AI58" s="1701" t="s">
        <v>3302</v>
      </c>
      <c r="AJ58" s="1701" t="s">
        <v>3303</v>
      </c>
      <c r="AK58" s="1701" t="s">
        <v>3303</v>
      </c>
      <c r="AL58" s="1701" t="s">
        <v>3304</v>
      </c>
      <c r="AM58" s="1701" t="s">
        <v>3305</v>
      </c>
      <c r="AN58" s="1701" t="s">
        <v>3306</v>
      </c>
      <c r="AO58" s="1701" t="s">
        <v>3306</v>
      </c>
      <c r="AP58" s="1701" t="s">
        <v>3307</v>
      </c>
      <c r="AQ58" s="1701" t="s">
        <v>3308</v>
      </c>
      <c r="AR58" s="1701" t="s">
        <v>3309</v>
      </c>
      <c r="AS58" s="1701" t="s">
        <v>3310</v>
      </c>
      <c r="AT58" s="1701" t="s">
        <v>3311</v>
      </c>
      <c r="AU58" s="1701" t="s">
        <v>3259</v>
      </c>
      <c r="AV58" s="1701" t="s">
        <v>3312</v>
      </c>
      <c r="AW58" s="1701" t="s">
        <v>3312</v>
      </c>
      <c r="AX58" s="1701" t="s">
        <v>3313</v>
      </c>
      <c r="AY58" s="1701" t="s">
        <v>3314</v>
      </c>
      <c r="AZ58" s="1701" t="s">
        <v>3315</v>
      </c>
      <c r="BA58" s="1701" t="s">
        <v>3314</v>
      </c>
      <c r="BB58" s="1701" t="s">
        <v>3316</v>
      </c>
      <c r="BC58" s="1701" t="s">
        <v>3316</v>
      </c>
      <c r="BD58" s="1701" t="s">
        <v>3316</v>
      </c>
      <c r="BE58" s="1701" t="s">
        <v>3134</v>
      </c>
      <c r="BF58" s="1701" t="s">
        <v>3134</v>
      </c>
      <c r="BG58" s="1701" t="s">
        <v>3317</v>
      </c>
      <c r="BH58" s="1701" t="s">
        <v>3134</v>
      </c>
      <c r="BI58" s="1701" t="s">
        <v>3318</v>
      </c>
      <c r="BJ58" s="1701" t="s">
        <v>3319</v>
      </c>
      <c r="BK58" s="1701" t="s">
        <v>3320</v>
      </c>
      <c r="BL58" s="1701" t="s">
        <v>3320</v>
      </c>
      <c r="BM58" s="1701" t="s">
        <v>3321</v>
      </c>
      <c r="BN58" s="1701" t="s">
        <v>3320</v>
      </c>
      <c r="BO58" s="1701" t="s">
        <v>3322</v>
      </c>
      <c r="BP58" s="1701" t="s">
        <v>3323</v>
      </c>
      <c r="BQ58" s="1701" t="s">
        <v>3324</v>
      </c>
      <c r="BR58" s="1701" t="s">
        <v>3324</v>
      </c>
      <c r="BS58" s="1701" t="s">
        <v>3325</v>
      </c>
      <c r="BT58" s="1701" t="s">
        <v>3325</v>
      </c>
      <c r="BU58" s="1701" t="s">
        <v>3326</v>
      </c>
      <c r="BV58" s="1701" t="s">
        <v>3326</v>
      </c>
      <c r="BW58" s="1701" t="s">
        <v>3327</v>
      </c>
      <c r="BX58" s="1701" t="s">
        <v>3328</v>
      </c>
      <c r="BY58" s="1701" t="s">
        <v>3328</v>
      </c>
      <c r="BZ58" s="1702" t="s">
        <v>3328</v>
      </c>
      <c r="CA58" s="1701" t="s">
        <v>3329</v>
      </c>
      <c r="CB58" s="1701" t="s">
        <v>3330</v>
      </c>
      <c r="CC58" s="1701" t="s">
        <v>3331</v>
      </c>
      <c r="CD58" s="1701" t="s">
        <v>3332</v>
      </c>
      <c r="CE58" s="1701" t="s">
        <v>3333</v>
      </c>
      <c r="CF58" s="1701" t="s">
        <v>3331</v>
      </c>
      <c r="CG58" s="1701" t="s">
        <v>3331</v>
      </c>
      <c r="CH58" s="1701" t="s">
        <v>3334</v>
      </c>
      <c r="CI58" s="1701" t="s">
        <v>3335</v>
      </c>
      <c r="CJ58" s="1701" t="s">
        <v>3336</v>
      </c>
      <c r="CK58" s="1701" t="s">
        <v>3337</v>
      </c>
      <c r="CL58" s="1701" t="s">
        <v>3338</v>
      </c>
      <c r="CM58" s="1701" t="s">
        <v>3338</v>
      </c>
      <c r="CN58" s="1701" t="s">
        <v>3338</v>
      </c>
      <c r="CO58" s="1701" t="s">
        <v>3339</v>
      </c>
      <c r="CP58" s="1701" t="s">
        <v>3339</v>
      </c>
      <c r="CQ58" s="1705" t="s">
        <v>3339</v>
      </c>
      <c r="CR58" s="1727" t="s">
        <v>3340</v>
      </c>
      <c r="CS58" s="1727" t="s">
        <v>3023</v>
      </c>
      <c r="CT58" s="1727" t="s">
        <v>3341</v>
      </c>
      <c r="CU58" s="1727" t="s">
        <v>3342</v>
      </c>
      <c r="CV58" s="1727" t="s">
        <v>3342</v>
      </c>
      <c r="CW58" s="1727" t="s">
        <v>3343</v>
      </c>
      <c r="CX58" s="1727" t="s">
        <v>3342</v>
      </c>
      <c r="CY58" s="1727" t="s">
        <v>3342</v>
      </c>
      <c r="CZ58" s="1727" t="s">
        <v>3342</v>
      </c>
      <c r="DA58" s="1727" t="s">
        <v>3342</v>
      </c>
      <c r="DB58" s="1727" t="s">
        <v>3342</v>
      </c>
      <c r="DC58" s="1728" t="s">
        <v>3342</v>
      </c>
      <c r="DD58" s="1728" t="s">
        <v>3342</v>
      </c>
      <c r="DE58" s="1728" t="s">
        <v>3344</v>
      </c>
      <c r="DF58" s="1728" t="s">
        <v>3345</v>
      </c>
      <c r="DG58" s="1728" t="s">
        <v>3345</v>
      </c>
      <c r="DH58" s="1728" t="s">
        <v>3346</v>
      </c>
      <c r="DI58" s="1728" t="s">
        <v>3347</v>
      </c>
      <c r="DJ58" s="1728" t="s">
        <v>3348</v>
      </c>
      <c r="DK58" s="1728" t="s">
        <v>3349</v>
      </c>
      <c r="DL58" s="1728" t="s">
        <v>3349</v>
      </c>
      <c r="DM58" s="1728" t="s">
        <v>3350</v>
      </c>
      <c r="DN58" s="1728" t="s">
        <v>3351</v>
      </c>
      <c r="DO58" s="1728" t="s">
        <v>3352</v>
      </c>
      <c r="DP58" s="1728" t="s">
        <v>3351</v>
      </c>
      <c r="DQ58" s="1728" t="s">
        <v>3351</v>
      </c>
      <c r="DR58" s="1728" t="s">
        <v>3351</v>
      </c>
      <c r="DS58" s="1728" t="s">
        <v>3351</v>
      </c>
      <c r="DT58" s="1728" t="s">
        <v>3351</v>
      </c>
      <c r="DU58" s="1728" t="s">
        <v>3351</v>
      </c>
      <c r="DV58" s="1728" t="s">
        <v>3353</v>
      </c>
      <c r="DW58" s="1728" t="s">
        <v>3353</v>
      </c>
      <c r="DX58" s="1728" t="s">
        <v>3354</v>
      </c>
      <c r="DY58" s="1728" t="s">
        <v>3354</v>
      </c>
      <c r="DZ58" s="1728" t="s">
        <v>3355</v>
      </c>
      <c r="EA58" s="1728" t="s">
        <v>3356</v>
      </c>
    </row>
    <row r="59" spans="1:131" ht="17.45" customHeight="1" x14ac:dyDescent="0.25">
      <c r="A59" s="1677" t="s">
        <v>3357</v>
      </c>
      <c r="B59" s="1699" t="s">
        <v>3313</v>
      </c>
      <c r="C59" s="1700" t="s">
        <v>3298</v>
      </c>
      <c r="D59" s="1700" t="s">
        <v>3298</v>
      </c>
      <c r="E59" s="1700" t="s">
        <v>3298</v>
      </c>
      <c r="F59" s="1699" t="s">
        <v>3298</v>
      </c>
      <c r="G59" s="1700" t="s">
        <v>3298</v>
      </c>
      <c r="H59" s="1700" t="s">
        <v>3298</v>
      </c>
      <c r="I59" s="1700" t="s">
        <v>3298</v>
      </c>
      <c r="J59" s="1700" t="s">
        <v>3298</v>
      </c>
      <c r="K59" s="1700" t="s">
        <v>3298</v>
      </c>
      <c r="L59" s="1700" t="s">
        <v>3298</v>
      </c>
      <c r="M59" s="1700" t="s">
        <v>3298</v>
      </c>
      <c r="N59" s="1699" t="s">
        <v>3358</v>
      </c>
      <c r="O59" s="1700" t="s">
        <v>3358</v>
      </c>
      <c r="P59" s="1700" t="s">
        <v>3359</v>
      </c>
      <c r="Q59" s="1699" t="s">
        <v>3359</v>
      </c>
      <c r="R59" s="1700" t="s">
        <v>3359</v>
      </c>
      <c r="S59" s="1700" t="s">
        <v>3360</v>
      </c>
      <c r="T59" s="1701" t="s">
        <v>3360</v>
      </c>
      <c r="U59" s="1701" t="s">
        <v>3267</v>
      </c>
      <c r="V59" s="1701" t="s">
        <v>3267</v>
      </c>
      <c r="W59" s="1701" t="s">
        <v>3267</v>
      </c>
      <c r="X59" s="1701" t="s">
        <v>3267</v>
      </c>
      <c r="Y59" s="1701" t="s">
        <v>3267</v>
      </c>
      <c r="Z59" s="1701" t="s">
        <v>3267</v>
      </c>
      <c r="AA59" s="1701" t="s">
        <v>3267</v>
      </c>
      <c r="AB59" s="1701" t="s">
        <v>3267</v>
      </c>
      <c r="AC59" s="1701" t="s">
        <v>3267</v>
      </c>
      <c r="AD59" s="1701" t="s">
        <v>3361</v>
      </c>
      <c r="AE59" s="1701" t="s">
        <v>3361</v>
      </c>
      <c r="AF59" s="1701" t="s">
        <v>3360</v>
      </c>
      <c r="AG59" s="1701" t="s">
        <v>3361</v>
      </c>
      <c r="AH59" s="1701" t="s">
        <v>3361</v>
      </c>
      <c r="AI59" s="1701" t="s">
        <v>3362</v>
      </c>
      <c r="AJ59" s="1701" t="s">
        <v>3362</v>
      </c>
      <c r="AK59" s="1701" t="s">
        <v>3362</v>
      </c>
      <c r="AL59" s="1701" t="s">
        <v>3362</v>
      </c>
      <c r="AM59" s="1701" t="s">
        <v>3363</v>
      </c>
      <c r="AN59" s="1701" t="s">
        <v>3363</v>
      </c>
      <c r="AO59" s="1701" t="s">
        <v>3363</v>
      </c>
      <c r="AP59" s="1701" t="s">
        <v>3364</v>
      </c>
      <c r="AQ59" s="1701" t="s">
        <v>3365</v>
      </c>
      <c r="AR59" s="1701" t="s">
        <v>3366</v>
      </c>
      <c r="AS59" s="1701" t="s">
        <v>3366</v>
      </c>
      <c r="AT59" s="1701" t="s">
        <v>3367</v>
      </c>
      <c r="AU59" s="1701" t="s">
        <v>3368</v>
      </c>
      <c r="AV59" s="1701" t="s">
        <v>3369</v>
      </c>
      <c r="AW59" s="1701" t="s">
        <v>3370</v>
      </c>
      <c r="AX59" s="1701" t="s">
        <v>3371</v>
      </c>
      <c r="AY59" s="1701" t="s">
        <v>3367</v>
      </c>
      <c r="AZ59" s="1701" t="s">
        <v>3367</v>
      </c>
      <c r="BA59" s="1701" t="s">
        <v>3367</v>
      </c>
      <c r="BB59" s="1701" t="s">
        <v>3367</v>
      </c>
      <c r="BC59" s="1701" t="s">
        <v>3367</v>
      </c>
      <c r="BD59" s="1701" t="s">
        <v>3368</v>
      </c>
      <c r="BE59" s="1701" t="s">
        <v>3372</v>
      </c>
      <c r="BF59" s="1701" t="s">
        <v>3372</v>
      </c>
      <c r="BG59" s="1701" t="s">
        <v>3367</v>
      </c>
      <c r="BH59" s="1701" t="s">
        <v>3367</v>
      </c>
      <c r="BI59" s="1701" t="s">
        <v>3371</v>
      </c>
      <c r="BJ59" s="1701" t="s">
        <v>3371</v>
      </c>
      <c r="BK59" s="1701" t="s">
        <v>3373</v>
      </c>
      <c r="BL59" s="1701" t="s">
        <v>3373</v>
      </c>
      <c r="BM59" s="1701" t="s">
        <v>3374</v>
      </c>
      <c r="BN59" s="1701" t="s">
        <v>3374</v>
      </c>
      <c r="BO59" s="1701" t="s">
        <v>3375</v>
      </c>
      <c r="BP59" s="1701" t="s">
        <v>3375</v>
      </c>
      <c r="BQ59" s="1701" t="s">
        <v>3375</v>
      </c>
      <c r="BR59" s="1701" t="s">
        <v>3375</v>
      </c>
      <c r="BS59" s="1701" t="s">
        <v>3376</v>
      </c>
      <c r="BT59" s="1701" t="s">
        <v>3376</v>
      </c>
      <c r="BU59" s="1701" t="s">
        <v>3376</v>
      </c>
      <c r="BV59" s="1701" t="s">
        <v>3376</v>
      </c>
      <c r="BW59" s="1701" t="s">
        <v>3377</v>
      </c>
      <c r="BX59" s="1701" t="s">
        <v>3378</v>
      </c>
      <c r="BY59" s="1701" t="s">
        <v>3377</v>
      </c>
      <c r="BZ59" s="1702" t="s">
        <v>3377</v>
      </c>
      <c r="CA59" s="1701" t="s">
        <v>3377</v>
      </c>
      <c r="CB59" s="1701" t="s">
        <v>3379</v>
      </c>
      <c r="CC59" s="1701" t="s">
        <v>3380</v>
      </c>
      <c r="CD59" s="1701" t="s">
        <v>3381</v>
      </c>
      <c r="CE59" s="1701" t="s">
        <v>3381</v>
      </c>
      <c r="CF59" s="1701" t="s">
        <v>3381</v>
      </c>
      <c r="CG59" s="1701" t="s">
        <v>3381</v>
      </c>
      <c r="CH59" s="1701" t="s">
        <v>3381</v>
      </c>
      <c r="CI59" s="1701" t="s">
        <v>3381</v>
      </c>
      <c r="CJ59" s="1701" t="s">
        <v>3381</v>
      </c>
      <c r="CK59" s="1701" t="s">
        <v>3381</v>
      </c>
      <c r="CL59" s="1701" t="s">
        <v>3382</v>
      </c>
      <c r="CM59" s="1701" t="s">
        <v>3383</v>
      </c>
      <c r="CN59" s="1701" t="s">
        <v>3383</v>
      </c>
      <c r="CO59" s="1701" t="s">
        <v>3384</v>
      </c>
      <c r="CP59" s="1701" t="s">
        <v>3385</v>
      </c>
      <c r="CQ59" s="1705" t="s">
        <v>3385</v>
      </c>
      <c r="CR59" s="1727" t="s">
        <v>3385</v>
      </c>
      <c r="CS59" s="1727" t="s">
        <v>3385</v>
      </c>
      <c r="CT59" s="1727" t="s">
        <v>3385</v>
      </c>
      <c r="CU59" s="1727" t="s">
        <v>3385</v>
      </c>
      <c r="CV59" s="1727" t="s">
        <v>3385</v>
      </c>
      <c r="CW59" s="1727" t="s">
        <v>3385</v>
      </c>
      <c r="CX59" s="1727" t="s">
        <v>3386</v>
      </c>
      <c r="CY59" s="1727" t="s">
        <v>3387</v>
      </c>
      <c r="CZ59" s="1727" t="s">
        <v>3388</v>
      </c>
      <c r="DA59" s="1727" t="s">
        <v>3387</v>
      </c>
      <c r="DB59" s="1727" t="s">
        <v>3387</v>
      </c>
      <c r="DC59" s="1728" t="s">
        <v>3389</v>
      </c>
      <c r="DD59" s="1728" t="s">
        <v>3389</v>
      </c>
      <c r="DE59" s="1728" t="s">
        <v>3389</v>
      </c>
      <c r="DF59" s="1728" t="s">
        <v>3390</v>
      </c>
      <c r="DG59" s="1728" t="s">
        <v>3391</v>
      </c>
      <c r="DH59" s="1728" t="s">
        <v>3387</v>
      </c>
      <c r="DI59" s="1728" t="s">
        <v>3392</v>
      </c>
      <c r="DJ59" s="1728" t="s">
        <v>3393</v>
      </c>
      <c r="DK59" s="1728" t="s">
        <v>3394</v>
      </c>
      <c r="DL59" s="1728" t="s">
        <v>3395</v>
      </c>
      <c r="DM59" s="1728" t="s">
        <v>3396</v>
      </c>
      <c r="DN59" s="1728" t="s">
        <v>3397</v>
      </c>
      <c r="DO59" s="1728" t="s">
        <v>3397</v>
      </c>
      <c r="DP59" s="1728" t="s">
        <v>3398</v>
      </c>
      <c r="DQ59" s="1728" t="s">
        <v>3398</v>
      </c>
      <c r="DR59" s="1728" t="s">
        <v>3399</v>
      </c>
      <c r="DS59" s="1728" t="s">
        <v>3399</v>
      </c>
      <c r="DT59" s="1728" t="s">
        <v>3399</v>
      </c>
      <c r="DU59" s="1728" t="s">
        <v>3399</v>
      </c>
      <c r="DV59" s="1728" t="s">
        <v>3400</v>
      </c>
      <c r="DW59" s="1728" t="s">
        <v>3400</v>
      </c>
      <c r="DX59" s="1728" t="s">
        <v>3282</v>
      </c>
      <c r="DY59" s="1728" t="s">
        <v>3282</v>
      </c>
      <c r="DZ59" s="1728" t="s">
        <v>3282</v>
      </c>
      <c r="EA59" s="1728" t="s">
        <v>3282</v>
      </c>
    </row>
    <row r="60" spans="1:131" ht="17.45" customHeight="1" x14ac:dyDescent="0.25">
      <c r="A60" s="1677" t="s">
        <v>3401</v>
      </c>
      <c r="B60" s="1699" t="s">
        <v>3402</v>
      </c>
      <c r="C60" s="1700" t="s">
        <v>3403</v>
      </c>
      <c r="D60" s="1700" t="s">
        <v>3404</v>
      </c>
      <c r="E60" s="1700" t="s">
        <v>2860</v>
      </c>
      <c r="F60" s="1699" t="s">
        <v>2860</v>
      </c>
      <c r="G60" s="1700" t="s">
        <v>3405</v>
      </c>
      <c r="H60" s="1700" t="s">
        <v>3406</v>
      </c>
      <c r="I60" s="1700" t="s">
        <v>3406</v>
      </c>
      <c r="J60" s="1700" t="s">
        <v>3406</v>
      </c>
      <c r="K60" s="1700" t="s">
        <v>3406</v>
      </c>
      <c r="L60" s="1700" t="s">
        <v>3406</v>
      </c>
      <c r="M60" s="1700" t="s">
        <v>3406</v>
      </c>
      <c r="N60" s="1699" t="s">
        <v>2236</v>
      </c>
      <c r="O60" s="1700" t="s">
        <v>3407</v>
      </c>
      <c r="P60" s="1700" t="s">
        <v>3408</v>
      </c>
      <c r="Q60" s="1699" t="s">
        <v>3409</v>
      </c>
      <c r="R60" s="1700" t="s">
        <v>3409</v>
      </c>
      <c r="S60" s="1700" t="s">
        <v>3410</v>
      </c>
      <c r="T60" s="1701" t="s">
        <v>3411</v>
      </c>
      <c r="U60" s="1701" t="s">
        <v>3412</v>
      </c>
      <c r="V60" s="1701" t="s">
        <v>3413</v>
      </c>
      <c r="W60" s="1701" t="s">
        <v>2543</v>
      </c>
      <c r="X60" s="1701" t="s">
        <v>1697</v>
      </c>
      <c r="Y60" s="1701" t="s">
        <v>3414</v>
      </c>
      <c r="Z60" s="1701" t="s">
        <v>1696</v>
      </c>
      <c r="AA60" s="1701" t="s">
        <v>1697</v>
      </c>
      <c r="AB60" s="1701" t="s">
        <v>1696</v>
      </c>
      <c r="AC60" s="1701" t="s">
        <v>2543</v>
      </c>
      <c r="AD60" s="1701" t="s">
        <v>2581</v>
      </c>
      <c r="AE60" s="1701" t="s">
        <v>2581</v>
      </c>
      <c r="AF60" s="1701" t="s">
        <v>2581</v>
      </c>
      <c r="AG60" s="1701" t="s">
        <v>3415</v>
      </c>
      <c r="AH60" s="1701" t="s">
        <v>3416</v>
      </c>
      <c r="AI60" s="1701" t="s">
        <v>3417</v>
      </c>
      <c r="AJ60" s="1701" t="s">
        <v>2581</v>
      </c>
      <c r="AK60" s="1701" t="s">
        <v>2581</v>
      </c>
      <c r="AL60" s="1701" t="s">
        <v>3418</v>
      </c>
      <c r="AM60" s="1701" t="s">
        <v>3418</v>
      </c>
      <c r="AN60" s="1701" t="s">
        <v>3418</v>
      </c>
      <c r="AO60" s="1701" t="s">
        <v>3418</v>
      </c>
      <c r="AP60" s="1701" t="s">
        <v>2581</v>
      </c>
      <c r="AQ60" s="1701" t="s">
        <v>3419</v>
      </c>
      <c r="AR60" s="1701" t="s">
        <v>3419</v>
      </c>
      <c r="AS60" s="1701" t="s">
        <v>3419</v>
      </c>
      <c r="AT60" s="1701" t="s">
        <v>3419</v>
      </c>
      <c r="AU60" s="1701" t="s">
        <v>3420</v>
      </c>
      <c r="AV60" s="1701" t="s">
        <v>3420</v>
      </c>
      <c r="AW60" s="1701" t="s">
        <v>3420</v>
      </c>
      <c r="AX60" s="1701" t="s">
        <v>3421</v>
      </c>
      <c r="AY60" s="1701" t="s">
        <v>3422</v>
      </c>
      <c r="AZ60" s="1701" t="s">
        <v>3422</v>
      </c>
      <c r="BA60" s="1701" t="s">
        <v>1129</v>
      </c>
      <c r="BB60" s="1701" t="s">
        <v>1129</v>
      </c>
      <c r="BC60" s="1701" t="s">
        <v>1129</v>
      </c>
      <c r="BD60" s="1701" t="s">
        <v>3422</v>
      </c>
      <c r="BE60" s="1701" t="s">
        <v>3422</v>
      </c>
      <c r="BF60" s="1701" t="s">
        <v>3422</v>
      </c>
      <c r="BG60" s="1701" t="s">
        <v>1129</v>
      </c>
      <c r="BH60" s="1701" t="s">
        <v>3422</v>
      </c>
      <c r="BI60" s="1701" t="s">
        <v>3422</v>
      </c>
      <c r="BJ60" s="1701" t="s">
        <v>3422</v>
      </c>
      <c r="BK60" s="1701" t="s">
        <v>3422</v>
      </c>
      <c r="BL60" s="1701" t="s">
        <v>3422</v>
      </c>
      <c r="BM60" s="1701" t="s">
        <v>3313</v>
      </c>
      <c r="BN60" s="1701" t="s">
        <v>3423</v>
      </c>
      <c r="BO60" s="1701" t="s">
        <v>3424</v>
      </c>
      <c r="BP60" s="1701" t="s">
        <v>3424</v>
      </c>
      <c r="BQ60" s="1701" t="s">
        <v>3424</v>
      </c>
      <c r="BR60" s="1701" t="s">
        <v>3424</v>
      </c>
      <c r="BS60" s="1701" t="s">
        <v>3425</v>
      </c>
      <c r="BT60" s="1701" t="s">
        <v>3425</v>
      </c>
      <c r="BU60" s="1701" t="s">
        <v>3426</v>
      </c>
      <c r="BV60" s="1701" t="s">
        <v>3426</v>
      </c>
      <c r="BW60" s="1701" t="s">
        <v>3426</v>
      </c>
      <c r="BX60" s="1701" t="s">
        <v>3426</v>
      </c>
      <c r="BY60" s="1701" t="s">
        <v>3426</v>
      </c>
      <c r="BZ60" s="1702" t="s">
        <v>3426</v>
      </c>
      <c r="CA60" s="1701" t="s">
        <v>2260</v>
      </c>
      <c r="CB60" s="1701" t="s">
        <v>3427</v>
      </c>
      <c r="CC60" s="1701" t="s">
        <v>3263</v>
      </c>
      <c r="CD60" s="1701" t="s">
        <v>3428</v>
      </c>
      <c r="CE60" s="1701" t="s">
        <v>3429</v>
      </c>
      <c r="CF60" s="1701" t="s">
        <v>3429</v>
      </c>
      <c r="CG60" s="1701" t="s">
        <v>3429</v>
      </c>
      <c r="CH60" s="1701" t="s">
        <v>3429</v>
      </c>
      <c r="CI60" s="1701" t="s">
        <v>3430</v>
      </c>
      <c r="CJ60" s="1701" t="s">
        <v>3430</v>
      </c>
      <c r="CK60" s="1701" t="s">
        <v>3431</v>
      </c>
      <c r="CL60" s="1701" t="s">
        <v>3431</v>
      </c>
      <c r="CM60" s="1701" t="s">
        <v>3431</v>
      </c>
      <c r="CN60" s="1701" t="s">
        <v>3431</v>
      </c>
      <c r="CO60" s="1701" t="s">
        <v>3431</v>
      </c>
      <c r="CP60" s="1701" t="s">
        <v>3431</v>
      </c>
      <c r="CQ60" s="1705" t="s">
        <v>3432</v>
      </c>
      <c r="CR60" s="1727" t="s">
        <v>3431</v>
      </c>
      <c r="CS60" s="1727" t="s">
        <v>3431</v>
      </c>
      <c r="CT60" s="1727" t="s">
        <v>3433</v>
      </c>
      <c r="CU60" s="1727" t="s">
        <v>3433</v>
      </c>
      <c r="CV60" s="1727" t="s">
        <v>3434</v>
      </c>
      <c r="CW60" s="1727" t="s">
        <v>3435</v>
      </c>
      <c r="CX60" s="1727" t="s">
        <v>3435</v>
      </c>
      <c r="CY60" s="1727" t="s">
        <v>3435</v>
      </c>
      <c r="CZ60" s="1727" t="s">
        <v>3436</v>
      </c>
      <c r="DA60" s="1727" t="s">
        <v>3436</v>
      </c>
      <c r="DB60" s="1727" t="s">
        <v>3436</v>
      </c>
      <c r="DC60" s="1728" t="s">
        <v>3436</v>
      </c>
      <c r="DD60" s="1728" t="s">
        <v>3436</v>
      </c>
      <c r="DE60" s="1728" t="s">
        <v>3436</v>
      </c>
      <c r="DF60" s="1728" t="s">
        <v>3436</v>
      </c>
      <c r="DG60" s="1728" t="s">
        <v>3436</v>
      </c>
      <c r="DH60" s="1728" t="s">
        <v>3436</v>
      </c>
      <c r="DI60" s="1728" t="s">
        <v>3436</v>
      </c>
      <c r="DJ60" s="1728" t="s">
        <v>3436</v>
      </c>
      <c r="DK60" s="1728" t="s">
        <v>3437</v>
      </c>
      <c r="DL60" s="1728" t="s">
        <v>3437</v>
      </c>
      <c r="DM60" s="1728" t="s">
        <v>3436</v>
      </c>
      <c r="DN60" s="1728" t="s">
        <v>3438</v>
      </c>
      <c r="DO60" s="1728" t="s">
        <v>3438</v>
      </c>
      <c r="DP60" s="1728" t="s">
        <v>3438</v>
      </c>
      <c r="DQ60" s="1728" t="s">
        <v>3438</v>
      </c>
      <c r="DR60" s="1728" t="s">
        <v>3438</v>
      </c>
      <c r="DS60" s="1728" t="s">
        <v>3439</v>
      </c>
      <c r="DT60" s="1728" t="s">
        <v>3439</v>
      </c>
      <c r="DU60" s="1728" t="s">
        <v>3440</v>
      </c>
      <c r="DV60" s="1728" t="s">
        <v>3440</v>
      </c>
      <c r="DW60" s="1728" t="s">
        <v>3440</v>
      </c>
      <c r="DX60" s="1728" t="s">
        <v>3440</v>
      </c>
      <c r="DY60" s="1728" t="s">
        <v>3440</v>
      </c>
      <c r="DZ60" s="1728" t="s">
        <v>3440</v>
      </c>
      <c r="EA60" s="1728" t="s">
        <v>3441</v>
      </c>
    </row>
    <row r="61" spans="1:131" ht="17.100000000000001" customHeight="1" thickBot="1" x14ac:dyDescent="0.25">
      <c r="A61" s="1749"/>
      <c r="B61" s="1750"/>
      <c r="C61" s="1751"/>
      <c r="D61" s="1751"/>
      <c r="E61" s="1751"/>
      <c r="F61" s="1750"/>
      <c r="G61" s="1751"/>
      <c r="H61" s="1751"/>
      <c r="I61" s="1751"/>
      <c r="J61" s="1751"/>
      <c r="K61" s="1751"/>
      <c r="L61" s="1752"/>
      <c r="M61" s="1752"/>
      <c r="N61" s="1753"/>
      <c r="O61" s="1752"/>
      <c r="P61" s="1752"/>
      <c r="Q61" s="1753"/>
      <c r="R61" s="1752"/>
      <c r="S61" s="1752"/>
      <c r="T61" s="1754"/>
      <c r="U61" s="1754"/>
      <c r="V61" s="1754"/>
      <c r="W61" s="1754"/>
      <c r="X61" s="1754"/>
      <c r="Y61" s="1754"/>
      <c r="Z61" s="1754"/>
      <c r="AA61" s="1754"/>
      <c r="AB61" s="1754"/>
      <c r="AC61" s="1754"/>
      <c r="AD61" s="1754"/>
      <c r="AE61" s="1755"/>
      <c r="AF61" s="1755"/>
      <c r="AG61" s="1755"/>
      <c r="AH61" s="1755"/>
      <c r="AI61" s="1755"/>
      <c r="AJ61" s="1755"/>
      <c r="AK61" s="1755"/>
      <c r="AL61" s="1755"/>
      <c r="AM61" s="1755"/>
      <c r="AN61" s="1755"/>
      <c r="AO61" s="1755"/>
      <c r="AP61" s="1755"/>
      <c r="AQ61" s="1755"/>
      <c r="AR61" s="1755"/>
      <c r="AS61" s="1755"/>
      <c r="AT61" s="1755"/>
      <c r="AU61" s="1755"/>
      <c r="AV61" s="1755"/>
      <c r="AW61" s="1755"/>
      <c r="AX61" s="1755"/>
      <c r="AY61" s="1755"/>
      <c r="AZ61" s="1755"/>
      <c r="BA61" s="1755"/>
      <c r="BB61" s="1755"/>
      <c r="BC61" s="1755"/>
      <c r="BD61" s="1755"/>
      <c r="BE61" s="1755"/>
      <c r="BF61" s="1755"/>
      <c r="BG61" s="1755"/>
      <c r="BH61" s="1756"/>
      <c r="BI61" s="1756"/>
      <c r="BJ61" s="1756"/>
      <c r="BK61" s="1756"/>
      <c r="BL61" s="1756"/>
      <c r="BM61" s="1756"/>
      <c r="BN61" s="1756"/>
      <c r="BO61" s="1756"/>
      <c r="BP61" s="1756"/>
      <c r="BQ61" s="1756"/>
      <c r="BR61" s="1756"/>
      <c r="BS61" s="1756"/>
      <c r="BT61" s="1756"/>
      <c r="BU61" s="1756"/>
      <c r="BV61" s="1756"/>
      <c r="BW61" s="1756"/>
      <c r="BX61" s="1756"/>
      <c r="BY61" s="1756"/>
      <c r="BZ61" s="1756"/>
      <c r="CA61" s="1756"/>
      <c r="CB61" s="1756"/>
      <c r="CC61" s="1755"/>
      <c r="CD61" s="1755"/>
      <c r="CE61" s="1755"/>
      <c r="CF61" s="1755"/>
      <c r="CG61" s="1755"/>
      <c r="CH61" s="1757"/>
      <c r="CI61" s="1758"/>
      <c r="CJ61" s="1755"/>
      <c r="CK61" s="1755"/>
      <c r="CL61" s="1756"/>
      <c r="CM61" s="1756"/>
      <c r="CN61" s="1756"/>
      <c r="CO61" s="1756"/>
      <c r="CP61" s="1756"/>
      <c r="CQ61" s="1756"/>
      <c r="CR61" s="1756"/>
      <c r="CS61" s="1756"/>
      <c r="CT61" s="1756"/>
      <c r="CU61" s="1756"/>
      <c r="CV61" s="1756"/>
      <c r="CW61" s="1756"/>
      <c r="CX61" s="1756"/>
      <c r="CY61" s="1756"/>
      <c r="CZ61" s="1756"/>
      <c r="DA61" s="1756"/>
      <c r="DB61" s="1756"/>
      <c r="DC61" s="1759"/>
      <c r="DD61" s="1759"/>
      <c r="DE61" s="1759"/>
      <c r="DF61" s="1759"/>
      <c r="DG61" s="1759"/>
      <c r="DH61" s="1759"/>
      <c r="DI61" s="1759"/>
      <c r="DJ61" s="1759"/>
      <c r="DK61" s="1759"/>
      <c r="DL61" s="1759"/>
      <c r="DM61" s="1759"/>
      <c r="DN61" s="1759"/>
      <c r="DO61" s="1759"/>
      <c r="DP61" s="1759"/>
      <c r="DQ61" s="1759"/>
      <c r="DR61" s="1759"/>
      <c r="DS61" s="1759"/>
      <c r="DT61" s="1759"/>
      <c r="DU61" s="1759"/>
      <c r="DV61" s="1759"/>
      <c r="DW61" s="1759"/>
      <c r="DX61" s="1759"/>
      <c r="DY61" s="1759"/>
      <c r="DZ61" s="1759"/>
      <c r="EA61" s="1759"/>
    </row>
    <row r="62" spans="1:131" ht="15.75" hidden="1" thickTop="1" x14ac:dyDescent="0.25">
      <c r="A62" s="1760" t="s">
        <v>3442</v>
      </c>
    </row>
    <row r="63" spans="1:131" ht="18.75" thickTop="1" x14ac:dyDescent="0.25">
      <c r="A63" s="1761" t="s">
        <v>3443</v>
      </c>
    </row>
    <row r="64" spans="1:131" x14ac:dyDescent="0.25">
      <c r="A64" s="1761" t="s">
        <v>179</v>
      </c>
    </row>
  </sheetData>
  <printOptions horizontalCentered="1" verticalCentered="1"/>
  <pageMargins left="0" right="0" top="0.51181102362204722" bottom="0" header="0" footer="0"/>
  <pageSetup paperSize="9"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220"/>
  <sheetViews>
    <sheetView zoomScaleNormal="100" workbookViewId="0">
      <selection activeCell="M140" sqref="M140"/>
    </sheetView>
  </sheetViews>
  <sheetFormatPr defaultRowHeight="12.75" x14ac:dyDescent="0.2"/>
  <cols>
    <col min="1" max="1" width="11.28515625" style="1767" customWidth="1"/>
    <col min="2" max="2" width="12.28515625" style="1767" customWidth="1"/>
    <col min="3" max="3" width="9.28515625" style="1767" hidden="1" customWidth="1"/>
    <col min="4" max="4" width="10.28515625" style="1767" customWidth="1"/>
    <col min="5" max="5" width="12.85546875" style="1767" customWidth="1"/>
    <col min="6" max="6" width="11.5703125" style="1767" hidden="1" customWidth="1"/>
    <col min="7" max="7" width="13" style="1767" customWidth="1"/>
    <col min="8" max="8" width="12.140625" style="1767" customWidth="1"/>
    <col min="9" max="9" width="13.42578125" style="1767" customWidth="1"/>
    <col min="10" max="10" width="14.42578125" style="1767" customWidth="1"/>
    <col min="11" max="11" width="10.42578125" style="1767" customWidth="1"/>
    <col min="12" max="256" width="9.140625" style="1767"/>
    <col min="257" max="257" width="11.28515625" style="1767" customWidth="1"/>
    <col min="258" max="258" width="12.7109375" style="1767" customWidth="1"/>
    <col min="259" max="259" width="0" style="1767" hidden="1" customWidth="1"/>
    <col min="260" max="260" width="10.28515625" style="1767" customWidth="1"/>
    <col min="261" max="261" width="12.85546875" style="1767" customWidth="1"/>
    <col min="262" max="262" width="0" style="1767" hidden="1" customWidth="1"/>
    <col min="263" max="263" width="13" style="1767" customWidth="1"/>
    <col min="264" max="264" width="12.140625" style="1767" customWidth="1"/>
    <col min="265" max="265" width="13.42578125" style="1767" customWidth="1"/>
    <col min="266" max="266" width="15.7109375" style="1767" customWidth="1"/>
    <col min="267" max="267" width="11.7109375" style="1767" customWidth="1"/>
    <col min="268" max="512" width="9.140625" style="1767"/>
    <col min="513" max="513" width="11.28515625" style="1767" customWidth="1"/>
    <col min="514" max="514" width="12.7109375" style="1767" customWidth="1"/>
    <col min="515" max="515" width="0" style="1767" hidden="1" customWidth="1"/>
    <col min="516" max="516" width="10.28515625" style="1767" customWidth="1"/>
    <col min="517" max="517" width="12.85546875" style="1767" customWidth="1"/>
    <col min="518" max="518" width="0" style="1767" hidden="1" customWidth="1"/>
    <col min="519" max="519" width="13" style="1767" customWidth="1"/>
    <col min="520" max="520" width="12.140625" style="1767" customWidth="1"/>
    <col min="521" max="521" width="13.42578125" style="1767" customWidth="1"/>
    <col min="522" max="522" width="15.7109375" style="1767" customWidth="1"/>
    <col min="523" max="523" width="11.7109375" style="1767" customWidth="1"/>
    <col min="524" max="768" width="9.140625" style="1767"/>
    <col min="769" max="769" width="11.28515625" style="1767" customWidth="1"/>
    <col min="770" max="770" width="12.7109375" style="1767" customWidth="1"/>
    <col min="771" max="771" width="0" style="1767" hidden="1" customWidth="1"/>
    <col min="772" max="772" width="10.28515625" style="1767" customWidth="1"/>
    <col min="773" max="773" width="12.85546875" style="1767" customWidth="1"/>
    <col min="774" max="774" width="0" style="1767" hidden="1" customWidth="1"/>
    <col min="775" max="775" width="13" style="1767" customWidth="1"/>
    <col min="776" max="776" width="12.140625" style="1767" customWidth="1"/>
    <col min="777" max="777" width="13.42578125" style="1767" customWidth="1"/>
    <col min="778" max="778" width="15.7109375" style="1767" customWidth="1"/>
    <col min="779" max="779" width="11.7109375" style="1767" customWidth="1"/>
    <col min="780" max="1024" width="9.140625" style="1767"/>
    <col min="1025" max="1025" width="11.28515625" style="1767" customWidth="1"/>
    <col min="1026" max="1026" width="12.7109375" style="1767" customWidth="1"/>
    <col min="1027" max="1027" width="0" style="1767" hidden="1" customWidth="1"/>
    <col min="1028" max="1028" width="10.28515625" style="1767" customWidth="1"/>
    <col min="1029" max="1029" width="12.85546875" style="1767" customWidth="1"/>
    <col min="1030" max="1030" width="0" style="1767" hidden="1" customWidth="1"/>
    <col min="1031" max="1031" width="13" style="1767" customWidth="1"/>
    <col min="1032" max="1032" width="12.140625" style="1767" customWidth="1"/>
    <col min="1033" max="1033" width="13.42578125" style="1767" customWidth="1"/>
    <col min="1034" max="1034" width="15.7109375" style="1767" customWidth="1"/>
    <col min="1035" max="1035" width="11.7109375" style="1767" customWidth="1"/>
    <col min="1036" max="1280" width="9.140625" style="1767"/>
    <col min="1281" max="1281" width="11.28515625" style="1767" customWidth="1"/>
    <col min="1282" max="1282" width="12.7109375" style="1767" customWidth="1"/>
    <col min="1283" max="1283" width="0" style="1767" hidden="1" customWidth="1"/>
    <col min="1284" max="1284" width="10.28515625" style="1767" customWidth="1"/>
    <col min="1285" max="1285" width="12.85546875" style="1767" customWidth="1"/>
    <col min="1286" max="1286" width="0" style="1767" hidden="1" customWidth="1"/>
    <col min="1287" max="1287" width="13" style="1767" customWidth="1"/>
    <col min="1288" max="1288" width="12.140625" style="1767" customWidth="1"/>
    <col min="1289" max="1289" width="13.42578125" style="1767" customWidth="1"/>
    <col min="1290" max="1290" width="15.7109375" style="1767" customWidth="1"/>
    <col min="1291" max="1291" width="11.7109375" style="1767" customWidth="1"/>
    <col min="1292" max="1536" width="9.140625" style="1767"/>
    <col min="1537" max="1537" width="11.28515625" style="1767" customWidth="1"/>
    <col min="1538" max="1538" width="12.7109375" style="1767" customWidth="1"/>
    <col min="1539" max="1539" width="0" style="1767" hidden="1" customWidth="1"/>
    <col min="1540" max="1540" width="10.28515625" style="1767" customWidth="1"/>
    <col min="1541" max="1541" width="12.85546875" style="1767" customWidth="1"/>
    <col min="1542" max="1542" width="0" style="1767" hidden="1" customWidth="1"/>
    <col min="1543" max="1543" width="13" style="1767" customWidth="1"/>
    <col min="1544" max="1544" width="12.140625" style="1767" customWidth="1"/>
    <col min="1545" max="1545" width="13.42578125" style="1767" customWidth="1"/>
    <col min="1546" max="1546" width="15.7109375" style="1767" customWidth="1"/>
    <col min="1547" max="1547" width="11.7109375" style="1767" customWidth="1"/>
    <col min="1548" max="1792" width="9.140625" style="1767"/>
    <col min="1793" max="1793" width="11.28515625" style="1767" customWidth="1"/>
    <col min="1794" max="1794" width="12.7109375" style="1767" customWidth="1"/>
    <col min="1795" max="1795" width="0" style="1767" hidden="1" customWidth="1"/>
    <col min="1796" max="1796" width="10.28515625" style="1767" customWidth="1"/>
    <col min="1797" max="1797" width="12.85546875" style="1767" customWidth="1"/>
    <col min="1798" max="1798" width="0" style="1767" hidden="1" customWidth="1"/>
    <col min="1799" max="1799" width="13" style="1767" customWidth="1"/>
    <col min="1800" max="1800" width="12.140625" style="1767" customWidth="1"/>
    <col min="1801" max="1801" width="13.42578125" style="1767" customWidth="1"/>
    <col min="1802" max="1802" width="15.7109375" style="1767" customWidth="1"/>
    <col min="1803" max="1803" width="11.7109375" style="1767" customWidth="1"/>
    <col min="1804" max="2048" width="9.140625" style="1767"/>
    <col min="2049" max="2049" width="11.28515625" style="1767" customWidth="1"/>
    <col min="2050" max="2050" width="12.7109375" style="1767" customWidth="1"/>
    <col min="2051" max="2051" width="0" style="1767" hidden="1" customWidth="1"/>
    <col min="2052" max="2052" width="10.28515625" style="1767" customWidth="1"/>
    <col min="2053" max="2053" width="12.85546875" style="1767" customWidth="1"/>
    <col min="2054" max="2054" width="0" style="1767" hidden="1" customWidth="1"/>
    <col min="2055" max="2055" width="13" style="1767" customWidth="1"/>
    <col min="2056" max="2056" width="12.140625" style="1767" customWidth="1"/>
    <col min="2057" max="2057" width="13.42578125" style="1767" customWidth="1"/>
    <col min="2058" max="2058" width="15.7109375" style="1767" customWidth="1"/>
    <col min="2059" max="2059" width="11.7109375" style="1767" customWidth="1"/>
    <col min="2060" max="2304" width="9.140625" style="1767"/>
    <col min="2305" max="2305" width="11.28515625" style="1767" customWidth="1"/>
    <col min="2306" max="2306" width="12.7109375" style="1767" customWidth="1"/>
    <col min="2307" max="2307" width="0" style="1767" hidden="1" customWidth="1"/>
    <col min="2308" max="2308" width="10.28515625" style="1767" customWidth="1"/>
    <col min="2309" max="2309" width="12.85546875" style="1767" customWidth="1"/>
    <col min="2310" max="2310" width="0" style="1767" hidden="1" customWidth="1"/>
    <col min="2311" max="2311" width="13" style="1767" customWidth="1"/>
    <col min="2312" max="2312" width="12.140625" style="1767" customWidth="1"/>
    <col min="2313" max="2313" width="13.42578125" style="1767" customWidth="1"/>
    <col min="2314" max="2314" width="15.7109375" style="1767" customWidth="1"/>
    <col min="2315" max="2315" width="11.7109375" style="1767" customWidth="1"/>
    <col min="2316" max="2560" width="9.140625" style="1767"/>
    <col min="2561" max="2561" width="11.28515625" style="1767" customWidth="1"/>
    <col min="2562" max="2562" width="12.7109375" style="1767" customWidth="1"/>
    <col min="2563" max="2563" width="0" style="1767" hidden="1" customWidth="1"/>
    <col min="2564" max="2564" width="10.28515625" style="1767" customWidth="1"/>
    <col min="2565" max="2565" width="12.85546875" style="1767" customWidth="1"/>
    <col min="2566" max="2566" width="0" style="1767" hidden="1" customWidth="1"/>
    <col min="2567" max="2567" width="13" style="1767" customWidth="1"/>
    <col min="2568" max="2568" width="12.140625" style="1767" customWidth="1"/>
    <col min="2569" max="2569" width="13.42578125" style="1767" customWidth="1"/>
    <col min="2570" max="2570" width="15.7109375" style="1767" customWidth="1"/>
    <col min="2571" max="2571" width="11.7109375" style="1767" customWidth="1"/>
    <col min="2572" max="2816" width="9.140625" style="1767"/>
    <col min="2817" max="2817" width="11.28515625" style="1767" customWidth="1"/>
    <col min="2818" max="2818" width="12.7109375" style="1767" customWidth="1"/>
    <col min="2819" max="2819" width="0" style="1767" hidden="1" customWidth="1"/>
    <col min="2820" max="2820" width="10.28515625" style="1767" customWidth="1"/>
    <col min="2821" max="2821" width="12.85546875" style="1767" customWidth="1"/>
    <col min="2822" max="2822" width="0" style="1767" hidden="1" customWidth="1"/>
    <col min="2823" max="2823" width="13" style="1767" customWidth="1"/>
    <col min="2824" max="2824" width="12.140625" style="1767" customWidth="1"/>
    <col min="2825" max="2825" width="13.42578125" style="1767" customWidth="1"/>
    <col min="2826" max="2826" width="15.7109375" style="1767" customWidth="1"/>
    <col min="2827" max="2827" width="11.7109375" style="1767" customWidth="1"/>
    <col min="2828" max="3072" width="9.140625" style="1767"/>
    <col min="3073" max="3073" width="11.28515625" style="1767" customWidth="1"/>
    <col min="3074" max="3074" width="12.7109375" style="1767" customWidth="1"/>
    <col min="3075" max="3075" width="0" style="1767" hidden="1" customWidth="1"/>
    <col min="3076" max="3076" width="10.28515625" style="1767" customWidth="1"/>
    <col min="3077" max="3077" width="12.85546875" style="1767" customWidth="1"/>
    <col min="3078" max="3078" width="0" style="1767" hidden="1" customWidth="1"/>
    <col min="3079" max="3079" width="13" style="1767" customWidth="1"/>
    <col min="3080" max="3080" width="12.140625" style="1767" customWidth="1"/>
    <col min="3081" max="3081" width="13.42578125" style="1767" customWidth="1"/>
    <col min="3082" max="3082" width="15.7109375" style="1767" customWidth="1"/>
    <col min="3083" max="3083" width="11.7109375" style="1767" customWidth="1"/>
    <col min="3084" max="3328" width="9.140625" style="1767"/>
    <col min="3329" max="3329" width="11.28515625" style="1767" customWidth="1"/>
    <col min="3330" max="3330" width="12.7109375" style="1767" customWidth="1"/>
    <col min="3331" max="3331" width="0" style="1767" hidden="1" customWidth="1"/>
    <col min="3332" max="3332" width="10.28515625" style="1767" customWidth="1"/>
    <col min="3333" max="3333" width="12.85546875" style="1767" customWidth="1"/>
    <col min="3334" max="3334" width="0" style="1767" hidden="1" customWidth="1"/>
    <col min="3335" max="3335" width="13" style="1767" customWidth="1"/>
    <col min="3336" max="3336" width="12.140625" style="1767" customWidth="1"/>
    <col min="3337" max="3337" width="13.42578125" style="1767" customWidth="1"/>
    <col min="3338" max="3338" width="15.7109375" style="1767" customWidth="1"/>
    <col min="3339" max="3339" width="11.7109375" style="1767" customWidth="1"/>
    <col min="3340" max="3584" width="9.140625" style="1767"/>
    <col min="3585" max="3585" width="11.28515625" style="1767" customWidth="1"/>
    <col min="3586" max="3586" width="12.7109375" style="1767" customWidth="1"/>
    <col min="3587" max="3587" width="0" style="1767" hidden="1" customWidth="1"/>
    <col min="3588" max="3588" width="10.28515625" style="1767" customWidth="1"/>
    <col min="3589" max="3589" width="12.85546875" style="1767" customWidth="1"/>
    <col min="3590" max="3590" width="0" style="1767" hidden="1" customWidth="1"/>
    <col min="3591" max="3591" width="13" style="1767" customWidth="1"/>
    <col min="3592" max="3592" width="12.140625" style="1767" customWidth="1"/>
    <col min="3593" max="3593" width="13.42578125" style="1767" customWidth="1"/>
    <col min="3594" max="3594" width="15.7109375" style="1767" customWidth="1"/>
    <col min="3595" max="3595" width="11.7109375" style="1767" customWidth="1"/>
    <col min="3596" max="3840" width="9.140625" style="1767"/>
    <col min="3841" max="3841" width="11.28515625" style="1767" customWidth="1"/>
    <col min="3842" max="3842" width="12.7109375" style="1767" customWidth="1"/>
    <col min="3843" max="3843" width="0" style="1767" hidden="1" customWidth="1"/>
    <col min="3844" max="3844" width="10.28515625" style="1767" customWidth="1"/>
    <col min="3845" max="3845" width="12.85546875" style="1767" customWidth="1"/>
    <col min="3846" max="3846" width="0" style="1767" hidden="1" customWidth="1"/>
    <col min="3847" max="3847" width="13" style="1767" customWidth="1"/>
    <col min="3848" max="3848" width="12.140625" style="1767" customWidth="1"/>
    <col min="3849" max="3849" width="13.42578125" style="1767" customWidth="1"/>
    <col min="3850" max="3850" width="15.7109375" style="1767" customWidth="1"/>
    <col min="3851" max="3851" width="11.7109375" style="1767" customWidth="1"/>
    <col min="3852" max="4096" width="9.140625" style="1767"/>
    <col min="4097" max="4097" width="11.28515625" style="1767" customWidth="1"/>
    <col min="4098" max="4098" width="12.7109375" style="1767" customWidth="1"/>
    <col min="4099" max="4099" width="0" style="1767" hidden="1" customWidth="1"/>
    <col min="4100" max="4100" width="10.28515625" style="1767" customWidth="1"/>
    <col min="4101" max="4101" width="12.85546875" style="1767" customWidth="1"/>
    <col min="4102" max="4102" width="0" style="1767" hidden="1" customWidth="1"/>
    <col min="4103" max="4103" width="13" style="1767" customWidth="1"/>
    <col min="4104" max="4104" width="12.140625" style="1767" customWidth="1"/>
    <col min="4105" max="4105" width="13.42578125" style="1767" customWidth="1"/>
    <col min="4106" max="4106" width="15.7109375" style="1767" customWidth="1"/>
    <col min="4107" max="4107" width="11.7109375" style="1767" customWidth="1"/>
    <col min="4108" max="4352" width="9.140625" style="1767"/>
    <col min="4353" max="4353" width="11.28515625" style="1767" customWidth="1"/>
    <col min="4354" max="4354" width="12.7109375" style="1767" customWidth="1"/>
    <col min="4355" max="4355" width="0" style="1767" hidden="1" customWidth="1"/>
    <col min="4356" max="4356" width="10.28515625" style="1767" customWidth="1"/>
    <col min="4357" max="4357" width="12.85546875" style="1767" customWidth="1"/>
    <col min="4358" max="4358" width="0" style="1767" hidden="1" customWidth="1"/>
    <col min="4359" max="4359" width="13" style="1767" customWidth="1"/>
    <col min="4360" max="4360" width="12.140625" style="1767" customWidth="1"/>
    <col min="4361" max="4361" width="13.42578125" style="1767" customWidth="1"/>
    <col min="4362" max="4362" width="15.7109375" style="1767" customWidth="1"/>
    <col min="4363" max="4363" width="11.7109375" style="1767" customWidth="1"/>
    <col min="4364" max="4608" width="9.140625" style="1767"/>
    <col min="4609" max="4609" width="11.28515625" style="1767" customWidth="1"/>
    <col min="4610" max="4610" width="12.7109375" style="1767" customWidth="1"/>
    <col min="4611" max="4611" width="0" style="1767" hidden="1" customWidth="1"/>
    <col min="4612" max="4612" width="10.28515625" style="1767" customWidth="1"/>
    <col min="4613" max="4613" width="12.85546875" style="1767" customWidth="1"/>
    <col min="4614" max="4614" width="0" style="1767" hidden="1" customWidth="1"/>
    <col min="4615" max="4615" width="13" style="1767" customWidth="1"/>
    <col min="4616" max="4616" width="12.140625" style="1767" customWidth="1"/>
    <col min="4617" max="4617" width="13.42578125" style="1767" customWidth="1"/>
    <col min="4618" max="4618" width="15.7109375" style="1767" customWidth="1"/>
    <col min="4619" max="4619" width="11.7109375" style="1767" customWidth="1"/>
    <col min="4620" max="4864" width="9.140625" style="1767"/>
    <col min="4865" max="4865" width="11.28515625" style="1767" customWidth="1"/>
    <col min="4866" max="4866" width="12.7109375" style="1767" customWidth="1"/>
    <col min="4867" max="4867" width="0" style="1767" hidden="1" customWidth="1"/>
    <col min="4868" max="4868" width="10.28515625" style="1767" customWidth="1"/>
    <col min="4869" max="4869" width="12.85546875" style="1767" customWidth="1"/>
    <col min="4870" max="4870" width="0" style="1767" hidden="1" customWidth="1"/>
    <col min="4871" max="4871" width="13" style="1767" customWidth="1"/>
    <col min="4872" max="4872" width="12.140625" style="1767" customWidth="1"/>
    <col min="4873" max="4873" width="13.42578125" style="1767" customWidth="1"/>
    <col min="4874" max="4874" width="15.7109375" style="1767" customWidth="1"/>
    <col min="4875" max="4875" width="11.7109375" style="1767" customWidth="1"/>
    <col min="4876" max="5120" width="9.140625" style="1767"/>
    <col min="5121" max="5121" width="11.28515625" style="1767" customWidth="1"/>
    <col min="5122" max="5122" width="12.7109375" style="1767" customWidth="1"/>
    <col min="5123" max="5123" width="0" style="1767" hidden="1" customWidth="1"/>
    <col min="5124" max="5124" width="10.28515625" style="1767" customWidth="1"/>
    <col min="5125" max="5125" width="12.85546875" style="1767" customWidth="1"/>
    <col min="5126" max="5126" width="0" style="1767" hidden="1" customWidth="1"/>
    <col min="5127" max="5127" width="13" style="1767" customWidth="1"/>
    <col min="5128" max="5128" width="12.140625" style="1767" customWidth="1"/>
    <col min="5129" max="5129" width="13.42578125" style="1767" customWidth="1"/>
    <col min="5130" max="5130" width="15.7109375" style="1767" customWidth="1"/>
    <col min="5131" max="5131" width="11.7109375" style="1767" customWidth="1"/>
    <col min="5132" max="5376" width="9.140625" style="1767"/>
    <col min="5377" max="5377" width="11.28515625" style="1767" customWidth="1"/>
    <col min="5378" max="5378" width="12.7109375" style="1767" customWidth="1"/>
    <col min="5379" max="5379" width="0" style="1767" hidden="1" customWidth="1"/>
    <col min="5380" max="5380" width="10.28515625" style="1767" customWidth="1"/>
    <col min="5381" max="5381" width="12.85546875" style="1767" customWidth="1"/>
    <col min="5382" max="5382" width="0" style="1767" hidden="1" customWidth="1"/>
    <col min="5383" max="5383" width="13" style="1767" customWidth="1"/>
    <col min="5384" max="5384" width="12.140625" style="1767" customWidth="1"/>
    <col min="5385" max="5385" width="13.42578125" style="1767" customWidth="1"/>
    <col min="5386" max="5386" width="15.7109375" style="1767" customWidth="1"/>
    <col min="5387" max="5387" width="11.7109375" style="1767" customWidth="1"/>
    <col min="5388" max="5632" width="9.140625" style="1767"/>
    <col min="5633" max="5633" width="11.28515625" style="1767" customWidth="1"/>
    <col min="5634" max="5634" width="12.7109375" style="1767" customWidth="1"/>
    <col min="5635" max="5635" width="0" style="1767" hidden="1" customWidth="1"/>
    <col min="5636" max="5636" width="10.28515625" style="1767" customWidth="1"/>
    <col min="5637" max="5637" width="12.85546875" style="1767" customWidth="1"/>
    <col min="5638" max="5638" width="0" style="1767" hidden="1" customWidth="1"/>
    <col min="5639" max="5639" width="13" style="1767" customWidth="1"/>
    <col min="5640" max="5640" width="12.140625" style="1767" customWidth="1"/>
    <col min="5641" max="5641" width="13.42578125" style="1767" customWidth="1"/>
    <col min="5642" max="5642" width="15.7109375" style="1767" customWidth="1"/>
    <col min="5643" max="5643" width="11.7109375" style="1767" customWidth="1"/>
    <col min="5644" max="5888" width="9.140625" style="1767"/>
    <col min="5889" max="5889" width="11.28515625" style="1767" customWidth="1"/>
    <col min="5890" max="5890" width="12.7109375" style="1767" customWidth="1"/>
    <col min="5891" max="5891" width="0" style="1767" hidden="1" customWidth="1"/>
    <col min="5892" max="5892" width="10.28515625" style="1767" customWidth="1"/>
    <col min="5893" max="5893" width="12.85546875" style="1767" customWidth="1"/>
    <col min="5894" max="5894" width="0" style="1767" hidden="1" customWidth="1"/>
    <col min="5895" max="5895" width="13" style="1767" customWidth="1"/>
    <col min="5896" max="5896" width="12.140625" style="1767" customWidth="1"/>
    <col min="5897" max="5897" width="13.42578125" style="1767" customWidth="1"/>
    <col min="5898" max="5898" width="15.7109375" style="1767" customWidth="1"/>
    <col min="5899" max="5899" width="11.7109375" style="1767" customWidth="1"/>
    <col min="5900" max="6144" width="9.140625" style="1767"/>
    <col min="6145" max="6145" width="11.28515625" style="1767" customWidth="1"/>
    <col min="6146" max="6146" width="12.7109375" style="1767" customWidth="1"/>
    <col min="6147" max="6147" width="0" style="1767" hidden="1" customWidth="1"/>
    <col min="6148" max="6148" width="10.28515625" style="1767" customWidth="1"/>
    <col min="6149" max="6149" width="12.85546875" style="1767" customWidth="1"/>
    <col min="6150" max="6150" width="0" style="1767" hidden="1" customWidth="1"/>
    <col min="6151" max="6151" width="13" style="1767" customWidth="1"/>
    <col min="6152" max="6152" width="12.140625" style="1767" customWidth="1"/>
    <col min="6153" max="6153" width="13.42578125" style="1767" customWidth="1"/>
    <col min="6154" max="6154" width="15.7109375" style="1767" customWidth="1"/>
    <col min="6155" max="6155" width="11.7109375" style="1767" customWidth="1"/>
    <col min="6156" max="6400" width="9.140625" style="1767"/>
    <col min="6401" max="6401" width="11.28515625" style="1767" customWidth="1"/>
    <col min="6402" max="6402" width="12.7109375" style="1767" customWidth="1"/>
    <col min="6403" max="6403" width="0" style="1767" hidden="1" customWidth="1"/>
    <col min="6404" max="6404" width="10.28515625" style="1767" customWidth="1"/>
    <col min="6405" max="6405" width="12.85546875" style="1767" customWidth="1"/>
    <col min="6406" max="6406" width="0" style="1767" hidden="1" customWidth="1"/>
    <col min="6407" max="6407" width="13" style="1767" customWidth="1"/>
    <col min="6408" max="6408" width="12.140625" style="1767" customWidth="1"/>
    <col min="6409" max="6409" width="13.42578125" style="1767" customWidth="1"/>
    <col min="6410" max="6410" width="15.7109375" style="1767" customWidth="1"/>
    <col min="6411" max="6411" width="11.7109375" style="1767" customWidth="1"/>
    <col min="6412" max="6656" width="9.140625" style="1767"/>
    <col min="6657" max="6657" width="11.28515625" style="1767" customWidth="1"/>
    <col min="6658" max="6658" width="12.7109375" style="1767" customWidth="1"/>
    <col min="6659" max="6659" width="0" style="1767" hidden="1" customWidth="1"/>
    <col min="6660" max="6660" width="10.28515625" style="1767" customWidth="1"/>
    <col min="6661" max="6661" width="12.85546875" style="1767" customWidth="1"/>
    <col min="6662" max="6662" width="0" style="1767" hidden="1" customWidth="1"/>
    <col min="6663" max="6663" width="13" style="1767" customWidth="1"/>
    <col min="6664" max="6664" width="12.140625" style="1767" customWidth="1"/>
    <col min="6665" max="6665" width="13.42578125" style="1767" customWidth="1"/>
    <col min="6666" max="6666" width="15.7109375" style="1767" customWidth="1"/>
    <col min="6667" max="6667" width="11.7109375" style="1767" customWidth="1"/>
    <col min="6668" max="6912" width="9.140625" style="1767"/>
    <col min="6913" max="6913" width="11.28515625" style="1767" customWidth="1"/>
    <col min="6914" max="6914" width="12.7109375" style="1767" customWidth="1"/>
    <col min="6915" max="6915" width="0" style="1767" hidden="1" customWidth="1"/>
    <col min="6916" max="6916" width="10.28515625" style="1767" customWidth="1"/>
    <col min="6917" max="6917" width="12.85546875" style="1767" customWidth="1"/>
    <col min="6918" max="6918" width="0" style="1767" hidden="1" customWidth="1"/>
    <col min="6919" max="6919" width="13" style="1767" customWidth="1"/>
    <col min="6920" max="6920" width="12.140625" style="1767" customWidth="1"/>
    <col min="6921" max="6921" width="13.42578125" style="1767" customWidth="1"/>
    <col min="6922" max="6922" width="15.7109375" style="1767" customWidth="1"/>
    <col min="6923" max="6923" width="11.7109375" style="1767" customWidth="1"/>
    <col min="6924" max="7168" width="9.140625" style="1767"/>
    <col min="7169" max="7169" width="11.28515625" style="1767" customWidth="1"/>
    <col min="7170" max="7170" width="12.7109375" style="1767" customWidth="1"/>
    <col min="7171" max="7171" width="0" style="1767" hidden="1" customWidth="1"/>
    <col min="7172" max="7172" width="10.28515625" style="1767" customWidth="1"/>
    <col min="7173" max="7173" width="12.85546875" style="1767" customWidth="1"/>
    <col min="7174" max="7174" width="0" style="1767" hidden="1" customWidth="1"/>
    <col min="7175" max="7175" width="13" style="1767" customWidth="1"/>
    <col min="7176" max="7176" width="12.140625" style="1767" customWidth="1"/>
    <col min="7177" max="7177" width="13.42578125" style="1767" customWidth="1"/>
    <col min="7178" max="7178" width="15.7109375" style="1767" customWidth="1"/>
    <col min="7179" max="7179" width="11.7109375" style="1767" customWidth="1"/>
    <col min="7180" max="7424" width="9.140625" style="1767"/>
    <col min="7425" max="7425" width="11.28515625" style="1767" customWidth="1"/>
    <col min="7426" max="7426" width="12.7109375" style="1767" customWidth="1"/>
    <col min="7427" max="7427" width="0" style="1767" hidden="1" customWidth="1"/>
    <col min="7428" max="7428" width="10.28515625" style="1767" customWidth="1"/>
    <col min="7429" max="7429" width="12.85546875" style="1767" customWidth="1"/>
    <col min="7430" max="7430" width="0" style="1767" hidden="1" customWidth="1"/>
    <col min="7431" max="7431" width="13" style="1767" customWidth="1"/>
    <col min="7432" max="7432" width="12.140625" style="1767" customWidth="1"/>
    <col min="7433" max="7433" width="13.42578125" style="1767" customWidth="1"/>
    <col min="7434" max="7434" width="15.7109375" style="1767" customWidth="1"/>
    <col min="7435" max="7435" width="11.7109375" style="1767" customWidth="1"/>
    <col min="7436" max="7680" width="9.140625" style="1767"/>
    <col min="7681" max="7681" width="11.28515625" style="1767" customWidth="1"/>
    <col min="7682" max="7682" width="12.7109375" style="1767" customWidth="1"/>
    <col min="7683" max="7683" width="0" style="1767" hidden="1" customWidth="1"/>
    <col min="7684" max="7684" width="10.28515625" style="1767" customWidth="1"/>
    <col min="7685" max="7685" width="12.85546875" style="1767" customWidth="1"/>
    <col min="7686" max="7686" width="0" style="1767" hidden="1" customWidth="1"/>
    <col min="7687" max="7687" width="13" style="1767" customWidth="1"/>
    <col min="7688" max="7688" width="12.140625" style="1767" customWidth="1"/>
    <col min="7689" max="7689" width="13.42578125" style="1767" customWidth="1"/>
    <col min="7690" max="7690" width="15.7109375" style="1767" customWidth="1"/>
    <col min="7691" max="7691" width="11.7109375" style="1767" customWidth="1"/>
    <col min="7692" max="7936" width="9.140625" style="1767"/>
    <col min="7937" max="7937" width="11.28515625" style="1767" customWidth="1"/>
    <col min="7938" max="7938" width="12.7109375" style="1767" customWidth="1"/>
    <col min="7939" max="7939" width="0" style="1767" hidden="1" customWidth="1"/>
    <col min="7940" max="7940" width="10.28515625" style="1767" customWidth="1"/>
    <col min="7941" max="7941" width="12.85546875" style="1767" customWidth="1"/>
    <col min="7942" max="7942" width="0" style="1767" hidden="1" customWidth="1"/>
    <col min="7943" max="7943" width="13" style="1767" customWidth="1"/>
    <col min="7944" max="7944" width="12.140625" style="1767" customWidth="1"/>
    <col min="7945" max="7945" width="13.42578125" style="1767" customWidth="1"/>
    <col min="7946" max="7946" width="15.7109375" style="1767" customWidth="1"/>
    <col min="7947" max="7947" width="11.7109375" style="1767" customWidth="1"/>
    <col min="7948" max="8192" width="9.140625" style="1767"/>
    <col min="8193" max="8193" width="11.28515625" style="1767" customWidth="1"/>
    <col min="8194" max="8194" width="12.7109375" style="1767" customWidth="1"/>
    <col min="8195" max="8195" width="0" style="1767" hidden="1" customWidth="1"/>
    <col min="8196" max="8196" width="10.28515625" style="1767" customWidth="1"/>
    <col min="8197" max="8197" width="12.85546875" style="1767" customWidth="1"/>
    <col min="8198" max="8198" width="0" style="1767" hidden="1" customWidth="1"/>
    <col min="8199" max="8199" width="13" style="1767" customWidth="1"/>
    <col min="8200" max="8200" width="12.140625" style="1767" customWidth="1"/>
    <col min="8201" max="8201" width="13.42578125" style="1767" customWidth="1"/>
    <col min="8202" max="8202" width="15.7109375" style="1767" customWidth="1"/>
    <col min="8203" max="8203" width="11.7109375" style="1767" customWidth="1"/>
    <col min="8204" max="8448" width="9.140625" style="1767"/>
    <col min="8449" max="8449" width="11.28515625" style="1767" customWidth="1"/>
    <col min="8450" max="8450" width="12.7109375" style="1767" customWidth="1"/>
    <col min="8451" max="8451" width="0" style="1767" hidden="1" customWidth="1"/>
    <col min="8452" max="8452" width="10.28515625" style="1767" customWidth="1"/>
    <col min="8453" max="8453" width="12.85546875" style="1767" customWidth="1"/>
    <col min="8454" max="8454" width="0" style="1767" hidden="1" customWidth="1"/>
    <col min="8455" max="8455" width="13" style="1767" customWidth="1"/>
    <col min="8456" max="8456" width="12.140625" style="1767" customWidth="1"/>
    <col min="8457" max="8457" width="13.42578125" style="1767" customWidth="1"/>
    <col min="8458" max="8458" width="15.7109375" style="1767" customWidth="1"/>
    <col min="8459" max="8459" width="11.7109375" style="1767" customWidth="1"/>
    <col min="8460" max="8704" width="9.140625" style="1767"/>
    <col min="8705" max="8705" width="11.28515625" style="1767" customWidth="1"/>
    <col min="8706" max="8706" width="12.7109375" style="1767" customWidth="1"/>
    <col min="8707" max="8707" width="0" style="1767" hidden="1" customWidth="1"/>
    <col min="8708" max="8708" width="10.28515625" style="1767" customWidth="1"/>
    <col min="8709" max="8709" width="12.85546875" style="1767" customWidth="1"/>
    <col min="8710" max="8710" width="0" style="1767" hidden="1" customWidth="1"/>
    <col min="8711" max="8711" width="13" style="1767" customWidth="1"/>
    <col min="8712" max="8712" width="12.140625" style="1767" customWidth="1"/>
    <col min="8713" max="8713" width="13.42578125" style="1767" customWidth="1"/>
    <col min="8714" max="8714" width="15.7109375" style="1767" customWidth="1"/>
    <col min="8715" max="8715" width="11.7109375" style="1767" customWidth="1"/>
    <col min="8716" max="8960" width="9.140625" style="1767"/>
    <col min="8961" max="8961" width="11.28515625" style="1767" customWidth="1"/>
    <col min="8962" max="8962" width="12.7109375" style="1767" customWidth="1"/>
    <col min="8963" max="8963" width="0" style="1767" hidden="1" customWidth="1"/>
    <col min="8964" max="8964" width="10.28515625" style="1767" customWidth="1"/>
    <col min="8965" max="8965" width="12.85546875" style="1767" customWidth="1"/>
    <col min="8966" max="8966" width="0" style="1767" hidden="1" customWidth="1"/>
    <col min="8967" max="8967" width="13" style="1767" customWidth="1"/>
    <col min="8968" max="8968" width="12.140625" style="1767" customWidth="1"/>
    <col min="8969" max="8969" width="13.42578125" style="1767" customWidth="1"/>
    <col min="8970" max="8970" width="15.7109375" style="1767" customWidth="1"/>
    <col min="8971" max="8971" width="11.7109375" style="1767" customWidth="1"/>
    <col min="8972" max="9216" width="9.140625" style="1767"/>
    <col min="9217" max="9217" width="11.28515625" style="1767" customWidth="1"/>
    <col min="9218" max="9218" width="12.7109375" style="1767" customWidth="1"/>
    <col min="9219" max="9219" width="0" style="1767" hidden="1" customWidth="1"/>
    <col min="9220" max="9220" width="10.28515625" style="1767" customWidth="1"/>
    <col min="9221" max="9221" width="12.85546875" style="1767" customWidth="1"/>
    <col min="9222" max="9222" width="0" style="1767" hidden="1" customWidth="1"/>
    <col min="9223" max="9223" width="13" style="1767" customWidth="1"/>
    <col min="9224" max="9224" width="12.140625" style="1767" customWidth="1"/>
    <col min="9225" max="9225" width="13.42578125" style="1767" customWidth="1"/>
    <col min="9226" max="9226" width="15.7109375" style="1767" customWidth="1"/>
    <col min="9227" max="9227" width="11.7109375" style="1767" customWidth="1"/>
    <col min="9228" max="9472" width="9.140625" style="1767"/>
    <col min="9473" max="9473" width="11.28515625" style="1767" customWidth="1"/>
    <col min="9474" max="9474" width="12.7109375" style="1767" customWidth="1"/>
    <col min="9475" max="9475" width="0" style="1767" hidden="1" customWidth="1"/>
    <col min="9476" max="9476" width="10.28515625" style="1767" customWidth="1"/>
    <col min="9477" max="9477" width="12.85546875" style="1767" customWidth="1"/>
    <col min="9478" max="9478" width="0" style="1767" hidden="1" customWidth="1"/>
    <col min="9479" max="9479" width="13" style="1767" customWidth="1"/>
    <col min="9480" max="9480" width="12.140625" style="1767" customWidth="1"/>
    <col min="9481" max="9481" width="13.42578125" style="1767" customWidth="1"/>
    <col min="9482" max="9482" width="15.7109375" style="1767" customWidth="1"/>
    <col min="9483" max="9483" width="11.7109375" style="1767" customWidth="1"/>
    <col min="9484" max="9728" width="9.140625" style="1767"/>
    <col min="9729" max="9729" width="11.28515625" style="1767" customWidth="1"/>
    <col min="9730" max="9730" width="12.7109375" style="1767" customWidth="1"/>
    <col min="9731" max="9731" width="0" style="1767" hidden="1" customWidth="1"/>
    <col min="9732" max="9732" width="10.28515625" style="1767" customWidth="1"/>
    <col min="9733" max="9733" width="12.85546875" style="1767" customWidth="1"/>
    <col min="9734" max="9734" width="0" style="1767" hidden="1" customWidth="1"/>
    <col min="9735" max="9735" width="13" style="1767" customWidth="1"/>
    <col min="9736" max="9736" width="12.140625" style="1767" customWidth="1"/>
    <col min="9737" max="9737" width="13.42578125" style="1767" customWidth="1"/>
    <col min="9738" max="9738" width="15.7109375" style="1767" customWidth="1"/>
    <col min="9739" max="9739" width="11.7109375" style="1767" customWidth="1"/>
    <col min="9740" max="9984" width="9.140625" style="1767"/>
    <col min="9985" max="9985" width="11.28515625" style="1767" customWidth="1"/>
    <col min="9986" max="9986" width="12.7109375" style="1767" customWidth="1"/>
    <col min="9987" max="9987" width="0" style="1767" hidden="1" customWidth="1"/>
    <col min="9988" max="9988" width="10.28515625" style="1767" customWidth="1"/>
    <col min="9989" max="9989" width="12.85546875" style="1767" customWidth="1"/>
    <col min="9990" max="9990" width="0" style="1767" hidden="1" customWidth="1"/>
    <col min="9991" max="9991" width="13" style="1767" customWidth="1"/>
    <col min="9992" max="9992" width="12.140625" style="1767" customWidth="1"/>
    <col min="9993" max="9993" width="13.42578125" style="1767" customWidth="1"/>
    <col min="9994" max="9994" width="15.7109375" style="1767" customWidth="1"/>
    <col min="9995" max="9995" width="11.7109375" style="1767" customWidth="1"/>
    <col min="9996" max="10240" width="9.140625" style="1767"/>
    <col min="10241" max="10241" width="11.28515625" style="1767" customWidth="1"/>
    <col min="10242" max="10242" width="12.7109375" style="1767" customWidth="1"/>
    <col min="10243" max="10243" width="0" style="1767" hidden="1" customWidth="1"/>
    <col min="10244" max="10244" width="10.28515625" style="1767" customWidth="1"/>
    <col min="10245" max="10245" width="12.85546875" style="1767" customWidth="1"/>
    <col min="10246" max="10246" width="0" style="1767" hidden="1" customWidth="1"/>
    <col min="10247" max="10247" width="13" style="1767" customWidth="1"/>
    <col min="10248" max="10248" width="12.140625" style="1767" customWidth="1"/>
    <col min="10249" max="10249" width="13.42578125" style="1767" customWidth="1"/>
    <col min="10250" max="10250" width="15.7109375" style="1767" customWidth="1"/>
    <col min="10251" max="10251" width="11.7109375" style="1767" customWidth="1"/>
    <col min="10252" max="10496" width="9.140625" style="1767"/>
    <col min="10497" max="10497" width="11.28515625" style="1767" customWidth="1"/>
    <col min="10498" max="10498" width="12.7109375" style="1767" customWidth="1"/>
    <col min="10499" max="10499" width="0" style="1767" hidden="1" customWidth="1"/>
    <col min="10500" max="10500" width="10.28515625" style="1767" customWidth="1"/>
    <col min="10501" max="10501" width="12.85546875" style="1767" customWidth="1"/>
    <col min="10502" max="10502" width="0" style="1767" hidden="1" customWidth="1"/>
    <col min="10503" max="10503" width="13" style="1767" customWidth="1"/>
    <col min="10504" max="10504" width="12.140625" style="1767" customWidth="1"/>
    <col min="10505" max="10505" width="13.42578125" style="1767" customWidth="1"/>
    <col min="10506" max="10506" width="15.7109375" style="1767" customWidth="1"/>
    <col min="10507" max="10507" width="11.7109375" style="1767" customWidth="1"/>
    <col min="10508" max="10752" width="9.140625" style="1767"/>
    <col min="10753" max="10753" width="11.28515625" style="1767" customWidth="1"/>
    <col min="10754" max="10754" width="12.7109375" style="1767" customWidth="1"/>
    <col min="10755" max="10755" width="0" style="1767" hidden="1" customWidth="1"/>
    <col min="10756" max="10756" width="10.28515625" style="1767" customWidth="1"/>
    <col min="10757" max="10757" width="12.85546875" style="1767" customWidth="1"/>
    <col min="10758" max="10758" width="0" style="1767" hidden="1" customWidth="1"/>
    <col min="10759" max="10759" width="13" style="1767" customWidth="1"/>
    <col min="10760" max="10760" width="12.140625" style="1767" customWidth="1"/>
    <col min="10761" max="10761" width="13.42578125" style="1767" customWidth="1"/>
    <col min="10762" max="10762" width="15.7109375" style="1767" customWidth="1"/>
    <col min="10763" max="10763" width="11.7109375" style="1767" customWidth="1"/>
    <col min="10764" max="11008" width="9.140625" style="1767"/>
    <col min="11009" max="11009" width="11.28515625" style="1767" customWidth="1"/>
    <col min="11010" max="11010" width="12.7109375" style="1767" customWidth="1"/>
    <col min="11011" max="11011" width="0" style="1767" hidden="1" customWidth="1"/>
    <col min="11012" max="11012" width="10.28515625" style="1767" customWidth="1"/>
    <col min="11013" max="11013" width="12.85546875" style="1767" customWidth="1"/>
    <col min="11014" max="11014" width="0" style="1767" hidden="1" customWidth="1"/>
    <col min="11015" max="11015" width="13" style="1767" customWidth="1"/>
    <col min="11016" max="11016" width="12.140625" style="1767" customWidth="1"/>
    <col min="11017" max="11017" width="13.42578125" style="1767" customWidth="1"/>
    <col min="11018" max="11018" width="15.7109375" style="1767" customWidth="1"/>
    <col min="11019" max="11019" width="11.7109375" style="1767" customWidth="1"/>
    <col min="11020" max="11264" width="9.140625" style="1767"/>
    <col min="11265" max="11265" width="11.28515625" style="1767" customWidth="1"/>
    <col min="11266" max="11266" width="12.7109375" style="1767" customWidth="1"/>
    <col min="11267" max="11267" width="0" style="1767" hidden="1" customWidth="1"/>
    <col min="11268" max="11268" width="10.28515625" style="1767" customWidth="1"/>
    <col min="11269" max="11269" width="12.85546875" style="1767" customWidth="1"/>
    <col min="11270" max="11270" width="0" style="1767" hidden="1" customWidth="1"/>
    <col min="11271" max="11271" width="13" style="1767" customWidth="1"/>
    <col min="11272" max="11272" width="12.140625" style="1767" customWidth="1"/>
    <col min="11273" max="11273" width="13.42578125" style="1767" customWidth="1"/>
    <col min="11274" max="11274" width="15.7109375" style="1767" customWidth="1"/>
    <col min="11275" max="11275" width="11.7109375" style="1767" customWidth="1"/>
    <col min="11276" max="11520" width="9.140625" style="1767"/>
    <col min="11521" max="11521" width="11.28515625" style="1767" customWidth="1"/>
    <col min="11522" max="11522" width="12.7109375" style="1767" customWidth="1"/>
    <col min="11523" max="11523" width="0" style="1767" hidden="1" customWidth="1"/>
    <col min="11524" max="11524" width="10.28515625" style="1767" customWidth="1"/>
    <col min="11525" max="11525" width="12.85546875" style="1767" customWidth="1"/>
    <col min="11526" max="11526" width="0" style="1767" hidden="1" customWidth="1"/>
    <col min="11527" max="11527" width="13" style="1767" customWidth="1"/>
    <col min="11528" max="11528" width="12.140625" style="1767" customWidth="1"/>
    <col min="11529" max="11529" width="13.42578125" style="1767" customWidth="1"/>
    <col min="11530" max="11530" width="15.7109375" style="1767" customWidth="1"/>
    <col min="11531" max="11531" width="11.7109375" style="1767" customWidth="1"/>
    <col min="11532" max="11776" width="9.140625" style="1767"/>
    <col min="11777" max="11777" width="11.28515625" style="1767" customWidth="1"/>
    <col min="11778" max="11778" width="12.7109375" style="1767" customWidth="1"/>
    <col min="11779" max="11779" width="0" style="1767" hidden="1" customWidth="1"/>
    <col min="11780" max="11780" width="10.28515625" style="1767" customWidth="1"/>
    <col min="11781" max="11781" width="12.85546875" style="1767" customWidth="1"/>
    <col min="11782" max="11782" width="0" style="1767" hidden="1" customWidth="1"/>
    <col min="11783" max="11783" width="13" style="1767" customWidth="1"/>
    <col min="11784" max="11784" width="12.140625" style="1767" customWidth="1"/>
    <col min="11785" max="11785" width="13.42578125" style="1767" customWidth="1"/>
    <col min="11786" max="11786" width="15.7109375" style="1767" customWidth="1"/>
    <col min="11787" max="11787" width="11.7109375" style="1767" customWidth="1"/>
    <col min="11788" max="12032" width="9.140625" style="1767"/>
    <col min="12033" max="12033" width="11.28515625" style="1767" customWidth="1"/>
    <col min="12034" max="12034" width="12.7109375" style="1767" customWidth="1"/>
    <col min="12035" max="12035" width="0" style="1767" hidden="1" customWidth="1"/>
    <col min="12036" max="12036" width="10.28515625" style="1767" customWidth="1"/>
    <col min="12037" max="12037" width="12.85546875" style="1767" customWidth="1"/>
    <col min="12038" max="12038" width="0" style="1767" hidden="1" customWidth="1"/>
    <col min="12039" max="12039" width="13" style="1767" customWidth="1"/>
    <col min="12040" max="12040" width="12.140625" style="1767" customWidth="1"/>
    <col min="12041" max="12041" width="13.42578125" style="1767" customWidth="1"/>
    <col min="12042" max="12042" width="15.7109375" style="1767" customWidth="1"/>
    <col min="12043" max="12043" width="11.7109375" style="1767" customWidth="1"/>
    <col min="12044" max="12288" width="9.140625" style="1767"/>
    <col min="12289" max="12289" width="11.28515625" style="1767" customWidth="1"/>
    <col min="12290" max="12290" width="12.7109375" style="1767" customWidth="1"/>
    <col min="12291" max="12291" width="0" style="1767" hidden="1" customWidth="1"/>
    <col min="12292" max="12292" width="10.28515625" style="1767" customWidth="1"/>
    <col min="12293" max="12293" width="12.85546875" style="1767" customWidth="1"/>
    <col min="12294" max="12294" width="0" style="1767" hidden="1" customWidth="1"/>
    <col min="12295" max="12295" width="13" style="1767" customWidth="1"/>
    <col min="12296" max="12296" width="12.140625" style="1767" customWidth="1"/>
    <col min="12297" max="12297" width="13.42578125" style="1767" customWidth="1"/>
    <col min="12298" max="12298" width="15.7109375" style="1767" customWidth="1"/>
    <col min="12299" max="12299" width="11.7109375" style="1767" customWidth="1"/>
    <col min="12300" max="12544" width="9.140625" style="1767"/>
    <col min="12545" max="12545" width="11.28515625" style="1767" customWidth="1"/>
    <col min="12546" max="12546" width="12.7109375" style="1767" customWidth="1"/>
    <col min="12547" max="12547" width="0" style="1767" hidden="1" customWidth="1"/>
    <col min="12548" max="12548" width="10.28515625" style="1767" customWidth="1"/>
    <col min="12549" max="12549" width="12.85546875" style="1767" customWidth="1"/>
    <col min="12550" max="12550" width="0" style="1767" hidden="1" customWidth="1"/>
    <col min="12551" max="12551" width="13" style="1767" customWidth="1"/>
    <col min="12552" max="12552" width="12.140625" style="1767" customWidth="1"/>
    <col min="12553" max="12553" width="13.42578125" style="1767" customWidth="1"/>
    <col min="12554" max="12554" width="15.7109375" style="1767" customWidth="1"/>
    <col min="12555" max="12555" width="11.7109375" style="1767" customWidth="1"/>
    <col min="12556" max="12800" width="9.140625" style="1767"/>
    <col min="12801" max="12801" width="11.28515625" style="1767" customWidth="1"/>
    <col min="12802" max="12802" width="12.7109375" style="1767" customWidth="1"/>
    <col min="12803" max="12803" width="0" style="1767" hidden="1" customWidth="1"/>
    <col min="12804" max="12804" width="10.28515625" style="1767" customWidth="1"/>
    <col min="12805" max="12805" width="12.85546875" style="1767" customWidth="1"/>
    <col min="12806" max="12806" width="0" style="1767" hidden="1" customWidth="1"/>
    <col min="12807" max="12807" width="13" style="1767" customWidth="1"/>
    <col min="12808" max="12808" width="12.140625" style="1767" customWidth="1"/>
    <col min="12809" max="12809" width="13.42578125" style="1767" customWidth="1"/>
    <col min="12810" max="12810" width="15.7109375" style="1767" customWidth="1"/>
    <col min="12811" max="12811" width="11.7109375" style="1767" customWidth="1"/>
    <col min="12812" max="13056" width="9.140625" style="1767"/>
    <col min="13057" max="13057" width="11.28515625" style="1767" customWidth="1"/>
    <col min="13058" max="13058" width="12.7109375" style="1767" customWidth="1"/>
    <col min="13059" max="13059" width="0" style="1767" hidden="1" customWidth="1"/>
    <col min="13060" max="13060" width="10.28515625" style="1767" customWidth="1"/>
    <col min="13061" max="13061" width="12.85546875" style="1767" customWidth="1"/>
    <col min="13062" max="13062" width="0" style="1767" hidden="1" customWidth="1"/>
    <col min="13063" max="13063" width="13" style="1767" customWidth="1"/>
    <col min="13064" max="13064" width="12.140625" style="1767" customWidth="1"/>
    <col min="13065" max="13065" width="13.42578125" style="1767" customWidth="1"/>
    <col min="13066" max="13066" width="15.7109375" style="1767" customWidth="1"/>
    <col min="13067" max="13067" width="11.7109375" style="1767" customWidth="1"/>
    <col min="13068" max="13312" width="9.140625" style="1767"/>
    <col min="13313" max="13313" width="11.28515625" style="1767" customWidth="1"/>
    <col min="13314" max="13314" width="12.7109375" style="1767" customWidth="1"/>
    <col min="13315" max="13315" width="0" style="1767" hidden="1" customWidth="1"/>
    <col min="13316" max="13316" width="10.28515625" style="1767" customWidth="1"/>
    <col min="13317" max="13317" width="12.85546875" style="1767" customWidth="1"/>
    <col min="13318" max="13318" width="0" style="1767" hidden="1" customWidth="1"/>
    <col min="13319" max="13319" width="13" style="1767" customWidth="1"/>
    <col min="13320" max="13320" width="12.140625" style="1767" customWidth="1"/>
    <col min="13321" max="13321" width="13.42578125" style="1767" customWidth="1"/>
    <col min="13322" max="13322" width="15.7109375" style="1767" customWidth="1"/>
    <col min="13323" max="13323" width="11.7109375" style="1767" customWidth="1"/>
    <col min="13324" max="13568" width="9.140625" style="1767"/>
    <col min="13569" max="13569" width="11.28515625" style="1767" customWidth="1"/>
    <col min="13570" max="13570" width="12.7109375" style="1767" customWidth="1"/>
    <col min="13571" max="13571" width="0" style="1767" hidden="1" customWidth="1"/>
    <col min="13572" max="13572" width="10.28515625" style="1767" customWidth="1"/>
    <col min="13573" max="13573" width="12.85546875" style="1767" customWidth="1"/>
    <col min="13574" max="13574" width="0" style="1767" hidden="1" customWidth="1"/>
    <col min="13575" max="13575" width="13" style="1767" customWidth="1"/>
    <col min="13576" max="13576" width="12.140625" style="1767" customWidth="1"/>
    <col min="13577" max="13577" width="13.42578125" style="1767" customWidth="1"/>
    <col min="13578" max="13578" width="15.7109375" style="1767" customWidth="1"/>
    <col min="13579" max="13579" width="11.7109375" style="1767" customWidth="1"/>
    <col min="13580" max="13824" width="9.140625" style="1767"/>
    <col min="13825" max="13825" width="11.28515625" style="1767" customWidth="1"/>
    <col min="13826" max="13826" width="12.7109375" style="1767" customWidth="1"/>
    <col min="13827" max="13827" width="0" style="1767" hidden="1" customWidth="1"/>
    <col min="13828" max="13828" width="10.28515625" style="1767" customWidth="1"/>
    <col min="13829" max="13829" width="12.85546875" style="1767" customWidth="1"/>
    <col min="13830" max="13830" width="0" style="1767" hidden="1" customWidth="1"/>
    <col min="13831" max="13831" width="13" style="1767" customWidth="1"/>
    <col min="13832" max="13832" width="12.140625" style="1767" customWidth="1"/>
    <col min="13833" max="13833" width="13.42578125" style="1767" customWidth="1"/>
    <col min="13834" max="13834" width="15.7109375" style="1767" customWidth="1"/>
    <col min="13835" max="13835" width="11.7109375" style="1767" customWidth="1"/>
    <col min="13836" max="14080" width="9.140625" style="1767"/>
    <col min="14081" max="14081" width="11.28515625" style="1767" customWidth="1"/>
    <col min="14082" max="14082" width="12.7109375" style="1767" customWidth="1"/>
    <col min="14083" max="14083" width="0" style="1767" hidden="1" customWidth="1"/>
    <col min="14084" max="14084" width="10.28515625" style="1767" customWidth="1"/>
    <col min="14085" max="14085" width="12.85546875" style="1767" customWidth="1"/>
    <col min="14086" max="14086" width="0" style="1767" hidden="1" customWidth="1"/>
    <col min="14087" max="14087" width="13" style="1767" customWidth="1"/>
    <col min="14088" max="14088" width="12.140625" style="1767" customWidth="1"/>
    <col min="14089" max="14089" width="13.42578125" style="1767" customWidth="1"/>
    <col min="14090" max="14090" width="15.7109375" style="1767" customWidth="1"/>
    <col min="14091" max="14091" width="11.7109375" style="1767" customWidth="1"/>
    <col min="14092" max="14336" width="9.140625" style="1767"/>
    <col min="14337" max="14337" width="11.28515625" style="1767" customWidth="1"/>
    <col min="14338" max="14338" width="12.7109375" style="1767" customWidth="1"/>
    <col min="14339" max="14339" width="0" style="1767" hidden="1" customWidth="1"/>
    <col min="14340" max="14340" width="10.28515625" style="1767" customWidth="1"/>
    <col min="14341" max="14341" width="12.85546875" style="1767" customWidth="1"/>
    <col min="14342" max="14342" width="0" style="1767" hidden="1" customWidth="1"/>
    <col min="14343" max="14343" width="13" style="1767" customWidth="1"/>
    <col min="14344" max="14344" width="12.140625" style="1767" customWidth="1"/>
    <col min="14345" max="14345" width="13.42578125" style="1767" customWidth="1"/>
    <col min="14346" max="14346" width="15.7109375" style="1767" customWidth="1"/>
    <col min="14347" max="14347" width="11.7109375" style="1767" customWidth="1"/>
    <col min="14348" max="14592" width="9.140625" style="1767"/>
    <col min="14593" max="14593" width="11.28515625" style="1767" customWidth="1"/>
    <col min="14594" max="14594" width="12.7109375" style="1767" customWidth="1"/>
    <col min="14595" max="14595" width="0" style="1767" hidden="1" customWidth="1"/>
    <col min="14596" max="14596" width="10.28515625" style="1767" customWidth="1"/>
    <col min="14597" max="14597" width="12.85546875" style="1767" customWidth="1"/>
    <col min="14598" max="14598" width="0" style="1767" hidden="1" customWidth="1"/>
    <col min="14599" max="14599" width="13" style="1767" customWidth="1"/>
    <col min="14600" max="14600" width="12.140625" style="1767" customWidth="1"/>
    <col min="14601" max="14601" width="13.42578125" style="1767" customWidth="1"/>
    <col min="14602" max="14602" width="15.7109375" style="1767" customWidth="1"/>
    <col min="14603" max="14603" width="11.7109375" style="1767" customWidth="1"/>
    <col min="14604" max="14848" width="9.140625" style="1767"/>
    <col min="14849" max="14849" width="11.28515625" style="1767" customWidth="1"/>
    <col min="14850" max="14850" width="12.7109375" style="1767" customWidth="1"/>
    <col min="14851" max="14851" width="0" style="1767" hidden="1" customWidth="1"/>
    <col min="14852" max="14852" width="10.28515625" style="1767" customWidth="1"/>
    <col min="14853" max="14853" width="12.85546875" style="1767" customWidth="1"/>
    <col min="14854" max="14854" width="0" style="1767" hidden="1" customWidth="1"/>
    <col min="14855" max="14855" width="13" style="1767" customWidth="1"/>
    <col min="14856" max="14856" width="12.140625" style="1767" customWidth="1"/>
    <col min="14857" max="14857" width="13.42578125" style="1767" customWidth="1"/>
    <col min="14858" max="14858" width="15.7109375" style="1767" customWidth="1"/>
    <col min="14859" max="14859" width="11.7109375" style="1767" customWidth="1"/>
    <col min="14860" max="15104" width="9.140625" style="1767"/>
    <col min="15105" max="15105" width="11.28515625" style="1767" customWidth="1"/>
    <col min="15106" max="15106" width="12.7109375" style="1767" customWidth="1"/>
    <col min="15107" max="15107" width="0" style="1767" hidden="1" customWidth="1"/>
    <col min="15108" max="15108" width="10.28515625" style="1767" customWidth="1"/>
    <col min="15109" max="15109" width="12.85546875" style="1767" customWidth="1"/>
    <col min="15110" max="15110" width="0" style="1767" hidden="1" customWidth="1"/>
    <col min="15111" max="15111" width="13" style="1767" customWidth="1"/>
    <col min="15112" max="15112" width="12.140625" style="1767" customWidth="1"/>
    <col min="15113" max="15113" width="13.42578125" style="1767" customWidth="1"/>
    <col min="15114" max="15114" width="15.7109375" style="1767" customWidth="1"/>
    <col min="15115" max="15115" width="11.7109375" style="1767" customWidth="1"/>
    <col min="15116" max="15360" width="9.140625" style="1767"/>
    <col min="15361" max="15361" width="11.28515625" style="1767" customWidth="1"/>
    <col min="15362" max="15362" width="12.7109375" style="1767" customWidth="1"/>
    <col min="15363" max="15363" width="0" style="1767" hidden="1" customWidth="1"/>
    <col min="15364" max="15364" width="10.28515625" style="1767" customWidth="1"/>
    <col min="15365" max="15365" width="12.85546875" style="1767" customWidth="1"/>
    <col min="15366" max="15366" width="0" style="1767" hidden="1" customWidth="1"/>
    <col min="15367" max="15367" width="13" style="1767" customWidth="1"/>
    <col min="15368" max="15368" width="12.140625" style="1767" customWidth="1"/>
    <col min="15369" max="15369" width="13.42578125" style="1767" customWidth="1"/>
    <col min="15370" max="15370" width="15.7109375" style="1767" customWidth="1"/>
    <col min="15371" max="15371" width="11.7109375" style="1767" customWidth="1"/>
    <col min="15372" max="15616" width="9.140625" style="1767"/>
    <col min="15617" max="15617" width="11.28515625" style="1767" customWidth="1"/>
    <col min="15618" max="15618" width="12.7109375" style="1767" customWidth="1"/>
    <col min="15619" max="15619" width="0" style="1767" hidden="1" customWidth="1"/>
    <col min="15620" max="15620" width="10.28515625" style="1767" customWidth="1"/>
    <col min="15621" max="15621" width="12.85546875" style="1767" customWidth="1"/>
    <col min="15622" max="15622" width="0" style="1767" hidden="1" customWidth="1"/>
    <col min="15623" max="15623" width="13" style="1767" customWidth="1"/>
    <col min="15624" max="15624" width="12.140625" style="1767" customWidth="1"/>
    <col min="15625" max="15625" width="13.42578125" style="1767" customWidth="1"/>
    <col min="15626" max="15626" width="15.7109375" style="1767" customWidth="1"/>
    <col min="15627" max="15627" width="11.7109375" style="1767" customWidth="1"/>
    <col min="15628" max="15872" width="9.140625" style="1767"/>
    <col min="15873" max="15873" width="11.28515625" style="1767" customWidth="1"/>
    <col min="15874" max="15874" width="12.7109375" style="1767" customWidth="1"/>
    <col min="15875" max="15875" width="0" style="1767" hidden="1" customWidth="1"/>
    <col min="15876" max="15876" width="10.28515625" style="1767" customWidth="1"/>
    <col min="15877" max="15877" width="12.85546875" style="1767" customWidth="1"/>
    <col min="15878" max="15878" width="0" style="1767" hidden="1" customWidth="1"/>
    <col min="15879" max="15879" width="13" style="1767" customWidth="1"/>
    <col min="15880" max="15880" width="12.140625" style="1767" customWidth="1"/>
    <col min="15881" max="15881" width="13.42578125" style="1767" customWidth="1"/>
    <col min="15882" max="15882" width="15.7109375" style="1767" customWidth="1"/>
    <col min="15883" max="15883" width="11.7109375" style="1767" customWidth="1"/>
    <col min="15884" max="16128" width="9.140625" style="1767"/>
    <col min="16129" max="16129" width="11.28515625" style="1767" customWidth="1"/>
    <col min="16130" max="16130" width="12.7109375" style="1767" customWidth="1"/>
    <col min="16131" max="16131" width="0" style="1767" hidden="1" customWidth="1"/>
    <col min="16132" max="16132" width="10.28515625" style="1767" customWidth="1"/>
    <col min="16133" max="16133" width="12.85546875" style="1767" customWidth="1"/>
    <col min="16134" max="16134" width="0" style="1767" hidden="1" customWidth="1"/>
    <col min="16135" max="16135" width="13" style="1767" customWidth="1"/>
    <col min="16136" max="16136" width="12.140625" style="1767" customWidth="1"/>
    <col min="16137" max="16137" width="13.42578125" style="1767" customWidth="1"/>
    <col min="16138" max="16138" width="15.7109375" style="1767" customWidth="1"/>
    <col min="16139" max="16139" width="11.7109375" style="1767" customWidth="1"/>
    <col min="16140" max="16384" width="9.140625" style="1767"/>
  </cols>
  <sheetData>
    <row r="1" spans="1:13" ht="19.5" x14ac:dyDescent="0.3">
      <c r="A1" s="1762" t="s">
        <v>3444</v>
      </c>
      <c r="B1" s="1763"/>
      <c r="C1" s="1763"/>
      <c r="D1" s="1763"/>
      <c r="E1" s="1763"/>
      <c r="F1" s="1764"/>
      <c r="G1" s="1765"/>
      <c r="H1" s="1765"/>
      <c r="I1" s="1765"/>
      <c r="J1" s="1766"/>
      <c r="K1" s="1766"/>
    </row>
    <row r="2" spans="1:13" x14ac:dyDescent="0.2">
      <c r="B2" s="1766"/>
      <c r="C2" s="1766"/>
      <c r="D2" s="1766"/>
      <c r="E2" s="1766"/>
      <c r="F2" s="1766"/>
      <c r="G2" s="1766"/>
      <c r="H2" s="1766"/>
      <c r="I2" s="1766"/>
      <c r="J2" s="1766"/>
      <c r="K2" s="1766"/>
    </row>
    <row r="3" spans="1:13" ht="13.5" thickBot="1" x14ac:dyDescent="0.25">
      <c r="A3" s="1766"/>
      <c r="B3" s="1766"/>
      <c r="C3" s="1766"/>
      <c r="D3" s="1766"/>
      <c r="E3" s="1766"/>
      <c r="F3" s="1766"/>
      <c r="G3" s="1766"/>
      <c r="H3" s="1766"/>
      <c r="I3" s="1766"/>
      <c r="J3" s="1768" t="s">
        <v>674</v>
      </c>
      <c r="K3" s="1769"/>
    </row>
    <row r="4" spans="1:13" ht="16.5" thickTop="1" x14ac:dyDescent="0.25">
      <c r="A4" s="1770"/>
      <c r="B4" s="1771" t="s">
        <v>766</v>
      </c>
      <c r="C4" s="1772" t="s">
        <v>1056</v>
      </c>
      <c r="D4" s="1772" t="s">
        <v>3445</v>
      </c>
      <c r="E4" s="1772" t="s">
        <v>766</v>
      </c>
      <c r="F4" s="1772" t="s">
        <v>3446</v>
      </c>
      <c r="G4" s="1772" t="s">
        <v>3446</v>
      </c>
      <c r="H4" s="1772" t="s">
        <v>3446</v>
      </c>
      <c r="I4" s="1772" t="s">
        <v>3446</v>
      </c>
      <c r="J4" s="1772" t="s">
        <v>1056</v>
      </c>
      <c r="K4" s="1773" t="s">
        <v>1056</v>
      </c>
    </row>
    <row r="5" spans="1:13" ht="15.75" x14ac:dyDescent="0.25">
      <c r="A5" s="1774"/>
      <c r="B5" s="1775" t="s">
        <v>1273</v>
      </c>
      <c r="C5" s="1776" t="s">
        <v>3447</v>
      </c>
      <c r="D5" s="1776" t="s">
        <v>1273</v>
      </c>
      <c r="E5" s="1776" t="s">
        <v>1273</v>
      </c>
      <c r="F5" s="1776" t="s">
        <v>3448</v>
      </c>
      <c r="G5" s="1776" t="s">
        <v>3449</v>
      </c>
      <c r="H5" s="1776" t="s">
        <v>3449</v>
      </c>
      <c r="I5" s="1776" t="s">
        <v>3450</v>
      </c>
      <c r="J5" s="1776" t="s">
        <v>3451</v>
      </c>
      <c r="K5" s="1777" t="s">
        <v>3451</v>
      </c>
    </row>
    <row r="6" spans="1:13" ht="15.75" x14ac:dyDescent="0.25">
      <c r="A6" s="1774"/>
      <c r="B6" s="1775" t="s">
        <v>771</v>
      </c>
      <c r="C6" s="1776" t="s">
        <v>3452</v>
      </c>
      <c r="D6" s="1776" t="s">
        <v>3453</v>
      </c>
      <c r="E6" s="1776" t="s">
        <v>1092</v>
      </c>
      <c r="F6" s="1776" t="s">
        <v>196</v>
      </c>
      <c r="G6" s="1776" t="s">
        <v>3454</v>
      </c>
      <c r="H6" s="1776" t="s">
        <v>3454</v>
      </c>
      <c r="I6" s="1776" t="s">
        <v>3455</v>
      </c>
      <c r="J6" s="1776" t="s">
        <v>3454</v>
      </c>
      <c r="K6" s="1777" t="s">
        <v>3454</v>
      </c>
    </row>
    <row r="7" spans="1:13" ht="15.75" x14ac:dyDescent="0.25">
      <c r="A7" s="1774"/>
      <c r="B7" s="1775" t="s">
        <v>3456</v>
      </c>
      <c r="C7" s="1776" t="s">
        <v>3456</v>
      </c>
      <c r="D7" s="1776" t="s">
        <v>3457</v>
      </c>
      <c r="E7" s="1776" t="s">
        <v>3446</v>
      </c>
      <c r="F7" s="1776" t="s">
        <v>214</v>
      </c>
      <c r="G7" s="1776" t="s">
        <v>3458</v>
      </c>
      <c r="H7" s="1776" t="s">
        <v>3459</v>
      </c>
      <c r="I7" s="1776" t="s">
        <v>3460</v>
      </c>
      <c r="J7" s="1776" t="s">
        <v>3461</v>
      </c>
      <c r="K7" s="1777" t="s">
        <v>3462</v>
      </c>
    </row>
    <row r="8" spans="1:13" ht="15.75" x14ac:dyDescent="0.25">
      <c r="A8" s="1774"/>
      <c r="B8" s="1775" t="s">
        <v>775</v>
      </c>
      <c r="C8" s="1776" t="s">
        <v>3463</v>
      </c>
      <c r="D8" s="1776"/>
      <c r="E8" s="1776" t="s">
        <v>753</v>
      </c>
      <c r="F8" s="1776" t="s">
        <v>3464</v>
      </c>
      <c r="G8" s="1776" t="s">
        <v>48</v>
      </c>
      <c r="H8" s="1776" t="s">
        <v>48</v>
      </c>
      <c r="I8" s="1776" t="s">
        <v>203</v>
      </c>
      <c r="J8" s="1776" t="s">
        <v>3465</v>
      </c>
      <c r="K8" s="1777" t="s">
        <v>3466</v>
      </c>
    </row>
    <row r="9" spans="1:13" ht="17.25" customHeight="1" x14ac:dyDescent="0.3">
      <c r="A9" s="1774"/>
      <c r="B9" s="1775" t="s">
        <v>3467</v>
      </c>
      <c r="C9" s="1776" t="s">
        <v>3468</v>
      </c>
      <c r="D9" s="1776"/>
      <c r="E9" s="1776"/>
      <c r="F9" s="1776" t="s">
        <v>3469</v>
      </c>
      <c r="G9" s="1776" t="s">
        <v>3470</v>
      </c>
      <c r="H9" s="1776" t="s">
        <v>3470</v>
      </c>
      <c r="I9" s="1776" t="s">
        <v>3471</v>
      </c>
      <c r="J9" s="1776"/>
      <c r="K9" s="1777" t="s">
        <v>224</v>
      </c>
    </row>
    <row r="10" spans="1:13" ht="18.75" customHeight="1" thickBot="1" x14ac:dyDescent="0.3">
      <c r="A10" s="1778"/>
      <c r="B10" s="1779" t="s">
        <v>3472</v>
      </c>
      <c r="C10" s="1780"/>
      <c r="D10" s="1780"/>
      <c r="E10" s="1780"/>
      <c r="F10" s="1780"/>
      <c r="G10" s="1780"/>
      <c r="H10" s="1780"/>
      <c r="I10" s="1780"/>
      <c r="J10" s="1780"/>
      <c r="K10" s="1781"/>
    </row>
    <row r="11" spans="1:13" ht="13.5" hidden="1" thickTop="1" x14ac:dyDescent="0.2">
      <c r="A11" s="1782">
        <v>38687</v>
      </c>
      <c r="B11" s="1783">
        <v>7.45</v>
      </c>
      <c r="C11" s="1784" t="s">
        <v>664</v>
      </c>
      <c r="D11" s="1785">
        <v>7.16</v>
      </c>
      <c r="E11" s="1785">
        <v>3.87</v>
      </c>
      <c r="F11" s="1784" t="s">
        <v>664</v>
      </c>
      <c r="G11" s="1785" t="s">
        <v>2747</v>
      </c>
      <c r="H11" s="1786" t="s">
        <v>3473</v>
      </c>
      <c r="I11" s="1786" t="s">
        <v>3474</v>
      </c>
      <c r="J11" s="1785">
        <v>5.7</v>
      </c>
      <c r="K11" s="1787">
        <v>10.81</v>
      </c>
    </row>
    <row r="12" spans="1:13" ht="13.5" hidden="1" thickTop="1" x14ac:dyDescent="0.2">
      <c r="A12" s="1782">
        <v>38718</v>
      </c>
      <c r="B12" s="1783">
        <v>7.52</v>
      </c>
      <c r="C12" s="1784" t="s">
        <v>664</v>
      </c>
      <c r="D12" s="1785">
        <v>7.53</v>
      </c>
      <c r="E12" s="1785">
        <v>5.68</v>
      </c>
      <c r="F12" s="1784" t="s">
        <v>664</v>
      </c>
      <c r="G12" s="1785" t="s">
        <v>2747</v>
      </c>
      <c r="H12" s="1786" t="s">
        <v>3473</v>
      </c>
      <c r="I12" s="1786" t="s">
        <v>3474</v>
      </c>
      <c r="J12" s="1785">
        <v>5.76</v>
      </c>
      <c r="K12" s="1787">
        <v>10.85</v>
      </c>
      <c r="M12" s="1788"/>
    </row>
    <row r="13" spans="1:13" ht="13.5" hidden="1" thickTop="1" x14ac:dyDescent="0.2">
      <c r="A13" s="1782">
        <v>38749</v>
      </c>
      <c r="B13" s="1783">
        <v>7.49</v>
      </c>
      <c r="C13" s="1784" t="s">
        <v>664</v>
      </c>
      <c r="D13" s="1785">
        <v>7.44</v>
      </c>
      <c r="E13" s="1785">
        <v>3.87</v>
      </c>
      <c r="F13" s="1784" t="s">
        <v>664</v>
      </c>
      <c r="G13" s="1785" t="s">
        <v>2747</v>
      </c>
      <c r="H13" s="1786" t="s">
        <v>3473</v>
      </c>
      <c r="I13" s="1786" t="s">
        <v>3474</v>
      </c>
      <c r="J13" s="1785">
        <v>6.34</v>
      </c>
      <c r="K13" s="1787">
        <v>10.84</v>
      </c>
      <c r="M13" s="1788"/>
    </row>
    <row r="14" spans="1:13" ht="13.5" hidden="1" thickTop="1" x14ac:dyDescent="0.2">
      <c r="A14" s="1782">
        <v>38777</v>
      </c>
      <c r="B14" s="1783">
        <v>7.53</v>
      </c>
      <c r="C14" s="1784" t="s">
        <v>664</v>
      </c>
      <c r="D14" s="1785">
        <v>7.52</v>
      </c>
      <c r="E14" s="1785">
        <v>3.83</v>
      </c>
      <c r="F14" s="1784" t="s">
        <v>664</v>
      </c>
      <c r="G14" s="1785" t="s">
        <v>2747</v>
      </c>
      <c r="H14" s="1786" t="s">
        <v>3473</v>
      </c>
      <c r="I14" s="1786" t="s">
        <v>3474</v>
      </c>
      <c r="J14" s="1785">
        <v>5.76</v>
      </c>
      <c r="K14" s="1787">
        <v>10.73</v>
      </c>
      <c r="M14" s="1788"/>
    </row>
    <row r="15" spans="1:13" ht="13.5" hidden="1" thickTop="1" x14ac:dyDescent="0.2">
      <c r="A15" s="1782">
        <v>38808</v>
      </c>
      <c r="B15" s="1783">
        <v>7.49</v>
      </c>
      <c r="C15" s="1784" t="s">
        <v>664</v>
      </c>
      <c r="D15" s="1785">
        <v>7.51</v>
      </c>
      <c r="E15" s="1785">
        <v>3.88</v>
      </c>
      <c r="F15" s="1784" t="s">
        <v>664</v>
      </c>
      <c r="G15" s="1785" t="s">
        <v>2747</v>
      </c>
      <c r="H15" s="1786" t="s">
        <v>3473</v>
      </c>
      <c r="I15" s="1786" t="s">
        <v>3474</v>
      </c>
      <c r="J15" s="1785">
        <v>5.79</v>
      </c>
      <c r="K15" s="1787">
        <v>10.74</v>
      </c>
      <c r="M15" s="1788"/>
    </row>
    <row r="16" spans="1:13" ht="13.5" hidden="1" thickTop="1" x14ac:dyDescent="0.2">
      <c r="A16" s="1782">
        <v>38838</v>
      </c>
      <c r="B16" s="1783">
        <v>7.47</v>
      </c>
      <c r="C16" s="1784" t="s">
        <v>664</v>
      </c>
      <c r="D16" s="1785">
        <v>7.47</v>
      </c>
      <c r="E16" s="1785">
        <v>3.52</v>
      </c>
      <c r="F16" s="1784" t="s">
        <v>664</v>
      </c>
      <c r="G16" s="1785" t="s">
        <v>2747</v>
      </c>
      <c r="H16" s="1786" t="s">
        <v>3473</v>
      </c>
      <c r="I16" s="1786" t="s">
        <v>3474</v>
      </c>
      <c r="J16" s="1785">
        <v>5.8</v>
      </c>
      <c r="K16" s="1787">
        <v>10.8</v>
      </c>
      <c r="M16" s="1788"/>
    </row>
    <row r="17" spans="1:13" ht="13.5" hidden="1" thickTop="1" x14ac:dyDescent="0.2">
      <c r="A17" s="1782">
        <v>38869</v>
      </c>
      <c r="B17" s="1783">
        <v>7.33</v>
      </c>
      <c r="C17" s="1784" t="s">
        <v>664</v>
      </c>
      <c r="D17" s="1785">
        <v>7.34</v>
      </c>
      <c r="E17" s="1785">
        <v>3.54</v>
      </c>
      <c r="F17" s="1784" t="s">
        <v>664</v>
      </c>
      <c r="G17" s="1785" t="s">
        <v>2747</v>
      </c>
      <c r="H17" s="1786" t="s">
        <v>3473</v>
      </c>
      <c r="I17" s="1786" t="s">
        <v>3474</v>
      </c>
      <c r="J17" s="1785">
        <v>5.52</v>
      </c>
      <c r="K17" s="1787">
        <v>11.08</v>
      </c>
      <c r="M17" s="1788"/>
    </row>
    <row r="18" spans="1:13" ht="13.5" hidden="1" thickTop="1" x14ac:dyDescent="0.2">
      <c r="A18" s="1782">
        <v>38899</v>
      </c>
      <c r="B18" s="1783">
        <v>7.35</v>
      </c>
      <c r="C18" s="1784" t="s">
        <v>664</v>
      </c>
      <c r="D18" s="1785">
        <v>7.34</v>
      </c>
      <c r="E18" s="1785">
        <v>3.65</v>
      </c>
      <c r="F18" s="1784" t="s">
        <v>664</v>
      </c>
      <c r="G18" s="1785" t="s">
        <v>2748</v>
      </c>
      <c r="H18" s="1786" t="s">
        <v>3475</v>
      </c>
      <c r="I18" s="1786" t="s">
        <v>3476</v>
      </c>
      <c r="J18" s="1785">
        <v>6.24</v>
      </c>
      <c r="K18" s="1787">
        <v>11.51</v>
      </c>
      <c r="M18" s="1788"/>
    </row>
    <row r="19" spans="1:13" ht="13.5" hidden="1" thickTop="1" x14ac:dyDescent="0.2">
      <c r="A19" s="1782">
        <v>38930</v>
      </c>
      <c r="B19" s="1783">
        <v>7.3</v>
      </c>
      <c r="C19" s="1784" t="s">
        <v>664</v>
      </c>
      <c r="D19" s="1785">
        <v>7.26</v>
      </c>
      <c r="E19" s="1785">
        <v>5.15</v>
      </c>
      <c r="F19" s="1784">
        <v>12</v>
      </c>
      <c r="G19" s="1785" t="s">
        <v>2748</v>
      </c>
      <c r="H19" s="1786" t="s">
        <v>3475</v>
      </c>
      <c r="I19" s="1786" t="s">
        <v>3476</v>
      </c>
      <c r="J19" s="1785">
        <v>6.24</v>
      </c>
      <c r="K19" s="1787">
        <v>11.48</v>
      </c>
      <c r="M19" s="1788"/>
    </row>
    <row r="20" spans="1:13" ht="13.5" hidden="1" thickTop="1" x14ac:dyDescent="0.2">
      <c r="A20" s="1782">
        <v>38961</v>
      </c>
      <c r="B20" s="1783">
        <v>9.2100000000000009</v>
      </c>
      <c r="C20" s="1784" t="s">
        <v>664</v>
      </c>
      <c r="D20" s="1785">
        <v>8.7899999999999991</v>
      </c>
      <c r="E20" s="1785">
        <v>8.0399999999999991</v>
      </c>
      <c r="F20" s="1784">
        <v>12</v>
      </c>
      <c r="G20" s="1785" t="s">
        <v>2749</v>
      </c>
      <c r="H20" s="1786" t="s">
        <v>3477</v>
      </c>
      <c r="I20" s="1786" t="s">
        <v>3478</v>
      </c>
      <c r="J20" s="1785">
        <v>7</v>
      </c>
      <c r="K20" s="1787">
        <v>12.29</v>
      </c>
      <c r="M20" s="1788"/>
    </row>
    <row r="21" spans="1:13" ht="13.5" hidden="1" thickTop="1" x14ac:dyDescent="0.2">
      <c r="A21" s="1782">
        <v>38991</v>
      </c>
      <c r="B21" s="1783">
        <v>10.210000000000001</v>
      </c>
      <c r="C21" s="1784" t="s">
        <v>664</v>
      </c>
      <c r="D21" s="1785">
        <v>10.17</v>
      </c>
      <c r="E21" s="1785">
        <v>10.83</v>
      </c>
      <c r="F21" s="1784">
        <v>13</v>
      </c>
      <c r="G21" s="1785" t="s">
        <v>2749</v>
      </c>
      <c r="H21" s="1786" t="s">
        <v>3477</v>
      </c>
      <c r="I21" s="1786" t="s">
        <v>3478</v>
      </c>
      <c r="J21" s="1785">
        <v>7.04</v>
      </c>
      <c r="K21" s="1787">
        <v>12.28</v>
      </c>
      <c r="M21" s="1788"/>
    </row>
    <row r="22" spans="1:13" ht="13.5" hidden="1" thickTop="1" x14ac:dyDescent="0.2">
      <c r="A22" s="1782">
        <v>39022</v>
      </c>
      <c r="B22" s="1783">
        <v>10.74</v>
      </c>
      <c r="C22" s="1784" t="s">
        <v>664</v>
      </c>
      <c r="D22" s="1785">
        <v>10.66</v>
      </c>
      <c r="E22" s="1785">
        <v>8.98</v>
      </c>
      <c r="F22" s="1784" t="s">
        <v>664</v>
      </c>
      <c r="G22" s="1785" t="s">
        <v>2749</v>
      </c>
      <c r="H22" s="1786" t="s">
        <v>3477</v>
      </c>
      <c r="I22" s="1786" t="s">
        <v>3478</v>
      </c>
      <c r="J22" s="1785">
        <v>7.13</v>
      </c>
      <c r="K22" s="1787">
        <v>12.2</v>
      </c>
      <c r="M22" s="1788"/>
    </row>
    <row r="23" spans="1:13" ht="18" hidden="1" customHeight="1" x14ac:dyDescent="0.2">
      <c r="A23" s="1782">
        <v>39052</v>
      </c>
      <c r="B23" s="1783">
        <v>11.98</v>
      </c>
      <c r="C23" s="1784" t="s">
        <v>664</v>
      </c>
      <c r="D23" s="1785">
        <v>11.84</v>
      </c>
      <c r="E23" s="1785">
        <v>8.86</v>
      </c>
      <c r="F23" s="1784" t="s">
        <v>664</v>
      </c>
      <c r="G23" s="1785" t="s">
        <v>2749</v>
      </c>
      <c r="H23" s="1786" t="s">
        <v>3479</v>
      </c>
      <c r="I23" s="1786" t="s">
        <v>3478</v>
      </c>
      <c r="J23" s="1785">
        <v>7.12</v>
      </c>
      <c r="K23" s="1787">
        <v>12.2</v>
      </c>
      <c r="M23" s="1788"/>
    </row>
    <row r="24" spans="1:13" ht="18" hidden="1" customHeight="1" x14ac:dyDescent="0.2">
      <c r="A24" s="1782">
        <v>39083</v>
      </c>
      <c r="B24" s="1783">
        <v>13.07</v>
      </c>
      <c r="C24" s="1784" t="s">
        <v>664</v>
      </c>
      <c r="D24" s="1785">
        <v>12.99</v>
      </c>
      <c r="E24" s="1785">
        <v>8.5500000000000007</v>
      </c>
      <c r="F24" s="1784" t="s">
        <v>664</v>
      </c>
      <c r="G24" s="1785" t="s">
        <v>2749</v>
      </c>
      <c r="H24" s="1786" t="s">
        <v>3480</v>
      </c>
      <c r="I24" s="1786" t="s">
        <v>3478</v>
      </c>
      <c r="J24" s="1785">
        <v>7.26</v>
      </c>
      <c r="K24" s="1787">
        <v>12.22</v>
      </c>
      <c r="M24" s="1788"/>
    </row>
    <row r="25" spans="1:13" ht="18" hidden="1" customHeight="1" x14ac:dyDescent="0.2">
      <c r="A25" s="1782">
        <v>39114</v>
      </c>
      <c r="B25" s="1783">
        <v>13.13</v>
      </c>
      <c r="C25" s="1784" t="s">
        <v>664</v>
      </c>
      <c r="D25" s="1785">
        <v>13.25</v>
      </c>
      <c r="E25" s="1785">
        <v>9.0399999999999991</v>
      </c>
      <c r="F25" s="1784" t="s">
        <v>664</v>
      </c>
      <c r="G25" s="1785" t="s">
        <v>2749</v>
      </c>
      <c r="H25" s="1786" t="s">
        <v>3480</v>
      </c>
      <c r="I25" s="1786" t="s">
        <v>3478</v>
      </c>
      <c r="J25" s="1785">
        <v>7.26</v>
      </c>
      <c r="K25" s="1787">
        <v>12.23</v>
      </c>
      <c r="M25" s="1788"/>
    </row>
    <row r="26" spans="1:13" ht="18" hidden="1" customHeight="1" x14ac:dyDescent="0.2">
      <c r="A26" s="1782">
        <v>39142</v>
      </c>
      <c r="B26" s="1783">
        <v>11.94</v>
      </c>
      <c r="C26" s="1784" t="s">
        <v>664</v>
      </c>
      <c r="D26" s="1785">
        <v>12.11</v>
      </c>
      <c r="E26" s="1785">
        <v>8.31</v>
      </c>
      <c r="F26" s="1784" t="s">
        <v>664</v>
      </c>
      <c r="G26" s="1785" t="s">
        <v>2749</v>
      </c>
      <c r="H26" s="1786" t="s">
        <v>3481</v>
      </c>
      <c r="I26" s="1786" t="s">
        <v>3478</v>
      </c>
      <c r="J26" s="1785">
        <v>7.35</v>
      </c>
      <c r="K26" s="1787">
        <v>12.31</v>
      </c>
      <c r="M26" s="1788"/>
    </row>
    <row r="27" spans="1:13" ht="18" hidden="1" customHeight="1" x14ac:dyDescent="0.2">
      <c r="A27" s="1782">
        <v>39173</v>
      </c>
      <c r="B27" s="1783">
        <v>11.52</v>
      </c>
      <c r="C27" s="1784" t="s">
        <v>664</v>
      </c>
      <c r="D27" s="1785">
        <v>11.47</v>
      </c>
      <c r="E27" s="1785">
        <v>8.1</v>
      </c>
      <c r="F27" s="1784" t="s">
        <v>664</v>
      </c>
      <c r="G27" s="1785" t="s">
        <v>2749</v>
      </c>
      <c r="H27" s="1786" t="s">
        <v>3482</v>
      </c>
      <c r="I27" s="1786" t="s">
        <v>3478</v>
      </c>
      <c r="J27" s="1785">
        <v>7.36</v>
      </c>
      <c r="K27" s="1787">
        <v>12.43</v>
      </c>
      <c r="M27" s="1788"/>
    </row>
    <row r="28" spans="1:13" ht="18" hidden="1" customHeight="1" x14ac:dyDescent="0.2">
      <c r="A28" s="1782">
        <v>39203</v>
      </c>
      <c r="B28" s="1783">
        <v>11.65</v>
      </c>
      <c r="C28" s="1784" t="s">
        <v>664</v>
      </c>
      <c r="D28" s="1785">
        <v>11.67</v>
      </c>
      <c r="E28" s="1785">
        <v>8.3699999999999992</v>
      </c>
      <c r="F28" s="1784" t="s">
        <v>664</v>
      </c>
      <c r="G28" s="1785" t="s">
        <v>2749</v>
      </c>
      <c r="H28" s="1786" t="s">
        <v>3480</v>
      </c>
      <c r="I28" s="1786" t="s">
        <v>3478</v>
      </c>
      <c r="J28" s="1785">
        <v>7.3</v>
      </c>
      <c r="K28" s="1787">
        <v>12.35</v>
      </c>
      <c r="M28" s="1788"/>
    </row>
    <row r="29" spans="1:13" ht="18" hidden="1" customHeight="1" x14ac:dyDescent="0.2">
      <c r="A29" s="1782">
        <v>39234</v>
      </c>
      <c r="B29" s="1783">
        <v>11.04</v>
      </c>
      <c r="C29" s="1784" t="s">
        <v>664</v>
      </c>
      <c r="D29" s="1785">
        <v>11.08</v>
      </c>
      <c r="E29" s="1785">
        <v>8.31</v>
      </c>
      <c r="F29" s="1784" t="s">
        <v>664</v>
      </c>
      <c r="G29" s="1785" t="s">
        <v>2749</v>
      </c>
      <c r="H29" s="1786" t="s">
        <v>3483</v>
      </c>
      <c r="I29" s="1786" t="s">
        <v>3478</v>
      </c>
      <c r="J29" s="1785">
        <v>7.21</v>
      </c>
      <c r="K29" s="1787">
        <v>12.35</v>
      </c>
      <c r="L29" s="1788"/>
      <c r="M29" s="1788"/>
    </row>
    <row r="30" spans="1:13" ht="18" hidden="1" customHeight="1" x14ac:dyDescent="0.2">
      <c r="A30" s="1782">
        <v>39264</v>
      </c>
      <c r="B30" s="1783">
        <v>11.29</v>
      </c>
      <c r="C30" s="1784" t="s">
        <v>664</v>
      </c>
      <c r="D30" s="1785">
        <v>11.23</v>
      </c>
      <c r="E30" s="1785">
        <v>8.77</v>
      </c>
      <c r="F30" s="1784" t="s">
        <v>664</v>
      </c>
      <c r="G30" s="1785" t="s">
        <v>2750</v>
      </c>
      <c r="H30" s="1786" t="s">
        <v>3480</v>
      </c>
      <c r="I30" s="1786" t="s">
        <v>3484</v>
      </c>
      <c r="J30" s="1785">
        <v>7.79</v>
      </c>
      <c r="K30" s="1787">
        <v>12.73</v>
      </c>
      <c r="L30" s="1788"/>
      <c r="M30" s="1788"/>
    </row>
    <row r="31" spans="1:13" ht="18" hidden="1" customHeight="1" x14ac:dyDescent="0.2">
      <c r="A31" s="1782">
        <v>39295</v>
      </c>
      <c r="B31" s="1783">
        <v>10.029999999999999</v>
      </c>
      <c r="C31" s="1784" t="s">
        <v>664</v>
      </c>
      <c r="D31" s="1785">
        <v>10.199999999999999</v>
      </c>
      <c r="E31" s="1785">
        <v>8.77</v>
      </c>
      <c r="F31" s="1784" t="s">
        <v>664</v>
      </c>
      <c r="G31" s="1785" t="s">
        <v>2750</v>
      </c>
      <c r="H31" s="1786" t="s">
        <v>3480</v>
      </c>
      <c r="I31" s="1786" t="s">
        <v>3476</v>
      </c>
      <c r="J31" s="1785">
        <v>7.88</v>
      </c>
      <c r="K31" s="1787">
        <v>12.76</v>
      </c>
      <c r="L31" s="1788"/>
      <c r="M31" s="1788"/>
    </row>
    <row r="32" spans="1:13" ht="18" hidden="1" customHeight="1" x14ac:dyDescent="0.2">
      <c r="A32" s="1782">
        <v>39326</v>
      </c>
      <c r="B32" s="1783">
        <v>9.4499999999999993</v>
      </c>
      <c r="C32" s="1784" t="s">
        <v>664</v>
      </c>
      <c r="D32" s="1785">
        <v>9.49</v>
      </c>
      <c r="E32" s="1785">
        <v>8.94</v>
      </c>
      <c r="F32" s="1784" t="s">
        <v>664</v>
      </c>
      <c r="G32" s="1785" t="s">
        <v>2750</v>
      </c>
      <c r="H32" s="1786" t="s">
        <v>3480</v>
      </c>
      <c r="I32" s="1786" t="s">
        <v>3485</v>
      </c>
      <c r="J32" s="1785">
        <v>7.79</v>
      </c>
      <c r="K32" s="1787">
        <v>12.72</v>
      </c>
      <c r="L32" s="1788"/>
      <c r="M32" s="1788"/>
    </row>
    <row r="33" spans="1:13" ht="18" hidden="1" customHeight="1" thickTop="1" x14ac:dyDescent="0.2">
      <c r="A33" s="1782">
        <v>39356</v>
      </c>
      <c r="B33" s="1783">
        <v>9.14</v>
      </c>
      <c r="C33" s="1784" t="s">
        <v>664</v>
      </c>
      <c r="D33" s="1785">
        <v>9.24</v>
      </c>
      <c r="E33" s="1785">
        <v>9.2200000000000006</v>
      </c>
      <c r="F33" s="1784" t="s">
        <v>664</v>
      </c>
      <c r="G33" s="1785" t="s">
        <v>2750</v>
      </c>
      <c r="H33" s="1786" t="s">
        <v>3482</v>
      </c>
      <c r="I33" s="1786" t="s">
        <v>3486</v>
      </c>
      <c r="J33" s="1785">
        <v>7.72</v>
      </c>
      <c r="K33" s="1787">
        <v>12.77</v>
      </c>
      <c r="L33" s="1788"/>
      <c r="M33" s="1788"/>
    </row>
    <row r="34" spans="1:13" ht="18" hidden="1" customHeight="1" x14ac:dyDescent="0.2">
      <c r="A34" s="1782">
        <v>39387</v>
      </c>
      <c r="B34" s="1783">
        <v>9.16</v>
      </c>
      <c r="C34" s="1784" t="s">
        <v>664</v>
      </c>
      <c r="D34" s="1785">
        <v>9.07</v>
      </c>
      <c r="E34" s="1785">
        <v>8.6</v>
      </c>
      <c r="F34" s="1784" t="s">
        <v>664</v>
      </c>
      <c r="G34" s="1785" t="s">
        <v>2750</v>
      </c>
      <c r="H34" s="1786" t="s">
        <v>3487</v>
      </c>
      <c r="I34" s="1786" t="s">
        <v>3485</v>
      </c>
      <c r="J34" s="1785">
        <v>7.72</v>
      </c>
      <c r="K34" s="1787">
        <v>12.82</v>
      </c>
      <c r="L34" s="1788"/>
      <c r="M34" s="1788"/>
    </row>
    <row r="35" spans="1:13" ht="18" hidden="1" customHeight="1" x14ac:dyDescent="0.2">
      <c r="A35" s="1782">
        <v>39417</v>
      </c>
      <c r="B35" s="1783">
        <v>10.029999999999999</v>
      </c>
      <c r="C35" s="1784" t="s">
        <v>664</v>
      </c>
      <c r="D35" s="1785">
        <v>9.93</v>
      </c>
      <c r="E35" s="1785">
        <v>8.75</v>
      </c>
      <c r="F35" s="1784" t="s">
        <v>664</v>
      </c>
      <c r="G35" s="1785" t="s">
        <v>2750</v>
      </c>
      <c r="H35" s="1786" t="s">
        <v>3487</v>
      </c>
      <c r="I35" s="1786" t="s">
        <v>3485</v>
      </c>
      <c r="J35" s="1785">
        <v>7.43</v>
      </c>
      <c r="K35" s="1787">
        <v>12.84</v>
      </c>
      <c r="L35" s="1788"/>
      <c r="M35" s="1788"/>
    </row>
    <row r="36" spans="1:13" ht="18" hidden="1" customHeight="1" x14ac:dyDescent="0.2">
      <c r="A36" s="1782">
        <v>39455</v>
      </c>
      <c r="B36" s="1783">
        <v>9.85</v>
      </c>
      <c r="C36" s="1784" t="s">
        <v>664</v>
      </c>
      <c r="D36" s="1785">
        <v>9.82</v>
      </c>
      <c r="E36" s="1785">
        <v>8.67</v>
      </c>
      <c r="F36" s="1784" t="s">
        <v>664</v>
      </c>
      <c r="G36" s="1785" t="s">
        <v>2750</v>
      </c>
      <c r="H36" s="1786" t="s">
        <v>3480</v>
      </c>
      <c r="I36" s="1786" t="s">
        <v>3485</v>
      </c>
      <c r="J36" s="1785">
        <v>7.58</v>
      </c>
      <c r="K36" s="1787">
        <v>13.03</v>
      </c>
      <c r="L36" s="1788"/>
      <c r="M36" s="1788"/>
    </row>
    <row r="37" spans="1:13" ht="18" hidden="1" customHeight="1" x14ac:dyDescent="0.2">
      <c r="A37" s="1782">
        <v>39486</v>
      </c>
      <c r="B37" s="1783">
        <v>8.26</v>
      </c>
      <c r="C37" s="1784" t="s">
        <v>664</v>
      </c>
      <c r="D37" s="1785">
        <v>8.6300000000000008</v>
      </c>
      <c r="E37" s="1785">
        <v>8.0500000000000007</v>
      </c>
      <c r="F37" s="1784" t="s">
        <v>664</v>
      </c>
      <c r="G37" s="1785" t="s">
        <v>2751</v>
      </c>
      <c r="H37" s="1786" t="s">
        <v>3488</v>
      </c>
      <c r="I37" s="1786" t="s">
        <v>1925</v>
      </c>
      <c r="J37" s="1785">
        <v>7.36</v>
      </c>
      <c r="K37" s="1787">
        <v>12.87</v>
      </c>
      <c r="L37" s="1788"/>
      <c r="M37" s="1788"/>
    </row>
    <row r="38" spans="1:13" ht="18" hidden="1" customHeight="1" x14ac:dyDescent="0.2">
      <c r="A38" s="1782">
        <v>39515</v>
      </c>
      <c r="B38" s="1783">
        <v>7.51</v>
      </c>
      <c r="C38" s="1784" t="s">
        <v>664</v>
      </c>
      <c r="D38" s="1785">
        <v>7.6</v>
      </c>
      <c r="E38" s="1785">
        <v>7.48</v>
      </c>
      <c r="F38" s="1784" t="s">
        <v>664</v>
      </c>
      <c r="G38" s="1785" t="s">
        <v>2752</v>
      </c>
      <c r="H38" s="1786" t="s">
        <v>3488</v>
      </c>
      <c r="I38" s="1786" t="s">
        <v>3489</v>
      </c>
      <c r="J38" s="1785">
        <v>7.08</v>
      </c>
      <c r="K38" s="1787">
        <v>12.46</v>
      </c>
      <c r="L38" s="1788"/>
      <c r="M38" s="1788"/>
    </row>
    <row r="39" spans="1:13" ht="18" hidden="1" customHeight="1" x14ac:dyDescent="0.2">
      <c r="A39" s="1782">
        <v>39546</v>
      </c>
      <c r="B39" s="1783">
        <v>7.56</v>
      </c>
      <c r="C39" s="1784" t="s">
        <v>664</v>
      </c>
      <c r="D39" s="1785">
        <v>7.49</v>
      </c>
      <c r="E39" s="1785">
        <v>6.84</v>
      </c>
      <c r="F39" s="1784" t="s">
        <v>664</v>
      </c>
      <c r="G39" s="1785" t="s">
        <v>1112</v>
      </c>
      <c r="H39" s="1786" t="s">
        <v>3488</v>
      </c>
      <c r="I39" s="1786" t="s">
        <v>1481</v>
      </c>
      <c r="J39" s="1785">
        <v>6.91</v>
      </c>
      <c r="K39" s="1787">
        <v>12.49</v>
      </c>
      <c r="L39" s="1788"/>
      <c r="M39" s="1788"/>
    </row>
    <row r="40" spans="1:13" ht="18" hidden="1" customHeight="1" x14ac:dyDescent="0.2">
      <c r="A40" s="1782">
        <v>39576</v>
      </c>
      <c r="B40" s="1783">
        <v>7.33</v>
      </c>
      <c r="C40" s="1784" t="s">
        <v>664</v>
      </c>
      <c r="D40" s="1785">
        <v>7.34</v>
      </c>
      <c r="E40" s="1785">
        <v>6.67</v>
      </c>
      <c r="F40" s="1784" t="s">
        <v>664</v>
      </c>
      <c r="G40" s="1785" t="s">
        <v>1127</v>
      </c>
      <c r="H40" s="1786" t="s">
        <v>3488</v>
      </c>
      <c r="I40" s="1786" t="s">
        <v>3490</v>
      </c>
      <c r="J40" s="1785">
        <v>6.54</v>
      </c>
      <c r="K40" s="1787">
        <v>12.03</v>
      </c>
      <c r="L40" s="1788"/>
      <c r="M40" s="1788"/>
    </row>
    <row r="41" spans="1:13" ht="18" hidden="1" customHeight="1" x14ac:dyDescent="0.2">
      <c r="A41" s="1782">
        <v>39607</v>
      </c>
      <c r="B41" s="1783">
        <v>7.37</v>
      </c>
      <c r="C41" s="1784" t="s">
        <v>664</v>
      </c>
      <c r="D41" s="1785">
        <v>7.35</v>
      </c>
      <c r="E41" s="1785">
        <v>6.54</v>
      </c>
      <c r="F41" s="1784" t="s">
        <v>664</v>
      </c>
      <c r="G41" s="1785" t="s">
        <v>1127</v>
      </c>
      <c r="H41" s="1786" t="s">
        <v>3491</v>
      </c>
      <c r="I41" s="1786" t="s">
        <v>3492</v>
      </c>
      <c r="J41" s="1785">
        <v>6.4</v>
      </c>
      <c r="K41" s="1787">
        <v>12.03</v>
      </c>
      <c r="L41" s="1788"/>
      <c r="M41" s="1788"/>
    </row>
    <row r="42" spans="1:13" ht="13.5" hidden="1" thickTop="1" x14ac:dyDescent="0.2">
      <c r="A42" s="1782">
        <v>39637</v>
      </c>
      <c r="B42" s="1783">
        <v>7.36</v>
      </c>
      <c r="C42" s="1784" t="s">
        <v>664</v>
      </c>
      <c r="D42" s="1785">
        <v>7.37</v>
      </c>
      <c r="E42" s="1785">
        <v>6.82</v>
      </c>
      <c r="F42" s="1784" t="s">
        <v>664</v>
      </c>
      <c r="G42" s="1785" t="s">
        <v>2753</v>
      </c>
      <c r="H42" s="1786" t="s">
        <v>3491</v>
      </c>
      <c r="I42" s="1786" t="s">
        <v>3493</v>
      </c>
      <c r="J42" s="1785">
        <v>6.6</v>
      </c>
      <c r="K42" s="1787">
        <v>12.04</v>
      </c>
      <c r="L42" s="1788"/>
      <c r="M42" s="1788"/>
    </row>
    <row r="43" spans="1:13" ht="13.5" hidden="1" thickTop="1" x14ac:dyDescent="0.2">
      <c r="A43" s="1782">
        <v>39668</v>
      </c>
      <c r="B43" s="1783">
        <v>7.93</v>
      </c>
      <c r="C43" s="1784" t="s">
        <v>664</v>
      </c>
      <c r="D43" s="1785">
        <v>7.83</v>
      </c>
      <c r="E43" s="1785">
        <v>6.78</v>
      </c>
      <c r="F43" s="1784" t="s">
        <v>664</v>
      </c>
      <c r="G43" s="1785" t="s">
        <v>2753</v>
      </c>
      <c r="H43" s="1786" t="s">
        <v>3491</v>
      </c>
      <c r="I43" s="1786" t="s">
        <v>3494</v>
      </c>
      <c r="J43" s="1785">
        <v>6.65</v>
      </c>
      <c r="K43" s="1787">
        <v>12.31</v>
      </c>
      <c r="L43" s="1788"/>
      <c r="M43" s="1788"/>
    </row>
    <row r="44" spans="1:13" ht="18" hidden="1" customHeight="1" x14ac:dyDescent="0.2">
      <c r="A44" s="1782">
        <v>39699</v>
      </c>
      <c r="B44" s="1783">
        <v>8.91</v>
      </c>
      <c r="C44" s="1784" t="s">
        <v>664</v>
      </c>
      <c r="D44" s="1785">
        <v>8.6999999999999993</v>
      </c>
      <c r="E44" s="1785">
        <v>8.9700000000000006</v>
      </c>
      <c r="F44" s="1784" t="s">
        <v>664</v>
      </c>
      <c r="G44" s="1785" t="s">
        <v>2753</v>
      </c>
      <c r="H44" s="1786" t="s">
        <v>3491</v>
      </c>
      <c r="I44" s="1786" t="s">
        <v>3495</v>
      </c>
      <c r="J44" s="1785">
        <v>6.7</v>
      </c>
      <c r="K44" s="1787">
        <v>12.27</v>
      </c>
      <c r="L44" s="1788"/>
      <c r="M44" s="1788"/>
    </row>
    <row r="45" spans="1:13" s="1790" customFormat="1" ht="18" hidden="1" customHeight="1" x14ac:dyDescent="0.2">
      <c r="A45" s="1782">
        <v>39729</v>
      </c>
      <c r="B45" s="1783">
        <v>9.4</v>
      </c>
      <c r="C45" s="1784" t="s">
        <v>664</v>
      </c>
      <c r="D45" s="1785">
        <v>9.39</v>
      </c>
      <c r="E45" s="1785">
        <v>8.94</v>
      </c>
      <c r="F45" s="1784" t="s">
        <v>664</v>
      </c>
      <c r="G45" s="1785" t="s">
        <v>2753</v>
      </c>
      <c r="H45" s="1786" t="s">
        <v>3491</v>
      </c>
      <c r="I45" s="1786" t="s">
        <v>3495</v>
      </c>
      <c r="J45" s="1785">
        <v>6.76</v>
      </c>
      <c r="K45" s="1787">
        <v>12.26</v>
      </c>
      <c r="L45" s="1789"/>
      <c r="M45" s="1788"/>
    </row>
    <row r="46" spans="1:13" s="1790" customFormat="1" ht="18" hidden="1" customHeight="1" x14ac:dyDescent="0.2">
      <c r="A46" s="1782">
        <v>39760</v>
      </c>
      <c r="B46" s="1783">
        <v>9.24</v>
      </c>
      <c r="C46" s="1784" t="s">
        <v>664</v>
      </c>
      <c r="D46" s="1785">
        <v>9.2799999999999994</v>
      </c>
      <c r="E46" s="1785">
        <v>8.89</v>
      </c>
      <c r="F46" s="1784" t="s">
        <v>664</v>
      </c>
      <c r="G46" s="1785" t="s">
        <v>2754</v>
      </c>
      <c r="H46" s="1786" t="s">
        <v>3373</v>
      </c>
      <c r="I46" s="1786" t="s">
        <v>1929</v>
      </c>
      <c r="J46" s="1785">
        <v>6.38</v>
      </c>
      <c r="K46" s="1787">
        <v>11.74</v>
      </c>
      <c r="L46" s="1789"/>
      <c r="M46" s="1788"/>
    </row>
    <row r="47" spans="1:13" s="1790" customFormat="1" ht="18" hidden="1" customHeight="1" x14ac:dyDescent="0.2">
      <c r="A47" s="1782">
        <v>39790</v>
      </c>
      <c r="B47" s="1783">
        <v>8.9600000000000009</v>
      </c>
      <c r="C47" s="1784" t="s">
        <v>664</v>
      </c>
      <c r="D47" s="1785">
        <v>9.06</v>
      </c>
      <c r="E47" s="1785">
        <v>7.24</v>
      </c>
      <c r="F47" s="1784" t="s">
        <v>664</v>
      </c>
      <c r="G47" s="1785" t="s">
        <v>971</v>
      </c>
      <c r="H47" s="1786" t="s">
        <v>3491</v>
      </c>
      <c r="I47" s="1786" t="s">
        <v>1482</v>
      </c>
      <c r="J47" s="1785">
        <v>5.77</v>
      </c>
      <c r="K47" s="1787">
        <v>11.04</v>
      </c>
      <c r="L47" s="1789"/>
      <c r="M47" s="1788"/>
    </row>
    <row r="48" spans="1:13" s="1790" customFormat="1" ht="18" hidden="1" customHeight="1" x14ac:dyDescent="0.2">
      <c r="A48" s="1782">
        <v>39821</v>
      </c>
      <c r="B48" s="1783">
        <v>8.0399999999999991</v>
      </c>
      <c r="C48" s="1784" t="s">
        <v>664</v>
      </c>
      <c r="D48" s="1785">
        <v>8.2100000000000009</v>
      </c>
      <c r="E48" s="1785">
        <v>6.96</v>
      </c>
      <c r="F48" s="1784" t="s">
        <v>664</v>
      </c>
      <c r="G48" s="1785" t="s">
        <v>971</v>
      </c>
      <c r="H48" s="1786" t="s">
        <v>3491</v>
      </c>
      <c r="I48" s="1786" t="s">
        <v>1482</v>
      </c>
      <c r="J48" s="1785">
        <v>5.79</v>
      </c>
      <c r="K48" s="1787">
        <v>10.99</v>
      </c>
      <c r="L48" s="1789"/>
      <c r="M48" s="1789"/>
    </row>
    <row r="49" spans="1:13" s="1790" customFormat="1" ht="18" hidden="1" customHeight="1" x14ac:dyDescent="0.2">
      <c r="A49" s="1782">
        <v>39852</v>
      </c>
      <c r="B49" s="1783">
        <v>7.02</v>
      </c>
      <c r="C49" s="1784" t="s">
        <v>664</v>
      </c>
      <c r="D49" s="1785">
        <v>7.17</v>
      </c>
      <c r="E49" s="1785">
        <v>6.53</v>
      </c>
      <c r="F49" s="1784" t="s">
        <v>664</v>
      </c>
      <c r="G49" s="1785" t="s">
        <v>971</v>
      </c>
      <c r="H49" s="1786" t="s">
        <v>3491</v>
      </c>
      <c r="I49" s="1786" t="s">
        <v>1482</v>
      </c>
      <c r="J49" s="1785">
        <v>5.79</v>
      </c>
      <c r="K49" s="1787">
        <v>10.98</v>
      </c>
      <c r="L49" s="1789"/>
      <c r="M49" s="1789"/>
    </row>
    <row r="50" spans="1:13" s="1790" customFormat="1" ht="18" hidden="1" customHeight="1" x14ac:dyDescent="0.2">
      <c r="A50" s="1782">
        <v>39880</v>
      </c>
      <c r="B50" s="1783">
        <v>6.07</v>
      </c>
      <c r="C50" s="1784" t="s">
        <v>664</v>
      </c>
      <c r="D50" s="1785">
        <v>6.31</v>
      </c>
      <c r="E50" s="1785">
        <v>5.77</v>
      </c>
      <c r="F50" s="1784" t="s">
        <v>664</v>
      </c>
      <c r="G50" s="1785" t="s">
        <v>2755</v>
      </c>
      <c r="H50" s="1786" t="s">
        <v>3488</v>
      </c>
      <c r="I50" s="1786" t="s">
        <v>1482</v>
      </c>
      <c r="J50" s="1785">
        <v>5.44</v>
      </c>
      <c r="K50" s="1787">
        <v>10.54</v>
      </c>
      <c r="L50" s="1789"/>
      <c r="M50" s="1789"/>
    </row>
    <row r="51" spans="1:13" s="1790" customFormat="1" ht="18" hidden="1" customHeight="1" x14ac:dyDescent="0.2">
      <c r="A51" s="1782">
        <v>39911</v>
      </c>
      <c r="B51" s="1783">
        <v>5.09</v>
      </c>
      <c r="C51" s="1784" t="s">
        <v>664</v>
      </c>
      <c r="D51" s="1785">
        <v>5.0999999999999996</v>
      </c>
      <c r="E51" s="1785">
        <v>4.8099999999999996</v>
      </c>
      <c r="F51" s="1784" t="s">
        <v>664</v>
      </c>
      <c r="G51" s="1785" t="s">
        <v>2756</v>
      </c>
      <c r="H51" s="1786" t="s">
        <v>2489</v>
      </c>
      <c r="I51" s="1786" t="s">
        <v>1482</v>
      </c>
      <c r="J51" s="1785">
        <v>4.79</v>
      </c>
      <c r="K51" s="1787">
        <v>10.220000000000001</v>
      </c>
      <c r="L51" s="1789"/>
      <c r="M51" s="1789"/>
    </row>
    <row r="52" spans="1:13" s="1790" customFormat="1" ht="18" hidden="1" customHeight="1" x14ac:dyDescent="0.2">
      <c r="A52" s="1782">
        <v>39941</v>
      </c>
      <c r="B52" s="1783">
        <v>4.79</v>
      </c>
      <c r="C52" s="1784" t="s">
        <v>664</v>
      </c>
      <c r="D52" s="1785">
        <v>4.8099999999999996</v>
      </c>
      <c r="E52" s="1785">
        <v>4.7</v>
      </c>
      <c r="F52" s="1784" t="s">
        <v>664</v>
      </c>
      <c r="G52" s="1785" t="s">
        <v>2756</v>
      </c>
      <c r="H52" s="1786" t="s">
        <v>2489</v>
      </c>
      <c r="I52" s="1786" t="s">
        <v>1482</v>
      </c>
      <c r="J52" s="1785">
        <v>4.8099999999999996</v>
      </c>
      <c r="K52" s="1787">
        <v>10.210000000000001</v>
      </c>
      <c r="L52" s="1789"/>
      <c r="M52" s="1789"/>
    </row>
    <row r="53" spans="1:13" s="1790" customFormat="1" ht="18" hidden="1" customHeight="1" x14ac:dyDescent="0.2">
      <c r="A53" s="1782">
        <v>39972</v>
      </c>
      <c r="B53" s="1783">
        <v>4.72</v>
      </c>
      <c r="C53" s="1784" t="s">
        <v>664</v>
      </c>
      <c r="D53" s="1785">
        <v>4.75</v>
      </c>
      <c r="E53" s="1785">
        <v>4.28</v>
      </c>
      <c r="F53" s="1784" t="s">
        <v>664</v>
      </c>
      <c r="G53" s="1785" t="s">
        <v>2756</v>
      </c>
      <c r="H53" s="1786" t="s">
        <v>2489</v>
      </c>
      <c r="I53" s="1786" t="s">
        <v>1482</v>
      </c>
      <c r="J53" s="1785">
        <v>4.78</v>
      </c>
      <c r="K53" s="1787">
        <v>10.119999999999999</v>
      </c>
      <c r="L53" s="1789"/>
      <c r="M53" s="1789"/>
    </row>
    <row r="54" spans="1:13" s="1790" customFormat="1" ht="18" hidden="1" customHeight="1" thickTop="1" x14ac:dyDescent="0.2">
      <c r="A54" s="1782">
        <v>40002</v>
      </c>
      <c r="B54" s="1783">
        <v>4.66</v>
      </c>
      <c r="C54" s="1784" t="s">
        <v>664</v>
      </c>
      <c r="D54" s="1785">
        <v>4.6900000000000004</v>
      </c>
      <c r="E54" s="1785">
        <v>4.05</v>
      </c>
      <c r="F54" s="1784" t="s">
        <v>664</v>
      </c>
      <c r="G54" s="1785" t="s">
        <v>2756</v>
      </c>
      <c r="H54" s="1786" t="s">
        <v>2489</v>
      </c>
      <c r="I54" s="1786" t="s">
        <v>1482</v>
      </c>
      <c r="J54" s="1785">
        <v>4.75</v>
      </c>
      <c r="K54" s="1787">
        <v>10.16</v>
      </c>
      <c r="L54" s="1789"/>
      <c r="M54" s="1789"/>
    </row>
    <row r="55" spans="1:13" s="1790" customFormat="1" ht="18" hidden="1" customHeight="1" x14ac:dyDescent="0.2">
      <c r="A55" s="1782">
        <v>40033</v>
      </c>
      <c r="B55" s="1783">
        <v>4.5</v>
      </c>
      <c r="C55" s="1784" t="s">
        <v>664</v>
      </c>
      <c r="D55" s="1785">
        <v>4.51</v>
      </c>
      <c r="E55" s="1785">
        <v>4.0199999999999996</v>
      </c>
      <c r="F55" s="1784" t="s">
        <v>664</v>
      </c>
      <c r="G55" s="1785" t="s">
        <v>2756</v>
      </c>
      <c r="H55" s="1786" t="s">
        <v>2489</v>
      </c>
      <c r="I55" s="1786" t="s">
        <v>1482</v>
      </c>
      <c r="J55" s="1785">
        <v>4.74</v>
      </c>
      <c r="K55" s="1787">
        <v>10.119999999999999</v>
      </c>
      <c r="L55" s="1789"/>
      <c r="M55" s="1789"/>
    </row>
    <row r="56" spans="1:13" s="1790" customFormat="1" ht="18" hidden="1" customHeight="1" x14ac:dyDescent="0.2">
      <c r="A56" s="1782">
        <v>40064</v>
      </c>
      <c r="B56" s="1783">
        <v>4.45</v>
      </c>
      <c r="C56" s="1784" t="s">
        <v>664</v>
      </c>
      <c r="D56" s="1785">
        <v>4.4400000000000004</v>
      </c>
      <c r="E56" s="1785">
        <v>4.0599999999999996</v>
      </c>
      <c r="F56" s="1784" t="s">
        <v>664</v>
      </c>
      <c r="G56" s="1785" t="s">
        <v>2756</v>
      </c>
      <c r="H56" s="1786" t="s">
        <v>2489</v>
      </c>
      <c r="I56" s="1786" t="s">
        <v>1482</v>
      </c>
      <c r="J56" s="1785">
        <v>4.66</v>
      </c>
      <c r="K56" s="1787">
        <v>10.09</v>
      </c>
      <c r="L56" s="1789"/>
      <c r="M56" s="1789"/>
    </row>
    <row r="57" spans="1:13" s="1790" customFormat="1" ht="18" hidden="1" customHeight="1" x14ac:dyDescent="0.2">
      <c r="A57" s="1782">
        <v>40094</v>
      </c>
      <c r="B57" s="1783">
        <v>4.71</v>
      </c>
      <c r="C57" s="1784" t="s">
        <v>664</v>
      </c>
      <c r="D57" s="1785">
        <v>4.7300000000000004</v>
      </c>
      <c r="E57" s="1785">
        <v>4.04</v>
      </c>
      <c r="F57" s="1784" t="s">
        <v>664</v>
      </c>
      <c r="G57" s="1785" t="s">
        <v>2756</v>
      </c>
      <c r="H57" s="1786" t="s">
        <v>2489</v>
      </c>
      <c r="I57" s="1786" t="s">
        <v>1482</v>
      </c>
      <c r="J57" s="1785">
        <v>4.6500000000000004</v>
      </c>
      <c r="K57" s="1787">
        <v>10.15</v>
      </c>
      <c r="L57" s="1789"/>
      <c r="M57" s="1789"/>
    </row>
    <row r="58" spans="1:13" s="1790" customFormat="1" ht="18" hidden="1" customHeight="1" x14ac:dyDescent="0.2">
      <c r="A58" s="1782">
        <v>40125</v>
      </c>
      <c r="B58" s="1783">
        <v>4.49</v>
      </c>
      <c r="C58" s="1784" t="s">
        <v>664</v>
      </c>
      <c r="D58" s="1785">
        <v>4.53</v>
      </c>
      <c r="E58" s="1785">
        <v>4.0199999999999996</v>
      </c>
      <c r="F58" s="1784" t="s">
        <v>664</v>
      </c>
      <c r="G58" s="1785" t="s">
        <v>2756</v>
      </c>
      <c r="H58" s="1786" t="s">
        <v>2489</v>
      </c>
      <c r="I58" s="1786" t="s">
        <v>1482</v>
      </c>
      <c r="J58" s="1785">
        <v>4.66</v>
      </c>
      <c r="K58" s="1787">
        <v>10.08</v>
      </c>
      <c r="L58" s="1789"/>
      <c r="M58" s="1789"/>
    </row>
    <row r="59" spans="1:13" s="1790" customFormat="1" ht="18" hidden="1" customHeight="1" x14ac:dyDescent="0.2">
      <c r="A59" s="1782">
        <v>40155</v>
      </c>
      <c r="B59" s="1783">
        <v>4.4000000000000004</v>
      </c>
      <c r="C59" s="1784" t="s">
        <v>664</v>
      </c>
      <c r="D59" s="1785">
        <v>4.4000000000000004</v>
      </c>
      <c r="E59" s="1785">
        <v>4.26</v>
      </c>
      <c r="F59" s="1784" t="s">
        <v>664</v>
      </c>
      <c r="G59" s="1785" t="s">
        <v>2756</v>
      </c>
      <c r="H59" s="1786" t="s">
        <v>2489</v>
      </c>
      <c r="I59" s="1786" t="s">
        <v>1482</v>
      </c>
      <c r="J59" s="1785">
        <v>4.57</v>
      </c>
      <c r="K59" s="1787">
        <v>10.08</v>
      </c>
      <c r="L59" s="1789"/>
      <c r="M59" s="1789"/>
    </row>
    <row r="60" spans="1:13" s="1790" customFormat="1" ht="18" hidden="1" customHeight="1" x14ac:dyDescent="0.2">
      <c r="A60" s="1782">
        <v>40186</v>
      </c>
      <c r="B60" s="1783">
        <v>4.5199999999999996</v>
      </c>
      <c r="C60" s="1784" t="s">
        <v>664</v>
      </c>
      <c r="D60" s="1785">
        <v>4.51</v>
      </c>
      <c r="E60" s="1785">
        <v>4.26</v>
      </c>
      <c r="F60" s="1784" t="s">
        <v>664</v>
      </c>
      <c r="G60" s="1785" t="s">
        <v>2756</v>
      </c>
      <c r="H60" s="1786" t="s">
        <v>2489</v>
      </c>
      <c r="I60" s="1786" t="s">
        <v>1485</v>
      </c>
      <c r="J60" s="1785" t="s">
        <v>3496</v>
      </c>
      <c r="K60" s="1787">
        <v>10.050000000000001</v>
      </c>
      <c r="L60" s="1789"/>
      <c r="M60" s="1789"/>
    </row>
    <row r="61" spans="1:13" s="1790" customFormat="1" ht="18" hidden="1" customHeight="1" x14ac:dyDescent="0.2">
      <c r="A61" s="1782">
        <v>40217</v>
      </c>
      <c r="B61" s="1783">
        <v>4.4800000000000004</v>
      </c>
      <c r="C61" s="1784" t="s">
        <v>664</v>
      </c>
      <c r="D61" s="1785">
        <v>4.5</v>
      </c>
      <c r="E61" s="1785">
        <v>3.91</v>
      </c>
      <c r="F61" s="1784" t="s">
        <v>664</v>
      </c>
      <c r="G61" s="1785" t="s">
        <v>2756</v>
      </c>
      <c r="H61" s="1786" t="s">
        <v>2489</v>
      </c>
      <c r="I61" s="1786" t="s">
        <v>1485</v>
      </c>
      <c r="J61" s="1785">
        <v>4.55</v>
      </c>
      <c r="K61" s="1787">
        <v>10.01</v>
      </c>
      <c r="L61" s="1789"/>
      <c r="M61" s="1789"/>
    </row>
    <row r="62" spans="1:13" s="1790" customFormat="1" ht="18" hidden="1" customHeight="1" x14ac:dyDescent="0.2">
      <c r="A62" s="1782">
        <v>40245</v>
      </c>
      <c r="B62" s="1783">
        <v>4.24</v>
      </c>
      <c r="C62" s="1784" t="s">
        <v>664</v>
      </c>
      <c r="D62" s="1785">
        <v>4.3099999999999996</v>
      </c>
      <c r="E62" s="1785">
        <v>3.88</v>
      </c>
      <c r="F62" s="1784" t="s">
        <v>664</v>
      </c>
      <c r="G62" s="1785" t="s">
        <v>2756</v>
      </c>
      <c r="H62" s="1786" t="s">
        <v>2489</v>
      </c>
      <c r="I62" s="1786" t="s">
        <v>1485</v>
      </c>
      <c r="J62" s="1785">
        <v>4.5199999999999996</v>
      </c>
      <c r="K62" s="1787">
        <v>9.99</v>
      </c>
      <c r="L62" s="1789"/>
      <c r="M62" s="1789"/>
    </row>
    <row r="63" spans="1:13" s="1790" customFormat="1" ht="18" hidden="1" customHeight="1" x14ac:dyDescent="0.2">
      <c r="A63" s="1782">
        <v>40276</v>
      </c>
      <c r="B63" s="1783">
        <v>4.49</v>
      </c>
      <c r="C63" s="1784" t="s">
        <v>664</v>
      </c>
      <c r="D63" s="1785">
        <v>4.51</v>
      </c>
      <c r="E63" s="1785">
        <v>3.94</v>
      </c>
      <c r="F63" s="1784" t="s">
        <v>664</v>
      </c>
      <c r="G63" s="1785" t="s">
        <v>2756</v>
      </c>
      <c r="H63" s="1786" t="s">
        <v>2489</v>
      </c>
      <c r="I63" s="1786" t="s">
        <v>1485</v>
      </c>
      <c r="J63" s="1785">
        <v>4.5599999999999996</v>
      </c>
      <c r="K63" s="1787">
        <v>10.029999999999999</v>
      </c>
      <c r="L63" s="1789"/>
      <c r="M63" s="1789"/>
    </row>
    <row r="64" spans="1:13" s="1790" customFormat="1" ht="18" hidden="1" customHeight="1" x14ac:dyDescent="0.2">
      <c r="A64" s="1782">
        <v>40306</v>
      </c>
      <c r="B64" s="1783">
        <v>3.91</v>
      </c>
      <c r="C64" s="1791" t="s">
        <v>664</v>
      </c>
      <c r="D64" s="1785">
        <v>4.04</v>
      </c>
      <c r="E64" s="1785">
        <v>3.74</v>
      </c>
      <c r="F64" s="1791" t="s">
        <v>664</v>
      </c>
      <c r="G64" s="1785" t="s">
        <v>2756</v>
      </c>
      <c r="H64" s="1786" t="s">
        <v>2489</v>
      </c>
      <c r="I64" s="1786" t="s">
        <v>1485</v>
      </c>
      <c r="J64" s="1785">
        <v>4.5199999999999996</v>
      </c>
      <c r="K64" s="1787">
        <v>10.02</v>
      </c>
      <c r="L64" s="1789"/>
      <c r="M64" s="1789"/>
    </row>
    <row r="65" spans="1:13" s="1790" customFormat="1" ht="18" hidden="1" customHeight="1" x14ac:dyDescent="0.2">
      <c r="A65" s="1782">
        <v>40337</v>
      </c>
      <c r="B65" s="1783">
        <v>3.48</v>
      </c>
      <c r="C65" s="1791" t="s">
        <v>664</v>
      </c>
      <c r="D65" s="1785">
        <v>3.47</v>
      </c>
      <c r="E65" s="1785">
        <v>3.36</v>
      </c>
      <c r="F65" s="1791" t="s">
        <v>664</v>
      </c>
      <c r="G65" s="1785" t="s">
        <v>2756</v>
      </c>
      <c r="H65" s="1786" t="s">
        <v>2489</v>
      </c>
      <c r="I65" s="1786" t="s">
        <v>1485</v>
      </c>
      <c r="J65" s="1785">
        <v>4.57</v>
      </c>
      <c r="K65" s="1787">
        <v>10.06</v>
      </c>
      <c r="L65" s="1789"/>
      <c r="M65" s="1789"/>
    </row>
    <row r="66" spans="1:13" s="1790" customFormat="1" ht="18" hidden="1" customHeight="1" x14ac:dyDescent="0.2">
      <c r="A66" s="1782">
        <v>40367</v>
      </c>
      <c r="B66" s="1783">
        <v>3.77</v>
      </c>
      <c r="C66" s="1791" t="s">
        <v>664</v>
      </c>
      <c r="D66" s="1785">
        <v>3.87</v>
      </c>
      <c r="E66" s="1785">
        <v>3.45</v>
      </c>
      <c r="F66" s="1791" t="s">
        <v>664</v>
      </c>
      <c r="G66" s="1785" t="s">
        <v>2756</v>
      </c>
      <c r="H66" s="1786" t="s">
        <v>2489</v>
      </c>
      <c r="I66" s="1786" t="s">
        <v>1485</v>
      </c>
      <c r="J66" s="1792">
        <v>4.58</v>
      </c>
      <c r="K66" s="1787">
        <v>9.98</v>
      </c>
      <c r="L66" s="1789"/>
      <c r="M66" s="1789"/>
    </row>
    <row r="67" spans="1:13" s="1790" customFormat="1" ht="18" hidden="1" customHeight="1" x14ac:dyDescent="0.2">
      <c r="A67" s="1782">
        <v>40398</v>
      </c>
      <c r="B67" s="1783">
        <v>2.92</v>
      </c>
      <c r="C67" s="1791" t="s">
        <v>664</v>
      </c>
      <c r="D67" s="1785">
        <v>3.02</v>
      </c>
      <c r="E67" s="1785">
        <v>2.52</v>
      </c>
      <c r="F67" s="1791" t="s">
        <v>664</v>
      </c>
      <c r="G67" s="1785" t="s">
        <v>2756</v>
      </c>
      <c r="H67" s="1786" t="s">
        <v>2489</v>
      </c>
      <c r="I67" s="1786" t="s">
        <v>1485</v>
      </c>
      <c r="J67" s="1792">
        <v>4.5599999999999996</v>
      </c>
      <c r="K67" s="1787">
        <v>9.91</v>
      </c>
      <c r="L67" s="1789"/>
      <c r="M67" s="1789"/>
    </row>
    <row r="68" spans="1:13" s="1790" customFormat="1" ht="18" hidden="1" customHeight="1" x14ac:dyDescent="0.2">
      <c r="A68" s="1782">
        <v>40429</v>
      </c>
      <c r="B68" s="1783">
        <v>2.81</v>
      </c>
      <c r="C68" s="1791" t="s">
        <v>664</v>
      </c>
      <c r="D68" s="1785">
        <v>2.73</v>
      </c>
      <c r="E68" s="1785">
        <v>2.0699999999999998</v>
      </c>
      <c r="F68" s="1791" t="s">
        <v>664</v>
      </c>
      <c r="G68" s="1785" t="s">
        <v>2757</v>
      </c>
      <c r="H68" s="1786" t="s">
        <v>3497</v>
      </c>
      <c r="I68" s="1786" t="s">
        <v>1485</v>
      </c>
      <c r="J68" s="1785">
        <v>4.5</v>
      </c>
      <c r="K68" s="1787">
        <v>9.9</v>
      </c>
      <c r="L68" s="1789"/>
      <c r="M68" s="1789"/>
    </row>
    <row r="69" spans="1:13" s="1790" customFormat="1" ht="18" hidden="1" customHeight="1" x14ac:dyDescent="0.2">
      <c r="A69" s="1793" t="s">
        <v>235</v>
      </c>
      <c r="B69" s="1783">
        <v>4.42</v>
      </c>
      <c r="C69" s="1791">
        <v>4.3099999999999996</v>
      </c>
      <c r="D69" s="1785">
        <v>4.3099999999999996</v>
      </c>
      <c r="E69" s="1785">
        <v>2.27</v>
      </c>
      <c r="F69" s="1791" t="s">
        <v>664</v>
      </c>
      <c r="G69" s="1785" t="s">
        <v>987</v>
      </c>
      <c r="H69" s="1786" t="s">
        <v>3497</v>
      </c>
      <c r="I69" s="1786" t="s">
        <v>1751</v>
      </c>
      <c r="J69" s="1785">
        <v>3.85</v>
      </c>
      <c r="K69" s="1787">
        <v>9.23</v>
      </c>
      <c r="L69" s="1789"/>
      <c r="M69" s="1789"/>
    </row>
    <row r="70" spans="1:13" s="1790" customFormat="1" ht="18" hidden="1" customHeight="1" x14ac:dyDescent="0.2">
      <c r="A70" s="1793" t="s">
        <v>3498</v>
      </c>
      <c r="B70" s="1783">
        <v>3.85</v>
      </c>
      <c r="C70" s="1791"/>
      <c r="D70" s="1785">
        <v>3.95</v>
      </c>
      <c r="E70" s="1785">
        <v>2.17</v>
      </c>
      <c r="F70" s="1791"/>
      <c r="G70" s="1785" t="s">
        <v>987</v>
      </c>
      <c r="H70" s="1786" t="s">
        <v>3499</v>
      </c>
      <c r="I70" s="1786" t="s">
        <v>1488</v>
      </c>
      <c r="J70" s="1785">
        <v>3.78</v>
      </c>
      <c r="K70" s="1787">
        <v>9.26</v>
      </c>
      <c r="L70" s="1789"/>
      <c r="M70" s="1789"/>
    </row>
    <row r="71" spans="1:13" s="1790" customFormat="1" ht="18" hidden="1" customHeight="1" x14ac:dyDescent="0.2">
      <c r="A71" s="1793" t="s">
        <v>1399</v>
      </c>
      <c r="B71" s="1783">
        <v>3.07</v>
      </c>
      <c r="C71" s="1791"/>
      <c r="D71" s="1785">
        <v>3.11</v>
      </c>
      <c r="E71" s="1785">
        <v>2.04</v>
      </c>
      <c r="F71" s="1791"/>
      <c r="G71" s="1785" t="s">
        <v>987</v>
      </c>
      <c r="H71" s="1786" t="s">
        <v>3499</v>
      </c>
      <c r="I71" s="1786" t="s">
        <v>1488</v>
      </c>
      <c r="J71" s="1785">
        <v>3.65</v>
      </c>
      <c r="K71" s="1787">
        <v>9.2200000000000006</v>
      </c>
      <c r="L71" s="1789"/>
      <c r="M71" s="1789"/>
    </row>
    <row r="72" spans="1:13" s="1790" customFormat="1" ht="18" hidden="1" customHeight="1" x14ac:dyDescent="0.2">
      <c r="A72" s="1793" t="s">
        <v>374</v>
      </c>
      <c r="B72" s="1783">
        <v>3.04</v>
      </c>
      <c r="C72" s="1791"/>
      <c r="D72" s="1785">
        <v>3.02</v>
      </c>
      <c r="E72" s="1785">
        <v>2.0099999999999998</v>
      </c>
      <c r="F72" s="1791"/>
      <c r="G72" s="1785" t="s">
        <v>987</v>
      </c>
      <c r="H72" s="1786" t="s">
        <v>3499</v>
      </c>
      <c r="I72" s="1786" t="s">
        <v>1488</v>
      </c>
      <c r="J72" s="1785">
        <v>3.59</v>
      </c>
      <c r="K72" s="1787">
        <v>9.17</v>
      </c>
      <c r="L72" s="1789"/>
      <c r="M72" s="1789"/>
    </row>
    <row r="73" spans="1:13" s="1790" customFormat="1" ht="18.75" hidden="1" customHeight="1" x14ac:dyDescent="0.2">
      <c r="A73" s="1793" t="s">
        <v>3500</v>
      </c>
      <c r="B73" s="1783">
        <v>2.77</v>
      </c>
      <c r="C73" s="1791"/>
      <c r="D73" s="1785">
        <v>2.83</v>
      </c>
      <c r="E73" s="1785">
        <v>1.86</v>
      </c>
      <c r="F73" s="1791"/>
      <c r="G73" s="1785" t="s">
        <v>987</v>
      </c>
      <c r="H73" s="1786" t="s">
        <v>3499</v>
      </c>
      <c r="I73" s="1786" t="s">
        <v>1488</v>
      </c>
      <c r="J73" s="1785">
        <v>3.56</v>
      </c>
      <c r="K73" s="1787">
        <v>9.1199999999999992</v>
      </c>
      <c r="L73" s="1789"/>
      <c r="M73" s="1789"/>
    </row>
    <row r="74" spans="1:13" s="1790" customFormat="1" ht="18.75" hidden="1" customHeight="1" thickTop="1" x14ac:dyDescent="0.25">
      <c r="A74" s="1794" t="s">
        <v>3501</v>
      </c>
      <c r="B74" s="1795">
        <v>2.39</v>
      </c>
      <c r="C74" s="1796"/>
      <c r="D74" s="1797">
        <v>2.41</v>
      </c>
      <c r="E74" s="1797">
        <v>1.64</v>
      </c>
      <c r="F74" s="1796"/>
      <c r="G74" s="1797" t="s">
        <v>987</v>
      </c>
      <c r="H74" s="1798" t="s">
        <v>3499</v>
      </c>
      <c r="I74" s="1798" t="s">
        <v>1488</v>
      </c>
      <c r="J74" s="1797">
        <v>3.81</v>
      </c>
      <c r="K74" s="1799">
        <v>9.14</v>
      </c>
      <c r="L74" s="1800"/>
      <c r="M74" s="1789"/>
    </row>
    <row r="75" spans="1:13" s="1790" customFormat="1" ht="18.75" hidden="1" customHeight="1" x14ac:dyDescent="0.25">
      <c r="A75" s="1801">
        <v>40634</v>
      </c>
      <c r="B75" s="1795">
        <v>4.1500000000000004</v>
      </c>
      <c r="C75" s="1796"/>
      <c r="D75" s="1797">
        <v>4.12</v>
      </c>
      <c r="E75" s="1797">
        <v>1.51</v>
      </c>
      <c r="F75" s="1796"/>
      <c r="G75" s="1797" t="s">
        <v>987</v>
      </c>
      <c r="H75" s="1798" t="s">
        <v>3499</v>
      </c>
      <c r="I75" s="1798" t="s">
        <v>1488</v>
      </c>
      <c r="J75" s="1797">
        <v>4.13</v>
      </c>
      <c r="K75" s="1799">
        <v>9.4700000000000006</v>
      </c>
      <c r="L75" s="1800"/>
      <c r="M75" s="1789"/>
    </row>
    <row r="76" spans="1:13" s="1790" customFormat="1" ht="18.75" hidden="1" customHeight="1" x14ac:dyDescent="0.25">
      <c r="A76" s="1801">
        <v>40664</v>
      </c>
      <c r="B76" s="1795">
        <v>4.0599999999999996</v>
      </c>
      <c r="C76" s="1796"/>
      <c r="D76" s="1797">
        <v>4.0599999999999996</v>
      </c>
      <c r="E76" s="1797">
        <v>1.4</v>
      </c>
      <c r="F76" s="1796"/>
      <c r="G76" s="1797" t="s">
        <v>987</v>
      </c>
      <c r="H76" s="1798" t="s">
        <v>3499</v>
      </c>
      <c r="I76" s="1798" t="s">
        <v>1488</v>
      </c>
      <c r="J76" s="1797">
        <v>4.12</v>
      </c>
      <c r="K76" s="1799">
        <v>9.4499999999999993</v>
      </c>
      <c r="L76" s="1800"/>
      <c r="M76" s="1789"/>
    </row>
    <row r="77" spans="1:13" s="1790" customFormat="1" ht="18.75" hidden="1" customHeight="1" x14ac:dyDescent="0.25">
      <c r="A77" s="1801">
        <v>40695</v>
      </c>
      <c r="B77" s="1802">
        <v>4.33</v>
      </c>
      <c r="C77" s="1796"/>
      <c r="D77" s="1797">
        <v>4.29</v>
      </c>
      <c r="E77" s="1797">
        <v>2.63</v>
      </c>
      <c r="F77" s="1796"/>
      <c r="G77" s="1797" t="s">
        <v>2758</v>
      </c>
      <c r="H77" s="1798" t="s">
        <v>3499</v>
      </c>
      <c r="I77" s="1798" t="s">
        <v>1488</v>
      </c>
      <c r="J77" s="1797">
        <v>4.25</v>
      </c>
      <c r="K77" s="1799">
        <v>9.58</v>
      </c>
      <c r="L77" s="1800"/>
      <c r="M77" s="1789"/>
    </row>
    <row r="78" spans="1:13" s="1790" customFormat="1" ht="18.75" hidden="1" customHeight="1" x14ac:dyDescent="0.25">
      <c r="A78" s="1801">
        <v>40725</v>
      </c>
      <c r="B78" s="1802">
        <v>4.4000000000000004</v>
      </c>
      <c r="C78" s="1796"/>
      <c r="D78" s="1797">
        <v>4.41</v>
      </c>
      <c r="E78" s="1797">
        <v>1.95</v>
      </c>
      <c r="F78" s="1796"/>
      <c r="G78" s="1797" t="s">
        <v>2758</v>
      </c>
      <c r="H78" s="1798" t="s">
        <v>3499</v>
      </c>
      <c r="I78" s="1798" t="s">
        <v>1488</v>
      </c>
      <c r="J78" s="1797">
        <v>4.37</v>
      </c>
      <c r="K78" s="1799">
        <v>9.65</v>
      </c>
      <c r="L78" s="1800"/>
      <c r="M78" s="1789"/>
    </row>
    <row r="79" spans="1:13" s="1790" customFormat="1" ht="18.75" hidden="1" customHeight="1" x14ac:dyDescent="0.25">
      <c r="A79" s="1801">
        <v>40756</v>
      </c>
      <c r="B79" s="1802">
        <v>4.42</v>
      </c>
      <c r="C79" s="1796"/>
      <c r="D79" s="1797">
        <v>4.3899999999999997</v>
      </c>
      <c r="E79" s="1797">
        <v>3.58</v>
      </c>
      <c r="F79" s="1796"/>
      <c r="G79" s="1797" t="s">
        <v>2758</v>
      </c>
      <c r="H79" s="1798" t="s">
        <v>3499</v>
      </c>
      <c r="I79" s="1798" t="s">
        <v>1623</v>
      </c>
      <c r="J79" s="1797">
        <v>4.33</v>
      </c>
      <c r="K79" s="1799">
        <v>9.66</v>
      </c>
      <c r="L79" s="1800"/>
      <c r="M79" s="1789"/>
    </row>
    <row r="80" spans="1:13" s="1790" customFormat="1" ht="18.75" hidden="1" customHeight="1" x14ac:dyDescent="0.25">
      <c r="A80" s="1801">
        <v>40787</v>
      </c>
      <c r="B80" s="1802">
        <v>4.45</v>
      </c>
      <c r="C80" s="1796"/>
      <c r="D80" s="1797">
        <v>4.46</v>
      </c>
      <c r="E80" s="1797">
        <v>3.27</v>
      </c>
      <c r="F80" s="1796"/>
      <c r="G80" s="1797" t="s">
        <v>2758</v>
      </c>
      <c r="H80" s="1798" t="s">
        <v>3499</v>
      </c>
      <c r="I80" s="1798" t="s">
        <v>1623</v>
      </c>
      <c r="J80" s="1797">
        <v>4.34</v>
      </c>
      <c r="K80" s="1799">
        <v>9.33</v>
      </c>
      <c r="L80" s="1800"/>
      <c r="M80" s="1789"/>
    </row>
    <row r="81" spans="1:13" ht="18.75" hidden="1" customHeight="1" x14ac:dyDescent="0.25">
      <c r="A81" s="1801">
        <v>40817</v>
      </c>
      <c r="B81" s="1795">
        <v>4.42</v>
      </c>
      <c r="C81" s="1803"/>
      <c r="D81" s="1797">
        <v>4.43</v>
      </c>
      <c r="E81" s="1797">
        <v>2.61</v>
      </c>
      <c r="F81" s="1803"/>
      <c r="G81" s="1797" t="s">
        <v>2758</v>
      </c>
      <c r="H81" s="1798" t="s">
        <v>3499</v>
      </c>
      <c r="I81" s="1798" t="s">
        <v>1623</v>
      </c>
      <c r="J81" s="1797">
        <v>4.34</v>
      </c>
      <c r="K81" s="1799">
        <v>9.32</v>
      </c>
      <c r="L81" s="1804"/>
      <c r="M81" s="1805"/>
    </row>
    <row r="82" spans="1:13" ht="18.75" hidden="1" customHeight="1" x14ac:dyDescent="0.25">
      <c r="A82" s="1806">
        <v>40848</v>
      </c>
      <c r="B82" s="1795">
        <v>4.51</v>
      </c>
      <c r="C82" s="1803"/>
      <c r="D82" s="1797">
        <v>4.42</v>
      </c>
      <c r="E82" s="1797">
        <v>2.96</v>
      </c>
      <c r="F82" s="1803"/>
      <c r="G82" s="1797" t="s">
        <v>2758</v>
      </c>
      <c r="H82" s="1798" t="s">
        <v>3499</v>
      </c>
      <c r="I82" s="1798" t="s">
        <v>3502</v>
      </c>
      <c r="J82" s="1797">
        <v>4.32</v>
      </c>
      <c r="K82" s="1799">
        <v>9.27</v>
      </c>
      <c r="L82" s="1804"/>
      <c r="M82" s="1805"/>
    </row>
    <row r="83" spans="1:13" s="1809" customFormat="1" ht="18.75" hidden="1" customHeight="1" x14ac:dyDescent="0.25">
      <c r="A83" s="1806">
        <v>40878</v>
      </c>
      <c r="B83" s="1807">
        <v>4.59</v>
      </c>
      <c r="C83" s="1803"/>
      <c r="D83" s="1797">
        <v>4.5199999999999996</v>
      </c>
      <c r="E83" s="1797">
        <v>3.32</v>
      </c>
      <c r="F83" s="1803"/>
      <c r="G83" s="1797" t="s">
        <v>2758</v>
      </c>
      <c r="H83" s="1798" t="s">
        <v>3499</v>
      </c>
      <c r="I83" s="1798" t="s">
        <v>3503</v>
      </c>
      <c r="J83" s="1797">
        <v>4.29</v>
      </c>
      <c r="K83" s="1799">
        <v>9.1999999999999993</v>
      </c>
      <c r="L83" s="1808"/>
    </row>
    <row r="84" spans="1:13" s="1809" customFormat="1" ht="18.75" hidden="1" customHeight="1" x14ac:dyDescent="0.25">
      <c r="A84" s="1806">
        <v>40910</v>
      </c>
      <c r="B84" s="1807">
        <v>4.33</v>
      </c>
      <c r="C84" s="1803"/>
      <c r="D84" s="1797">
        <v>4.33</v>
      </c>
      <c r="E84" s="1797">
        <v>2.4</v>
      </c>
      <c r="F84" s="1803"/>
      <c r="G84" s="1797" t="s">
        <v>2758</v>
      </c>
      <c r="H84" s="1798" t="s">
        <v>3499</v>
      </c>
      <c r="I84" s="1798" t="s">
        <v>3503</v>
      </c>
      <c r="J84" s="1797">
        <v>4.1500000000000004</v>
      </c>
      <c r="K84" s="1799">
        <v>9.09</v>
      </c>
      <c r="L84" s="1808"/>
    </row>
    <row r="85" spans="1:13" s="1809" customFormat="1" ht="18.75" hidden="1" customHeight="1" x14ac:dyDescent="0.25">
      <c r="A85" s="1806">
        <v>40941</v>
      </c>
      <c r="B85" s="1807">
        <v>4.25</v>
      </c>
      <c r="C85" s="1803"/>
      <c r="D85" s="1797">
        <v>4.22</v>
      </c>
      <c r="E85" s="1797">
        <v>2.34</v>
      </c>
      <c r="F85" s="1803"/>
      <c r="G85" s="1797" t="s">
        <v>2758</v>
      </c>
      <c r="H85" s="1798" t="s">
        <v>3499</v>
      </c>
      <c r="I85" s="1798" t="s">
        <v>3503</v>
      </c>
      <c r="J85" s="1797">
        <v>4.13</v>
      </c>
      <c r="K85" s="1799">
        <v>9.06</v>
      </c>
      <c r="L85" s="1808"/>
    </row>
    <row r="86" spans="1:13" s="1809" customFormat="1" ht="18.75" hidden="1" customHeight="1" x14ac:dyDescent="0.25">
      <c r="A86" s="1806">
        <v>40970</v>
      </c>
      <c r="B86" s="1807">
        <v>4.08</v>
      </c>
      <c r="C86" s="1803"/>
      <c r="D86" s="1797">
        <v>4.0999999999999996</v>
      </c>
      <c r="E86" s="1797">
        <v>1.97</v>
      </c>
      <c r="F86" s="1803"/>
      <c r="G86" s="1797" t="s">
        <v>2759</v>
      </c>
      <c r="H86" s="1798" t="s">
        <v>3504</v>
      </c>
      <c r="I86" s="1798" t="s">
        <v>3505</v>
      </c>
      <c r="J86" s="1797">
        <v>3.86</v>
      </c>
      <c r="K86" s="1799">
        <v>8.9600000000000009</v>
      </c>
      <c r="L86" s="1808"/>
    </row>
    <row r="87" spans="1:13" s="1809" customFormat="1" ht="18.75" hidden="1" customHeight="1" x14ac:dyDescent="0.25">
      <c r="A87" s="1806">
        <v>41001</v>
      </c>
      <c r="B87" s="1807">
        <v>3.77</v>
      </c>
      <c r="C87" s="1803"/>
      <c r="D87" s="1797">
        <v>3.7</v>
      </c>
      <c r="E87" s="1797">
        <v>1.87</v>
      </c>
      <c r="F87" s="1803"/>
      <c r="G87" s="1797" t="s">
        <v>2760</v>
      </c>
      <c r="H87" s="1798" t="s">
        <v>3506</v>
      </c>
      <c r="I87" s="1798" t="s">
        <v>3507</v>
      </c>
      <c r="J87" s="1797">
        <v>3.8</v>
      </c>
      <c r="K87" s="1799">
        <v>8.57</v>
      </c>
      <c r="L87" s="1808"/>
    </row>
    <row r="88" spans="1:13" s="1809" customFormat="1" ht="18.75" hidden="1" customHeight="1" x14ac:dyDescent="0.25">
      <c r="A88" s="1806">
        <v>41031</v>
      </c>
      <c r="B88" s="1807">
        <v>3.71</v>
      </c>
      <c r="C88" s="1803"/>
      <c r="D88" s="1797">
        <v>3.64</v>
      </c>
      <c r="E88" s="1797">
        <v>1.59</v>
      </c>
      <c r="F88" s="1803"/>
      <c r="G88" s="1797" t="s">
        <v>2760</v>
      </c>
      <c r="H88" s="1798" t="s">
        <v>3506</v>
      </c>
      <c r="I88" s="1798" t="s">
        <v>3508</v>
      </c>
      <c r="J88" s="1797">
        <v>3.82</v>
      </c>
      <c r="K88" s="1799">
        <v>8.59</v>
      </c>
      <c r="L88" s="1808"/>
    </row>
    <row r="89" spans="1:13" s="1809" customFormat="1" ht="18.75" hidden="1" customHeight="1" x14ac:dyDescent="0.25">
      <c r="A89" s="1806">
        <v>41062</v>
      </c>
      <c r="B89" s="1807">
        <v>3.44</v>
      </c>
      <c r="C89" s="1803"/>
      <c r="D89" s="1797">
        <v>3.51</v>
      </c>
      <c r="E89" s="1797">
        <v>1.75</v>
      </c>
      <c r="F89" s="1803"/>
      <c r="G89" s="1797" t="s">
        <v>2760</v>
      </c>
      <c r="H89" s="1798" t="s">
        <v>3509</v>
      </c>
      <c r="I89" s="1798" t="s">
        <v>3507</v>
      </c>
      <c r="J89" s="1797">
        <v>3.65</v>
      </c>
      <c r="K89" s="1799">
        <v>8.5299999999999994</v>
      </c>
      <c r="L89" s="1808"/>
    </row>
    <row r="90" spans="1:13" s="1809" customFormat="1" ht="18.75" hidden="1" customHeight="1" thickTop="1" x14ac:dyDescent="0.25">
      <c r="A90" s="1806">
        <v>41092</v>
      </c>
      <c r="B90" s="1807">
        <v>3.55</v>
      </c>
      <c r="C90" s="1803"/>
      <c r="D90" s="1797">
        <v>3.39</v>
      </c>
      <c r="E90" s="1797">
        <v>1.91</v>
      </c>
      <c r="F90" s="1803"/>
      <c r="G90" s="1797" t="s">
        <v>2760</v>
      </c>
      <c r="H90" s="1798" t="s">
        <v>3509</v>
      </c>
      <c r="I90" s="1798" t="s">
        <v>3507</v>
      </c>
      <c r="J90" s="1797">
        <v>3.64</v>
      </c>
      <c r="K90" s="1799">
        <v>8.52</v>
      </c>
      <c r="L90" s="1808"/>
    </row>
    <row r="91" spans="1:13" s="1809" customFormat="1" ht="18.75" hidden="1" customHeight="1" thickTop="1" x14ac:dyDescent="0.25">
      <c r="A91" s="1806">
        <v>41123</v>
      </c>
      <c r="B91" s="1807">
        <v>3.56</v>
      </c>
      <c r="C91" s="1803"/>
      <c r="D91" s="1797">
        <v>3.43</v>
      </c>
      <c r="E91" s="1797">
        <v>1.85</v>
      </c>
      <c r="F91" s="1803"/>
      <c r="G91" s="1797" t="s">
        <v>2760</v>
      </c>
      <c r="H91" s="1798" t="s">
        <v>3509</v>
      </c>
      <c r="I91" s="1798" t="s">
        <v>3507</v>
      </c>
      <c r="J91" s="1797">
        <v>3.67</v>
      </c>
      <c r="K91" s="1799">
        <v>8.5399999999999991</v>
      </c>
      <c r="L91" s="1808"/>
    </row>
    <row r="92" spans="1:13" s="1809" customFormat="1" ht="18.75" hidden="1" customHeight="1" thickTop="1" x14ac:dyDescent="0.25">
      <c r="A92" s="1806">
        <v>41154</v>
      </c>
      <c r="B92" s="1807">
        <v>3.6</v>
      </c>
      <c r="C92" s="1803"/>
      <c r="D92" s="1797">
        <v>3.47</v>
      </c>
      <c r="E92" s="1797">
        <v>1.67</v>
      </c>
      <c r="F92" s="1803"/>
      <c r="G92" s="1797" t="s">
        <v>2760</v>
      </c>
      <c r="H92" s="1798" t="s">
        <v>3509</v>
      </c>
      <c r="I92" s="1798" t="s">
        <v>3507</v>
      </c>
      <c r="J92" s="1797">
        <v>3.63</v>
      </c>
      <c r="K92" s="1799">
        <v>8.49</v>
      </c>
      <c r="L92" s="1808"/>
    </row>
    <row r="93" spans="1:13" s="1809" customFormat="1" ht="18.75" hidden="1" customHeight="1" thickTop="1" x14ac:dyDescent="0.25">
      <c r="A93" s="1806">
        <v>41184</v>
      </c>
      <c r="B93" s="1807">
        <v>3.23</v>
      </c>
      <c r="C93" s="1803"/>
      <c r="D93" s="1797">
        <v>3.26</v>
      </c>
      <c r="E93" s="1797">
        <v>1.57</v>
      </c>
      <c r="F93" s="1803"/>
      <c r="G93" s="1797" t="s">
        <v>2760</v>
      </c>
      <c r="H93" s="1798" t="s">
        <v>3509</v>
      </c>
      <c r="I93" s="1798" t="s">
        <v>3507</v>
      </c>
      <c r="J93" s="1797">
        <v>3.65</v>
      </c>
      <c r="K93" s="1799">
        <v>8.52</v>
      </c>
      <c r="L93" s="1808"/>
    </row>
    <row r="94" spans="1:13" s="1809" customFormat="1" ht="18.75" hidden="1" customHeight="1" thickTop="1" x14ac:dyDescent="0.25">
      <c r="A94" s="1806">
        <v>41215</v>
      </c>
      <c r="B94" s="1807">
        <v>3.09</v>
      </c>
      <c r="C94" s="1803"/>
      <c r="D94" s="1797">
        <v>3.08</v>
      </c>
      <c r="E94" s="1797">
        <v>1.53</v>
      </c>
      <c r="F94" s="1803"/>
      <c r="G94" s="1797" t="s">
        <v>2760</v>
      </c>
      <c r="H94" s="1798" t="s">
        <v>3510</v>
      </c>
      <c r="I94" s="1798" t="s">
        <v>3507</v>
      </c>
      <c r="J94" s="1810">
        <v>3.64</v>
      </c>
      <c r="K94" s="1811">
        <v>8.48</v>
      </c>
      <c r="L94" s="1808"/>
    </row>
    <row r="95" spans="1:13" s="1809" customFormat="1" ht="18.75" hidden="1" customHeight="1" thickTop="1" x14ac:dyDescent="0.25">
      <c r="A95" s="1806">
        <v>41245</v>
      </c>
      <c r="B95" s="1807">
        <v>2.92</v>
      </c>
      <c r="C95" s="1803"/>
      <c r="D95" s="1797">
        <v>2.95</v>
      </c>
      <c r="E95" s="1797">
        <v>1.61</v>
      </c>
      <c r="F95" s="1803"/>
      <c r="G95" s="1797" t="s">
        <v>2760</v>
      </c>
      <c r="H95" s="1798" t="s">
        <v>3510</v>
      </c>
      <c r="I95" s="1798" t="s">
        <v>3507</v>
      </c>
      <c r="J95" s="1810">
        <v>3.48</v>
      </c>
      <c r="K95" s="1811">
        <v>8.42</v>
      </c>
      <c r="L95" s="1808"/>
    </row>
    <row r="96" spans="1:13" s="1809" customFormat="1" ht="18.75" hidden="1" customHeight="1" thickTop="1" x14ac:dyDescent="0.25">
      <c r="A96" s="1806">
        <v>41276</v>
      </c>
      <c r="B96" s="1807">
        <v>2.88</v>
      </c>
      <c r="C96" s="1803"/>
      <c r="D96" s="1797">
        <v>2.84</v>
      </c>
      <c r="E96" s="1797">
        <v>1.49</v>
      </c>
      <c r="F96" s="1803"/>
      <c r="G96" s="1797" t="s">
        <v>2760</v>
      </c>
      <c r="H96" s="1798" t="s">
        <v>3510</v>
      </c>
      <c r="I96" s="1798" t="s">
        <v>3507</v>
      </c>
      <c r="J96" s="1810">
        <v>3.32</v>
      </c>
      <c r="K96" s="1811">
        <v>8.42</v>
      </c>
      <c r="L96" s="1808"/>
    </row>
    <row r="97" spans="1:14" s="1809" customFormat="1" ht="18.75" hidden="1" customHeight="1" thickTop="1" x14ac:dyDescent="0.25">
      <c r="A97" s="1806">
        <v>41307</v>
      </c>
      <c r="B97" s="1807">
        <v>2.67</v>
      </c>
      <c r="C97" s="1803"/>
      <c r="D97" s="1797">
        <v>2.74</v>
      </c>
      <c r="E97" s="1797">
        <v>1.42</v>
      </c>
      <c r="F97" s="1803"/>
      <c r="G97" s="1797" t="s">
        <v>2760</v>
      </c>
      <c r="H97" s="1798" t="s">
        <v>3511</v>
      </c>
      <c r="I97" s="1798" t="s">
        <v>1940</v>
      </c>
      <c r="J97" s="1810">
        <v>3.42</v>
      </c>
      <c r="K97" s="1811">
        <v>8.39</v>
      </c>
      <c r="L97" s="1808"/>
    </row>
    <row r="98" spans="1:14" s="1809" customFormat="1" ht="18.75" hidden="1" customHeight="1" thickTop="1" x14ac:dyDescent="0.25">
      <c r="A98" s="1806">
        <v>41335</v>
      </c>
      <c r="B98" s="1807">
        <v>2.37</v>
      </c>
      <c r="C98" s="1803"/>
      <c r="D98" s="1797">
        <v>2.46</v>
      </c>
      <c r="E98" s="1797">
        <v>1.36</v>
      </c>
      <c r="F98" s="1803"/>
      <c r="G98" s="1797" t="s">
        <v>2760</v>
      </c>
      <c r="H98" s="1798" t="s">
        <v>3512</v>
      </c>
      <c r="I98" s="1798" t="s">
        <v>3513</v>
      </c>
      <c r="J98" s="1810">
        <v>3.41</v>
      </c>
      <c r="K98" s="1811">
        <v>8.36</v>
      </c>
      <c r="L98" s="1808"/>
    </row>
    <row r="99" spans="1:14" s="1809" customFormat="1" ht="18.75" customHeight="1" thickTop="1" x14ac:dyDescent="0.25">
      <c r="A99" s="1806">
        <v>41366</v>
      </c>
      <c r="B99" s="1807">
        <v>2.33</v>
      </c>
      <c r="C99" s="1803"/>
      <c r="D99" s="1797">
        <v>2.33</v>
      </c>
      <c r="E99" s="1797">
        <v>1.36</v>
      </c>
      <c r="F99" s="1803"/>
      <c r="G99" s="1797" t="s">
        <v>2760</v>
      </c>
      <c r="H99" s="1798" t="s">
        <v>3514</v>
      </c>
      <c r="I99" s="1798" t="s">
        <v>1945</v>
      </c>
      <c r="J99" s="1810">
        <v>3.45</v>
      </c>
      <c r="K99" s="1811">
        <v>8.33</v>
      </c>
      <c r="L99" s="1808"/>
    </row>
    <row r="100" spans="1:14" s="1809" customFormat="1" ht="18.75" customHeight="1" x14ac:dyDescent="0.25">
      <c r="A100" s="1806">
        <v>41396</v>
      </c>
      <c r="B100" s="1807">
        <v>2.3199999999999998</v>
      </c>
      <c r="C100" s="1803"/>
      <c r="D100" s="1797">
        <v>2.29</v>
      </c>
      <c r="E100" s="1797">
        <v>1.36</v>
      </c>
      <c r="F100" s="1803"/>
      <c r="G100" s="1797" t="s">
        <v>2760</v>
      </c>
      <c r="H100" s="1798" t="s">
        <v>3511</v>
      </c>
      <c r="I100" s="1798" t="s">
        <v>3515</v>
      </c>
      <c r="J100" s="1811">
        <v>3.47</v>
      </c>
      <c r="K100" s="1811">
        <v>8.42</v>
      </c>
      <c r="L100" s="1808"/>
      <c r="N100" s="1768"/>
    </row>
    <row r="101" spans="1:14" s="1809" customFormat="1" ht="18.75" customHeight="1" x14ac:dyDescent="0.25">
      <c r="A101" s="1806">
        <v>41427</v>
      </c>
      <c r="B101" s="1807">
        <v>2.72</v>
      </c>
      <c r="C101" s="1803"/>
      <c r="D101" s="1797">
        <v>2.52</v>
      </c>
      <c r="E101" s="1797">
        <v>1.99</v>
      </c>
      <c r="F101" s="1803"/>
      <c r="G101" s="1797" t="s">
        <v>2761</v>
      </c>
      <c r="H101" s="1798" t="s">
        <v>3511</v>
      </c>
      <c r="I101" s="1798" t="s">
        <v>3516</v>
      </c>
      <c r="J101" s="1811">
        <v>3.28</v>
      </c>
      <c r="K101" s="1811">
        <v>8.26</v>
      </c>
      <c r="L101" s="1808"/>
    </row>
    <row r="102" spans="1:14" s="1809" customFormat="1" ht="18.75" customHeight="1" x14ac:dyDescent="0.25">
      <c r="A102" s="1806">
        <v>41457</v>
      </c>
      <c r="B102" s="1807">
        <v>2.94</v>
      </c>
      <c r="C102" s="1803">
        <v>2.77</v>
      </c>
      <c r="D102" s="1797">
        <v>2.77</v>
      </c>
      <c r="E102" s="1797">
        <v>2.0099999999999998</v>
      </c>
      <c r="F102" s="1803"/>
      <c r="G102" s="1797" t="s">
        <v>2762</v>
      </c>
      <c r="H102" s="1798" t="s">
        <v>3511</v>
      </c>
      <c r="I102" s="1798" t="s">
        <v>2733</v>
      </c>
      <c r="J102" s="1811">
        <v>3.21</v>
      </c>
      <c r="K102" s="1811">
        <v>8.2200000000000006</v>
      </c>
      <c r="L102" s="1808"/>
    </row>
    <row r="103" spans="1:14" s="1809" customFormat="1" ht="18.75" customHeight="1" x14ac:dyDescent="0.25">
      <c r="A103" s="1806">
        <v>41488</v>
      </c>
      <c r="B103" s="1807">
        <v>2.85</v>
      </c>
      <c r="C103" s="1803">
        <v>2.8</v>
      </c>
      <c r="D103" s="1797">
        <v>2.8</v>
      </c>
      <c r="E103" s="1797">
        <v>1.68</v>
      </c>
      <c r="F103" s="1803"/>
      <c r="G103" s="1797" t="s">
        <v>2762</v>
      </c>
      <c r="H103" s="1798" t="s">
        <v>3517</v>
      </c>
      <c r="I103" s="1798" t="s">
        <v>3518</v>
      </c>
      <c r="J103" s="1811">
        <v>3.24</v>
      </c>
      <c r="K103" s="1811">
        <v>8.18</v>
      </c>
      <c r="L103" s="1808"/>
    </row>
    <row r="104" spans="1:14" s="1809" customFormat="1" ht="18.75" customHeight="1" x14ac:dyDescent="0.25">
      <c r="A104" s="1806">
        <v>41519</v>
      </c>
      <c r="B104" s="1807">
        <v>2.73</v>
      </c>
      <c r="C104" s="1803"/>
      <c r="D104" s="1797">
        <v>2.75</v>
      </c>
      <c r="E104" s="1797">
        <v>1.64</v>
      </c>
      <c r="F104" s="1803"/>
      <c r="G104" s="1797" t="s">
        <v>2762</v>
      </c>
      <c r="H104" s="1798" t="s">
        <v>3511</v>
      </c>
      <c r="I104" s="1798" t="s">
        <v>3519</v>
      </c>
      <c r="J104" s="1811">
        <v>3.26</v>
      </c>
      <c r="K104" s="1811">
        <v>8.15</v>
      </c>
      <c r="L104" s="1808"/>
    </row>
    <row r="105" spans="1:14" s="1809" customFormat="1" ht="18.75" customHeight="1" x14ac:dyDescent="0.25">
      <c r="A105" s="1806">
        <v>41549</v>
      </c>
      <c r="B105" s="1807">
        <v>3.29</v>
      </c>
      <c r="C105" s="1803">
        <v>2.87</v>
      </c>
      <c r="D105" s="1797">
        <v>2.87</v>
      </c>
      <c r="E105" s="1797">
        <v>2.5299999999999998</v>
      </c>
      <c r="F105" s="1803"/>
      <c r="G105" s="1797" t="s">
        <v>2763</v>
      </c>
      <c r="H105" s="1798" t="s">
        <v>3511</v>
      </c>
      <c r="I105" s="1798" t="s">
        <v>1946</v>
      </c>
      <c r="J105" s="1811">
        <v>3.26</v>
      </c>
      <c r="K105" s="1812">
        <v>8.1</v>
      </c>
      <c r="L105" s="1808"/>
    </row>
    <row r="106" spans="1:14" s="1809" customFormat="1" ht="18.75" customHeight="1" x14ac:dyDescent="0.25">
      <c r="A106" s="1806">
        <v>41580</v>
      </c>
      <c r="B106" s="1807">
        <v>3.52</v>
      </c>
      <c r="C106" s="1803"/>
      <c r="D106" s="1797">
        <v>3.35</v>
      </c>
      <c r="E106" s="1797">
        <v>3.58</v>
      </c>
      <c r="F106" s="1803"/>
      <c r="G106" s="1797" t="s">
        <v>2763</v>
      </c>
      <c r="H106" s="1798" t="s">
        <v>3520</v>
      </c>
      <c r="I106" s="1798" t="s">
        <v>3519</v>
      </c>
      <c r="J106" s="1811">
        <v>3.25</v>
      </c>
      <c r="K106" s="1812">
        <v>8.09</v>
      </c>
      <c r="L106" s="1808"/>
    </row>
    <row r="107" spans="1:14" s="1809" customFormat="1" ht="18.75" customHeight="1" x14ac:dyDescent="0.25">
      <c r="A107" s="1806">
        <v>41610</v>
      </c>
      <c r="B107" s="1807">
        <v>3.64</v>
      </c>
      <c r="C107" s="1803"/>
      <c r="D107" s="1797">
        <v>3.54</v>
      </c>
      <c r="E107" s="1797">
        <v>3.52</v>
      </c>
      <c r="F107" s="1803"/>
      <c r="G107" s="1797" t="s">
        <v>2763</v>
      </c>
      <c r="H107" s="1798" t="s">
        <v>3521</v>
      </c>
      <c r="I107" s="1798" t="s">
        <v>3522</v>
      </c>
      <c r="J107" s="1812">
        <v>3.2174550585821531</v>
      </c>
      <c r="K107" s="1812">
        <v>8.07</v>
      </c>
      <c r="L107" s="1808"/>
    </row>
    <row r="108" spans="1:14" s="1809" customFormat="1" ht="18.75" customHeight="1" x14ac:dyDescent="0.25">
      <c r="A108" s="1806">
        <v>41641</v>
      </c>
      <c r="B108" s="1807">
        <v>3.53</v>
      </c>
      <c r="C108" s="1803"/>
      <c r="D108" s="1797">
        <v>3.54</v>
      </c>
      <c r="E108" s="1797">
        <v>3.63</v>
      </c>
      <c r="F108" s="1803"/>
      <c r="G108" s="1797" t="s">
        <v>2763</v>
      </c>
      <c r="H108" s="1798" t="s">
        <v>3523</v>
      </c>
      <c r="I108" s="1798" t="s">
        <v>2511</v>
      </c>
      <c r="J108" s="1812">
        <v>3.27</v>
      </c>
      <c r="K108" s="1812">
        <v>8.14</v>
      </c>
      <c r="L108" s="1808"/>
    </row>
    <row r="109" spans="1:14" s="1809" customFormat="1" ht="18.75" customHeight="1" x14ac:dyDescent="0.25">
      <c r="A109" s="1806">
        <v>41672</v>
      </c>
      <c r="B109" s="1807">
        <v>3.23</v>
      </c>
      <c r="C109" s="1803"/>
      <c r="D109" s="1797">
        <v>3.36</v>
      </c>
      <c r="E109" s="1797">
        <v>2.6</v>
      </c>
      <c r="F109" s="1803"/>
      <c r="G109" s="1797" t="s">
        <v>2763</v>
      </c>
      <c r="H109" s="1798" t="s">
        <v>3521</v>
      </c>
      <c r="I109" s="1798" t="s">
        <v>2512</v>
      </c>
      <c r="J109" s="1812">
        <v>3.16</v>
      </c>
      <c r="K109" s="1812">
        <v>8.1199999999999992</v>
      </c>
      <c r="L109" s="1808"/>
    </row>
    <row r="110" spans="1:14" s="1809" customFormat="1" ht="18.75" customHeight="1" x14ac:dyDescent="0.25">
      <c r="A110" s="1806">
        <v>41700</v>
      </c>
      <c r="B110" s="1807">
        <v>3.05</v>
      </c>
      <c r="C110" s="1803"/>
      <c r="D110" s="1797">
        <v>3.16</v>
      </c>
      <c r="E110" s="1797">
        <v>2.35</v>
      </c>
      <c r="F110" s="1803"/>
      <c r="G110" s="1797" t="s">
        <v>2764</v>
      </c>
      <c r="H110" s="1798" t="s">
        <v>3521</v>
      </c>
      <c r="I110" s="1798" t="s">
        <v>2513</v>
      </c>
      <c r="J110" s="1812">
        <v>3.18</v>
      </c>
      <c r="K110" s="1812">
        <v>8.1199999999999992</v>
      </c>
      <c r="L110" s="1808"/>
    </row>
    <row r="111" spans="1:14" s="1809" customFormat="1" ht="18.75" customHeight="1" x14ac:dyDescent="0.25">
      <c r="A111" s="1806">
        <v>41731</v>
      </c>
      <c r="B111" s="1807">
        <v>2.98</v>
      </c>
      <c r="C111" s="1803"/>
      <c r="D111" s="1797">
        <v>2.95</v>
      </c>
      <c r="E111" s="1797">
        <v>2.0299999999999998</v>
      </c>
      <c r="F111" s="1803"/>
      <c r="G111" s="1797" t="s">
        <v>2764</v>
      </c>
      <c r="H111" s="1798" t="s">
        <v>3524</v>
      </c>
      <c r="I111" s="1798" t="s">
        <v>2514</v>
      </c>
      <c r="J111" s="1812">
        <v>3.1551113181666208</v>
      </c>
      <c r="K111" s="1812">
        <v>8.0825323835957139</v>
      </c>
      <c r="L111" s="1808"/>
    </row>
    <row r="112" spans="1:14" s="1809" customFormat="1" ht="18.75" customHeight="1" x14ac:dyDescent="0.25">
      <c r="A112" s="1806">
        <v>41761</v>
      </c>
      <c r="B112" s="1807">
        <v>2.78</v>
      </c>
      <c r="C112" s="1803"/>
      <c r="D112" s="1797">
        <v>2.83</v>
      </c>
      <c r="E112" s="1797">
        <v>1.77</v>
      </c>
      <c r="F112" s="1803"/>
      <c r="G112" s="1797" t="s">
        <v>2764</v>
      </c>
      <c r="H112" s="1798" t="s">
        <v>3521</v>
      </c>
      <c r="I112" s="1798" t="s">
        <v>2515</v>
      </c>
      <c r="J112" s="1812">
        <v>3.38</v>
      </c>
      <c r="K112" s="1812">
        <v>8.11</v>
      </c>
      <c r="L112" s="1808"/>
    </row>
    <row r="113" spans="1:13" s="1809" customFormat="1" ht="18.75" customHeight="1" x14ac:dyDescent="0.25">
      <c r="A113" s="1806">
        <v>41792</v>
      </c>
      <c r="B113" s="1807">
        <v>2.48</v>
      </c>
      <c r="C113" s="1803"/>
      <c r="D113" s="1797">
        <v>2.61</v>
      </c>
      <c r="E113" s="1797">
        <v>1.49</v>
      </c>
      <c r="F113" s="1803"/>
      <c r="G113" s="1797" t="s">
        <v>2764</v>
      </c>
      <c r="H113" s="1798" t="s">
        <v>3524</v>
      </c>
      <c r="I113" s="1798" t="s">
        <v>3525</v>
      </c>
      <c r="J113" s="1812">
        <v>3.3</v>
      </c>
      <c r="K113" s="1812">
        <v>8.0399999999999991</v>
      </c>
      <c r="L113" s="1808"/>
    </row>
    <row r="114" spans="1:13" s="1809" customFormat="1" ht="18.75" customHeight="1" x14ac:dyDescent="0.25">
      <c r="A114" s="1806">
        <v>41822</v>
      </c>
      <c r="B114" s="1807">
        <v>2.1</v>
      </c>
      <c r="C114" s="1803"/>
      <c r="D114" s="1797"/>
      <c r="E114" s="1797">
        <v>1.2</v>
      </c>
      <c r="F114" s="1803"/>
      <c r="G114" s="1797" t="s">
        <v>2764</v>
      </c>
      <c r="H114" s="1798" t="s">
        <v>3521</v>
      </c>
      <c r="I114" s="1798" t="s">
        <v>2513</v>
      </c>
      <c r="J114" s="1813">
        <v>3.298881731933109</v>
      </c>
      <c r="K114" s="1813">
        <v>7.9800628050706601</v>
      </c>
      <c r="L114" s="1808"/>
    </row>
    <row r="115" spans="1:13" s="1809" customFormat="1" ht="18.75" customHeight="1" x14ac:dyDescent="0.25">
      <c r="A115" s="1806">
        <v>41853</v>
      </c>
      <c r="B115" s="1807">
        <v>1.17</v>
      </c>
      <c r="C115" s="1803"/>
      <c r="D115" s="1797"/>
      <c r="E115" s="1797">
        <v>0.98</v>
      </c>
      <c r="F115" s="1803"/>
      <c r="G115" s="1797" t="s">
        <v>2764</v>
      </c>
      <c r="H115" s="1798" t="s">
        <v>3526</v>
      </c>
      <c r="I115" s="1798" t="s">
        <v>3527</v>
      </c>
      <c r="J115" s="1813">
        <v>3.2930000000000001</v>
      </c>
      <c r="K115" s="1813">
        <v>7.98</v>
      </c>
      <c r="L115" s="1808"/>
    </row>
    <row r="116" spans="1:13" s="1809" customFormat="1" ht="18.75" customHeight="1" x14ac:dyDescent="0.25">
      <c r="A116" s="1806">
        <v>41884</v>
      </c>
      <c r="B116" s="1807">
        <v>1.71</v>
      </c>
      <c r="C116" s="1803"/>
      <c r="D116" s="1797"/>
      <c r="E116" s="1797">
        <v>0.75</v>
      </c>
      <c r="F116" s="1803"/>
      <c r="G116" s="1797" t="s">
        <v>2764</v>
      </c>
      <c r="H116" s="1798" t="s">
        <v>3526</v>
      </c>
      <c r="I116" s="1798" t="s">
        <v>3528</v>
      </c>
      <c r="J116" s="1813">
        <v>3.27</v>
      </c>
      <c r="K116" s="1813">
        <v>7.95</v>
      </c>
      <c r="L116" s="1808"/>
    </row>
    <row r="117" spans="1:13" s="1809" customFormat="1" ht="18.75" customHeight="1" x14ac:dyDescent="0.25">
      <c r="A117" s="1806">
        <v>41914</v>
      </c>
      <c r="B117" s="1807">
        <v>1.47</v>
      </c>
      <c r="C117" s="1803"/>
      <c r="D117" s="1797"/>
      <c r="E117" s="1797">
        <v>0.72</v>
      </c>
      <c r="F117" s="1803"/>
      <c r="G117" s="1797" t="s">
        <v>2764</v>
      </c>
      <c r="H117" s="1798" t="s">
        <v>3529</v>
      </c>
      <c r="I117" s="1798" t="s">
        <v>2522</v>
      </c>
      <c r="J117" s="1813">
        <v>3.27</v>
      </c>
      <c r="K117" s="1813">
        <v>7.94</v>
      </c>
      <c r="L117" s="1808"/>
    </row>
    <row r="118" spans="1:13" s="1809" customFormat="1" ht="18.75" customHeight="1" x14ac:dyDescent="0.25">
      <c r="A118" s="1806">
        <v>41945</v>
      </c>
      <c r="B118" s="1807">
        <v>1.44</v>
      </c>
      <c r="C118" s="1803"/>
      <c r="D118" s="1797"/>
      <c r="E118" s="1797">
        <v>0.63</v>
      </c>
      <c r="F118" s="1803"/>
      <c r="G118" s="1797" t="s">
        <v>2764</v>
      </c>
      <c r="H118" s="1798" t="s">
        <v>3529</v>
      </c>
      <c r="I118" s="1798" t="s">
        <v>1942</v>
      </c>
      <c r="J118" s="1813">
        <v>3.24</v>
      </c>
      <c r="K118" s="1813">
        <v>7.83</v>
      </c>
      <c r="L118" s="1808"/>
    </row>
    <row r="119" spans="1:13" s="1809" customFormat="1" ht="18.75" customHeight="1" x14ac:dyDescent="0.25">
      <c r="A119" s="1806">
        <v>41975</v>
      </c>
      <c r="B119" s="1807">
        <v>2.44</v>
      </c>
      <c r="C119" s="1803"/>
      <c r="D119" s="1797"/>
      <c r="E119" s="1797">
        <v>2.2999999999999998</v>
      </c>
      <c r="F119" s="1803"/>
      <c r="G119" s="1797" t="s">
        <v>2765</v>
      </c>
      <c r="H119" s="1798" t="s">
        <v>3530</v>
      </c>
      <c r="I119" s="1798" t="s">
        <v>2733</v>
      </c>
      <c r="J119" s="1813">
        <v>3.2</v>
      </c>
      <c r="K119" s="1813">
        <v>7.79</v>
      </c>
      <c r="L119" s="1808"/>
    </row>
    <row r="120" spans="1:13" s="1809" customFormat="1" ht="18.75" customHeight="1" x14ac:dyDescent="0.25">
      <c r="A120" s="1806">
        <v>42006</v>
      </c>
      <c r="B120" s="1807">
        <v>2.82</v>
      </c>
      <c r="C120" s="1803"/>
      <c r="D120" s="1797"/>
      <c r="E120" s="1797">
        <v>2.5299999999999998</v>
      </c>
      <c r="F120" s="1803"/>
      <c r="G120" s="1797" t="s">
        <v>1144</v>
      </c>
      <c r="H120" s="1798" t="s">
        <v>3531</v>
      </c>
      <c r="I120" s="1798" t="s">
        <v>3527</v>
      </c>
      <c r="J120" s="1813">
        <v>3.18</v>
      </c>
      <c r="K120" s="1813">
        <v>7.7200728639789542</v>
      </c>
      <c r="L120" s="1808"/>
    </row>
    <row r="121" spans="1:13" s="1809" customFormat="1" ht="18.75" customHeight="1" x14ac:dyDescent="0.25">
      <c r="A121" s="1806">
        <v>42037</v>
      </c>
      <c r="B121" s="1807">
        <v>2.36</v>
      </c>
      <c r="C121" s="1803"/>
      <c r="D121" s="1797"/>
      <c r="E121" s="1797">
        <v>2.0299999999999998</v>
      </c>
      <c r="F121" s="1803"/>
      <c r="G121" s="1797" t="s">
        <v>1144</v>
      </c>
      <c r="H121" s="1798" t="s">
        <v>3531</v>
      </c>
      <c r="I121" s="1798" t="s">
        <v>3516</v>
      </c>
      <c r="J121" s="1813">
        <v>3.2</v>
      </c>
      <c r="K121" s="1813">
        <v>7.75</v>
      </c>
      <c r="L121" s="1808"/>
    </row>
    <row r="122" spans="1:13" s="1809" customFormat="1" ht="18.75" customHeight="1" x14ac:dyDescent="0.25">
      <c r="A122" s="1806">
        <v>42065</v>
      </c>
      <c r="B122" s="1807">
        <v>1.88</v>
      </c>
      <c r="C122" s="1803"/>
      <c r="D122" s="1797"/>
      <c r="E122" s="1797">
        <v>1.91</v>
      </c>
      <c r="F122" s="1803"/>
      <c r="G122" s="1797" t="s">
        <v>1144</v>
      </c>
      <c r="H122" s="1798" t="s">
        <v>3531</v>
      </c>
      <c r="I122" s="1798" t="s">
        <v>2522</v>
      </c>
      <c r="J122" s="1813">
        <v>3.17</v>
      </c>
      <c r="K122" s="1813">
        <v>7.81</v>
      </c>
      <c r="L122" s="1808"/>
    </row>
    <row r="123" spans="1:13" s="1809" customFormat="1" ht="18.75" customHeight="1" x14ac:dyDescent="0.25">
      <c r="A123" s="1806">
        <v>42096</v>
      </c>
      <c r="B123" s="1807">
        <v>1.47</v>
      </c>
      <c r="C123" s="1803"/>
      <c r="D123" s="1797"/>
      <c r="E123" s="1797">
        <v>1.68</v>
      </c>
      <c r="F123" s="1803"/>
      <c r="G123" s="1797" t="s">
        <v>1144</v>
      </c>
      <c r="H123" s="1798" t="s">
        <v>3529</v>
      </c>
      <c r="I123" s="1798" t="s">
        <v>3532</v>
      </c>
      <c r="J123" s="1813">
        <v>3.0515322413801469</v>
      </c>
      <c r="K123" s="1813">
        <v>7.75</v>
      </c>
      <c r="L123" s="1808"/>
    </row>
    <row r="124" spans="1:13" s="1809" customFormat="1" ht="18.75" customHeight="1" x14ac:dyDescent="0.25">
      <c r="A124" s="1806">
        <v>42126</v>
      </c>
      <c r="B124" s="1807">
        <v>1.44</v>
      </c>
      <c r="C124" s="1803"/>
      <c r="D124" s="1797"/>
      <c r="E124" s="1797">
        <v>1.47</v>
      </c>
      <c r="F124" s="1803"/>
      <c r="G124" s="1797" t="s">
        <v>1144</v>
      </c>
      <c r="H124" s="1798" t="s">
        <v>3529</v>
      </c>
      <c r="I124" s="1798" t="s">
        <v>3533</v>
      </c>
      <c r="J124" s="1814">
        <v>2.84</v>
      </c>
      <c r="K124" s="1813">
        <v>7.7</v>
      </c>
      <c r="L124" s="1808"/>
      <c r="M124" s="1815"/>
    </row>
    <row r="125" spans="1:13" s="1809" customFormat="1" ht="18.75" customHeight="1" x14ac:dyDescent="0.25">
      <c r="A125" s="1806">
        <v>42157</v>
      </c>
      <c r="B125" s="1807">
        <v>1.78</v>
      </c>
      <c r="C125" s="1803"/>
      <c r="D125" s="1797"/>
      <c r="E125" s="1797">
        <v>1.06</v>
      </c>
      <c r="F125" s="1803"/>
      <c r="G125" s="1797" t="s">
        <v>1144</v>
      </c>
      <c r="H125" s="1798" t="s">
        <v>3534</v>
      </c>
      <c r="I125" s="1798" t="s">
        <v>1941</v>
      </c>
      <c r="J125" s="1814">
        <v>2.82</v>
      </c>
      <c r="K125" s="1813">
        <v>7.68</v>
      </c>
      <c r="L125" s="1808"/>
      <c r="M125" s="1815"/>
    </row>
    <row r="126" spans="1:13" s="1809" customFormat="1" ht="18.75" customHeight="1" x14ac:dyDescent="0.25">
      <c r="A126" s="1806">
        <v>42187</v>
      </c>
      <c r="B126" s="1807">
        <v>1.79</v>
      </c>
      <c r="C126" s="1803"/>
      <c r="D126" s="1797"/>
      <c r="E126" s="1797">
        <v>0.99</v>
      </c>
      <c r="F126" s="1803"/>
      <c r="G126" s="1797" t="s">
        <v>1144</v>
      </c>
      <c r="H126" s="1798" t="s">
        <v>3531</v>
      </c>
      <c r="I126" s="1798" t="s">
        <v>1941</v>
      </c>
      <c r="J126" s="1814">
        <v>2.8</v>
      </c>
      <c r="K126" s="1813">
        <v>7.64</v>
      </c>
      <c r="L126" s="1808"/>
      <c r="M126" s="1815"/>
    </row>
    <row r="127" spans="1:13" s="1809" customFormat="1" ht="18.75" customHeight="1" x14ac:dyDescent="0.25">
      <c r="A127" s="1806">
        <v>42218</v>
      </c>
      <c r="B127" s="1807">
        <v>1.67</v>
      </c>
      <c r="C127" s="1803"/>
      <c r="D127" s="1797"/>
      <c r="E127" s="1797">
        <v>1.1000000000000001</v>
      </c>
      <c r="F127" s="1803"/>
      <c r="G127" s="1797" t="s">
        <v>1144</v>
      </c>
      <c r="H127" s="1798" t="s">
        <v>3535</v>
      </c>
      <c r="I127" s="1798" t="s">
        <v>1941</v>
      </c>
      <c r="J127" s="1814">
        <v>2.8068282217058096</v>
      </c>
      <c r="K127" s="1813">
        <v>7.615889360455923</v>
      </c>
      <c r="L127" s="1808"/>
      <c r="M127" s="1815"/>
    </row>
    <row r="128" spans="1:13" s="1809" customFormat="1" ht="18.75" customHeight="1" x14ac:dyDescent="0.25">
      <c r="A128" s="1806">
        <v>42249</v>
      </c>
      <c r="B128" s="1807">
        <v>1.96</v>
      </c>
      <c r="C128" s="1803"/>
      <c r="D128" s="1797"/>
      <c r="E128" s="1797">
        <v>1.18</v>
      </c>
      <c r="F128" s="1803"/>
      <c r="G128" s="1797" t="s">
        <v>1144</v>
      </c>
      <c r="H128" s="1798" t="s">
        <v>3535</v>
      </c>
      <c r="I128" s="1798" t="s">
        <v>3536</v>
      </c>
      <c r="J128" s="1814">
        <v>2.83</v>
      </c>
      <c r="K128" s="1813">
        <v>7.55</v>
      </c>
      <c r="L128" s="1808"/>
      <c r="M128" s="1815"/>
    </row>
    <row r="129" spans="1:13" s="1809" customFormat="1" ht="18.75" customHeight="1" x14ac:dyDescent="0.25">
      <c r="A129" s="1806">
        <v>42279</v>
      </c>
      <c r="B129" s="1807">
        <v>2.34</v>
      </c>
      <c r="C129" s="1803"/>
      <c r="D129" s="1797"/>
      <c r="E129" s="1797">
        <v>1.1100000000000001</v>
      </c>
      <c r="F129" s="1803"/>
      <c r="G129" s="1797" t="s">
        <v>1144</v>
      </c>
      <c r="H129" s="1798" t="s">
        <v>3537</v>
      </c>
      <c r="I129" s="1798" t="s">
        <v>1949</v>
      </c>
      <c r="J129" s="1814">
        <v>2.808737315412309</v>
      </c>
      <c r="K129" s="1813">
        <v>7.4735343910847893</v>
      </c>
      <c r="L129" s="1808"/>
      <c r="M129" s="1815"/>
    </row>
    <row r="130" spans="1:13" s="1809" customFormat="1" ht="18.75" customHeight="1" x14ac:dyDescent="0.25">
      <c r="A130" s="1806">
        <v>42310</v>
      </c>
      <c r="B130" s="1807">
        <v>2.74</v>
      </c>
      <c r="C130" s="1803"/>
      <c r="D130" s="1797"/>
      <c r="E130" s="1797">
        <v>1.1100000000000001</v>
      </c>
      <c r="F130" s="1803"/>
      <c r="G130" s="1797" t="s">
        <v>1144</v>
      </c>
      <c r="H130" s="1798" t="s">
        <v>3537</v>
      </c>
      <c r="I130" s="1798" t="s">
        <v>3538</v>
      </c>
      <c r="J130" s="1814">
        <v>2.66</v>
      </c>
      <c r="K130" s="1813">
        <v>7.28</v>
      </c>
      <c r="L130" s="1816"/>
      <c r="M130" s="1815"/>
    </row>
    <row r="131" spans="1:13" s="1809" customFormat="1" ht="18.75" customHeight="1" x14ac:dyDescent="0.25">
      <c r="A131" s="1806">
        <v>42340</v>
      </c>
      <c r="B131" s="1807">
        <v>3.45</v>
      </c>
      <c r="C131" s="1803"/>
      <c r="D131" s="1797"/>
      <c r="E131" s="1797">
        <v>1.28</v>
      </c>
      <c r="F131" s="1803"/>
      <c r="G131" s="1797" t="s">
        <v>1144</v>
      </c>
      <c r="H131" s="1798" t="s">
        <v>3537</v>
      </c>
      <c r="I131" s="1798" t="s">
        <v>3538</v>
      </c>
      <c r="J131" s="1814">
        <v>2.6262079505853757</v>
      </c>
      <c r="K131" s="1813">
        <v>7.2387669228824993</v>
      </c>
      <c r="L131" s="1816"/>
      <c r="M131" s="1815"/>
    </row>
    <row r="132" spans="1:13" s="1809" customFormat="1" ht="18.75" customHeight="1" x14ac:dyDescent="0.25">
      <c r="A132" s="1806">
        <v>42371</v>
      </c>
      <c r="B132" s="1807">
        <v>3.18</v>
      </c>
      <c r="C132" s="1803"/>
      <c r="D132" s="1797"/>
      <c r="E132" s="1797">
        <v>1.6</v>
      </c>
      <c r="F132" s="1803"/>
      <c r="G132" s="1797" t="s">
        <v>1144</v>
      </c>
      <c r="H132" s="1798" t="s">
        <v>3539</v>
      </c>
      <c r="I132" s="1798" t="s">
        <v>3540</v>
      </c>
      <c r="J132" s="1814">
        <v>2.62</v>
      </c>
      <c r="K132" s="1813">
        <v>7.23</v>
      </c>
      <c r="L132" s="1808"/>
      <c r="M132" s="1815"/>
    </row>
    <row r="133" spans="1:13" s="1809" customFormat="1" ht="18.75" customHeight="1" x14ac:dyDescent="0.25">
      <c r="A133" s="1806">
        <v>42402</v>
      </c>
      <c r="B133" s="1807">
        <v>2.52</v>
      </c>
      <c r="C133" s="1803"/>
      <c r="D133" s="1797"/>
      <c r="E133" s="1797">
        <v>1.56</v>
      </c>
      <c r="F133" s="1803"/>
      <c r="G133" s="1797" t="s">
        <v>1144</v>
      </c>
      <c r="H133" s="1798" t="s">
        <v>3539</v>
      </c>
      <c r="I133" s="1798" t="s">
        <v>3540</v>
      </c>
      <c r="J133" s="1814">
        <v>2.59</v>
      </c>
      <c r="K133" s="1813">
        <v>7.23</v>
      </c>
      <c r="L133" s="1808"/>
      <c r="M133" s="1815"/>
    </row>
    <row r="134" spans="1:13" s="1809" customFormat="1" ht="18.75" customHeight="1" x14ac:dyDescent="0.25">
      <c r="A134" s="1806">
        <v>42431</v>
      </c>
      <c r="B134" s="1807">
        <v>2.75</v>
      </c>
      <c r="C134" s="1803"/>
      <c r="D134" s="1797"/>
      <c r="E134" s="1797">
        <v>1.46</v>
      </c>
      <c r="F134" s="1803"/>
      <c r="G134" s="1797" t="s">
        <v>1144</v>
      </c>
      <c r="H134" s="1798" t="s">
        <v>3539</v>
      </c>
      <c r="I134" s="1798" t="s">
        <v>3541</v>
      </c>
      <c r="J134" s="1814">
        <v>2.58</v>
      </c>
      <c r="K134" s="1813">
        <v>7.21</v>
      </c>
      <c r="L134" s="1808"/>
      <c r="M134" s="1815"/>
    </row>
    <row r="135" spans="1:13" s="1809" customFormat="1" ht="18.75" customHeight="1" thickBot="1" x14ac:dyDescent="0.3">
      <c r="A135" s="1817">
        <v>42462</v>
      </c>
      <c r="B135" s="1818">
        <v>2.84</v>
      </c>
      <c r="C135" s="1819"/>
      <c r="D135" s="1820"/>
      <c r="E135" s="1820">
        <v>1.45</v>
      </c>
      <c r="F135" s="1819"/>
      <c r="G135" s="1820" t="s">
        <v>1144</v>
      </c>
      <c r="H135" s="1821" t="s">
        <v>3539</v>
      </c>
      <c r="I135" s="1821" t="s">
        <v>3542</v>
      </c>
      <c r="J135" s="1822">
        <v>2.62</v>
      </c>
      <c r="K135" s="1823">
        <v>7.19</v>
      </c>
      <c r="L135" s="1808"/>
      <c r="M135" s="1815"/>
    </row>
    <row r="136" spans="1:13" ht="15" x14ac:dyDescent="0.25">
      <c r="A136" s="1761" t="s">
        <v>3543</v>
      </c>
      <c r="B136" s="1824"/>
      <c r="C136" s="1824"/>
      <c r="D136" s="1824"/>
      <c r="E136" s="1824"/>
      <c r="F136" s="1824"/>
      <c r="G136" s="1824"/>
      <c r="H136" s="1825"/>
      <c r="I136" s="1825"/>
      <c r="J136" s="1824"/>
      <c r="K136" s="1824"/>
    </row>
    <row r="137" spans="1:13" s="1827" customFormat="1" ht="15" x14ac:dyDescent="0.25">
      <c r="A137" s="1826" t="s">
        <v>179</v>
      </c>
      <c r="I137" s="1825"/>
      <c r="J137" s="1828"/>
    </row>
    <row r="138" spans="1:13" x14ac:dyDescent="0.2">
      <c r="A138" s="1766"/>
      <c r="B138" s="1766"/>
      <c r="C138" s="1766"/>
      <c r="D138" s="1766"/>
      <c r="E138" s="1766"/>
      <c r="F138" s="1766"/>
      <c r="G138" s="1766"/>
      <c r="H138" s="1766"/>
      <c r="I138" s="1766"/>
      <c r="J138" s="1829"/>
      <c r="K138" s="1829"/>
    </row>
    <row r="139" spans="1:13" x14ac:dyDescent="0.2">
      <c r="A139" s="1766"/>
      <c r="B139" s="1766"/>
      <c r="C139" s="1766"/>
      <c r="D139" s="1766"/>
      <c r="E139" s="1766"/>
      <c r="F139" s="1766" t="s">
        <v>3544</v>
      </c>
      <c r="G139" s="1766"/>
      <c r="H139" s="1766"/>
      <c r="I139" s="1766"/>
      <c r="J139" s="1766"/>
      <c r="K139" s="1766"/>
    </row>
    <row r="140" spans="1:13" x14ac:dyDescent="0.2">
      <c r="A140" s="1766"/>
      <c r="B140" s="1766"/>
      <c r="C140" s="1766"/>
      <c r="D140" s="1766"/>
      <c r="E140" s="1766"/>
      <c r="F140" s="1766"/>
      <c r="G140" s="1766"/>
      <c r="H140" s="1766"/>
      <c r="I140" s="1766"/>
      <c r="J140" s="1766"/>
      <c r="K140" s="1766"/>
    </row>
    <row r="141" spans="1:13" x14ac:dyDescent="0.2">
      <c r="A141" s="1766"/>
      <c r="B141" s="1766"/>
      <c r="C141" s="1766"/>
      <c r="D141" s="1766"/>
      <c r="E141" s="1766"/>
      <c r="F141" s="1766"/>
      <c r="G141" s="1766"/>
      <c r="H141" s="1766"/>
      <c r="I141" s="1766"/>
      <c r="J141" s="1766"/>
      <c r="K141" s="1766"/>
    </row>
    <row r="142" spans="1:13" x14ac:dyDescent="0.2">
      <c r="A142" s="1766"/>
      <c r="B142" s="1766"/>
      <c r="C142" s="1766"/>
      <c r="D142" s="1766"/>
      <c r="E142" s="1766"/>
      <c r="F142" s="1766"/>
      <c r="G142" s="1766"/>
      <c r="H142" s="1766"/>
      <c r="I142" s="1766"/>
      <c r="J142" s="1766"/>
      <c r="K142" s="1766"/>
    </row>
    <row r="143" spans="1:13" x14ac:dyDescent="0.2">
      <c r="A143" s="1766"/>
      <c r="B143" s="1766"/>
      <c r="C143" s="1766"/>
      <c r="D143" s="1766"/>
      <c r="E143" s="1766"/>
      <c r="F143" s="1766"/>
      <c r="G143" s="1766"/>
      <c r="H143" s="1766"/>
      <c r="I143" s="1766"/>
      <c r="J143" s="1766"/>
      <c r="K143" s="1766"/>
    </row>
    <row r="144" spans="1:13" x14ac:dyDescent="0.2">
      <c r="A144" s="1766"/>
      <c r="B144" s="1766"/>
      <c r="C144" s="1766"/>
      <c r="D144" s="1766"/>
      <c r="E144" s="1766"/>
      <c r="F144" s="1766"/>
      <c r="G144" s="1766"/>
      <c r="H144" s="1766"/>
      <c r="I144" s="1766"/>
      <c r="J144" s="1766"/>
      <c r="K144" s="1766"/>
    </row>
    <row r="145" spans="1:11" x14ac:dyDescent="0.2">
      <c r="A145" s="1766"/>
      <c r="B145" s="1766"/>
      <c r="C145" s="1766"/>
      <c r="D145" s="1766"/>
      <c r="E145" s="1766"/>
      <c r="F145" s="1766"/>
      <c r="G145" s="1766"/>
      <c r="H145" s="1766"/>
      <c r="I145" s="1766"/>
      <c r="J145" s="1766"/>
      <c r="K145" s="1766"/>
    </row>
    <row r="146" spans="1:11" x14ac:dyDescent="0.2">
      <c r="A146" s="1766"/>
      <c r="B146" s="1766"/>
      <c r="C146" s="1766"/>
      <c r="D146" s="1766"/>
      <c r="E146" s="1766"/>
      <c r="F146" s="1766"/>
      <c r="G146" s="1766"/>
      <c r="H146" s="1766"/>
      <c r="I146" s="1766"/>
      <c r="J146" s="1766"/>
      <c r="K146" s="1766"/>
    </row>
    <row r="147" spans="1:11" x14ac:dyDescent="0.2">
      <c r="A147" s="1766"/>
      <c r="B147" s="1766"/>
      <c r="C147" s="1766"/>
      <c r="D147" s="1766"/>
      <c r="E147" s="1766"/>
      <c r="F147" s="1766"/>
      <c r="G147" s="1766"/>
      <c r="H147" s="1766"/>
      <c r="I147" s="1766"/>
      <c r="J147" s="1766"/>
      <c r="K147" s="1766"/>
    </row>
    <row r="148" spans="1:11" x14ac:dyDescent="0.2">
      <c r="A148" s="1766"/>
      <c r="B148" s="1766"/>
      <c r="C148" s="1766"/>
      <c r="D148" s="1766"/>
      <c r="E148" s="1766"/>
      <c r="F148" s="1766"/>
      <c r="G148" s="1766"/>
      <c r="H148" s="1766"/>
      <c r="I148" s="1766"/>
      <c r="J148" s="1766"/>
      <c r="K148" s="1766"/>
    </row>
    <row r="149" spans="1:11" x14ac:dyDescent="0.2">
      <c r="A149" s="1766"/>
      <c r="B149" s="1766"/>
      <c r="C149" s="1766"/>
      <c r="D149" s="1766"/>
      <c r="E149" s="1766"/>
      <c r="F149" s="1766"/>
      <c r="G149" s="1766"/>
      <c r="H149" s="1766"/>
      <c r="I149" s="1766"/>
      <c r="J149" s="1766"/>
      <c r="K149" s="1766"/>
    </row>
    <row r="150" spans="1:11" x14ac:dyDescent="0.2">
      <c r="A150" s="1766"/>
      <c r="B150" s="1766"/>
      <c r="C150" s="1766"/>
      <c r="D150" s="1766"/>
      <c r="E150" s="1766"/>
      <c r="F150" s="1766"/>
      <c r="G150" s="1766"/>
      <c r="H150" s="1766"/>
      <c r="I150" s="1766"/>
      <c r="J150" s="1766"/>
      <c r="K150" s="1766"/>
    </row>
    <row r="151" spans="1:11" x14ac:dyDescent="0.2">
      <c r="A151" s="1766"/>
      <c r="B151" s="1766"/>
      <c r="C151" s="1766"/>
      <c r="D151" s="1766"/>
      <c r="E151" s="1766"/>
      <c r="F151" s="1766"/>
      <c r="G151" s="1766"/>
      <c r="H151" s="1766"/>
      <c r="I151" s="1766"/>
      <c r="J151" s="1766"/>
      <c r="K151" s="1766"/>
    </row>
    <row r="152" spans="1:11" x14ac:dyDescent="0.2">
      <c r="A152" s="1766"/>
      <c r="B152" s="1766"/>
      <c r="C152" s="1766"/>
      <c r="D152" s="1766"/>
      <c r="E152" s="1766"/>
      <c r="F152" s="1766"/>
      <c r="G152" s="1766"/>
      <c r="H152" s="1766"/>
      <c r="I152" s="1766"/>
      <c r="J152" s="1766"/>
      <c r="K152" s="1766"/>
    </row>
    <row r="153" spans="1:11" x14ac:dyDescent="0.2">
      <c r="A153" s="1766"/>
      <c r="B153" s="1766"/>
      <c r="C153" s="1766"/>
      <c r="D153" s="1766"/>
      <c r="E153" s="1766"/>
      <c r="F153" s="1766"/>
      <c r="G153" s="1766"/>
      <c r="H153" s="1766"/>
      <c r="I153" s="1766"/>
      <c r="J153" s="1766"/>
      <c r="K153" s="1766"/>
    </row>
    <row r="154" spans="1:11" x14ac:dyDescent="0.2">
      <c r="A154" s="1766"/>
      <c r="B154" s="1766"/>
      <c r="C154" s="1766"/>
      <c r="D154" s="1766"/>
      <c r="E154" s="1766"/>
      <c r="F154" s="1766"/>
      <c r="G154" s="1766"/>
      <c r="H154" s="1766"/>
      <c r="I154" s="1766"/>
      <c r="J154" s="1766"/>
      <c r="K154" s="1766"/>
    </row>
    <row r="155" spans="1:11" x14ac:dyDescent="0.2">
      <c r="A155" s="1766"/>
      <c r="B155" s="1766"/>
      <c r="C155" s="1766"/>
      <c r="D155" s="1766"/>
      <c r="E155" s="1766"/>
      <c r="F155" s="1766"/>
      <c r="G155" s="1766"/>
      <c r="H155" s="1766"/>
      <c r="I155" s="1766"/>
      <c r="J155" s="1766"/>
      <c r="K155" s="1766"/>
    </row>
    <row r="156" spans="1:11" x14ac:dyDescent="0.2">
      <c r="A156" s="1766"/>
      <c r="B156" s="1766"/>
      <c r="C156" s="1766"/>
      <c r="D156" s="1766"/>
      <c r="E156" s="1766"/>
      <c r="F156" s="1766"/>
      <c r="G156" s="1766"/>
      <c r="H156" s="1766"/>
      <c r="I156" s="1766"/>
      <c r="J156" s="1766"/>
      <c r="K156" s="1766"/>
    </row>
    <row r="157" spans="1:11" x14ac:dyDescent="0.2">
      <c r="A157" s="1766"/>
      <c r="B157" s="1766"/>
      <c r="C157" s="1766"/>
      <c r="D157" s="1766"/>
      <c r="E157" s="1766"/>
      <c r="F157" s="1766"/>
      <c r="G157" s="1766"/>
      <c r="H157" s="1766"/>
      <c r="I157" s="1766"/>
      <c r="J157" s="1766"/>
      <c r="K157" s="1766"/>
    </row>
    <row r="158" spans="1:11" x14ac:dyDescent="0.2">
      <c r="A158" s="1766"/>
      <c r="B158" s="1766"/>
      <c r="C158" s="1766"/>
      <c r="D158" s="1766"/>
      <c r="E158" s="1766"/>
      <c r="F158" s="1766"/>
      <c r="G158" s="1766"/>
      <c r="H158" s="1766"/>
      <c r="I158" s="1766"/>
      <c r="J158" s="1766"/>
      <c r="K158" s="1766"/>
    </row>
    <row r="159" spans="1:11" x14ac:dyDescent="0.2">
      <c r="A159" s="1766"/>
      <c r="B159" s="1766"/>
      <c r="C159" s="1766"/>
      <c r="D159" s="1766"/>
      <c r="E159" s="1766"/>
      <c r="F159" s="1766"/>
      <c r="G159" s="1766"/>
      <c r="H159" s="1766"/>
      <c r="I159" s="1766"/>
      <c r="J159" s="1766"/>
      <c r="K159" s="1766"/>
    </row>
    <row r="160" spans="1:11" x14ac:dyDescent="0.2">
      <c r="A160" s="1766"/>
      <c r="B160" s="1766"/>
      <c r="C160" s="1766"/>
      <c r="D160" s="1766"/>
      <c r="E160" s="1766"/>
      <c r="F160" s="1766"/>
      <c r="G160" s="1766"/>
      <c r="H160" s="1766"/>
      <c r="I160" s="1766"/>
      <c r="J160" s="1766"/>
      <c r="K160" s="1766"/>
    </row>
    <row r="161" spans="1:11" x14ac:dyDescent="0.2">
      <c r="A161" s="1766"/>
      <c r="B161" s="1766"/>
      <c r="C161" s="1766"/>
      <c r="D161" s="1766"/>
      <c r="E161" s="1766"/>
      <c r="F161" s="1766"/>
      <c r="G161" s="1766"/>
      <c r="H161" s="1766"/>
      <c r="I161" s="1766"/>
      <c r="J161" s="1766"/>
      <c r="K161" s="1766"/>
    </row>
    <row r="162" spans="1:11" x14ac:dyDescent="0.2">
      <c r="A162" s="1766"/>
      <c r="B162" s="1766"/>
      <c r="C162" s="1766"/>
      <c r="D162" s="1766"/>
      <c r="E162" s="1766"/>
      <c r="F162" s="1766"/>
      <c r="G162" s="1766"/>
      <c r="H162" s="1766"/>
      <c r="I162" s="1766"/>
      <c r="J162" s="1766"/>
      <c r="K162" s="1766"/>
    </row>
    <row r="163" spans="1:11" x14ac:dyDescent="0.2">
      <c r="A163" s="1766"/>
      <c r="B163" s="1766"/>
      <c r="C163" s="1766"/>
      <c r="D163" s="1766"/>
      <c r="E163" s="1766"/>
      <c r="F163" s="1766"/>
      <c r="G163" s="1766"/>
      <c r="H163" s="1766"/>
      <c r="I163" s="1766"/>
      <c r="J163" s="1766"/>
      <c r="K163" s="1766"/>
    </row>
    <row r="164" spans="1:11" x14ac:dyDescent="0.2">
      <c r="A164" s="1766"/>
      <c r="B164" s="1766"/>
      <c r="C164" s="1766"/>
      <c r="D164" s="1766"/>
      <c r="E164" s="1766"/>
      <c r="F164" s="1766"/>
      <c r="G164" s="1766"/>
      <c r="H164" s="1766"/>
      <c r="I164" s="1766"/>
      <c r="J164" s="1766"/>
      <c r="K164" s="1766"/>
    </row>
    <row r="165" spans="1:11" x14ac:dyDescent="0.2">
      <c r="A165" s="1766"/>
      <c r="B165" s="1766"/>
      <c r="C165" s="1766"/>
      <c r="D165" s="1766"/>
      <c r="E165" s="1766"/>
      <c r="F165" s="1766"/>
      <c r="G165" s="1766"/>
      <c r="H165" s="1766"/>
      <c r="I165" s="1766"/>
      <c r="J165" s="1766"/>
      <c r="K165" s="1766"/>
    </row>
    <row r="166" spans="1:11" x14ac:dyDescent="0.2">
      <c r="A166" s="1766"/>
      <c r="B166" s="1766"/>
      <c r="C166" s="1766"/>
      <c r="D166" s="1766"/>
      <c r="E166" s="1766"/>
      <c r="F166" s="1766"/>
      <c r="G166" s="1766"/>
      <c r="H166" s="1766"/>
      <c r="I166" s="1766"/>
      <c r="J166" s="1766"/>
      <c r="K166" s="1766"/>
    </row>
    <row r="167" spans="1:11" x14ac:dyDescent="0.2">
      <c r="A167" s="1766"/>
      <c r="B167" s="1766"/>
      <c r="C167" s="1766"/>
      <c r="D167" s="1766"/>
      <c r="E167" s="1766"/>
      <c r="F167" s="1766"/>
      <c r="G167" s="1766"/>
      <c r="H167" s="1766"/>
      <c r="I167" s="1766"/>
      <c r="J167" s="1766"/>
      <c r="K167" s="1766"/>
    </row>
    <row r="168" spans="1:11" x14ac:dyDescent="0.2">
      <c r="A168" s="1766"/>
      <c r="B168" s="1766"/>
      <c r="C168" s="1766"/>
      <c r="D168" s="1766"/>
      <c r="E168" s="1766"/>
      <c r="F168" s="1766"/>
      <c r="G168" s="1766"/>
      <c r="H168" s="1766"/>
      <c r="I168" s="1766"/>
      <c r="J168" s="1766"/>
      <c r="K168" s="1766"/>
    </row>
    <row r="169" spans="1:11" x14ac:dyDescent="0.2">
      <c r="A169" s="1766"/>
      <c r="B169" s="1766"/>
      <c r="C169" s="1766"/>
      <c r="D169" s="1766"/>
      <c r="E169" s="1766"/>
      <c r="F169" s="1766"/>
      <c r="G169" s="1766"/>
      <c r="H169" s="1766"/>
      <c r="I169" s="1766"/>
      <c r="J169" s="1766"/>
      <c r="K169" s="1766"/>
    </row>
    <row r="170" spans="1:11" x14ac:dyDescent="0.2">
      <c r="A170" s="1766"/>
      <c r="B170" s="1766"/>
      <c r="C170" s="1766"/>
      <c r="D170" s="1766"/>
      <c r="E170" s="1766"/>
      <c r="F170" s="1766"/>
      <c r="G170" s="1766"/>
      <c r="H170" s="1766"/>
      <c r="I170" s="1766"/>
      <c r="J170" s="1766"/>
      <c r="K170" s="1766"/>
    </row>
    <row r="171" spans="1:11" x14ac:dyDescent="0.2">
      <c r="A171" s="1766"/>
      <c r="B171" s="1766"/>
      <c r="C171" s="1766"/>
      <c r="D171" s="1766"/>
      <c r="E171" s="1766"/>
      <c r="F171" s="1766"/>
      <c r="G171" s="1766"/>
      <c r="H171" s="1766"/>
      <c r="I171" s="1766"/>
      <c r="J171" s="1766"/>
      <c r="K171" s="1766"/>
    </row>
    <row r="172" spans="1:11" x14ac:dyDescent="0.2">
      <c r="A172" s="1766"/>
      <c r="B172" s="1766"/>
      <c r="C172" s="1766"/>
      <c r="D172" s="1766"/>
      <c r="E172" s="1766"/>
      <c r="F172" s="1766"/>
      <c r="G172" s="1766"/>
      <c r="H172" s="1766"/>
      <c r="I172" s="1766"/>
      <c r="J172" s="1766"/>
      <c r="K172" s="1766"/>
    </row>
    <row r="173" spans="1:11" x14ac:dyDescent="0.2">
      <c r="A173" s="1766"/>
      <c r="B173" s="1766"/>
      <c r="C173" s="1766"/>
      <c r="D173" s="1766"/>
      <c r="E173" s="1766"/>
      <c r="F173" s="1766"/>
      <c r="G173" s="1766"/>
      <c r="H173" s="1766"/>
      <c r="I173" s="1766"/>
      <c r="J173" s="1766"/>
      <c r="K173" s="1766"/>
    </row>
    <row r="174" spans="1:11" x14ac:dyDescent="0.2">
      <c r="A174" s="1766"/>
      <c r="B174" s="1766"/>
      <c r="C174" s="1766"/>
      <c r="D174" s="1766"/>
      <c r="E174" s="1766"/>
      <c r="F174" s="1766"/>
      <c r="G174" s="1766"/>
      <c r="H174" s="1766"/>
      <c r="I174" s="1766"/>
      <c r="J174" s="1766"/>
      <c r="K174" s="1766"/>
    </row>
    <row r="175" spans="1:11" x14ac:dyDescent="0.2">
      <c r="A175" s="1766"/>
      <c r="B175" s="1766"/>
      <c r="C175" s="1766"/>
      <c r="D175" s="1766"/>
      <c r="E175" s="1766"/>
      <c r="F175" s="1766"/>
      <c r="G175" s="1766"/>
      <c r="H175" s="1766"/>
      <c r="I175" s="1766"/>
      <c r="J175" s="1766"/>
      <c r="K175" s="1766"/>
    </row>
    <row r="176" spans="1:11" x14ac:dyDescent="0.2">
      <c r="A176" s="1766"/>
      <c r="B176" s="1766"/>
      <c r="C176" s="1766"/>
      <c r="D176" s="1766"/>
      <c r="E176" s="1766"/>
      <c r="F176" s="1766"/>
      <c r="G176" s="1766"/>
      <c r="H176" s="1766"/>
      <c r="I176" s="1766"/>
      <c r="J176" s="1766"/>
      <c r="K176" s="1766"/>
    </row>
    <row r="177" spans="1:11" x14ac:dyDescent="0.2">
      <c r="A177" s="1766"/>
      <c r="B177" s="1766"/>
      <c r="C177" s="1766"/>
      <c r="D177" s="1766"/>
      <c r="E177" s="1766"/>
      <c r="F177" s="1766"/>
      <c r="G177" s="1766"/>
      <c r="H177" s="1766"/>
      <c r="I177" s="1766"/>
      <c r="J177" s="1766"/>
      <c r="K177" s="1766"/>
    </row>
    <row r="178" spans="1:11" x14ac:dyDescent="0.2">
      <c r="A178" s="1766"/>
      <c r="B178" s="1766"/>
      <c r="C178" s="1766"/>
      <c r="D178" s="1766"/>
      <c r="E178" s="1766"/>
      <c r="F178" s="1766"/>
      <c r="G178" s="1766"/>
      <c r="H178" s="1766"/>
      <c r="I178" s="1766"/>
      <c r="J178" s="1766"/>
      <c r="K178" s="1766"/>
    </row>
    <row r="179" spans="1:11" x14ac:dyDescent="0.2">
      <c r="A179" s="1766"/>
      <c r="B179" s="1766"/>
      <c r="C179" s="1766"/>
      <c r="D179" s="1766"/>
      <c r="E179" s="1766"/>
      <c r="F179" s="1766"/>
      <c r="G179" s="1766"/>
      <c r="H179" s="1766"/>
      <c r="I179" s="1766"/>
      <c r="J179" s="1766"/>
      <c r="K179" s="1766"/>
    </row>
    <row r="180" spans="1:11" x14ac:dyDescent="0.2">
      <c r="A180" s="1766"/>
      <c r="B180" s="1766"/>
      <c r="C180" s="1766"/>
      <c r="D180" s="1766"/>
      <c r="E180" s="1766"/>
      <c r="F180" s="1766"/>
      <c r="G180" s="1766"/>
      <c r="H180" s="1766"/>
      <c r="I180" s="1766"/>
      <c r="J180" s="1766"/>
      <c r="K180" s="1766"/>
    </row>
    <row r="181" spans="1:11" x14ac:dyDescent="0.2">
      <c r="A181" s="1766"/>
      <c r="B181" s="1766"/>
      <c r="C181" s="1766"/>
      <c r="D181" s="1766"/>
      <c r="E181" s="1766"/>
      <c r="F181" s="1766"/>
      <c r="G181" s="1766"/>
      <c r="H181" s="1766"/>
      <c r="I181" s="1766"/>
      <c r="J181" s="1766"/>
      <c r="K181" s="1766"/>
    </row>
    <row r="182" spans="1:11" x14ac:dyDescent="0.2">
      <c r="A182" s="1766"/>
      <c r="B182" s="1766"/>
      <c r="C182" s="1766"/>
      <c r="D182" s="1766"/>
      <c r="E182" s="1766"/>
      <c r="F182" s="1766"/>
      <c r="G182" s="1766"/>
      <c r="H182" s="1766"/>
      <c r="I182" s="1766"/>
      <c r="J182" s="1766"/>
      <c r="K182" s="1766"/>
    </row>
    <row r="183" spans="1:11" x14ac:dyDescent="0.2">
      <c r="A183" s="1766"/>
      <c r="B183" s="1766"/>
      <c r="C183" s="1766"/>
      <c r="D183" s="1766"/>
      <c r="E183" s="1766"/>
      <c r="F183" s="1766"/>
      <c r="G183" s="1766"/>
      <c r="H183" s="1766"/>
      <c r="I183" s="1766"/>
      <c r="J183" s="1766"/>
      <c r="K183" s="1766"/>
    </row>
    <row r="184" spans="1:11" x14ac:dyDescent="0.2">
      <c r="A184" s="1766"/>
      <c r="B184" s="1766"/>
      <c r="C184" s="1766"/>
      <c r="D184" s="1766"/>
      <c r="E184" s="1766"/>
      <c r="F184" s="1766"/>
      <c r="G184" s="1766"/>
      <c r="H184" s="1766"/>
      <c r="I184" s="1766"/>
      <c r="J184" s="1766"/>
      <c r="K184" s="1766"/>
    </row>
    <row r="185" spans="1:11" x14ac:dyDescent="0.2">
      <c r="A185" s="1766"/>
      <c r="B185" s="1766"/>
      <c r="C185" s="1766"/>
      <c r="D185" s="1766"/>
      <c r="E185" s="1766"/>
      <c r="F185" s="1766"/>
      <c r="G185" s="1766"/>
      <c r="H185" s="1766"/>
      <c r="I185" s="1766"/>
      <c r="J185" s="1766"/>
      <c r="K185" s="1766"/>
    </row>
    <row r="186" spans="1:11" x14ac:dyDescent="0.2">
      <c r="A186" s="1766"/>
      <c r="B186" s="1766"/>
      <c r="C186" s="1766"/>
      <c r="D186" s="1766"/>
      <c r="E186" s="1766"/>
      <c r="F186" s="1766"/>
      <c r="G186" s="1766"/>
      <c r="H186" s="1766"/>
      <c r="I186" s="1766"/>
      <c r="J186" s="1766"/>
      <c r="K186" s="1766"/>
    </row>
    <row r="187" spans="1:11" x14ac:dyDescent="0.2">
      <c r="A187" s="1766"/>
      <c r="B187" s="1766"/>
      <c r="C187" s="1766"/>
      <c r="D187" s="1766"/>
      <c r="E187" s="1766"/>
      <c r="F187" s="1766"/>
      <c r="G187" s="1766"/>
      <c r="H187" s="1766"/>
      <c r="I187" s="1766"/>
      <c r="J187" s="1766"/>
      <c r="K187" s="1766"/>
    </row>
    <row r="188" spans="1:11" x14ac:dyDescent="0.2">
      <c r="A188" s="1766"/>
      <c r="B188" s="1766"/>
      <c r="C188" s="1766"/>
      <c r="D188" s="1766"/>
      <c r="E188" s="1766"/>
      <c r="F188" s="1766"/>
      <c r="G188" s="1766"/>
      <c r="H188" s="1766"/>
      <c r="I188" s="1766"/>
      <c r="J188" s="1766"/>
      <c r="K188" s="1766"/>
    </row>
    <row r="189" spans="1:11" x14ac:dyDescent="0.2">
      <c r="A189" s="1766"/>
      <c r="B189" s="1766"/>
      <c r="C189" s="1766"/>
      <c r="D189" s="1766"/>
      <c r="E189" s="1766"/>
      <c r="F189" s="1766"/>
      <c r="G189" s="1766"/>
      <c r="H189" s="1766"/>
      <c r="I189" s="1766"/>
      <c r="J189" s="1766"/>
      <c r="K189" s="1766"/>
    </row>
    <row r="190" spans="1:11" x14ac:dyDescent="0.2">
      <c r="A190" s="1766"/>
      <c r="B190" s="1766"/>
      <c r="C190" s="1766"/>
      <c r="D190" s="1766"/>
      <c r="E190" s="1766"/>
      <c r="F190" s="1766"/>
      <c r="G190" s="1766"/>
      <c r="H190" s="1766"/>
      <c r="I190" s="1766"/>
      <c r="J190" s="1766"/>
      <c r="K190" s="1766"/>
    </row>
    <row r="191" spans="1:11" x14ac:dyDescent="0.2">
      <c r="A191" s="1766"/>
      <c r="B191" s="1766"/>
      <c r="C191" s="1766"/>
      <c r="D191" s="1766"/>
      <c r="E191" s="1766"/>
      <c r="F191" s="1766"/>
      <c r="G191" s="1766"/>
      <c r="H191" s="1766"/>
      <c r="I191" s="1766"/>
      <c r="J191" s="1766"/>
      <c r="K191" s="1766"/>
    </row>
    <row r="192" spans="1:11" x14ac:dyDescent="0.2">
      <c r="A192" s="1766"/>
      <c r="B192" s="1766"/>
      <c r="C192" s="1766"/>
      <c r="D192" s="1766"/>
      <c r="E192" s="1766"/>
      <c r="F192" s="1766"/>
      <c r="G192" s="1766"/>
      <c r="H192" s="1766"/>
      <c r="I192" s="1766"/>
      <c r="J192" s="1766"/>
      <c r="K192" s="1766"/>
    </row>
    <row r="193" spans="1:11" x14ac:dyDescent="0.2">
      <c r="A193" s="1766"/>
      <c r="B193" s="1766"/>
      <c r="C193" s="1766"/>
      <c r="D193" s="1766"/>
      <c r="E193" s="1766"/>
      <c r="F193" s="1766"/>
      <c r="G193" s="1766"/>
      <c r="H193" s="1766"/>
      <c r="I193" s="1766"/>
      <c r="J193" s="1766"/>
      <c r="K193" s="1766"/>
    </row>
    <row r="194" spans="1:11" x14ac:dyDescent="0.2">
      <c r="A194" s="1766"/>
      <c r="B194" s="1766"/>
      <c r="C194" s="1766"/>
      <c r="D194" s="1766"/>
      <c r="E194" s="1766"/>
      <c r="F194" s="1766"/>
      <c r="G194" s="1766"/>
      <c r="H194" s="1766"/>
      <c r="I194" s="1766"/>
      <c r="J194" s="1766"/>
      <c r="K194" s="1766"/>
    </row>
    <row r="195" spans="1:11" x14ac:dyDescent="0.2">
      <c r="A195" s="1766"/>
      <c r="B195" s="1766"/>
      <c r="C195" s="1766"/>
      <c r="D195" s="1766"/>
      <c r="E195" s="1766"/>
      <c r="F195" s="1766"/>
      <c r="G195" s="1766"/>
      <c r="H195" s="1766"/>
      <c r="I195" s="1766"/>
      <c r="J195" s="1766"/>
      <c r="K195" s="1766"/>
    </row>
    <row r="196" spans="1:11" x14ac:dyDescent="0.2">
      <c r="A196" s="1766"/>
      <c r="B196" s="1766"/>
      <c r="C196" s="1766"/>
      <c r="D196" s="1766"/>
      <c r="E196" s="1766"/>
      <c r="F196" s="1766"/>
      <c r="G196" s="1766"/>
      <c r="H196" s="1766"/>
      <c r="I196" s="1766"/>
      <c r="J196" s="1766"/>
      <c r="K196" s="1766"/>
    </row>
    <row r="197" spans="1:11" x14ac:dyDescent="0.2">
      <c r="A197" s="1766"/>
      <c r="B197" s="1766"/>
      <c r="C197" s="1766"/>
      <c r="D197" s="1766"/>
      <c r="E197" s="1766"/>
      <c r="F197" s="1766"/>
      <c r="G197" s="1766"/>
      <c r="H197" s="1766"/>
      <c r="I197" s="1766"/>
      <c r="J197" s="1766"/>
      <c r="K197" s="1766"/>
    </row>
    <row r="198" spans="1:11" x14ac:dyDescent="0.2">
      <c r="A198" s="1766"/>
      <c r="B198" s="1766"/>
      <c r="C198" s="1766"/>
      <c r="D198" s="1766"/>
      <c r="E198" s="1766"/>
      <c r="F198" s="1766"/>
      <c r="G198" s="1766"/>
      <c r="H198" s="1766"/>
      <c r="I198" s="1766"/>
      <c r="J198" s="1766"/>
      <c r="K198" s="1766"/>
    </row>
    <row r="199" spans="1:11" x14ac:dyDescent="0.2">
      <c r="A199" s="1766"/>
      <c r="B199" s="1766"/>
      <c r="C199" s="1766"/>
      <c r="D199" s="1766"/>
      <c r="E199" s="1766"/>
      <c r="F199" s="1766"/>
      <c r="G199" s="1766"/>
      <c r="H199" s="1766"/>
      <c r="I199" s="1766"/>
      <c r="J199" s="1766"/>
      <c r="K199" s="1766"/>
    </row>
    <row r="200" spans="1:11" x14ac:dyDescent="0.2">
      <c r="A200" s="1766"/>
      <c r="B200" s="1766"/>
      <c r="C200" s="1766"/>
      <c r="D200" s="1766"/>
      <c r="E200" s="1766"/>
      <c r="F200" s="1766"/>
      <c r="G200" s="1766"/>
      <c r="H200" s="1766"/>
      <c r="I200" s="1766"/>
      <c r="J200" s="1766"/>
      <c r="K200" s="1766"/>
    </row>
    <row r="201" spans="1:11" x14ac:dyDescent="0.2">
      <c r="A201" s="1766"/>
      <c r="B201" s="1766"/>
      <c r="C201" s="1766"/>
      <c r="D201" s="1766"/>
      <c r="E201" s="1766"/>
      <c r="F201" s="1766"/>
      <c r="G201" s="1766"/>
      <c r="H201" s="1766"/>
      <c r="I201" s="1766"/>
      <c r="J201" s="1766"/>
      <c r="K201" s="1766"/>
    </row>
    <row r="202" spans="1:11" x14ac:dyDescent="0.2">
      <c r="A202" s="1766"/>
      <c r="B202" s="1766"/>
      <c r="C202" s="1766"/>
      <c r="D202" s="1766"/>
      <c r="E202" s="1766"/>
      <c r="F202" s="1766"/>
      <c r="G202" s="1766"/>
      <c r="H202" s="1766"/>
      <c r="I202" s="1766"/>
      <c r="J202" s="1766"/>
      <c r="K202" s="1766"/>
    </row>
    <row r="203" spans="1:11" x14ac:dyDescent="0.2">
      <c r="A203" s="1766"/>
      <c r="B203" s="1766"/>
      <c r="C203" s="1766"/>
      <c r="D203" s="1766"/>
      <c r="E203" s="1766"/>
      <c r="F203" s="1766"/>
      <c r="G203" s="1766"/>
      <c r="H203" s="1766"/>
      <c r="I203" s="1766"/>
      <c r="J203" s="1766"/>
      <c r="K203" s="1766"/>
    </row>
    <row r="204" spans="1:11" x14ac:dyDescent="0.2">
      <c r="A204" s="1766"/>
      <c r="B204" s="1766"/>
      <c r="C204" s="1766"/>
      <c r="D204" s="1766"/>
      <c r="E204" s="1766"/>
      <c r="F204" s="1766"/>
      <c r="G204" s="1766"/>
      <c r="H204" s="1766"/>
      <c r="I204" s="1766"/>
      <c r="J204" s="1766"/>
      <c r="K204" s="1766"/>
    </row>
    <row r="205" spans="1:11" x14ac:dyDescent="0.2">
      <c r="A205" s="1766"/>
      <c r="B205" s="1766"/>
      <c r="C205" s="1766"/>
      <c r="D205" s="1766"/>
      <c r="E205" s="1766"/>
      <c r="F205" s="1766"/>
      <c r="G205" s="1766"/>
      <c r="H205" s="1766"/>
      <c r="I205" s="1766"/>
      <c r="J205" s="1766"/>
      <c r="K205" s="1766"/>
    </row>
    <row r="206" spans="1:11" x14ac:dyDescent="0.2">
      <c r="A206" s="1766"/>
      <c r="B206" s="1766"/>
      <c r="C206" s="1766"/>
      <c r="D206" s="1766"/>
      <c r="E206" s="1766"/>
      <c r="F206" s="1766"/>
      <c r="G206" s="1766"/>
      <c r="H206" s="1766"/>
      <c r="I206" s="1766"/>
      <c r="J206" s="1766"/>
      <c r="K206" s="1766"/>
    </row>
    <row r="207" spans="1:11" x14ac:dyDescent="0.2">
      <c r="A207" s="1766"/>
      <c r="B207" s="1766"/>
      <c r="C207" s="1766"/>
      <c r="D207" s="1766"/>
      <c r="E207" s="1766"/>
      <c r="F207" s="1766"/>
      <c r="G207" s="1766"/>
      <c r="H207" s="1766"/>
      <c r="I207" s="1766"/>
      <c r="J207" s="1766"/>
      <c r="K207" s="1766"/>
    </row>
    <row r="208" spans="1:11" x14ac:dyDescent="0.2">
      <c r="A208" s="1766"/>
      <c r="B208" s="1766"/>
      <c r="C208" s="1766"/>
      <c r="D208" s="1766"/>
      <c r="E208" s="1766"/>
      <c r="F208" s="1766"/>
      <c r="G208" s="1766"/>
      <c r="H208" s="1766"/>
      <c r="I208" s="1766"/>
      <c r="J208" s="1766"/>
      <c r="K208" s="1766"/>
    </row>
    <row r="209" spans="1:11" x14ac:dyDescent="0.2">
      <c r="A209" s="1766"/>
      <c r="B209" s="1766"/>
      <c r="C209" s="1766"/>
      <c r="D209" s="1766"/>
      <c r="E209" s="1766"/>
      <c r="F209" s="1766"/>
      <c r="G209" s="1766"/>
      <c r="H209" s="1766"/>
      <c r="I209" s="1766"/>
      <c r="J209" s="1766"/>
      <c r="K209" s="1766"/>
    </row>
    <row r="210" spans="1:11" x14ac:dyDescent="0.2">
      <c r="A210" s="1766"/>
      <c r="B210" s="1766"/>
      <c r="C210" s="1766"/>
      <c r="D210" s="1766"/>
      <c r="E210" s="1766"/>
      <c r="F210" s="1766"/>
      <c r="G210" s="1766"/>
      <c r="H210" s="1766"/>
      <c r="I210" s="1766"/>
      <c r="J210" s="1766"/>
      <c r="K210" s="1766"/>
    </row>
    <row r="211" spans="1:11" x14ac:dyDescent="0.2">
      <c r="A211" s="1766"/>
      <c r="B211" s="1766"/>
      <c r="C211" s="1766"/>
      <c r="D211" s="1766"/>
      <c r="E211" s="1766"/>
      <c r="F211" s="1766"/>
      <c r="G211" s="1766"/>
      <c r="H211" s="1766"/>
      <c r="I211" s="1766"/>
      <c r="J211" s="1766"/>
      <c r="K211" s="1766"/>
    </row>
    <row r="212" spans="1:11" x14ac:dyDescent="0.2">
      <c r="A212" s="1766"/>
      <c r="B212" s="1766"/>
      <c r="C212" s="1766"/>
      <c r="D212" s="1766"/>
      <c r="E212" s="1766"/>
      <c r="F212" s="1766"/>
      <c r="G212" s="1766"/>
      <c r="H212" s="1766"/>
      <c r="I212" s="1766"/>
      <c r="J212" s="1766"/>
      <c r="K212" s="1766"/>
    </row>
    <row r="213" spans="1:11" x14ac:dyDescent="0.2">
      <c r="A213" s="1766"/>
      <c r="B213" s="1766"/>
      <c r="C213" s="1766"/>
      <c r="D213" s="1766"/>
      <c r="E213" s="1766"/>
      <c r="F213" s="1766"/>
      <c r="G213" s="1766"/>
      <c r="H213" s="1766"/>
      <c r="I213" s="1766"/>
      <c r="J213" s="1766"/>
      <c r="K213" s="1766"/>
    </row>
    <row r="214" spans="1:11" x14ac:dyDescent="0.2">
      <c r="A214" s="1766"/>
      <c r="B214" s="1766"/>
      <c r="C214" s="1766"/>
      <c r="D214" s="1766"/>
      <c r="E214" s="1766"/>
      <c r="F214" s="1766"/>
      <c r="G214" s="1766"/>
      <c r="H214" s="1766"/>
      <c r="I214" s="1766"/>
      <c r="J214" s="1766"/>
      <c r="K214" s="1766"/>
    </row>
    <row r="215" spans="1:11" x14ac:dyDescent="0.2">
      <c r="A215" s="1766"/>
      <c r="B215" s="1766"/>
      <c r="C215" s="1766"/>
      <c r="D215" s="1766"/>
      <c r="E215" s="1766"/>
      <c r="F215" s="1766"/>
      <c r="G215" s="1766"/>
      <c r="H215" s="1766"/>
      <c r="I215" s="1766"/>
      <c r="J215" s="1766"/>
      <c r="K215" s="1766"/>
    </row>
    <row r="216" spans="1:11" x14ac:dyDescent="0.2">
      <c r="A216" s="1766"/>
      <c r="B216" s="1766"/>
      <c r="C216" s="1766"/>
      <c r="D216" s="1766"/>
      <c r="E216" s="1766"/>
      <c r="F216" s="1766"/>
      <c r="G216" s="1766"/>
      <c r="H216" s="1766"/>
      <c r="I216" s="1766"/>
      <c r="J216" s="1766"/>
      <c r="K216" s="1766"/>
    </row>
    <row r="217" spans="1:11" x14ac:dyDescent="0.2">
      <c r="A217" s="1766"/>
      <c r="B217" s="1766"/>
      <c r="C217" s="1766"/>
      <c r="D217" s="1766"/>
      <c r="E217" s="1766"/>
      <c r="F217" s="1766"/>
      <c r="G217" s="1766"/>
      <c r="H217" s="1766"/>
      <c r="I217" s="1766"/>
      <c r="J217" s="1766"/>
      <c r="K217" s="1766"/>
    </row>
    <row r="218" spans="1:11" x14ac:dyDescent="0.2">
      <c r="A218" s="1766"/>
      <c r="B218" s="1766"/>
      <c r="C218" s="1766"/>
      <c r="D218" s="1766"/>
      <c r="E218" s="1766"/>
      <c r="F218" s="1766"/>
      <c r="G218" s="1766"/>
      <c r="H218" s="1766"/>
      <c r="I218" s="1766"/>
      <c r="J218" s="1766"/>
      <c r="K218" s="1766"/>
    </row>
    <row r="219" spans="1:11" x14ac:dyDescent="0.2">
      <c r="A219" s="1766"/>
      <c r="B219" s="1766"/>
      <c r="C219" s="1766"/>
      <c r="D219" s="1766"/>
      <c r="E219" s="1766"/>
      <c r="F219" s="1766"/>
      <c r="G219" s="1766"/>
      <c r="H219" s="1766"/>
      <c r="I219" s="1766"/>
      <c r="J219" s="1766"/>
      <c r="K219" s="1766"/>
    </row>
    <row r="220" spans="1:11" x14ac:dyDescent="0.2">
      <c r="A220" s="1766"/>
      <c r="B220" s="1766"/>
      <c r="C220" s="1766"/>
      <c r="D220" s="1766"/>
      <c r="E220" s="1766"/>
      <c r="F220" s="1766"/>
      <c r="G220" s="1766"/>
      <c r="H220" s="1766"/>
      <c r="I220" s="1766"/>
      <c r="J220" s="1766"/>
      <c r="K220" s="1766"/>
    </row>
  </sheetData>
  <printOptions horizontalCentered="1"/>
  <pageMargins left="0.5" right="0" top="0.75" bottom="0" header="0" footer="0"/>
  <pageSetup paperSize="9" scale="8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L35"/>
  <sheetViews>
    <sheetView zoomScaleNormal="100" workbookViewId="0">
      <selection activeCell="H26" sqref="H26"/>
    </sheetView>
  </sheetViews>
  <sheetFormatPr defaultRowHeight="12.75" x14ac:dyDescent="0.2"/>
  <cols>
    <col min="1" max="1" width="42.5703125" style="1871" customWidth="1"/>
    <col min="2" max="2" width="16.140625" style="1871" customWidth="1"/>
    <col min="3" max="4" width="15.85546875" style="1871" bestFit="1" customWidth="1"/>
    <col min="5" max="5" width="14.7109375" style="1871" bestFit="1" customWidth="1"/>
    <col min="6" max="6" width="16.28515625" style="1871" customWidth="1"/>
    <col min="7" max="7" width="17" style="1871" bestFit="1" customWidth="1"/>
    <col min="8" max="8" width="15.85546875" style="1871" customWidth="1"/>
    <col min="9" max="256" width="9.140625" style="1871"/>
    <col min="257" max="257" width="42.5703125" style="1871" customWidth="1"/>
    <col min="258" max="258" width="16.140625" style="1871" customWidth="1"/>
    <col min="259" max="260" width="15.85546875" style="1871" bestFit="1" customWidth="1"/>
    <col min="261" max="261" width="14.7109375" style="1871" bestFit="1" customWidth="1"/>
    <col min="262" max="262" width="16.28515625" style="1871" customWidth="1"/>
    <col min="263" max="263" width="17" style="1871" bestFit="1" customWidth="1"/>
    <col min="264" max="264" width="15.85546875" style="1871" customWidth="1"/>
    <col min="265" max="512" width="9.140625" style="1871"/>
    <col min="513" max="513" width="42.5703125" style="1871" customWidth="1"/>
    <col min="514" max="514" width="16.140625" style="1871" customWidth="1"/>
    <col min="515" max="516" width="15.85546875" style="1871" bestFit="1" customWidth="1"/>
    <col min="517" max="517" width="14.7109375" style="1871" bestFit="1" customWidth="1"/>
    <col min="518" max="518" width="16.28515625" style="1871" customWidth="1"/>
    <col min="519" max="519" width="17" style="1871" bestFit="1" customWidth="1"/>
    <col min="520" max="520" width="15.85546875" style="1871" customWidth="1"/>
    <col min="521" max="768" width="9.140625" style="1871"/>
    <col min="769" max="769" width="42.5703125" style="1871" customWidth="1"/>
    <col min="770" max="770" width="16.140625" style="1871" customWidth="1"/>
    <col min="771" max="772" width="15.85546875" style="1871" bestFit="1" customWidth="1"/>
    <col min="773" max="773" width="14.7109375" style="1871" bestFit="1" customWidth="1"/>
    <col min="774" max="774" width="16.28515625" style="1871" customWidth="1"/>
    <col min="775" max="775" width="17" style="1871" bestFit="1" customWidth="1"/>
    <col min="776" max="776" width="15.85546875" style="1871" customWidth="1"/>
    <col min="777" max="1024" width="9.140625" style="1871"/>
    <col min="1025" max="1025" width="42.5703125" style="1871" customWidth="1"/>
    <col min="1026" max="1026" width="16.140625" style="1871" customWidth="1"/>
    <col min="1027" max="1028" width="15.85546875" style="1871" bestFit="1" customWidth="1"/>
    <col min="1029" max="1029" width="14.7109375" style="1871" bestFit="1" customWidth="1"/>
    <col min="1030" max="1030" width="16.28515625" style="1871" customWidth="1"/>
    <col min="1031" max="1031" width="17" style="1871" bestFit="1" customWidth="1"/>
    <col min="1032" max="1032" width="15.85546875" style="1871" customWidth="1"/>
    <col min="1033" max="1280" width="9.140625" style="1871"/>
    <col min="1281" max="1281" width="42.5703125" style="1871" customWidth="1"/>
    <col min="1282" max="1282" width="16.140625" style="1871" customWidth="1"/>
    <col min="1283" max="1284" width="15.85546875" style="1871" bestFit="1" customWidth="1"/>
    <col min="1285" max="1285" width="14.7109375" style="1871" bestFit="1" customWidth="1"/>
    <col min="1286" max="1286" width="16.28515625" style="1871" customWidth="1"/>
    <col min="1287" max="1287" width="17" style="1871" bestFit="1" customWidth="1"/>
    <col min="1288" max="1288" width="15.85546875" style="1871" customWidth="1"/>
    <col min="1289" max="1536" width="9.140625" style="1871"/>
    <col min="1537" max="1537" width="42.5703125" style="1871" customWidth="1"/>
    <col min="1538" max="1538" width="16.140625" style="1871" customWidth="1"/>
    <col min="1539" max="1540" width="15.85546875" style="1871" bestFit="1" customWidth="1"/>
    <col min="1541" max="1541" width="14.7109375" style="1871" bestFit="1" customWidth="1"/>
    <col min="1542" max="1542" width="16.28515625" style="1871" customWidth="1"/>
    <col min="1543" max="1543" width="17" style="1871" bestFit="1" customWidth="1"/>
    <col min="1544" max="1544" width="15.85546875" style="1871" customWidth="1"/>
    <col min="1545" max="1792" width="9.140625" style="1871"/>
    <col min="1793" max="1793" width="42.5703125" style="1871" customWidth="1"/>
    <col min="1794" max="1794" width="16.140625" style="1871" customWidth="1"/>
    <col min="1795" max="1796" width="15.85546875" style="1871" bestFit="1" customWidth="1"/>
    <col min="1797" max="1797" width="14.7109375" style="1871" bestFit="1" customWidth="1"/>
    <col min="1798" max="1798" width="16.28515625" style="1871" customWidth="1"/>
    <col min="1799" max="1799" width="17" style="1871" bestFit="1" customWidth="1"/>
    <col min="1800" max="1800" width="15.85546875" style="1871" customWidth="1"/>
    <col min="1801" max="2048" width="9.140625" style="1871"/>
    <col min="2049" max="2049" width="42.5703125" style="1871" customWidth="1"/>
    <col min="2050" max="2050" width="16.140625" style="1871" customWidth="1"/>
    <col min="2051" max="2052" width="15.85546875" style="1871" bestFit="1" customWidth="1"/>
    <col min="2053" max="2053" width="14.7109375" style="1871" bestFit="1" customWidth="1"/>
    <col min="2054" max="2054" width="16.28515625" style="1871" customWidth="1"/>
    <col min="2055" max="2055" width="17" style="1871" bestFit="1" customWidth="1"/>
    <col min="2056" max="2056" width="15.85546875" style="1871" customWidth="1"/>
    <col min="2057" max="2304" width="9.140625" style="1871"/>
    <col min="2305" max="2305" width="42.5703125" style="1871" customWidth="1"/>
    <col min="2306" max="2306" width="16.140625" style="1871" customWidth="1"/>
    <col min="2307" max="2308" width="15.85546875" style="1871" bestFit="1" customWidth="1"/>
    <col min="2309" max="2309" width="14.7109375" style="1871" bestFit="1" customWidth="1"/>
    <col min="2310" max="2310" width="16.28515625" style="1871" customWidth="1"/>
    <col min="2311" max="2311" width="17" style="1871" bestFit="1" customWidth="1"/>
    <col min="2312" max="2312" width="15.85546875" style="1871" customWidth="1"/>
    <col min="2313" max="2560" width="9.140625" style="1871"/>
    <col min="2561" max="2561" width="42.5703125" style="1871" customWidth="1"/>
    <col min="2562" max="2562" width="16.140625" style="1871" customWidth="1"/>
    <col min="2563" max="2564" width="15.85546875" style="1871" bestFit="1" customWidth="1"/>
    <col min="2565" max="2565" width="14.7109375" style="1871" bestFit="1" customWidth="1"/>
    <col min="2566" max="2566" width="16.28515625" style="1871" customWidth="1"/>
    <col min="2567" max="2567" width="17" style="1871" bestFit="1" customWidth="1"/>
    <col min="2568" max="2568" width="15.85546875" style="1871" customWidth="1"/>
    <col min="2569" max="2816" width="9.140625" style="1871"/>
    <col min="2817" max="2817" width="42.5703125" style="1871" customWidth="1"/>
    <col min="2818" max="2818" width="16.140625" style="1871" customWidth="1"/>
    <col min="2819" max="2820" width="15.85546875" style="1871" bestFit="1" customWidth="1"/>
    <col min="2821" max="2821" width="14.7109375" style="1871" bestFit="1" customWidth="1"/>
    <col min="2822" max="2822" width="16.28515625" style="1871" customWidth="1"/>
    <col min="2823" max="2823" width="17" style="1871" bestFit="1" customWidth="1"/>
    <col min="2824" max="2824" width="15.85546875" style="1871" customWidth="1"/>
    <col min="2825" max="3072" width="9.140625" style="1871"/>
    <col min="3073" max="3073" width="42.5703125" style="1871" customWidth="1"/>
    <col min="3074" max="3074" width="16.140625" style="1871" customWidth="1"/>
    <col min="3075" max="3076" width="15.85546875" style="1871" bestFit="1" customWidth="1"/>
    <col min="3077" max="3077" width="14.7109375" style="1871" bestFit="1" customWidth="1"/>
    <col min="3078" max="3078" width="16.28515625" style="1871" customWidth="1"/>
    <col min="3079" max="3079" width="17" style="1871" bestFit="1" customWidth="1"/>
    <col min="3080" max="3080" width="15.85546875" style="1871" customWidth="1"/>
    <col min="3081" max="3328" width="9.140625" style="1871"/>
    <col min="3329" max="3329" width="42.5703125" style="1871" customWidth="1"/>
    <col min="3330" max="3330" width="16.140625" style="1871" customWidth="1"/>
    <col min="3331" max="3332" width="15.85546875" style="1871" bestFit="1" customWidth="1"/>
    <col min="3333" max="3333" width="14.7109375" style="1871" bestFit="1" customWidth="1"/>
    <col min="3334" max="3334" width="16.28515625" style="1871" customWidth="1"/>
    <col min="3335" max="3335" width="17" style="1871" bestFit="1" customWidth="1"/>
    <col min="3336" max="3336" width="15.85546875" style="1871" customWidth="1"/>
    <col min="3337" max="3584" width="9.140625" style="1871"/>
    <col min="3585" max="3585" width="42.5703125" style="1871" customWidth="1"/>
    <col min="3586" max="3586" width="16.140625" style="1871" customWidth="1"/>
    <col min="3587" max="3588" width="15.85546875" style="1871" bestFit="1" customWidth="1"/>
    <col min="3589" max="3589" width="14.7109375" style="1871" bestFit="1" customWidth="1"/>
    <col min="3590" max="3590" width="16.28515625" style="1871" customWidth="1"/>
    <col min="3591" max="3591" width="17" style="1871" bestFit="1" customWidth="1"/>
    <col min="3592" max="3592" width="15.85546875" style="1871" customWidth="1"/>
    <col min="3593" max="3840" width="9.140625" style="1871"/>
    <col min="3841" max="3841" width="42.5703125" style="1871" customWidth="1"/>
    <col min="3842" max="3842" width="16.140625" style="1871" customWidth="1"/>
    <col min="3843" max="3844" width="15.85546875" style="1871" bestFit="1" customWidth="1"/>
    <col min="3845" max="3845" width="14.7109375" style="1871" bestFit="1" customWidth="1"/>
    <col min="3846" max="3846" width="16.28515625" style="1871" customWidth="1"/>
    <col min="3847" max="3847" width="17" style="1871" bestFit="1" customWidth="1"/>
    <col min="3848" max="3848" width="15.85546875" style="1871" customWidth="1"/>
    <col min="3849" max="4096" width="9.140625" style="1871"/>
    <col min="4097" max="4097" width="42.5703125" style="1871" customWidth="1"/>
    <col min="4098" max="4098" width="16.140625" style="1871" customWidth="1"/>
    <col min="4099" max="4100" width="15.85546875" style="1871" bestFit="1" customWidth="1"/>
    <col min="4101" max="4101" width="14.7109375" style="1871" bestFit="1" customWidth="1"/>
    <col min="4102" max="4102" width="16.28515625" style="1871" customWidth="1"/>
    <col min="4103" max="4103" width="17" style="1871" bestFit="1" customWidth="1"/>
    <col min="4104" max="4104" width="15.85546875" style="1871" customWidth="1"/>
    <col min="4105" max="4352" width="9.140625" style="1871"/>
    <col min="4353" max="4353" width="42.5703125" style="1871" customWidth="1"/>
    <col min="4354" max="4354" width="16.140625" style="1871" customWidth="1"/>
    <col min="4355" max="4356" width="15.85546875" style="1871" bestFit="1" customWidth="1"/>
    <col min="4357" max="4357" width="14.7109375" style="1871" bestFit="1" customWidth="1"/>
    <col min="4358" max="4358" width="16.28515625" style="1871" customWidth="1"/>
    <col min="4359" max="4359" width="17" style="1871" bestFit="1" customWidth="1"/>
    <col min="4360" max="4360" width="15.85546875" style="1871" customWidth="1"/>
    <col min="4361" max="4608" width="9.140625" style="1871"/>
    <col min="4609" max="4609" width="42.5703125" style="1871" customWidth="1"/>
    <col min="4610" max="4610" width="16.140625" style="1871" customWidth="1"/>
    <col min="4611" max="4612" width="15.85546875" style="1871" bestFit="1" customWidth="1"/>
    <col min="4613" max="4613" width="14.7109375" style="1871" bestFit="1" customWidth="1"/>
    <col min="4614" max="4614" width="16.28515625" style="1871" customWidth="1"/>
    <col min="4615" max="4615" width="17" style="1871" bestFit="1" customWidth="1"/>
    <col min="4616" max="4616" width="15.85546875" style="1871" customWidth="1"/>
    <col min="4617" max="4864" width="9.140625" style="1871"/>
    <col min="4865" max="4865" width="42.5703125" style="1871" customWidth="1"/>
    <col min="4866" max="4866" width="16.140625" style="1871" customWidth="1"/>
    <col min="4867" max="4868" width="15.85546875" style="1871" bestFit="1" customWidth="1"/>
    <col min="4869" max="4869" width="14.7109375" style="1871" bestFit="1" customWidth="1"/>
    <col min="4870" max="4870" width="16.28515625" style="1871" customWidth="1"/>
    <col min="4871" max="4871" width="17" style="1871" bestFit="1" customWidth="1"/>
    <col min="4872" max="4872" width="15.85546875" style="1871" customWidth="1"/>
    <col min="4873" max="5120" width="9.140625" style="1871"/>
    <col min="5121" max="5121" width="42.5703125" style="1871" customWidth="1"/>
    <col min="5122" max="5122" width="16.140625" style="1871" customWidth="1"/>
    <col min="5123" max="5124" width="15.85546875" style="1871" bestFit="1" customWidth="1"/>
    <col min="5125" max="5125" width="14.7109375" style="1871" bestFit="1" customWidth="1"/>
    <col min="5126" max="5126" width="16.28515625" style="1871" customWidth="1"/>
    <col min="5127" max="5127" width="17" style="1871" bestFit="1" customWidth="1"/>
    <col min="5128" max="5128" width="15.85546875" style="1871" customWidth="1"/>
    <col min="5129" max="5376" width="9.140625" style="1871"/>
    <col min="5377" max="5377" width="42.5703125" style="1871" customWidth="1"/>
    <col min="5378" max="5378" width="16.140625" style="1871" customWidth="1"/>
    <col min="5379" max="5380" width="15.85546875" style="1871" bestFit="1" customWidth="1"/>
    <col min="5381" max="5381" width="14.7109375" style="1871" bestFit="1" customWidth="1"/>
    <col min="5382" max="5382" width="16.28515625" style="1871" customWidth="1"/>
    <col min="5383" max="5383" width="17" style="1871" bestFit="1" customWidth="1"/>
    <col min="5384" max="5384" width="15.85546875" style="1871" customWidth="1"/>
    <col min="5385" max="5632" width="9.140625" style="1871"/>
    <col min="5633" max="5633" width="42.5703125" style="1871" customWidth="1"/>
    <col min="5634" max="5634" width="16.140625" style="1871" customWidth="1"/>
    <col min="5635" max="5636" width="15.85546875" style="1871" bestFit="1" customWidth="1"/>
    <col min="5637" max="5637" width="14.7109375" style="1871" bestFit="1" customWidth="1"/>
    <col min="5638" max="5638" width="16.28515625" style="1871" customWidth="1"/>
    <col min="5639" max="5639" width="17" style="1871" bestFit="1" customWidth="1"/>
    <col min="5640" max="5640" width="15.85546875" style="1871" customWidth="1"/>
    <col min="5641" max="5888" width="9.140625" style="1871"/>
    <col min="5889" max="5889" width="42.5703125" style="1871" customWidth="1"/>
    <col min="5890" max="5890" width="16.140625" style="1871" customWidth="1"/>
    <col min="5891" max="5892" width="15.85546875" style="1871" bestFit="1" customWidth="1"/>
    <col min="5893" max="5893" width="14.7109375" style="1871" bestFit="1" customWidth="1"/>
    <col min="5894" max="5894" width="16.28515625" style="1871" customWidth="1"/>
    <col min="5895" max="5895" width="17" style="1871" bestFit="1" customWidth="1"/>
    <col min="5896" max="5896" width="15.85546875" style="1871" customWidth="1"/>
    <col min="5897" max="6144" width="9.140625" style="1871"/>
    <col min="6145" max="6145" width="42.5703125" style="1871" customWidth="1"/>
    <col min="6146" max="6146" width="16.140625" style="1871" customWidth="1"/>
    <col min="6147" max="6148" width="15.85546875" style="1871" bestFit="1" customWidth="1"/>
    <col min="6149" max="6149" width="14.7109375" style="1871" bestFit="1" customWidth="1"/>
    <col min="6150" max="6150" width="16.28515625" style="1871" customWidth="1"/>
    <col min="6151" max="6151" width="17" style="1871" bestFit="1" customWidth="1"/>
    <col min="6152" max="6152" width="15.85546875" style="1871" customWidth="1"/>
    <col min="6153" max="6400" width="9.140625" style="1871"/>
    <col min="6401" max="6401" width="42.5703125" style="1871" customWidth="1"/>
    <col min="6402" max="6402" width="16.140625" style="1871" customWidth="1"/>
    <col min="6403" max="6404" width="15.85546875" style="1871" bestFit="1" customWidth="1"/>
    <col min="6405" max="6405" width="14.7109375" style="1871" bestFit="1" customWidth="1"/>
    <col min="6406" max="6406" width="16.28515625" style="1871" customWidth="1"/>
    <col min="6407" max="6407" width="17" style="1871" bestFit="1" customWidth="1"/>
    <col min="6408" max="6408" width="15.85546875" style="1871" customWidth="1"/>
    <col min="6409" max="6656" width="9.140625" style="1871"/>
    <col min="6657" max="6657" width="42.5703125" style="1871" customWidth="1"/>
    <col min="6658" max="6658" width="16.140625" style="1871" customWidth="1"/>
    <col min="6659" max="6660" width="15.85546875" style="1871" bestFit="1" customWidth="1"/>
    <col min="6661" max="6661" width="14.7109375" style="1871" bestFit="1" customWidth="1"/>
    <col min="6662" max="6662" width="16.28515625" style="1871" customWidth="1"/>
    <col min="6663" max="6663" width="17" style="1871" bestFit="1" customWidth="1"/>
    <col min="6664" max="6664" width="15.85546875" style="1871" customWidth="1"/>
    <col min="6665" max="6912" width="9.140625" style="1871"/>
    <col min="6913" max="6913" width="42.5703125" style="1871" customWidth="1"/>
    <col min="6914" max="6914" width="16.140625" style="1871" customWidth="1"/>
    <col min="6915" max="6916" width="15.85546875" style="1871" bestFit="1" customWidth="1"/>
    <col min="6917" max="6917" width="14.7109375" style="1871" bestFit="1" customWidth="1"/>
    <col min="6918" max="6918" width="16.28515625" style="1871" customWidth="1"/>
    <col min="6919" max="6919" width="17" style="1871" bestFit="1" customWidth="1"/>
    <col min="6920" max="6920" width="15.85546875" style="1871" customWidth="1"/>
    <col min="6921" max="7168" width="9.140625" style="1871"/>
    <col min="7169" max="7169" width="42.5703125" style="1871" customWidth="1"/>
    <col min="7170" max="7170" width="16.140625" style="1871" customWidth="1"/>
    <col min="7171" max="7172" width="15.85546875" style="1871" bestFit="1" customWidth="1"/>
    <col min="7173" max="7173" width="14.7109375" style="1871" bestFit="1" customWidth="1"/>
    <col min="7174" max="7174" width="16.28515625" style="1871" customWidth="1"/>
    <col min="7175" max="7175" width="17" style="1871" bestFit="1" customWidth="1"/>
    <col min="7176" max="7176" width="15.85546875" style="1871" customWidth="1"/>
    <col min="7177" max="7424" width="9.140625" style="1871"/>
    <col min="7425" max="7425" width="42.5703125" style="1871" customWidth="1"/>
    <col min="7426" max="7426" width="16.140625" style="1871" customWidth="1"/>
    <col min="7427" max="7428" width="15.85546875" style="1871" bestFit="1" customWidth="1"/>
    <col min="7429" max="7429" width="14.7109375" style="1871" bestFit="1" customWidth="1"/>
    <col min="7430" max="7430" width="16.28515625" style="1871" customWidth="1"/>
    <col min="7431" max="7431" width="17" style="1871" bestFit="1" customWidth="1"/>
    <col min="7432" max="7432" width="15.85546875" style="1871" customWidth="1"/>
    <col min="7433" max="7680" width="9.140625" style="1871"/>
    <col min="7681" max="7681" width="42.5703125" style="1871" customWidth="1"/>
    <col min="7682" max="7682" width="16.140625" style="1871" customWidth="1"/>
    <col min="7683" max="7684" width="15.85546875" style="1871" bestFit="1" customWidth="1"/>
    <col min="7685" max="7685" width="14.7109375" style="1871" bestFit="1" customWidth="1"/>
    <col min="7686" max="7686" width="16.28515625" style="1871" customWidth="1"/>
    <col min="7687" max="7687" width="17" style="1871" bestFit="1" customWidth="1"/>
    <col min="7688" max="7688" width="15.85546875" style="1871" customWidth="1"/>
    <col min="7689" max="7936" width="9.140625" style="1871"/>
    <col min="7937" max="7937" width="42.5703125" style="1871" customWidth="1"/>
    <col min="7938" max="7938" width="16.140625" style="1871" customWidth="1"/>
    <col min="7939" max="7940" width="15.85546875" style="1871" bestFit="1" customWidth="1"/>
    <col min="7941" max="7941" width="14.7109375" style="1871" bestFit="1" customWidth="1"/>
    <col min="7942" max="7942" width="16.28515625" style="1871" customWidth="1"/>
    <col min="7943" max="7943" width="17" style="1871" bestFit="1" customWidth="1"/>
    <col min="7944" max="7944" width="15.85546875" style="1871" customWidth="1"/>
    <col min="7945" max="8192" width="9.140625" style="1871"/>
    <col min="8193" max="8193" width="42.5703125" style="1871" customWidth="1"/>
    <col min="8194" max="8194" width="16.140625" style="1871" customWidth="1"/>
    <col min="8195" max="8196" width="15.85546875" style="1871" bestFit="1" customWidth="1"/>
    <col min="8197" max="8197" width="14.7109375" style="1871" bestFit="1" customWidth="1"/>
    <col min="8198" max="8198" width="16.28515625" style="1871" customWidth="1"/>
    <col min="8199" max="8199" width="17" style="1871" bestFit="1" customWidth="1"/>
    <col min="8200" max="8200" width="15.85546875" style="1871" customWidth="1"/>
    <col min="8201" max="8448" width="9.140625" style="1871"/>
    <col min="8449" max="8449" width="42.5703125" style="1871" customWidth="1"/>
    <col min="8450" max="8450" width="16.140625" style="1871" customWidth="1"/>
    <col min="8451" max="8452" width="15.85546875" style="1871" bestFit="1" customWidth="1"/>
    <col min="8453" max="8453" width="14.7109375" style="1871" bestFit="1" customWidth="1"/>
    <col min="8454" max="8454" width="16.28515625" style="1871" customWidth="1"/>
    <col min="8455" max="8455" width="17" style="1871" bestFit="1" customWidth="1"/>
    <col min="8456" max="8456" width="15.85546875" style="1871" customWidth="1"/>
    <col min="8457" max="8704" width="9.140625" style="1871"/>
    <col min="8705" max="8705" width="42.5703125" style="1871" customWidth="1"/>
    <col min="8706" max="8706" width="16.140625" style="1871" customWidth="1"/>
    <col min="8707" max="8708" width="15.85546875" style="1871" bestFit="1" customWidth="1"/>
    <col min="8709" max="8709" width="14.7109375" style="1871" bestFit="1" customWidth="1"/>
    <col min="8710" max="8710" width="16.28515625" style="1871" customWidth="1"/>
    <col min="8711" max="8711" width="17" style="1871" bestFit="1" customWidth="1"/>
    <col min="8712" max="8712" width="15.85546875" style="1871" customWidth="1"/>
    <col min="8713" max="8960" width="9.140625" style="1871"/>
    <col min="8961" max="8961" width="42.5703125" style="1871" customWidth="1"/>
    <col min="8962" max="8962" width="16.140625" style="1871" customWidth="1"/>
    <col min="8963" max="8964" width="15.85546875" style="1871" bestFit="1" customWidth="1"/>
    <col min="8965" max="8965" width="14.7109375" style="1871" bestFit="1" customWidth="1"/>
    <col min="8966" max="8966" width="16.28515625" style="1871" customWidth="1"/>
    <col min="8967" max="8967" width="17" style="1871" bestFit="1" customWidth="1"/>
    <col min="8968" max="8968" width="15.85546875" style="1871" customWidth="1"/>
    <col min="8969" max="9216" width="9.140625" style="1871"/>
    <col min="9217" max="9217" width="42.5703125" style="1871" customWidth="1"/>
    <col min="9218" max="9218" width="16.140625" style="1871" customWidth="1"/>
    <col min="9219" max="9220" width="15.85546875" style="1871" bestFit="1" customWidth="1"/>
    <col min="9221" max="9221" width="14.7109375" style="1871" bestFit="1" customWidth="1"/>
    <col min="9222" max="9222" width="16.28515625" style="1871" customWidth="1"/>
    <col min="9223" max="9223" width="17" style="1871" bestFit="1" customWidth="1"/>
    <col min="9224" max="9224" width="15.85546875" style="1871" customWidth="1"/>
    <col min="9225" max="9472" width="9.140625" style="1871"/>
    <col min="9473" max="9473" width="42.5703125" style="1871" customWidth="1"/>
    <col min="9474" max="9474" width="16.140625" style="1871" customWidth="1"/>
    <col min="9475" max="9476" width="15.85546875" style="1871" bestFit="1" customWidth="1"/>
    <col min="9477" max="9477" width="14.7109375" style="1871" bestFit="1" customWidth="1"/>
    <col min="9478" max="9478" width="16.28515625" style="1871" customWidth="1"/>
    <col min="9479" max="9479" width="17" style="1871" bestFit="1" customWidth="1"/>
    <col min="9480" max="9480" width="15.85546875" style="1871" customWidth="1"/>
    <col min="9481" max="9728" width="9.140625" style="1871"/>
    <col min="9729" max="9729" width="42.5703125" style="1871" customWidth="1"/>
    <col min="9730" max="9730" width="16.140625" style="1871" customWidth="1"/>
    <col min="9731" max="9732" width="15.85546875" style="1871" bestFit="1" customWidth="1"/>
    <col min="9733" max="9733" width="14.7109375" style="1871" bestFit="1" customWidth="1"/>
    <col min="9734" max="9734" width="16.28515625" style="1871" customWidth="1"/>
    <col min="9735" max="9735" width="17" style="1871" bestFit="1" customWidth="1"/>
    <col min="9736" max="9736" width="15.85546875" style="1871" customWidth="1"/>
    <col min="9737" max="9984" width="9.140625" style="1871"/>
    <col min="9985" max="9985" width="42.5703125" style="1871" customWidth="1"/>
    <col min="9986" max="9986" width="16.140625" style="1871" customWidth="1"/>
    <col min="9987" max="9988" width="15.85546875" style="1871" bestFit="1" customWidth="1"/>
    <col min="9989" max="9989" width="14.7109375" style="1871" bestFit="1" customWidth="1"/>
    <col min="9990" max="9990" width="16.28515625" style="1871" customWidth="1"/>
    <col min="9991" max="9991" width="17" style="1871" bestFit="1" customWidth="1"/>
    <col min="9992" max="9992" width="15.85546875" style="1871" customWidth="1"/>
    <col min="9993" max="10240" width="9.140625" style="1871"/>
    <col min="10241" max="10241" width="42.5703125" style="1871" customWidth="1"/>
    <col min="10242" max="10242" width="16.140625" style="1871" customWidth="1"/>
    <col min="10243" max="10244" width="15.85546875" style="1871" bestFit="1" customWidth="1"/>
    <col min="10245" max="10245" width="14.7109375" style="1871" bestFit="1" customWidth="1"/>
    <col min="10246" max="10246" width="16.28515625" style="1871" customWidth="1"/>
    <col min="10247" max="10247" width="17" style="1871" bestFit="1" customWidth="1"/>
    <col min="10248" max="10248" width="15.85546875" style="1871" customWidth="1"/>
    <col min="10249" max="10496" width="9.140625" style="1871"/>
    <col min="10497" max="10497" width="42.5703125" style="1871" customWidth="1"/>
    <col min="10498" max="10498" width="16.140625" style="1871" customWidth="1"/>
    <col min="10499" max="10500" width="15.85546875" style="1871" bestFit="1" customWidth="1"/>
    <col min="10501" max="10501" width="14.7109375" style="1871" bestFit="1" customWidth="1"/>
    <col min="10502" max="10502" width="16.28515625" style="1871" customWidth="1"/>
    <col min="10503" max="10503" width="17" style="1871" bestFit="1" customWidth="1"/>
    <col min="10504" max="10504" width="15.85546875" style="1871" customWidth="1"/>
    <col min="10505" max="10752" width="9.140625" style="1871"/>
    <col min="10753" max="10753" width="42.5703125" style="1871" customWidth="1"/>
    <col min="10754" max="10754" width="16.140625" style="1871" customWidth="1"/>
    <col min="10755" max="10756" width="15.85546875" style="1871" bestFit="1" customWidth="1"/>
    <col min="10757" max="10757" width="14.7109375" style="1871" bestFit="1" customWidth="1"/>
    <col min="10758" max="10758" width="16.28515625" style="1871" customWidth="1"/>
    <col min="10759" max="10759" width="17" style="1871" bestFit="1" customWidth="1"/>
    <col min="10760" max="10760" width="15.85546875" style="1871" customWidth="1"/>
    <col min="10761" max="11008" width="9.140625" style="1871"/>
    <col min="11009" max="11009" width="42.5703125" style="1871" customWidth="1"/>
    <col min="11010" max="11010" width="16.140625" style="1871" customWidth="1"/>
    <col min="11011" max="11012" width="15.85546875" style="1871" bestFit="1" customWidth="1"/>
    <col min="11013" max="11013" width="14.7109375" style="1871" bestFit="1" customWidth="1"/>
    <col min="11014" max="11014" width="16.28515625" style="1871" customWidth="1"/>
    <col min="11015" max="11015" width="17" style="1871" bestFit="1" customWidth="1"/>
    <col min="11016" max="11016" width="15.85546875" style="1871" customWidth="1"/>
    <col min="11017" max="11264" width="9.140625" style="1871"/>
    <col min="11265" max="11265" width="42.5703125" style="1871" customWidth="1"/>
    <col min="11266" max="11266" width="16.140625" style="1871" customWidth="1"/>
    <col min="11267" max="11268" width="15.85546875" style="1871" bestFit="1" customWidth="1"/>
    <col min="11269" max="11269" width="14.7109375" style="1871" bestFit="1" customWidth="1"/>
    <col min="11270" max="11270" width="16.28515625" style="1871" customWidth="1"/>
    <col min="11271" max="11271" width="17" style="1871" bestFit="1" customWidth="1"/>
    <col min="11272" max="11272" width="15.85546875" style="1871" customWidth="1"/>
    <col min="11273" max="11520" width="9.140625" style="1871"/>
    <col min="11521" max="11521" width="42.5703125" style="1871" customWidth="1"/>
    <col min="11522" max="11522" width="16.140625" style="1871" customWidth="1"/>
    <col min="11523" max="11524" width="15.85546875" style="1871" bestFit="1" customWidth="1"/>
    <col min="11525" max="11525" width="14.7109375" style="1871" bestFit="1" customWidth="1"/>
    <col min="11526" max="11526" width="16.28515625" style="1871" customWidth="1"/>
    <col min="11527" max="11527" width="17" style="1871" bestFit="1" customWidth="1"/>
    <col min="11528" max="11528" width="15.85546875" style="1871" customWidth="1"/>
    <col min="11529" max="11776" width="9.140625" style="1871"/>
    <col min="11777" max="11777" width="42.5703125" style="1871" customWidth="1"/>
    <col min="11778" max="11778" width="16.140625" style="1871" customWidth="1"/>
    <col min="11779" max="11780" width="15.85546875" style="1871" bestFit="1" customWidth="1"/>
    <col min="11781" max="11781" width="14.7109375" style="1871" bestFit="1" customWidth="1"/>
    <col min="11782" max="11782" width="16.28515625" style="1871" customWidth="1"/>
    <col min="11783" max="11783" width="17" style="1871" bestFit="1" customWidth="1"/>
    <col min="11784" max="11784" width="15.85546875" style="1871" customWidth="1"/>
    <col min="11785" max="12032" width="9.140625" style="1871"/>
    <col min="12033" max="12033" width="42.5703125" style="1871" customWidth="1"/>
    <col min="12034" max="12034" width="16.140625" style="1871" customWidth="1"/>
    <col min="12035" max="12036" width="15.85546875" style="1871" bestFit="1" customWidth="1"/>
    <col min="12037" max="12037" width="14.7109375" style="1871" bestFit="1" customWidth="1"/>
    <col min="12038" max="12038" width="16.28515625" style="1871" customWidth="1"/>
    <col min="12039" max="12039" width="17" style="1871" bestFit="1" customWidth="1"/>
    <col min="12040" max="12040" width="15.85546875" style="1871" customWidth="1"/>
    <col min="12041" max="12288" width="9.140625" style="1871"/>
    <col min="12289" max="12289" width="42.5703125" style="1871" customWidth="1"/>
    <col min="12290" max="12290" width="16.140625" style="1871" customWidth="1"/>
    <col min="12291" max="12292" width="15.85546875" style="1871" bestFit="1" customWidth="1"/>
    <col min="12293" max="12293" width="14.7109375" style="1871" bestFit="1" customWidth="1"/>
    <col min="12294" max="12294" width="16.28515625" style="1871" customWidth="1"/>
    <col min="12295" max="12295" width="17" style="1871" bestFit="1" customWidth="1"/>
    <col min="12296" max="12296" width="15.85546875" style="1871" customWidth="1"/>
    <col min="12297" max="12544" width="9.140625" style="1871"/>
    <col min="12545" max="12545" width="42.5703125" style="1871" customWidth="1"/>
    <col min="12546" max="12546" width="16.140625" style="1871" customWidth="1"/>
    <col min="12547" max="12548" width="15.85546875" style="1871" bestFit="1" customWidth="1"/>
    <col min="12549" max="12549" width="14.7109375" style="1871" bestFit="1" customWidth="1"/>
    <col min="12550" max="12550" width="16.28515625" style="1871" customWidth="1"/>
    <col min="12551" max="12551" width="17" style="1871" bestFit="1" customWidth="1"/>
    <col min="12552" max="12552" width="15.85546875" style="1871" customWidth="1"/>
    <col min="12553" max="12800" width="9.140625" style="1871"/>
    <col min="12801" max="12801" width="42.5703125" style="1871" customWidth="1"/>
    <col min="12802" max="12802" width="16.140625" style="1871" customWidth="1"/>
    <col min="12803" max="12804" width="15.85546875" style="1871" bestFit="1" customWidth="1"/>
    <col min="12805" max="12805" width="14.7109375" style="1871" bestFit="1" customWidth="1"/>
    <col min="12806" max="12806" width="16.28515625" style="1871" customWidth="1"/>
    <col min="12807" max="12807" width="17" style="1871" bestFit="1" customWidth="1"/>
    <col min="12808" max="12808" width="15.85546875" style="1871" customWidth="1"/>
    <col min="12809" max="13056" width="9.140625" style="1871"/>
    <col min="13057" max="13057" width="42.5703125" style="1871" customWidth="1"/>
    <col min="13058" max="13058" width="16.140625" style="1871" customWidth="1"/>
    <col min="13059" max="13060" width="15.85546875" style="1871" bestFit="1" customWidth="1"/>
    <col min="13061" max="13061" width="14.7109375" style="1871" bestFit="1" customWidth="1"/>
    <col min="13062" max="13062" width="16.28515625" style="1871" customWidth="1"/>
    <col min="13063" max="13063" width="17" style="1871" bestFit="1" customWidth="1"/>
    <col min="13064" max="13064" width="15.85546875" style="1871" customWidth="1"/>
    <col min="13065" max="13312" width="9.140625" style="1871"/>
    <col min="13313" max="13313" width="42.5703125" style="1871" customWidth="1"/>
    <col min="13314" max="13314" width="16.140625" style="1871" customWidth="1"/>
    <col min="13315" max="13316" width="15.85546875" style="1871" bestFit="1" customWidth="1"/>
    <col min="13317" max="13317" width="14.7109375" style="1871" bestFit="1" customWidth="1"/>
    <col min="13318" max="13318" width="16.28515625" style="1871" customWidth="1"/>
    <col min="13319" max="13319" width="17" style="1871" bestFit="1" customWidth="1"/>
    <col min="13320" max="13320" width="15.85546875" style="1871" customWidth="1"/>
    <col min="13321" max="13568" width="9.140625" style="1871"/>
    <col min="13569" max="13569" width="42.5703125" style="1871" customWidth="1"/>
    <col min="13570" max="13570" width="16.140625" style="1871" customWidth="1"/>
    <col min="13571" max="13572" width="15.85546875" style="1871" bestFit="1" customWidth="1"/>
    <col min="13573" max="13573" width="14.7109375" style="1871" bestFit="1" customWidth="1"/>
    <col min="13574" max="13574" width="16.28515625" style="1871" customWidth="1"/>
    <col min="13575" max="13575" width="17" style="1871" bestFit="1" customWidth="1"/>
    <col min="13576" max="13576" width="15.85546875" style="1871" customWidth="1"/>
    <col min="13577" max="13824" width="9.140625" style="1871"/>
    <col min="13825" max="13825" width="42.5703125" style="1871" customWidth="1"/>
    <col min="13826" max="13826" width="16.140625" style="1871" customWidth="1"/>
    <col min="13827" max="13828" width="15.85546875" style="1871" bestFit="1" customWidth="1"/>
    <col min="13829" max="13829" width="14.7109375" style="1871" bestFit="1" customWidth="1"/>
    <col min="13830" max="13830" width="16.28515625" style="1871" customWidth="1"/>
    <col min="13831" max="13831" width="17" style="1871" bestFit="1" customWidth="1"/>
    <col min="13832" max="13832" width="15.85546875" style="1871" customWidth="1"/>
    <col min="13833" max="14080" width="9.140625" style="1871"/>
    <col min="14081" max="14081" width="42.5703125" style="1871" customWidth="1"/>
    <col min="14082" max="14082" width="16.140625" style="1871" customWidth="1"/>
    <col min="14083" max="14084" width="15.85546875" style="1871" bestFit="1" customWidth="1"/>
    <col min="14085" max="14085" width="14.7109375" style="1871" bestFit="1" customWidth="1"/>
    <col min="14086" max="14086" width="16.28515625" style="1871" customWidth="1"/>
    <col min="14087" max="14087" width="17" style="1871" bestFit="1" customWidth="1"/>
    <col min="14088" max="14088" width="15.85546875" style="1871" customWidth="1"/>
    <col min="14089" max="14336" width="9.140625" style="1871"/>
    <col min="14337" max="14337" width="42.5703125" style="1871" customWidth="1"/>
    <col min="14338" max="14338" width="16.140625" style="1871" customWidth="1"/>
    <col min="14339" max="14340" width="15.85546875" style="1871" bestFit="1" customWidth="1"/>
    <col min="14341" max="14341" width="14.7109375" style="1871" bestFit="1" customWidth="1"/>
    <col min="14342" max="14342" width="16.28515625" style="1871" customWidth="1"/>
    <col min="14343" max="14343" width="17" style="1871" bestFit="1" customWidth="1"/>
    <col min="14344" max="14344" width="15.85546875" style="1871" customWidth="1"/>
    <col min="14345" max="14592" width="9.140625" style="1871"/>
    <col min="14593" max="14593" width="42.5703125" style="1871" customWidth="1"/>
    <col min="14594" max="14594" width="16.140625" style="1871" customWidth="1"/>
    <col min="14595" max="14596" width="15.85546875" style="1871" bestFit="1" customWidth="1"/>
    <col min="14597" max="14597" width="14.7109375" style="1871" bestFit="1" customWidth="1"/>
    <col min="14598" max="14598" width="16.28515625" style="1871" customWidth="1"/>
    <col min="14599" max="14599" width="17" style="1871" bestFit="1" customWidth="1"/>
    <col min="14600" max="14600" width="15.85546875" style="1871" customWidth="1"/>
    <col min="14601" max="14848" width="9.140625" style="1871"/>
    <col min="14849" max="14849" width="42.5703125" style="1871" customWidth="1"/>
    <col min="14850" max="14850" width="16.140625" style="1871" customWidth="1"/>
    <col min="14851" max="14852" width="15.85546875" style="1871" bestFit="1" customWidth="1"/>
    <col min="14853" max="14853" width="14.7109375" style="1871" bestFit="1" customWidth="1"/>
    <col min="14854" max="14854" width="16.28515625" style="1871" customWidth="1"/>
    <col min="14855" max="14855" width="17" style="1871" bestFit="1" customWidth="1"/>
    <col min="14856" max="14856" width="15.85546875" style="1871" customWidth="1"/>
    <col min="14857" max="15104" width="9.140625" style="1871"/>
    <col min="15105" max="15105" width="42.5703125" style="1871" customWidth="1"/>
    <col min="15106" max="15106" width="16.140625" style="1871" customWidth="1"/>
    <col min="15107" max="15108" width="15.85546875" style="1871" bestFit="1" customWidth="1"/>
    <col min="15109" max="15109" width="14.7109375" style="1871" bestFit="1" customWidth="1"/>
    <col min="15110" max="15110" width="16.28515625" style="1871" customWidth="1"/>
    <col min="15111" max="15111" width="17" style="1871" bestFit="1" customWidth="1"/>
    <col min="15112" max="15112" width="15.85546875" style="1871" customWidth="1"/>
    <col min="15113" max="15360" width="9.140625" style="1871"/>
    <col min="15361" max="15361" width="42.5703125" style="1871" customWidth="1"/>
    <col min="15362" max="15362" width="16.140625" style="1871" customWidth="1"/>
    <col min="15363" max="15364" width="15.85546875" style="1871" bestFit="1" customWidth="1"/>
    <col min="15365" max="15365" width="14.7109375" style="1871" bestFit="1" customWidth="1"/>
    <col min="15366" max="15366" width="16.28515625" style="1871" customWidth="1"/>
    <col min="15367" max="15367" width="17" style="1871" bestFit="1" customWidth="1"/>
    <col min="15368" max="15368" width="15.85546875" style="1871" customWidth="1"/>
    <col min="15369" max="15616" width="9.140625" style="1871"/>
    <col min="15617" max="15617" width="42.5703125" style="1871" customWidth="1"/>
    <col min="15618" max="15618" width="16.140625" style="1871" customWidth="1"/>
    <col min="15619" max="15620" width="15.85546875" style="1871" bestFit="1" customWidth="1"/>
    <col min="15621" max="15621" width="14.7109375" style="1871" bestFit="1" customWidth="1"/>
    <col min="15622" max="15622" width="16.28515625" style="1871" customWidth="1"/>
    <col min="15623" max="15623" width="17" style="1871" bestFit="1" customWidth="1"/>
    <col min="15624" max="15624" width="15.85546875" style="1871" customWidth="1"/>
    <col min="15625" max="15872" width="9.140625" style="1871"/>
    <col min="15873" max="15873" width="42.5703125" style="1871" customWidth="1"/>
    <col min="15874" max="15874" width="16.140625" style="1871" customWidth="1"/>
    <col min="15875" max="15876" width="15.85546875" style="1871" bestFit="1" customWidth="1"/>
    <col min="15877" max="15877" width="14.7109375" style="1871" bestFit="1" customWidth="1"/>
    <col min="15878" max="15878" width="16.28515625" style="1871" customWidth="1"/>
    <col min="15879" max="15879" width="17" style="1871" bestFit="1" customWidth="1"/>
    <col min="15880" max="15880" width="15.85546875" style="1871" customWidth="1"/>
    <col min="15881" max="16128" width="9.140625" style="1871"/>
    <col min="16129" max="16129" width="42.5703125" style="1871" customWidth="1"/>
    <col min="16130" max="16130" width="16.140625" style="1871" customWidth="1"/>
    <col min="16131" max="16132" width="15.85546875" style="1871" bestFit="1" customWidth="1"/>
    <col min="16133" max="16133" width="14.7109375" style="1871" bestFit="1" customWidth="1"/>
    <col min="16134" max="16134" width="16.28515625" style="1871" customWidth="1"/>
    <col min="16135" max="16135" width="17" style="1871" bestFit="1" customWidth="1"/>
    <col min="16136" max="16136" width="15.85546875" style="1871" customWidth="1"/>
    <col min="16137" max="16384" width="9.140625" style="1871"/>
  </cols>
  <sheetData>
    <row r="1" spans="1:8" ht="18.75" x14ac:dyDescent="0.2">
      <c r="A1" s="1869" t="s">
        <v>3553</v>
      </c>
      <c r="B1" s="1870"/>
      <c r="C1" s="1870"/>
      <c r="D1" s="1870"/>
      <c r="E1" s="1870"/>
      <c r="F1" s="1870"/>
      <c r="G1" s="1870"/>
    </row>
    <row r="2" spans="1:8" ht="13.5" thickBot="1" x14ac:dyDescent="0.25">
      <c r="A2" s="1870"/>
      <c r="B2" s="1870"/>
      <c r="C2" s="1870"/>
      <c r="D2" s="1870"/>
      <c r="E2" s="1870"/>
      <c r="F2" s="1870"/>
      <c r="G2" s="1872" t="s">
        <v>3554</v>
      </c>
    </row>
    <row r="3" spans="1:8" ht="14.25" thickTop="1" thickBot="1" x14ac:dyDescent="0.25">
      <c r="A3" s="1873" t="s">
        <v>855</v>
      </c>
      <c r="B3" s="1874" t="s">
        <v>3555</v>
      </c>
      <c r="C3" s="1875"/>
      <c r="D3" s="1875"/>
      <c r="E3" s="1875"/>
      <c r="F3" s="1875"/>
      <c r="G3" s="1876"/>
    </row>
    <row r="4" spans="1:8" x14ac:dyDescent="0.2">
      <c r="A4" s="1877"/>
      <c r="B4" s="1878" t="s">
        <v>3556</v>
      </c>
      <c r="C4" s="1879" t="s">
        <v>3557</v>
      </c>
      <c r="D4" s="1879" t="s">
        <v>3558</v>
      </c>
      <c r="E4" s="1879" t="s">
        <v>3559</v>
      </c>
      <c r="F4" s="1879" t="s">
        <v>245</v>
      </c>
      <c r="G4" s="1880" t="s">
        <v>197</v>
      </c>
    </row>
    <row r="5" spans="1:8" ht="13.5" thickBot="1" x14ac:dyDescent="0.25">
      <c r="A5" s="1881"/>
      <c r="B5" s="1882" t="s">
        <v>3560</v>
      </c>
      <c r="C5" s="1883" t="s">
        <v>3561</v>
      </c>
      <c r="D5" s="1883"/>
      <c r="E5" s="1883" t="s">
        <v>3562</v>
      </c>
      <c r="F5" s="1883"/>
      <c r="G5" s="1884"/>
    </row>
    <row r="6" spans="1:8" ht="13.5" thickTop="1" x14ac:dyDescent="0.2">
      <c r="A6" s="1885"/>
      <c r="B6" s="1886"/>
      <c r="C6" s="1887"/>
      <c r="D6" s="1887"/>
      <c r="E6" s="1887"/>
      <c r="F6" s="1887"/>
      <c r="G6" s="1888"/>
    </row>
    <row r="7" spans="1:8" x14ac:dyDescent="0.2">
      <c r="A7" s="1885"/>
      <c r="B7" s="1886"/>
      <c r="C7" s="1887"/>
      <c r="D7" s="1887"/>
      <c r="E7" s="1887"/>
      <c r="F7" s="1887"/>
      <c r="G7" s="1888"/>
    </row>
    <row r="8" spans="1:8" ht="15" customHeight="1" x14ac:dyDescent="0.2">
      <c r="A8" s="1889" t="s">
        <v>3563</v>
      </c>
      <c r="B8" s="1890">
        <v>249941174969.56723</v>
      </c>
      <c r="C8" s="1891">
        <v>16091438933.945745</v>
      </c>
      <c r="D8" s="1891">
        <v>56590308941.541199</v>
      </c>
      <c r="E8" s="1891">
        <v>1732457578.4057136</v>
      </c>
      <c r="F8" s="1891">
        <v>14423822436.356911</v>
      </c>
      <c r="G8" s="1892">
        <v>338779202859.81683</v>
      </c>
      <c r="H8" s="1893"/>
    </row>
    <row r="9" spans="1:8" x14ac:dyDescent="0.2">
      <c r="A9" s="1889"/>
      <c r="B9" s="1894"/>
      <c r="C9" s="1895"/>
      <c r="D9" s="1895"/>
      <c r="E9" s="1895"/>
      <c r="F9" s="1895"/>
      <c r="G9" s="1892"/>
      <c r="H9" s="1893"/>
    </row>
    <row r="10" spans="1:8" x14ac:dyDescent="0.2">
      <c r="A10" s="1885"/>
      <c r="B10" s="1896"/>
      <c r="C10" s="1897"/>
      <c r="D10" s="1897"/>
      <c r="E10" s="1897"/>
      <c r="F10" s="1897"/>
      <c r="G10" s="1898"/>
      <c r="H10" s="1893"/>
    </row>
    <row r="11" spans="1:8" ht="15" customHeight="1" x14ac:dyDescent="0.2">
      <c r="A11" s="1889" t="s">
        <v>3564</v>
      </c>
      <c r="B11" s="1890">
        <v>4195330927.7114201</v>
      </c>
      <c r="C11" s="1891">
        <v>815379022.03640616</v>
      </c>
      <c r="D11" s="1891">
        <v>1500034827.7065787</v>
      </c>
      <c r="E11" s="1891">
        <v>52621048.174106538</v>
      </c>
      <c r="F11" s="1891">
        <v>345729736.68473864</v>
      </c>
      <c r="G11" s="1892">
        <v>6909095562.3132496</v>
      </c>
      <c r="H11" s="1893"/>
    </row>
    <row r="12" spans="1:8" x14ac:dyDescent="0.2">
      <c r="A12" s="1889"/>
      <c r="B12" s="1894"/>
      <c r="C12" s="1895"/>
      <c r="D12" s="1895"/>
      <c r="E12" s="1895"/>
      <c r="F12" s="1895"/>
      <c r="G12" s="1892"/>
      <c r="H12" s="1893"/>
    </row>
    <row r="13" spans="1:8" x14ac:dyDescent="0.2">
      <c r="A13" s="1885"/>
      <c r="B13" s="1896"/>
      <c r="C13" s="1897"/>
      <c r="D13" s="1897"/>
      <c r="E13" s="1897"/>
      <c r="F13" s="1897"/>
      <c r="G13" s="1898"/>
      <c r="H13" s="1893"/>
    </row>
    <row r="14" spans="1:8" ht="15" customHeight="1" x14ac:dyDescent="0.2">
      <c r="A14" s="1889" t="s">
        <v>3565</v>
      </c>
      <c r="B14" s="1890">
        <v>137281236350.84273</v>
      </c>
      <c r="C14" s="1891">
        <v>17444457854.428867</v>
      </c>
      <c r="D14" s="1891">
        <v>18031234094.486042</v>
      </c>
      <c r="E14" s="1891">
        <v>1677995693.6242061</v>
      </c>
      <c r="F14" s="1891">
        <v>4388078872.2210941</v>
      </c>
      <c r="G14" s="1892">
        <v>178823002865.60291</v>
      </c>
      <c r="H14" s="1893"/>
    </row>
    <row r="15" spans="1:8" x14ac:dyDescent="0.2">
      <c r="A15" s="1889"/>
      <c r="B15" s="1894"/>
      <c r="C15" s="1895"/>
      <c r="D15" s="1895"/>
      <c r="E15" s="1895"/>
      <c r="F15" s="1895"/>
      <c r="G15" s="1892"/>
      <c r="H15" s="1893"/>
    </row>
    <row r="16" spans="1:8" x14ac:dyDescent="0.2">
      <c r="A16" s="1885"/>
      <c r="B16" s="1896"/>
      <c r="C16" s="1897"/>
      <c r="D16" s="1897"/>
      <c r="E16" s="1897"/>
      <c r="F16" s="1897"/>
      <c r="G16" s="1898"/>
      <c r="H16" s="1893"/>
    </row>
    <row r="17" spans="1:8" ht="15" customHeight="1" x14ac:dyDescent="0.2">
      <c r="A17" s="1889" t="s">
        <v>3566</v>
      </c>
      <c r="B17" s="1896">
        <v>56983893150.735725</v>
      </c>
      <c r="C17" s="1897">
        <v>2187380256.1665525</v>
      </c>
      <c r="D17" s="1897">
        <v>8523783246.4878721</v>
      </c>
      <c r="E17" s="1897">
        <v>708221510.8194654</v>
      </c>
      <c r="F17" s="1897">
        <v>655950736.30816185</v>
      </c>
      <c r="G17" s="1892">
        <v>69059228900.517776</v>
      </c>
      <c r="H17" s="1893"/>
    </row>
    <row r="18" spans="1:8" ht="15" customHeight="1" x14ac:dyDescent="0.2">
      <c r="A18" s="1889" t="s">
        <v>3567</v>
      </c>
      <c r="B18" s="1896">
        <v>7687959675.4405642</v>
      </c>
      <c r="C18" s="1897">
        <v>9188818084.7539024</v>
      </c>
      <c r="D18" s="1897">
        <v>143595044.46213508</v>
      </c>
      <c r="E18" s="1897">
        <v>349376313.4091363</v>
      </c>
      <c r="F18" s="1897">
        <v>124304958.066127</v>
      </c>
      <c r="G18" s="1892">
        <v>17494054076.131866</v>
      </c>
      <c r="H18" s="1893"/>
    </row>
    <row r="19" spans="1:8" ht="15" customHeight="1" x14ac:dyDescent="0.2">
      <c r="A19" s="1889" t="s">
        <v>3568</v>
      </c>
      <c r="B19" s="1896">
        <v>23045748798.842144</v>
      </c>
      <c r="C19" s="1897">
        <v>2557042722.5480738</v>
      </c>
      <c r="D19" s="1897">
        <v>209639401.1408163</v>
      </c>
      <c r="E19" s="1897">
        <v>90297431.663860872</v>
      </c>
      <c r="F19" s="1897">
        <v>1415518075.6189659</v>
      </c>
      <c r="G19" s="1892">
        <v>27318246429.813858</v>
      </c>
      <c r="H19" s="1893"/>
    </row>
    <row r="20" spans="1:8" ht="15" customHeight="1" x14ac:dyDescent="0.2">
      <c r="A20" s="1889" t="s">
        <v>3569</v>
      </c>
      <c r="B20" s="1896">
        <v>16346998350.002268</v>
      </c>
      <c r="C20" s="1897">
        <v>734278131.68929732</v>
      </c>
      <c r="D20" s="1897">
        <v>661842772.42751896</v>
      </c>
      <c r="E20" s="1897">
        <v>162918206.32910469</v>
      </c>
      <c r="F20" s="1897">
        <v>259179610.31726786</v>
      </c>
      <c r="G20" s="1892">
        <v>18165217070.765457</v>
      </c>
      <c r="H20" s="1893"/>
    </row>
    <row r="21" spans="1:8" ht="15" customHeight="1" x14ac:dyDescent="0.2">
      <c r="A21" s="1889" t="s">
        <v>3570</v>
      </c>
      <c r="B21" s="1896">
        <v>26706630878.861092</v>
      </c>
      <c r="C21" s="1897">
        <v>1254292805.5326123</v>
      </c>
      <c r="D21" s="1897">
        <v>2116233454.084029</v>
      </c>
      <c r="E21" s="1897">
        <v>219302214.304409</v>
      </c>
      <c r="F21" s="1897">
        <v>1769421078.9244084</v>
      </c>
      <c r="G21" s="1892">
        <v>32065880431.706551</v>
      </c>
      <c r="H21" s="1893"/>
    </row>
    <row r="22" spans="1:8" ht="15" customHeight="1" x14ac:dyDescent="0.2">
      <c r="A22" s="1889" t="s">
        <v>3571</v>
      </c>
      <c r="B22" s="1896">
        <v>1091019634.0052834</v>
      </c>
      <c r="C22" s="1897">
        <v>192874009.54187933</v>
      </c>
      <c r="D22" s="1897">
        <v>426378529.25083888</v>
      </c>
      <c r="E22" s="1897">
        <v>14972241.235451</v>
      </c>
      <c r="F22" s="1897">
        <v>58287245.287019223</v>
      </c>
      <c r="G22" s="1892">
        <v>1783531659.320472</v>
      </c>
      <c r="H22" s="1893"/>
    </row>
    <row r="23" spans="1:8" ht="15" customHeight="1" x14ac:dyDescent="0.2">
      <c r="A23" s="1889" t="s">
        <v>3572</v>
      </c>
      <c r="B23" s="1896">
        <v>2761090897.2194419</v>
      </c>
      <c r="C23" s="1897">
        <v>142339572.45012608</v>
      </c>
      <c r="D23" s="1897">
        <v>717744420.79701996</v>
      </c>
      <c r="E23" s="1897">
        <v>422505.69999999995</v>
      </c>
      <c r="F23" s="1897">
        <v>91295913.98342222</v>
      </c>
      <c r="G23" s="1892">
        <v>3712893310.1500101</v>
      </c>
      <c r="H23" s="1893"/>
    </row>
    <row r="24" spans="1:8" ht="15" customHeight="1" x14ac:dyDescent="0.2">
      <c r="A24" s="1889" t="s">
        <v>3573</v>
      </c>
      <c r="B24" s="1896">
        <v>1786494062.1415858</v>
      </c>
      <c r="C24" s="1897">
        <v>517395864.46757668</v>
      </c>
      <c r="D24" s="1897">
        <v>839797238.70037603</v>
      </c>
      <c r="E24" s="1897">
        <v>118919106.94106133</v>
      </c>
      <c r="F24" s="1897">
        <v>12277773.715722</v>
      </c>
      <c r="G24" s="1892">
        <v>3274884045.9663219</v>
      </c>
      <c r="H24" s="1893"/>
    </row>
    <row r="25" spans="1:8" ht="15" customHeight="1" x14ac:dyDescent="0.2">
      <c r="A25" s="1889" t="s">
        <v>3574</v>
      </c>
      <c r="B25" s="1896">
        <v>573824565.64874339</v>
      </c>
      <c r="C25" s="1897">
        <v>620176483.88053322</v>
      </c>
      <c r="D25" s="1897">
        <v>41914506.912509002</v>
      </c>
      <c r="E25" s="1897">
        <v>11035047.623016667</v>
      </c>
      <c r="F25" s="1897">
        <v>0</v>
      </c>
      <c r="G25" s="1892">
        <v>1246950604.0648022</v>
      </c>
      <c r="H25" s="1893"/>
    </row>
    <row r="26" spans="1:8" ht="15" customHeight="1" x14ac:dyDescent="0.2">
      <c r="A26" s="1889" t="s">
        <v>3575</v>
      </c>
      <c r="B26" s="1896">
        <v>208662076.603443</v>
      </c>
      <c r="C26" s="1897">
        <v>41601533.944495998</v>
      </c>
      <c r="D26" s="1897">
        <v>239569859.43290001</v>
      </c>
      <c r="E26" s="1897">
        <v>0</v>
      </c>
      <c r="F26" s="1897">
        <v>1843480</v>
      </c>
      <c r="G26" s="1892">
        <v>491676949.98083901</v>
      </c>
      <c r="H26" s="1893"/>
    </row>
    <row r="27" spans="1:8" ht="15" customHeight="1" x14ac:dyDescent="0.2">
      <c r="A27" s="1889" t="s">
        <v>3576</v>
      </c>
      <c r="B27" s="1896">
        <v>88914261.342433333</v>
      </c>
      <c r="C27" s="1897">
        <v>8258389.4538166672</v>
      </c>
      <c r="D27" s="1897">
        <v>4110735620.790029</v>
      </c>
      <c r="E27" s="1897">
        <v>2531115.5987009997</v>
      </c>
      <c r="F27" s="1897">
        <v>0</v>
      </c>
      <c r="G27" s="1892">
        <v>4210439387.1849799</v>
      </c>
      <c r="H27" s="1893"/>
    </row>
    <row r="28" spans="1:8" x14ac:dyDescent="0.2">
      <c r="A28" s="1889"/>
      <c r="B28" s="1896"/>
      <c r="C28" s="1897"/>
      <c r="D28" s="1897"/>
      <c r="E28" s="1897"/>
      <c r="F28" s="1897"/>
      <c r="G28" s="1898"/>
      <c r="H28" s="1893"/>
    </row>
    <row r="29" spans="1:8" ht="15.75" customHeight="1" x14ac:dyDescent="0.2">
      <c r="A29" s="1889" t="s">
        <v>246</v>
      </c>
      <c r="B29" s="1890">
        <v>391417742248.1214</v>
      </c>
      <c r="C29" s="1891">
        <v>34351275810.411018</v>
      </c>
      <c r="D29" s="1891">
        <v>76121577863.733826</v>
      </c>
      <c r="E29" s="1891">
        <v>3463074320.2040262</v>
      </c>
      <c r="F29" s="1891">
        <v>19157631045.262741</v>
      </c>
      <c r="G29" s="1892">
        <v>524511301287.73297</v>
      </c>
      <c r="H29" s="1893"/>
    </row>
    <row r="30" spans="1:8" ht="13.5" thickBot="1" x14ac:dyDescent="0.25">
      <c r="A30" s="1899"/>
      <c r="B30" s="1900"/>
      <c r="C30" s="1901"/>
      <c r="D30" s="1901"/>
      <c r="E30" s="1901"/>
      <c r="F30" s="1901"/>
      <c r="G30" s="1902"/>
      <c r="H30" s="1893"/>
    </row>
    <row r="31" spans="1:8" ht="13.5" hidden="1" thickTop="1" x14ac:dyDescent="0.2">
      <c r="A31" s="1870"/>
      <c r="B31" s="1903"/>
      <c r="C31" s="1903"/>
      <c r="D31" s="1903"/>
      <c r="E31" s="1903"/>
      <c r="F31" s="1903"/>
      <c r="G31" s="1870"/>
      <c r="H31" s="1893"/>
    </row>
    <row r="32" spans="1:8" ht="14.25" thickTop="1" x14ac:dyDescent="0.2">
      <c r="A32" s="1904" t="s">
        <v>3577</v>
      </c>
      <c r="B32" s="1905"/>
      <c r="C32" s="1870"/>
      <c r="D32" s="1870"/>
      <c r="E32" s="1904" t="s">
        <v>3578</v>
      </c>
      <c r="F32" s="1870"/>
      <c r="G32" s="1905"/>
      <c r="H32" s="1893"/>
    </row>
    <row r="33" spans="1:12" x14ac:dyDescent="0.2">
      <c r="A33" s="1906" t="s">
        <v>3579</v>
      </c>
      <c r="B33" s="1905"/>
      <c r="C33" s="1905"/>
      <c r="D33" s="1905"/>
      <c r="E33" s="1905"/>
      <c r="F33" s="1905"/>
      <c r="G33" s="1905"/>
      <c r="H33" s="1893"/>
      <c r="I33" s="1893"/>
      <c r="J33" s="1893"/>
      <c r="K33" s="1893"/>
      <c r="L33" s="1893"/>
    </row>
    <row r="34" spans="1:12" x14ac:dyDescent="0.2">
      <c r="A34" s="1906" t="s">
        <v>179</v>
      </c>
      <c r="B34" s="1905"/>
      <c r="C34" s="1905"/>
      <c r="D34" s="1905"/>
      <c r="E34" s="1905"/>
      <c r="F34" s="1905"/>
      <c r="G34" s="1905"/>
      <c r="H34" s="1893"/>
      <c r="I34" s="1893"/>
      <c r="J34" s="1893"/>
      <c r="K34" s="1893"/>
      <c r="L34" s="1893"/>
    </row>
    <row r="35" spans="1:12" x14ac:dyDescent="0.2">
      <c r="B35" s="1893"/>
      <c r="C35" s="1893"/>
      <c r="D35" s="1893"/>
      <c r="E35" s="1893"/>
      <c r="F35" s="1893"/>
      <c r="G35" s="1893"/>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76"/>
  <sheetViews>
    <sheetView workbookViewId="0">
      <selection activeCell="J21" sqref="A1:J21"/>
    </sheetView>
  </sheetViews>
  <sheetFormatPr defaultRowHeight="15" x14ac:dyDescent="0.25"/>
  <cols>
    <col min="1" max="1" width="43.7109375" style="1834" customWidth="1"/>
    <col min="2" max="2" width="10.140625" style="1834" customWidth="1"/>
    <col min="3" max="3" width="12.85546875" style="1834" customWidth="1"/>
    <col min="4" max="4" width="11.7109375" style="1834" customWidth="1"/>
    <col min="5" max="5" width="11.42578125" style="1834" customWidth="1"/>
    <col min="6" max="6" width="11.28515625" style="1834" customWidth="1"/>
    <col min="7" max="7" width="13.5703125" style="1834" customWidth="1"/>
    <col min="8" max="8" width="10.5703125" style="1834" customWidth="1"/>
    <col min="9" max="9" width="11.7109375" style="1834" customWidth="1"/>
    <col min="10" max="10" width="13.7109375" style="1834" customWidth="1"/>
    <col min="11" max="11" width="9.140625" style="1834"/>
    <col min="12" max="12" width="11.85546875" style="1834" customWidth="1"/>
    <col min="13" max="256" width="9.140625" style="1834"/>
    <col min="257" max="257" width="38.140625" style="1834" customWidth="1"/>
    <col min="258" max="258" width="10.140625" style="1834" customWidth="1"/>
    <col min="259" max="259" width="12.85546875" style="1834" customWidth="1"/>
    <col min="260" max="260" width="11.7109375" style="1834" customWidth="1"/>
    <col min="261" max="261" width="11.42578125" style="1834" customWidth="1"/>
    <col min="262" max="262" width="11.28515625" style="1834" customWidth="1"/>
    <col min="263" max="263" width="13.5703125" style="1834" customWidth="1"/>
    <col min="264" max="264" width="10.5703125" style="1834" customWidth="1"/>
    <col min="265" max="265" width="11.7109375" style="1834" customWidth="1"/>
    <col min="266" max="266" width="13.7109375" style="1834" customWidth="1"/>
    <col min="267" max="512" width="9.140625" style="1834"/>
    <col min="513" max="513" width="38.140625" style="1834" customWidth="1"/>
    <col min="514" max="514" width="10.140625" style="1834" customWidth="1"/>
    <col min="515" max="515" width="12.85546875" style="1834" customWidth="1"/>
    <col min="516" max="516" width="11.7109375" style="1834" customWidth="1"/>
    <col min="517" max="517" width="11.42578125" style="1834" customWidth="1"/>
    <col min="518" max="518" width="11.28515625" style="1834" customWidth="1"/>
    <col min="519" max="519" width="13.5703125" style="1834" customWidth="1"/>
    <col min="520" max="520" width="10.5703125" style="1834" customWidth="1"/>
    <col min="521" max="521" width="11.7109375" style="1834" customWidth="1"/>
    <col min="522" max="522" width="13.7109375" style="1834" customWidth="1"/>
    <col min="523" max="768" width="9.140625" style="1834"/>
    <col min="769" max="769" width="38.140625" style="1834" customWidth="1"/>
    <col min="770" max="770" width="10.140625" style="1834" customWidth="1"/>
    <col min="771" max="771" width="12.85546875" style="1834" customWidth="1"/>
    <col min="772" max="772" width="11.7109375" style="1834" customWidth="1"/>
    <col min="773" max="773" width="11.42578125" style="1834" customWidth="1"/>
    <col min="774" max="774" width="11.28515625" style="1834" customWidth="1"/>
    <col min="775" max="775" width="13.5703125" style="1834" customWidth="1"/>
    <col min="776" max="776" width="10.5703125" style="1834" customWidth="1"/>
    <col min="777" max="777" width="11.7109375" style="1834" customWidth="1"/>
    <col min="778" max="778" width="13.7109375" style="1834" customWidth="1"/>
    <col min="779" max="1024" width="9.140625" style="1834"/>
    <col min="1025" max="1025" width="38.140625" style="1834" customWidth="1"/>
    <col min="1026" max="1026" width="10.140625" style="1834" customWidth="1"/>
    <col min="1027" max="1027" width="12.85546875" style="1834" customWidth="1"/>
    <col min="1028" max="1028" width="11.7109375" style="1834" customWidth="1"/>
    <col min="1029" max="1029" width="11.42578125" style="1834" customWidth="1"/>
    <col min="1030" max="1030" width="11.28515625" style="1834" customWidth="1"/>
    <col min="1031" max="1031" width="13.5703125" style="1834" customWidth="1"/>
    <col min="1032" max="1032" width="10.5703125" style="1834" customWidth="1"/>
    <col min="1033" max="1033" width="11.7109375" style="1834" customWidth="1"/>
    <col min="1034" max="1034" width="13.7109375" style="1834" customWidth="1"/>
    <col min="1035" max="1280" width="9.140625" style="1834"/>
    <col min="1281" max="1281" width="38.140625" style="1834" customWidth="1"/>
    <col min="1282" max="1282" width="10.140625" style="1834" customWidth="1"/>
    <col min="1283" max="1283" width="12.85546875" style="1834" customWidth="1"/>
    <col min="1284" max="1284" width="11.7109375" style="1834" customWidth="1"/>
    <col min="1285" max="1285" width="11.42578125" style="1834" customWidth="1"/>
    <col min="1286" max="1286" width="11.28515625" style="1834" customWidth="1"/>
    <col min="1287" max="1287" width="13.5703125" style="1834" customWidth="1"/>
    <col min="1288" max="1288" width="10.5703125" style="1834" customWidth="1"/>
    <col min="1289" max="1289" width="11.7109375" style="1834" customWidth="1"/>
    <col min="1290" max="1290" width="13.7109375" style="1834" customWidth="1"/>
    <col min="1291" max="1536" width="9.140625" style="1834"/>
    <col min="1537" max="1537" width="38.140625" style="1834" customWidth="1"/>
    <col min="1538" max="1538" width="10.140625" style="1834" customWidth="1"/>
    <col min="1539" max="1539" width="12.85546875" style="1834" customWidth="1"/>
    <col min="1540" max="1540" width="11.7109375" style="1834" customWidth="1"/>
    <col min="1541" max="1541" width="11.42578125" style="1834" customWidth="1"/>
    <col min="1542" max="1542" width="11.28515625" style="1834" customWidth="1"/>
    <col min="1543" max="1543" width="13.5703125" style="1834" customWidth="1"/>
    <col min="1544" max="1544" width="10.5703125" style="1834" customWidth="1"/>
    <col min="1545" max="1545" width="11.7109375" style="1834" customWidth="1"/>
    <col min="1546" max="1546" width="13.7109375" style="1834" customWidth="1"/>
    <col min="1547" max="1792" width="9.140625" style="1834"/>
    <col min="1793" max="1793" width="38.140625" style="1834" customWidth="1"/>
    <col min="1794" max="1794" width="10.140625" style="1834" customWidth="1"/>
    <col min="1795" max="1795" width="12.85546875" style="1834" customWidth="1"/>
    <col min="1796" max="1796" width="11.7109375" style="1834" customWidth="1"/>
    <col min="1797" max="1797" width="11.42578125" style="1834" customWidth="1"/>
    <col min="1798" max="1798" width="11.28515625" style="1834" customWidth="1"/>
    <col min="1799" max="1799" width="13.5703125" style="1834" customWidth="1"/>
    <col min="1800" max="1800" width="10.5703125" style="1834" customWidth="1"/>
    <col min="1801" max="1801" width="11.7109375" style="1834" customWidth="1"/>
    <col min="1802" max="1802" width="13.7109375" style="1834" customWidth="1"/>
    <col min="1803" max="2048" width="9.140625" style="1834"/>
    <col min="2049" max="2049" width="38.140625" style="1834" customWidth="1"/>
    <col min="2050" max="2050" width="10.140625" style="1834" customWidth="1"/>
    <col min="2051" max="2051" width="12.85546875" style="1834" customWidth="1"/>
    <col min="2052" max="2052" width="11.7109375" style="1834" customWidth="1"/>
    <col min="2053" max="2053" width="11.42578125" style="1834" customWidth="1"/>
    <col min="2054" max="2054" width="11.28515625" style="1834" customWidth="1"/>
    <col min="2055" max="2055" width="13.5703125" style="1834" customWidth="1"/>
    <col min="2056" max="2056" width="10.5703125" style="1834" customWidth="1"/>
    <col min="2057" max="2057" width="11.7109375" style="1834" customWidth="1"/>
    <col min="2058" max="2058" width="13.7109375" style="1834" customWidth="1"/>
    <col min="2059" max="2304" width="9.140625" style="1834"/>
    <col min="2305" max="2305" width="38.140625" style="1834" customWidth="1"/>
    <col min="2306" max="2306" width="10.140625" style="1834" customWidth="1"/>
    <col min="2307" max="2307" width="12.85546875" style="1834" customWidth="1"/>
    <col min="2308" max="2308" width="11.7109375" style="1834" customWidth="1"/>
    <col min="2309" max="2309" width="11.42578125" style="1834" customWidth="1"/>
    <col min="2310" max="2310" width="11.28515625" style="1834" customWidth="1"/>
    <col min="2311" max="2311" width="13.5703125" style="1834" customWidth="1"/>
    <col min="2312" max="2312" width="10.5703125" style="1834" customWidth="1"/>
    <col min="2313" max="2313" width="11.7109375" style="1834" customWidth="1"/>
    <col min="2314" max="2314" width="13.7109375" style="1834" customWidth="1"/>
    <col min="2315" max="2560" width="9.140625" style="1834"/>
    <col min="2561" max="2561" width="38.140625" style="1834" customWidth="1"/>
    <col min="2562" max="2562" width="10.140625" style="1834" customWidth="1"/>
    <col min="2563" max="2563" width="12.85546875" style="1834" customWidth="1"/>
    <col min="2564" max="2564" width="11.7109375" style="1834" customWidth="1"/>
    <col min="2565" max="2565" width="11.42578125" style="1834" customWidth="1"/>
    <col min="2566" max="2566" width="11.28515625" style="1834" customWidth="1"/>
    <col min="2567" max="2567" width="13.5703125" style="1834" customWidth="1"/>
    <col min="2568" max="2568" width="10.5703125" style="1834" customWidth="1"/>
    <col min="2569" max="2569" width="11.7109375" style="1834" customWidth="1"/>
    <col min="2570" max="2570" width="13.7109375" style="1834" customWidth="1"/>
    <col min="2571" max="2816" width="9.140625" style="1834"/>
    <col min="2817" max="2817" width="38.140625" style="1834" customWidth="1"/>
    <col min="2818" max="2818" width="10.140625" style="1834" customWidth="1"/>
    <col min="2819" max="2819" width="12.85546875" style="1834" customWidth="1"/>
    <col min="2820" max="2820" width="11.7109375" style="1834" customWidth="1"/>
    <col min="2821" max="2821" width="11.42578125" style="1834" customWidth="1"/>
    <col min="2822" max="2822" width="11.28515625" style="1834" customWidth="1"/>
    <col min="2823" max="2823" width="13.5703125" style="1834" customWidth="1"/>
    <col min="2824" max="2824" width="10.5703125" style="1834" customWidth="1"/>
    <col min="2825" max="2825" width="11.7109375" style="1834" customWidth="1"/>
    <col min="2826" max="2826" width="13.7109375" style="1834" customWidth="1"/>
    <col min="2827" max="3072" width="9.140625" style="1834"/>
    <col min="3073" max="3073" width="38.140625" style="1834" customWidth="1"/>
    <col min="3074" max="3074" width="10.140625" style="1834" customWidth="1"/>
    <col min="3075" max="3075" width="12.85546875" style="1834" customWidth="1"/>
    <col min="3076" max="3076" width="11.7109375" style="1834" customWidth="1"/>
    <col min="3077" max="3077" width="11.42578125" style="1834" customWidth="1"/>
    <col min="3078" max="3078" width="11.28515625" style="1834" customWidth="1"/>
    <col min="3079" max="3079" width="13.5703125" style="1834" customWidth="1"/>
    <col min="3080" max="3080" width="10.5703125" style="1834" customWidth="1"/>
    <col min="3081" max="3081" width="11.7109375" style="1834" customWidth="1"/>
    <col min="3082" max="3082" width="13.7109375" style="1834" customWidth="1"/>
    <col min="3083" max="3328" width="9.140625" style="1834"/>
    <col min="3329" max="3329" width="38.140625" style="1834" customWidth="1"/>
    <col min="3330" max="3330" width="10.140625" style="1834" customWidth="1"/>
    <col min="3331" max="3331" width="12.85546875" style="1834" customWidth="1"/>
    <col min="3332" max="3332" width="11.7109375" style="1834" customWidth="1"/>
    <col min="3333" max="3333" width="11.42578125" style="1834" customWidth="1"/>
    <col min="3334" max="3334" width="11.28515625" style="1834" customWidth="1"/>
    <col min="3335" max="3335" width="13.5703125" style="1834" customWidth="1"/>
    <col min="3336" max="3336" width="10.5703125" style="1834" customWidth="1"/>
    <col min="3337" max="3337" width="11.7109375" style="1834" customWidth="1"/>
    <col min="3338" max="3338" width="13.7109375" style="1834" customWidth="1"/>
    <col min="3339" max="3584" width="9.140625" style="1834"/>
    <col min="3585" max="3585" width="38.140625" style="1834" customWidth="1"/>
    <col min="3586" max="3586" width="10.140625" style="1834" customWidth="1"/>
    <col min="3587" max="3587" width="12.85546875" style="1834" customWidth="1"/>
    <col min="3588" max="3588" width="11.7109375" style="1834" customWidth="1"/>
    <col min="3589" max="3589" width="11.42578125" style="1834" customWidth="1"/>
    <col min="3590" max="3590" width="11.28515625" style="1834" customWidth="1"/>
    <col min="3591" max="3591" width="13.5703125" style="1834" customWidth="1"/>
    <col min="3592" max="3592" width="10.5703125" style="1834" customWidth="1"/>
    <col min="3593" max="3593" width="11.7109375" style="1834" customWidth="1"/>
    <col min="3594" max="3594" width="13.7109375" style="1834" customWidth="1"/>
    <col min="3595" max="3840" width="9.140625" style="1834"/>
    <col min="3841" max="3841" width="38.140625" style="1834" customWidth="1"/>
    <col min="3842" max="3842" width="10.140625" style="1834" customWidth="1"/>
    <col min="3843" max="3843" width="12.85546875" style="1834" customWidth="1"/>
    <col min="3844" max="3844" width="11.7109375" style="1834" customWidth="1"/>
    <col min="3845" max="3845" width="11.42578125" style="1834" customWidth="1"/>
    <col min="3846" max="3846" width="11.28515625" style="1834" customWidth="1"/>
    <col min="3847" max="3847" width="13.5703125" style="1834" customWidth="1"/>
    <col min="3848" max="3848" width="10.5703125" style="1834" customWidth="1"/>
    <col min="3849" max="3849" width="11.7109375" style="1834" customWidth="1"/>
    <col min="3850" max="3850" width="13.7109375" style="1834" customWidth="1"/>
    <col min="3851" max="4096" width="9.140625" style="1834"/>
    <col min="4097" max="4097" width="38.140625" style="1834" customWidth="1"/>
    <col min="4098" max="4098" width="10.140625" style="1834" customWidth="1"/>
    <col min="4099" max="4099" width="12.85546875" style="1834" customWidth="1"/>
    <col min="4100" max="4100" width="11.7109375" style="1834" customWidth="1"/>
    <col min="4101" max="4101" width="11.42578125" style="1834" customWidth="1"/>
    <col min="4102" max="4102" width="11.28515625" style="1834" customWidth="1"/>
    <col min="4103" max="4103" width="13.5703125" style="1834" customWidth="1"/>
    <col min="4104" max="4104" width="10.5703125" style="1834" customWidth="1"/>
    <col min="4105" max="4105" width="11.7109375" style="1834" customWidth="1"/>
    <col min="4106" max="4106" width="13.7109375" style="1834" customWidth="1"/>
    <col min="4107" max="4352" width="9.140625" style="1834"/>
    <col min="4353" max="4353" width="38.140625" style="1834" customWidth="1"/>
    <col min="4354" max="4354" width="10.140625" style="1834" customWidth="1"/>
    <col min="4355" max="4355" width="12.85546875" style="1834" customWidth="1"/>
    <col min="4356" max="4356" width="11.7109375" style="1834" customWidth="1"/>
    <col min="4357" max="4357" width="11.42578125" style="1834" customWidth="1"/>
    <col min="4358" max="4358" width="11.28515625" style="1834" customWidth="1"/>
    <col min="4359" max="4359" width="13.5703125" style="1834" customWidth="1"/>
    <col min="4360" max="4360" width="10.5703125" style="1834" customWidth="1"/>
    <col min="4361" max="4361" width="11.7109375" style="1834" customWidth="1"/>
    <col min="4362" max="4362" width="13.7109375" style="1834" customWidth="1"/>
    <col min="4363" max="4608" width="9.140625" style="1834"/>
    <col min="4609" max="4609" width="38.140625" style="1834" customWidth="1"/>
    <col min="4610" max="4610" width="10.140625" style="1834" customWidth="1"/>
    <col min="4611" max="4611" width="12.85546875" style="1834" customWidth="1"/>
    <col min="4612" max="4612" width="11.7109375" style="1834" customWidth="1"/>
    <col min="4613" max="4613" width="11.42578125" style="1834" customWidth="1"/>
    <col min="4614" max="4614" width="11.28515625" style="1834" customWidth="1"/>
    <col min="4615" max="4615" width="13.5703125" style="1834" customWidth="1"/>
    <col min="4616" max="4616" width="10.5703125" style="1834" customWidth="1"/>
    <col min="4617" max="4617" width="11.7109375" style="1834" customWidth="1"/>
    <col min="4618" max="4618" width="13.7109375" style="1834" customWidth="1"/>
    <col min="4619" max="4864" width="9.140625" style="1834"/>
    <col min="4865" max="4865" width="38.140625" style="1834" customWidth="1"/>
    <col min="4866" max="4866" width="10.140625" style="1834" customWidth="1"/>
    <col min="4867" max="4867" width="12.85546875" style="1834" customWidth="1"/>
    <col min="4868" max="4868" width="11.7109375" style="1834" customWidth="1"/>
    <col min="4869" max="4869" width="11.42578125" style="1834" customWidth="1"/>
    <col min="4870" max="4870" width="11.28515625" style="1834" customWidth="1"/>
    <col min="4871" max="4871" width="13.5703125" style="1834" customWidth="1"/>
    <col min="4872" max="4872" width="10.5703125" style="1834" customWidth="1"/>
    <col min="4873" max="4873" width="11.7109375" style="1834" customWidth="1"/>
    <col min="4874" max="4874" width="13.7109375" style="1834" customWidth="1"/>
    <col min="4875" max="5120" width="9.140625" style="1834"/>
    <col min="5121" max="5121" width="38.140625" style="1834" customWidth="1"/>
    <col min="5122" max="5122" width="10.140625" style="1834" customWidth="1"/>
    <col min="5123" max="5123" width="12.85546875" style="1834" customWidth="1"/>
    <col min="5124" max="5124" width="11.7109375" style="1834" customWidth="1"/>
    <col min="5125" max="5125" width="11.42578125" style="1834" customWidth="1"/>
    <col min="5126" max="5126" width="11.28515625" style="1834" customWidth="1"/>
    <col min="5127" max="5127" width="13.5703125" style="1834" customWidth="1"/>
    <col min="5128" max="5128" width="10.5703125" style="1834" customWidth="1"/>
    <col min="5129" max="5129" width="11.7109375" style="1834" customWidth="1"/>
    <col min="5130" max="5130" width="13.7109375" style="1834" customWidth="1"/>
    <col min="5131" max="5376" width="9.140625" style="1834"/>
    <col min="5377" max="5377" width="38.140625" style="1834" customWidth="1"/>
    <col min="5378" max="5378" width="10.140625" style="1834" customWidth="1"/>
    <col min="5379" max="5379" width="12.85546875" style="1834" customWidth="1"/>
    <col min="5380" max="5380" width="11.7109375" style="1834" customWidth="1"/>
    <col min="5381" max="5381" width="11.42578125" style="1834" customWidth="1"/>
    <col min="5382" max="5382" width="11.28515625" style="1834" customWidth="1"/>
    <col min="5383" max="5383" width="13.5703125" style="1834" customWidth="1"/>
    <col min="5384" max="5384" width="10.5703125" style="1834" customWidth="1"/>
    <col min="5385" max="5385" width="11.7109375" style="1834" customWidth="1"/>
    <col min="5386" max="5386" width="13.7109375" style="1834" customWidth="1"/>
    <col min="5387" max="5632" width="9.140625" style="1834"/>
    <col min="5633" max="5633" width="38.140625" style="1834" customWidth="1"/>
    <col min="5634" max="5634" width="10.140625" style="1834" customWidth="1"/>
    <col min="5635" max="5635" width="12.85546875" style="1834" customWidth="1"/>
    <col min="5636" max="5636" width="11.7109375" style="1834" customWidth="1"/>
    <col min="5637" max="5637" width="11.42578125" style="1834" customWidth="1"/>
    <col min="5638" max="5638" width="11.28515625" style="1834" customWidth="1"/>
    <col min="5639" max="5639" width="13.5703125" style="1834" customWidth="1"/>
    <col min="5640" max="5640" width="10.5703125" style="1834" customWidth="1"/>
    <col min="5641" max="5641" width="11.7109375" style="1834" customWidth="1"/>
    <col min="5642" max="5642" width="13.7109375" style="1834" customWidth="1"/>
    <col min="5643" max="5888" width="9.140625" style="1834"/>
    <col min="5889" max="5889" width="38.140625" style="1834" customWidth="1"/>
    <col min="5890" max="5890" width="10.140625" style="1834" customWidth="1"/>
    <col min="5891" max="5891" width="12.85546875" style="1834" customWidth="1"/>
    <col min="5892" max="5892" width="11.7109375" style="1834" customWidth="1"/>
    <col min="5893" max="5893" width="11.42578125" style="1834" customWidth="1"/>
    <col min="5894" max="5894" width="11.28515625" style="1834" customWidth="1"/>
    <col min="5895" max="5895" width="13.5703125" style="1834" customWidth="1"/>
    <col min="5896" max="5896" width="10.5703125" style="1834" customWidth="1"/>
    <col min="5897" max="5897" width="11.7109375" style="1834" customWidth="1"/>
    <col min="5898" max="5898" width="13.7109375" style="1834" customWidth="1"/>
    <col min="5899" max="6144" width="9.140625" style="1834"/>
    <col min="6145" max="6145" width="38.140625" style="1834" customWidth="1"/>
    <col min="6146" max="6146" width="10.140625" style="1834" customWidth="1"/>
    <col min="6147" max="6147" width="12.85546875" style="1834" customWidth="1"/>
    <col min="6148" max="6148" width="11.7109375" style="1834" customWidth="1"/>
    <col min="6149" max="6149" width="11.42578125" style="1834" customWidth="1"/>
    <col min="6150" max="6150" width="11.28515625" style="1834" customWidth="1"/>
    <col min="6151" max="6151" width="13.5703125" style="1834" customWidth="1"/>
    <col min="6152" max="6152" width="10.5703125" style="1834" customWidth="1"/>
    <col min="6153" max="6153" width="11.7109375" style="1834" customWidth="1"/>
    <col min="6154" max="6154" width="13.7109375" style="1834" customWidth="1"/>
    <col min="6155" max="6400" width="9.140625" style="1834"/>
    <col min="6401" max="6401" width="38.140625" style="1834" customWidth="1"/>
    <col min="6402" max="6402" width="10.140625" style="1834" customWidth="1"/>
    <col min="6403" max="6403" width="12.85546875" style="1834" customWidth="1"/>
    <col min="6404" max="6404" width="11.7109375" style="1834" customWidth="1"/>
    <col min="6405" max="6405" width="11.42578125" style="1834" customWidth="1"/>
    <col min="6406" max="6406" width="11.28515625" style="1834" customWidth="1"/>
    <col min="6407" max="6407" width="13.5703125" style="1834" customWidth="1"/>
    <col min="6408" max="6408" width="10.5703125" style="1834" customWidth="1"/>
    <col min="6409" max="6409" width="11.7109375" style="1834" customWidth="1"/>
    <col min="6410" max="6410" width="13.7109375" style="1834" customWidth="1"/>
    <col min="6411" max="6656" width="9.140625" style="1834"/>
    <col min="6657" max="6657" width="38.140625" style="1834" customWidth="1"/>
    <col min="6658" max="6658" width="10.140625" style="1834" customWidth="1"/>
    <col min="6659" max="6659" width="12.85546875" style="1834" customWidth="1"/>
    <col min="6660" max="6660" width="11.7109375" style="1834" customWidth="1"/>
    <col min="6661" max="6661" width="11.42578125" style="1834" customWidth="1"/>
    <col min="6662" max="6662" width="11.28515625" style="1834" customWidth="1"/>
    <col min="6663" max="6663" width="13.5703125" style="1834" customWidth="1"/>
    <col min="6664" max="6664" width="10.5703125" style="1834" customWidth="1"/>
    <col min="6665" max="6665" width="11.7109375" style="1834" customWidth="1"/>
    <col min="6666" max="6666" width="13.7109375" style="1834" customWidth="1"/>
    <col min="6667" max="6912" width="9.140625" style="1834"/>
    <col min="6913" max="6913" width="38.140625" style="1834" customWidth="1"/>
    <col min="6914" max="6914" width="10.140625" style="1834" customWidth="1"/>
    <col min="6915" max="6915" width="12.85546875" style="1834" customWidth="1"/>
    <col min="6916" max="6916" width="11.7109375" style="1834" customWidth="1"/>
    <col min="6917" max="6917" width="11.42578125" style="1834" customWidth="1"/>
    <col min="6918" max="6918" width="11.28515625" style="1834" customWidth="1"/>
    <col min="6919" max="6919" width="13.5703125" style="1834" customWidth="1"/>
    <col min="6920" max="6920" width="10.5703125" style="1834" customWidth="1"/>
    <col min="6921" max="6921" width="11.7109375" style="1834" customWidth="1"/>
    <col min="6922" max="6922" width="13.7109375" style="1834" customWidth="1"/>
    <col min="6923" max="7168" width="9.140625" style="1834"/>
    <col min="7169" max="7169" width="38.140625" style="1834" customWidth="1"/>
    <col min="7170" max="7170" width="10.140625" style="1834" customWidth="1"/>
    <col min="7171" max="7171" width="12.85546875" style="1834" customWidth="1"/>
    <col min="7172" max="7172" width="11.7109375" style="1834" customWidth="1"/>
    <col min="7173" max="7173" width="11.42578125" style="1834" customWidth="1"/>
    <col min="7174" max="7174" width="11.28515625" style="1834" customWidth="1"/>
    <col min="7175" max="7175" width="13.5703125" style="1834" customWidth="1"/>
    <col min="7176" max="7176" width="10.5703125" style="1834" customWidth="1"/>
    <col min="7177" max="7177" width="11.7109375" style="1834" customWidth="1"/>
    <col min="7178" max="7178" width="13.7109375" style="1834" customWidth="1"/>
    <col min="7179" max="7424" width="9.140625" style="1834"/>
    <col min="7425" max="7425" width="38.140625" style="1834" customWidth="1"/>
    <col min="7426" max="7426" width="10.140625" style="1834" customWidth="1"/>
    <col min="7427" max="7427" width="12.85546875" style="1834" customWidth="1"/>
    <col min="7428" max="7428" width="11.7109375" style="1834" customWidth="1"/>
    <col min="7429" max="7429" width="11.42578125" style="1834" customWidth="1"/>
    <col min="7430" max="7430" width="11.28515625" style="1834" customWidth="1"/>
    <col min="7431" max="7431" width="13.5703125" style="1834" customWidth="1"/>
    <col min="7432" max="7432" width="10.5703125" style="1834" customWidth="1"/>
    <col min="7433" max="7433" width="11.7109375" style="1834" customWidth="1"/>
    <col min="7434" max="7434" width="13.7109375" style="1834" customWidth="1"/>
    <col min="7435" max="7680" width="9.140625" style="1834"/>
    <col min="7681" max="7681" width="38.140625" style="1834" customWidth="1"/>
    <col min="7682" max="7682" width="10.140625" style="1834" customWidth="1"/>
    <col min="7683" max="7683" width="12.85546875" style="1834" customWidth="1"/>
    <col min="7684" max="7684" width="11.7109375" style="1834" customWidth="1"/>
    <col min="7685" max="7685" width="11.42578125" style="1834" customWidth="1"/>
    <col min="7686" max="7686" width="11.28515625" style="1834" customWidth="1"/>
    <col min="7687" max="7687" width="13.5703125" style="1834" customWidth="1"/>
    <col min="7688" max="7688" width="10.5703125" style="1834" customWidth="1"/>
    <col min="7689" max="7689" width="11.7109375" style="1834" customWidth="1"/>
    <col min="7690" max="7690" width="13.7109375" style="1834" customWidth="1"/>
    <col min="7691" max="7936" width="9.140625" style="1834"/>
    <col min="7937" max="7937" width="38.140625" style="1834" customWidth="1"/>
    <col min="7938" max="7938" width="10.140625" style="1834" customWidth="1"/>
    <col min="7939" max="7939" width="12.85546875" style="1834" customWidth="1"/>
    <col min="7940" max="7940" width="11.7109375" style="1834" customWidth="1"/>
    <col min="7941" max="7941" width="11.42578125" style="1834" customWidth="1"/>
    <col min="7942" max="7942" width="11.28515625" style="1834" customWidth="1"/>
    <col min="7943" max="7943" width="13.5703125" style="1834" customWidth="1"/>
    <col min="7944" max="7944" width="10.5703125" style="1834" customWidth="1"/>
    <col min="7945" max="7945" width="11.7109375" style="1834" customWidth="1"/>
    <col min="7946" max="7946" width="13.7109375" style="1834" customWidth="1"/>
    <col min="7947" max="8192" width="9.140625" style="1834"/>
    <col min="8193" max="8193" width="38.140625" style="1834" customWidth="1"/>
    <col min="8194" max="8194" width="10.140625" style="1834" customWidth="1"/>
    <col min="8195" max="8195" width="12.85546875" style="1834" customWidth="1"/>
    <col min="8196" max="8196" width="11.7109375" style="1834" customWidth="1"/>
    <col min="8197" max="8197" width="11.42578125" style="1834" customWidth="1"/>
    <col min="8198" max="8198" width="11.28515625" style="1834" customWidth="1"/>
    <col min="8199" max="8199" width="13.5703125" style="1834" customWidth="1"/>
    <col min="8200" max="8200" width="10.5703125" style="1834" customWidth="1"/>
    <col min="8201" max="8201" width="11.7109375" style="1834" customWidth="1"/>
    <col min="8202" max="8202" width="13.7109375" style="1834" customWidth="1"/>
    <col min="8203" max="8448" width="9.140625" style="1834"/>
    <col min="8449" max="8449" width="38.140625" style="1834" customWidth="1"/>
    <col min="8450" max="8450" width="10.140625" style="1834" customWidth="1"/>
    <col min="8451" max="8451" width="12.85546875" style="1834" customWidth="1"/>
    <col min="8452" max="8452" width="11.7109375" style="1834" customWidth="1"/>
    <col min="8453" max="8453" width="11.42578125" style="1834" customWidth="1"/>
    <col min="8454" max="8454" width="11.28515625" style="1834" customWidth="1"/>
    <col min="8455" max="8455" width="13.5703125" style="1834" customWidth="1"/>
    <col min="8456" max="8456" width="10.5703125" style="1834" customWidth="1"/>
    <col min="8457" max="8457" width="11.7109375" style="1834" customWidth="1"/>
    <col min="8458" max="8458" width="13.7109375" style="1834" customWidth="1"/>
    <col min="8459" max="8704" width="9.140625" style="1834"/>
    <col min="8705" max="8705" width="38.140625" style="1834" customWidth="1"/>
    <col min="8706" max="8706" width="10.140625" style="1834" customWidth="1"/>
    <col min="8707" max="8707" width="12.85546875" style="1834" customWidth="1"/>
    <col min="8708" max="8708" width="11.7109375" style="1834" customWidth="1"/>
    <col min="8709" max="8709" width="11.42578125" style="1834" customWidth="1"/>
    <col min="8710" max="8710" width="11.28515625" style="1834" customWidth="1"/>
    <col min="8711" max="8711" width="13.5703125" style="1834" customWidth="1"/>
    <col min="8712" max="8712" width="10.5703125" style="1834" customWidth="1"/>
    <col min="8713" max="8713" width="11.7109375" style="1834" customWidth="1"/>
    <col min="8714" max="8714" width="13.7109375" style="1834" customWidth="1"/>
    <col min="8715" max="8960" width="9.140625" style="1834"/>
    <col min="8961" max="8961" width="38.140625" style="1834" customWidth="1"/>
    <col min="8962" max="8962" width="10.140625" style="1834" customWidth="1"/>
    <col min="8963" max="8963" width="12.85546875" style="1834" customWidth="1"/>
    <col min="8964" max="8964" width="11.7109375" style="1834" customWidth="1"/>
    <col min="8965" max="8965" width="11.42578125" style="1834" customWidth="1"/>
    <col min="8966" max="8966" width="11.28515625" style="1834" customWidth="1"/>
    <col min="8967" max="8967" width="13.5703125" style="1834" customWidth="1"/>
    <col min="8968" max="8968" width="10.5703125" style="1834" customWidth="1"/>
    <col min="8969" max="8969" width="11.7109375" style="1834" customWidth="1"/>
    <col min="8970" max="8970" width="13.7109375" style="1834" customWidth="1"/>
    <col min="8971" max="9216" width="9.140625" style="1834"/>
    <col min="9217" max="9217" width="38.140625" style="1834" customWidth="1"/>
    <col min="9218" max="9218" width="10.140625" style="1834" customWidth="1"/>
    <col min="9219" max="9219" width="12.85546875" style="1834" customWidth="1"/>
    <col min="9220" max="9220" width="11.7109375" style="1834" customWidth="1"/>
    <col min="9221" max="9221" width="11.42578125" style="1834" customWidth="1"/>
    <col min="9222" max="9222" width="11.28515625" style="1834" customWidth="1"/>
    <col min="9223" max="9223" width="13.5703125" style="1834" customWidth="1"/>
    <col min="9224" max="9224" width="10.5703125" style="1834" customWidth="1"/>
    <col min="9225" max="9225" width="11.7109375" style="1834" customWidth="1"/>
    <col min="9226" max="9226" width="13.7109375" style="1834" customWidth="1"/>
    <col min="9227" max="9472" width="9.140625" style="1834"/>
    <col min="9473" max="9473" width="38.140625" style="1834" customWidth="1"/>
    <col min="9474" max="9474" width="10.140625" style="1834" customWidth="1"/>
    <col min="9475" max="9475" width="12.85546875" style="1834" customWidth="1"/>
    <col min="9476" max="9476" width="11.7109375" style="1834" customWidth="1"/>
    <col min="9477" max="9477" width="11.42578125" style="1834" customWidth="1"/>
    <col min="9478" max="9478" width="11.28515625" style="1834" customWidth="1"/>
    <col min="9479" max="9479" width="13.5703125" style="1834" customWidth="1"/>
    <col min="9480" max="9480" width="10.5703125" style="1834" customWidth="1"/>
    <col min="9481" max="9481" width="11.7109375" style="1834" customWidth="1"/>
    <col min="9482" max="9482" width="13.7109375" style="1834" customWidth="1"/>
    <col min="9483" max="9728" width="9.140625" style="1834"/>
    <col min="9729" max="9729" width="38.140625" style="1834" customWidth="1"/>
    <col min="9730" max="9730" width="10.140625" style="1834" customWidth="1"/>
    <col min="9731" max="9731" width="12.85546875" style="1834" customWidth="1"/>
    <col min="9732" max="9732" width="11.7109375" style="1834" customWidth="1"/>
    <col min="9733" max="9733" width="11.42578125" style="1834" customWidth="1"/>
    <col min="9734" max="9734" width="11.28515625" style="1834" customWidth="1"/>
    <col min="9735" max="9735" width="13.5703125" style="1834" customWidth="1"/>
    <col min="9736" max="9736" width="10.5703125" style="1834" customWidth="1"/>
    <col min="9737" max="9737" width="11.7109375" style="1834" customWidth="1"/>
    <col min="9738" max="9738" width="13.7109375" style="1834" customWidth="1"/>
    <col min="9739" max="9984" width="9.140625" style="1834"/>
    <col min="9985" max="9985" width="38.140625" style="1834" customWidth="1"/>
    <col min="9986" max="9986" width="10.140625" style="1834" customWidth="1"/>
    <col min="9987" max="9987" width="12.85546875" style="1834" customWidth="1"/>
    <col min="9988" max="9988" width="11.7109375" style="1834" customWidth="1"/>
    <col min="9989" max="9989" width="11.42578125" style="1834" customWidth="1"/>
    <col min="9990" max="9990" width="11.28515625" style="1834" customWidth="1"/>
    <col min="9991" max="9991" width="13.5703125" style="1834" customWidth="1"/>
    <col min="9992" max="9992" width="10.5703125" style="1834" customWidth="1"/>
    <col min="9993" max="9993" width="11.7109375" style="1834" customWidth="1"/>
    <col min="9994" max="9994" width="13.7109375" style="1834" customWidth="1"/>
    <col min="9995" max="10240" width="9.140625" style="1834"/>
    <col min="10241" max="10241" width="38.140625" style="1834" customWidth="1"/>
    <col min="10242" max="10242" width="10.140625" style="1834" customWidth="1"/>
    <col min="10243" max="10243" width="12.85546875" style="1834" customWidth="1"/>
    <col min="10244" max="10244" width="11.7109375" style="1834" customWidth="1"/>
    <col min="10245" max="10245" width="11.42578125" style="1834" customWidth="1"/>
    <col min="10246" max="10246" width="11.28515625" style="1834" customWidth="1"/>
    <col min="10247" max="10247" width="13.5703125" style="1834" customWidth="1"/>
    <col min="10248" max="10248" width="10.5703125" style="1834" customWidth="1"/>
    <col min="10249" max="10249" width="11.7109375" style="1834" customWidth="1"/>
    <col min="10250" max="10250" width="13.7109375" style="1834" customWidth="1"/>
    <col min="10251" max="10496" width="9.140625" style="1834"/>
    <col min="10497" max="10497" width="38.140625" style="1834" customWidth="1"/>
    <col min="10498" max="10498" width="10.140625" style="1834" customWidth="1"/>
    <col min="10499" max="10499" width="12.85546875" style="1834" customWidth="1"/>
    <col min="10500" max="10500" width="11.7109375" style="1834" customWidth="1"/>
    <col min="10501" max="10501" width="11.42578125" style="1834" customWidth="1"/>
    <col min="10502" max="10502" width="11.28515625" style="1834" customWidth="1"/>
    <col min="10503" max="10503" width="13.5703125" style="1834" customWidth="1"/>
    <col min="10504" max="10504" width="10.5703125" style="1834" customWidth="1"/>
    <col min="10505" max="10505" width="11.7109375" style="1834" customWidth="1"/>
    <col min="10506" max="10506" width="13.7109375" style="1834" customWidth="1"/>
    <col min="10507" max="10752" width="9.140625" style="1834"/>
    <col min="10753" max="10753" width="38.140625" style="1834" customWidth="1"/>
    <col min="10754" max="10754" width="10.140625" style="1834" customWidth="1"/>
    <col min="10755" max="10755" width="12.85546875" style="1834" customWidth="1"/>
    <col min="10756" max="10756" width="11.7109375" style="1834" customWidth="1"/>
    <col min="10757" max="10757" width="11.42578125" style="1834" customWidth="1"/>
    <col min="10758" max="10758" width="11.28515625" style="1834" customWidth="1"/>
    <col min="10759" max="10759" width="13.5703125" style="1834" customWidth="1"/>
    <col min="10760" max="10760" width="10.5703125" style="1834" customWidth="1"/>
    <col min="10761" max="10761" width="11.7109375" style="1834" customWidth="1"/>
    <col min="10762" max="10762" width="13.7109375" style="1834" customWidth="1"/>
    <col min="10763" max="11008" width="9.140625" style="1834"/>
    <col min="11009" max="11009" width="38.140625" style="1834" customWidth="1"/>
    <col min="11010" max="11010" width="10.140625" style="1834" customWidth="1"/>
    <col min="11011" max="11011" width="12.85546875" style="1834" customWidth="1"/>
    <col min="11012" max="11012" width="11.7109375" style="1834" customWidth="1"/>
    <col min="11013" max="11013" width="11.42578125" style="1834" customWidth="1"/>
    <col min="11014" max="11014" width="11.28515625" style="1834" customWidth="1"/>
    <col min="11015" max="11015" width="13.5703125" style="1834" customWidth="1"/>
    <col min="11016" max="11016" width="10.5703125" style="1834" customWidth="1"/>
    <col min="11017" max="11017" width="11.7109375" style="1834" customWidth="1"/>
    <col min="11018" max="11018" width="13.7109375" style="1834" customWidth="1"/>
    <col min="11019" max="11264" width="9.140625" style="1834"/>
    <col min="11265" max="11265" width="38.140625" style="1834" customWidth="1"/>
    <col min="11266" max="11266" width="10.140625" style="1834" customWidth="1"/>
    <col min="11267" max="11267" width="12.85546875" style="1834" customWidth="1"/>
    <col min="11268" max="11268" width="11.7109375" style="1834" customWidth="1"/>
    <col min="11269" max="11269" width="11.42578125" style="1834" customWidth="1"/>
    <col min="11270" max="11270" width="11.28515625" style="1834" customWidth="1"/>
    <col min="11271" max="11271" width="13.5703125" style="1834" customWidth="1"/>
    <col min="11272" max="11272" width="10.5703125" style="1834" customWidth="1"/>
    <col min="11273" max="11273" width="11.7109375" style="1834" customWidth="1"/>
    <col min="11274" max="11274" width="13.7109375" style="1834" customWidth="1"/>
    <col min="11275" max="11520" width="9.140625" style="1834"/>
    <col min="11521" max="11521" width="38.140625" style="1834" customWidth="1"/>
    <col min="11522" max="11522" width="10.140625" style="1834" customWidth="1"/>
    <col min="11523" max="11523" width="12.85546875" style="1834" customWidth="1"/>
    <col min="11524" max="11524" width="11.7109375" style="1834" customWidth="1"/>
    <col min="11525" max="11525" width="11.42578125" style="1834" customWidth="1"/>
    <col min="11526" max="11526" width="11.28515625" style="1834" customWidth="1"/>
    <col min="11527" max="11527" width="13.5703125" style="1834" customWidth="1"/>
    <col min="11528" max="11528" width="10.5703125" style="1834" customWidth="1"/>
    <col min="11529" max="11529" width="11.7109375" style="1834" customWidth="1"/>
    <col min="11530" max="11530" width="13.7109375" style="1834" customWidth="1"/>
    <col min="11531" max="11776" width="9.140625" style="1834"/>
    <col min="11777" max="11777" width="38.140625" style="1834" customWidth="1"/>
    <col min="11778" max="11778" width="10.140625" style="1834" customWidth="1"/>
    <col min="11779" max="11779" width="12.85546875" style="1834" customWidth="1"/>
    <col min="11780" max="11780" width="11.7109375" style="1834" customWidth="1"/>
    <col min="11781" max="11781" width="11.42578125" style="1834" customWidth="1"/>
    <col min="11782" max="11782" width="11.28515625" style="1834" customWidth="1"/>
    <col min="11783" max="11783" width="13.5703125" style="1834" customWidth="1"/>
    <col min="11784" max="11784" width="10.5703125" style="1834" customWidth="1"/>
    <col min="11785" max="11785" width="11.7109375" style="1834" customWidth="1"/>
    <col min="11786" max="11786" width="13.7109375" style="1834" customWidth="1"/>
    <col min="11787" max="12032" width="9.140625" style="1834"/>
    <col min="12033" max="12033" width="38.140625" style="1834" customWidth="1"/>
    <col min="12034" max="12034" width="10.140625" style="1834" customWidth="1"/>
    <col min="12035" max="12035" width="12.85546875" style="1834" customWidth="1"/>
    <col min="12036" max="12036" width="11.7109375" style="1834" customWidth="1"/>
    <col min="12037" max="12037" width="11.42578125" style="1834" customWidth="1"/>
    <col min="12038" max="12038" width="11.28515625" style="1834" customWidth="1"/>
    <col min="12039" max="12039" width="13.5703125" style="1834" customWidth="1"/>
    <col min="12040" max="12040" width="10.5703125" style="1834" customWidth="1"/>
    <col min="12041" max="12041" width="11.7109375" style="1834" customWidth="1"/>
    <col min="12042" max="12042" width="13.7109375" style="1834" customWidth="1"/>
    <col min="12043" max="12288" width="9.140625" style="1834"/>
    <col min="12289" max="12289" width="38.140625" style="1834" customWidth="1"/>
    <col min="12290" max="12290" width="10.140625" style="1834" customWidth="1"/>
    <col min="12291" max="12291" width="12.85546875" style="1834" customWidth="1"/>
    <col min="12292" max="12292" width="11.7109375" style="1834" customWidth="1"/>
    <col min="12293" max="12293" width="11.42578125" style="1834" customWidth="1"/>
    <col min="12294" max="12294" width="11.28515625" style="1834" customWidth="1"/>
    <col min="12295" max="12295" width="13.5703125" style="1834" customWidth="1"/>
    <col min="12296" max="12296" width="10.5703125" style="1834" customWidth="1"/>
    <col min="12297" max="12297" width="11.7109375" style="1834" customWidth="1"/>
    <col min="12298" max="12298" width="13.7109375" style="1834" customWidth="1"/>
    <col min="12299" max="12544" width="9.140625" style="1834"/>
    <col min="12545" max="12545" width="38.140625" style="1834" customWidth="1"/>
    <col min="12546" max="12546" width="10.140625" style="1834" customWidth="1"/>
    <col min="12547" max="12547" width="12.85546875" style="1834" customWidth="1"/>
    <col min="12548" max="12548" width="11.7109375" style="1834" customWidth="1"/>
    <col min="12549" max="12549" width="11.42578125" style="1834" customWidth="1"/>
    <col min="12550" max="12550" width="11.28515625" style="1834" customWidth="1"/>
    <col min="12551" max="12551" width="13.5703125" style="1834" customWidth="1"/>
    <col min="12552" max="12552" width="10.5703125" style="1834" customWidth="1"/>
    <col min="12553" max="12553" width="11.7109375" style="1834" customWidth="1"/>
    <col min="12554" max="12554" width="13.7109375" style="1834" customWidth="1"/>
    <col min="12555" max="12800" width="9.140625" style="1834"/>
    <col min="12801" max="12801" width="38.140625" style="1834" customWidth="1"/>
    <col min="12802" max="12802" width="10.140625" style="1834" customWidth="1"/>
    <col min="12803" max="12803" width="12.85546875" style="1834" customWidth="1"/>
    <col min="12804" max="12804" width="11.7109375" style="1834" customWidth="1"/>
    <col min="12805" max="12805" width="11.42578125" style="1834" customWidth="1"/>
    <col min="12806" max="12806" width="11.28515625" style="1834" customWidth="1"/>
    <col min="12807" max="12807" width="13.5703125" style="1834" customWidth="1"/>
    <col min="12808" max="12808" width="10.5703125" style="1834" customWidth="1"/>
    <col min="12809" max="12809" width="11.7109375" style="1834" customWidth="1"/>
    <col min="12810" max="12810" width="13.7109375" style="1834" customWidth="1"/>
    <col min="12811" max="13056" width="9.140625" style="1834"/>
    <col min="13057" max="13057" width="38.140625" style="1834" customWidth="1"/>
    <col min="13058" max="13058" width="10.140625" style="1834" customWidth="1"/>
    <col min="13059" max="13059" width="12.85546875" style="1834" customWidth="1"/>
    <col min="13060" max="13060" width="11.7109375" style="1834" customWidth="1"/>
    <col min="13061" max="13061" width="11.42578125" style="1834" customWidth="1"/>
    <col min="13062" max="13062" width="11.28515625" style="1834" customWidth="1"/>
    <col min="13063" max="13063" width="13.5703125" style="1834" customWidth="1"/>
    <col min="13064" max="13064" width="10.5703125" style="1834" customWidth="1"/>
    <col min="13065" max="13065" width="11.7109375" style="1834" customWidth="1"/>
    <col min="13066" max="13066" width="13.7109375" style="1834" customWidth="1"/>
    <col min="13067" max="13312" width="9.140625" style="1834"/>
    <col min="13313" max="13313" width="38.140625" style="1834" customWidth="1"/>
    <col min="13314" max="13314" width="10.140625" style="1834" customWidth="1"/>
    <col min="13315" max="13315" width="12.85546875" style="1834" customWidth="1"/>
    <col min="13316" max="13316" width="11.7109375" style="1834" customWidth="1"/>
    <col min="13317" max="13317" width="11.42578125" style="1834" customWidth="1"/>
    <col min="13318" max="13318" width="11.28515625" style="1834" customWidth="1"/>
    <col min="13319" max="13319" width="13.5703125" style="1834" customWidth="1"/>
    <col min="13320" max="13320" width="10.5703125" style="1834" customWidth="1"/>
    <col min="13321" max="13321" width="11.7109375" style="1834" customWidth="1"/>
    <col min="13322" max="13322" width="13.7109375" style="1834" customWidth="1"/>
    <col min="13323" max="13568" width="9.140625" style="1834"/>
    <col min="13569" max="13569" width="38.140625" style="1834" customWidth="1"/>
    <col min="13570" max="13570" width="10.140625" style="1834" customWidth="1"/>
    <col min="13571" max="13571" width="12.85546875" style="1834" customWidth="1"/>
    <col min="13572" max="13572" width="11.7109375" style="1834" customWidth="1"/>
    <col min="13573" max="13573" width="11.42578125" style="1834" customWidth="1"/>
    <col min="13574" max="13574" width="11.28515625" style="1834" customWidth="1"/>
    <col min="13575" max="13575" width="13.5703125" style="1834" customWidth="1"/>
    <col min="13576" max="13576" width="10.5703125" style="1834" customWidth="1"/>
    <col min="13577" max="13577" width="11.7109375" style="1834" customWidth="1"/>
    <col min="13578" max="13578" width="13.7109375" style="1834" customWidth="1"/>
    <col min="13579" max="13824" width="9.140625" style="1834"/>
    <col min="13825" max="13825" width="38.140625" style="1834" customWidth="1"/>
    <col min="13826" max="13826" width="10.140625" style="1834" customWidth="1"/>
    <col min="13827" max="13827" width="12.85546875" style="1834" customWidth="1"/>
    <col min="13828" max="13828" width="11.7109375" style="1834" customWidth="1"/>
    <col min="13829" max="13829" width="11.42578125" style="1834" customWidth="1"/>
    <col min="13830" max="13830" width="11.28515625" style="1834" customWidth="1"/>
    <col min="13831" max="13831" width="13.5703125" style="1834" customWidth="1"/>
    <col min="13832" max="13832" width="10.5703125" style="1834" customWidth="1"/>
    <col min="13833" max="13833" width="11.7109375" style="1834" customWidth="1"/>
    <col min="13834" max="13834" width="13.7109375" style="1834" customWidth="1"/>
    <col min="13835" max="14080" width="9.140625" style="1834"/>
    <col min="14081" max="14081" width="38.140625" style="1834" customWidth="1"/>
    <col min="14082" max="14082" width="10.140625" style="1834" customWidth="1"/>
    <col min="14083" max="14083" width="12.85546875" style="1834" customWidth="1"/>
    <col min="14084" max="14084" width="11.7109375" style="1834" customWidth="1"/>
    <col min="14085" max="14085" width="11.42578125" style="1834" customWidth="1"/>
    <col min="14086" max="14086" width="11.28515625" style="1834" customWidth="1"/>
    <col min="14087" max="14087" width="13.5703125" style="1834" customWidth="1"/>
    <col min="14088" max="14088" width="10.5703125" style="1834" customWidth="1"/>
    <col min="14089" max="14089" width="11.7109375" style="1834" customWidth="1"/>
    <col min="14090" max="14090" width="13.7109375" style="1834" customWidth="1"/>
    <col min="14091" max="14336" width="9.140625" style="1834"/>
    <col min="14337" max="14337" width="38.140625" style="1834" customWidth="1"/>
    <col min="14338" max="14338" width="10.140625" style="1834" customWidth="1"/>
    <col min="14339" max="14339" width="12.85546875" style="1834" customWidth="1"/>
    <col min="14340" max="14340" width="11.7109375" style="1834" customWidth="1"/>
    <col min="14341" max="14341" width="11.42578125" style="1834" customWidth="1"/>
    <col min="14342" max="14342" width="11.28515625" style="1834" customWidth="1"/>
    <col min="14343" max="14343" width="13.5703125" style="1834" customWidth="1"/>
    <col min="14344" max="14344" width="10.5703125" style="1834" customWidth="1"/>
    <col min="14345" max="14345" width="11.7109375" style="1834" customWidth="1"/>
    <col min="14346" max="14346" width="13.7109375" style="1834" customWidth="1"/>
    <col min="14347" max="14592" width="9.140625" style="1834"/>
    <col min="14593" max="14593" width="38.140625" style="1834" customWidth="1"/>
    <col min="14594" max="14594" width="10.140625" style="1834" customWidth="1"/>
    <col min="14595" max="14595" width="12.85546875" style="1834" customWidth="1"/>
    <col min="14596" max="14596" width="11.7109375" style="1834" customWidth="1"/>
    <col min="14597" max="14597" width="11.42578125" style="1834" customWidth="1"/>
    <col min="14598" max="14598" width="11.28515625" style="1834" customWidth="1"/>
    <col min="14599" max="14599" width="13.5703125" style="1834" customWidth="1"/>
    <col min="14600" max="14600" width="10.5703125" style="1834" customWidth="1"/>
    <col min="14601" max="14601" width="11.7109375" style="1834" customWidth="1"/>
    <col min="14602" max="14602" width="13.7109375" style="1834" customWidth="1"/>
    <col min="14603" max="14848" width="9.140625" style="1834"/>
    <col min="14849" max="14849" width="38.140625" style="1834" customWidth="1"/>
    <col min="14850" max="14850" width="10.140625" style="1834" customWidth="1"/>
    <col min="14851" max="14851" width="12.85546875" style="1834" customWidth="1"/>
    <col min="14852" max="14852" width="11.7109375" style="1834" customWidth="1"/>
    <col min="14853" max="14853" width="11.42578125" style="1834" customWidth="1"/>
    <col min="14854" max="14854" width="11.28515625" style="1834" customWidth="1"/>
    <col min="14855" max="14855" width="13.5703125" style="1834" customWidth="1"/>
    <col min="14856" max="14856" width="10.5703125" style="1834" customWidth="1"/>
    <col min="14857" max="14857" width="11.7109375" style="1834" customWidth="1"/>
    <col min="14858" max="14858" width="13.7109375" style="1834" customWidth="1"/>
    <col min="14859" max="15104" width="9.140625" style="1834"/>
    <col min="15105" max="15105" width="38.140625" style="1834" customWidth="1"/>
    <col min="15106" max="15106" width="10.140625" style="1834" customWidth="1"/>
    <col min="15107" max="15107" width="12.85546875" style="1834" customWidth="1"/>
    <col min="15108" max="15108" width="11.7109375" style="1834" customWidth="1"/>
    <col min="15109" max="15109" width="11.42578125" style="1834" customWidth="1"/>
    <col min="15110" max="15110" width="11.28515625" style="1834" customWidth="1"/>
    <col min="15111" max="15111" width="13.5703125" style="1834" customWidth="1"/>
    <col min="15112" max="15112" width="10.5703125" style="1834" customWidth="1"/>
    <col min="15113" max="15113" width="11.7109375" style="1834" customWidth="1"/>
    <col min="15114" max="15114" width="13.7109375" style="1834" customWidth="1"/>
    <col min="15115" max="15360" width="9.140625" style="1834"/>
    <col min="15361" max="15361" width="38.140625" style="1834" customWidth="1"/>
    <col min="15362" max="15362" width="10.140625" style="1834" customWidth="1"/>
    <col min="15363" max="15363" width="12.85546875" style="1834" customWidth="1"/>
    <col min="15364" max="15364" width="11.7109375" style="1834" customWidth="1"/>
    <col min="15365" max="15365" width="11.42578125" style="1834" customWidth="1"/>
    <col min="15366" max="15366" width="11.28515625" style="1834" customWidth="1"/>
    <col min="15367" max="15367" width="13.5703125" style="1834" customWidth="1"/>
    <col min="15368" max="15368" width="10.5703125" style="1834" customWidth="1"/>
    <col min="15369" max="15369" width="11.7109375" style="1834" customWidth="1"/>
    <col min="15370" max="15370" width="13.7109375" style="1834" customWidth="1"/>
    <col min="15371" max="15616" width="9.140625" style="1834"/>
    <col min="15617" max="15617" width="38.140625" style="1834" customWidth="1"/>
    <col min="15618" max="15618" width="10.140625" style="1834" customWidth="1"/>
    <col min="15619" max="15619" width="12.85546875" style="1834" customWidth="1"/>
    <col min="15620" max="15620" width="11.7109375" style="1834" customWidth="1"/>
    <col min="15621" max="15621" width="11.42578125" style="1834" customWidth="1"/>
    <col min="15622" max="15622" width="11.28515625" style="1834" customWidth="1"/>
    <col min="15623" max="15623" width="13.5703125" style="1834" customWidth="1"/>
    <col min="15624" max="15624" width="10.5703125" style="1834" customWidth="1"/>
    <col min="15625" max="15625" width="11.7109375" style="1834" customWidth="1"/>
    <col min="15626" max="15626" width="13.7109375" style="1834" customWidth="1"/>
    <col min="15627" max="15872" width="9.140625" style="1834"/>
    <col min="15873" max="15873" width="38.140625" style="1834" customWidth="1"/>
    <col min="15874" max="15874" width="10.140625" style="1834" customWidth="1"/>
    <col min="15875" max="15875" width="12.85546875" style="1834" customWidth="1"/>
    <col min="15876" max="15876" width="11.7109375" style="1834" customWidth="1"/>
    <col min="15877" max="15877" width="11.42578125" style="1834" customWidth="1"/>
    <col min="15878" max="15878" width="11.28515625" style="1834" customWidth="1"/>
    <col min="15879" max="15879" width="13.5703125" style="1834" customWidth="1"/>
    <col min="15880" max="15880" width="10.5703125" style="1834" customWidth="1"/>
    <col min="15881" max="15881" width="11.7109375" style="1834" customWidth="1"/>
    <col min="15882" max="15882" width="13.7109375" style="1834" customWidth="1"/>
    <col min="15883" max="16128" width="9.140625" style="1834"/>
    <col min="16129" max="16129" width="38.140625" style="1834" customWidth="1"/>
    <col min="16130" max="16130" width="10.140625" style="1834" customWidth="1"/>
    <col min="16131" max="16131" width="12.85546875" style="1834" customWidth="1"/>
    <col min="16132" max="16132" width="11.7109375" style="1834" customWidth="1"/>
    <col min="16133" max="16133" width="11.42578125" style="1834" customWidth="1"/>
    <col min="16134" max="16134" width="11.28515625" style="1834" customWidth="1"/>
    <col min="16135" max="16135" width="13.5703125" style="1834" customWidth="1"/>
    <col min="16136" max="16136" width="10.5703125" style="1834" customWidth="1"/>
    <col min="16137" max="16137" width="11.7109375" style="1834" customWidth="1"/>
    <col min="16138" max="16138" width="13.7109375" style="1834" customWidth="1"/>
    <col min="16139" max="16384" width="9.140625" style="1834"/>
  </cols>
  <sheetData>
    <row r="1" spans="1:13" ht="15" customHeight="1" x14ac:dyDescent="0.25">
      <c r="A1" s="1830" t="s">
        <v>3545</v>
      </c>
      <c r="B1" s="1831"/>
      <c r="C1" s="1832"/>
      <c r="D1" s="1833"/>
      <c r="E1" s="1832"/>
      <c r="F1" s="1832"/>
      <c r="G1" s="1832"/>
      <c r="H1" s="1832"/>
      <c r="I1" s="1832"/>
      <c r="J1" s="1832"/>
    </row>
    <row r="2" spans="1:13" ht="15.75" customHeight="1" x14ac:dyDescent="0.25">
      <c r="A2" s="1832"/>
      <c r="B2" s="1832"/>
      <c r="C2" s="1832"/>
      <c r="D2" s="1832"/>
      <c r="E2" s="1832"/>
      <c r="F2" s="1832"/>
      <c r="G2" s="1832"/>
      <c r="H2" s="1832"/>
      <c r="I2" s="1832"/>
      <c r="J2" s="1832"/>
    </row>
    <row r="3" spans="1:13" ht="16.5" customHeight="1" x14ac:dyDescent="0.25">
      <c r="A3" s="1835"/>
      <c r="B3" s="1836"/>
      <c r="C3" s="1836"/>
      <c r="D3" s="1836"/>
      <c r="E3" s="1836"/>
      <c r="F3" s="1836"/>
      <c r="G3" s="1836"/>
      <c r="H3" s="1836"/>
      <c r="I3" s="1836"/>
      <c r="J3" s="1837" t="s">
        <v>73</v>
      </c>
    </row>
    <row r="4" spans="1:13" s="1839" customFormat="1" ht="17.100000000000001" customHeight="1" x14ac:dyDescent="0.2">
      <c r="A4" s="1838" t="s">
        <v>262</v>
      </c>
      <c r="B4" s="3368" t="s">
        <v>3546</v>
      </c>
      <c r="C4" s="3369"/>
      <c r="D4" s="3370"/>
      <c r="E4" s="3374" t="s">
        <v>3547</v>
      </c>
      <c r="F4" s="3377" t="s">
        <v>3548</v>
      </c>
      <c r="G4" s="3378"/>
      <c r="H4" s="3379"/>
      <c r="I4" s="3374" t="s">
        <v>245</v>
      </c>
      <c r="J4" s="3374" t="s">
        <v>246</v>
      </c>
    </row>
    <row r="5" spans="1:13" s="1839" customFormat="1" ht="17.100000000000001" customHeight="1" x14ac:dyDescent="0.2">
      <c r="A5" s="1840"/>
      <c r="B5" s="3371"/>
      <c r="C5" s="3372"/>
      <c r="D5" s="3373"/>
      <c r="E5" s="3375"/>
      <c r="F5" s="3374" t="s">
        <v>3549</v>
      </c>
      <c r="G5" s="3374" t="s">
        <v>3550</v>
      </c>
      <c r="H5" s="3374" t="s">
        <v>245</v>
      </c>
      <c r="I5" s="3375"/>
      <c r="J5" s="3375"/>
    </row>
    <row r="6" spans="1:13" s="1839" customFormat="1" ht="39.75" customHeight="1" x14ac:dyDescent="0.2">
      <c r="A6" s="1841"/>
      <c r="B6" s="1842" t="s">
        <v>3551</v>
      </c>
      <c r="C6" s="1842" t="s">
        <v>200</v>
      </c>
      <c r="D6" s="1842" t="s">
        <v>245</v>
      </c>
      <c r="E6" s="3376"/>
      <c r="F6" s="3376"/>
      <c r="G6" s="3376"/>
      <c r="H6" s="3376"/>
      <c r="I6" s="3376"/>
      <c r="J6" s="3376"/>
    </row>
    <row r="7" spans="1:13" ht="20.25" customHeight="1" x14ac:dyDescent="0.25">
      <c r="A7" s="1843" t="s">
        <v>273</v>
      </c>
      <c r="B7" s="1844">
        <v>43.264442741172402</v>
      </c>
      <c r="C7" s="1845">
        <v>1829.7057303400529</v>
      </c>
      <c r="D7" s="1845">
        <v>0</v>
      </c>
      <c r="E7" s="1844">
        <v>97.801174400000008</v>
      </c>
      <c r="F7" s="1844">
        <v>0</v>
      </c>
      <c r="G7" s="1844">
        <v>0</v>
      </c>
      <c r="H7" s="1844">
        <v>0</v>
      </c>
      <c r="I7" s="1846">
        <v>5.0000000000000001E-4</v>
      </c>
      <c r="J7" s="1847">
        <v>1970.7718474812254</v>
      </c>
      <c r="L7" s="1848"/>
      <c r="M7" s="1849"/>
    </row>
    <row r="8" spans="1:13" ht="19.5" customHeight="1" x14ac:dyDescent="0.25">
      <c r="A8" s="1850" t="s">
        <v>284</v>
      </c>
      <c r="B8" s="1851">
        <v>405.49181543331343</v>
      </c>
      <c r="C8" s="1852">
        <v>57275.679852592744</v>
      </c>
      <c r="D8" s="1852">
        <v>10008.448133965787</v>
      </c>
      <c r="E8" s="1851">
        <v>1876.69267057</v>
      </c>
      <c r="F8" s="1851">
        <v>0</v>
      </c>
      <c r="G8" s="1851">
        <v>0</v>
      </c>
      <c r="H8" s="1851">
        <v>0</v>
      </c>
      <c r="I8" s="1846">
        <v>1.245914</v>
      </c>
      <c r="J8" s="1853">
        <v>69567.558386561854</v>
      </c>
      <c r="L8" s="1848"/>
      <c r="M8" s="1849"/>
    </row>
    <row r="9" spans="1:13" ht="21.75" customHeight="1" x14ac:dyDescent="0.25">
      <c r="A9" s="1850" t="s">
        <v>301</v>
      </c>
      <c r="B9" s="1851">
        <v>954.01442072583757</v>
      </c>
      <c r="C9" s="1852">
        <v>10852.682520036629</v>
      </c>
      <c r="D9" s="1852">
        <v>12.28791</v>
      </c>
      <c r="E9" s="1851">
        <v>228.37156343999999</v>
      </c>
      <c r="F9" s="1851">
        <v>0</v>
      </c>
      <c r="G9" s="1851">
        <v>0</v>
      </c>
      <c r="H9" s="1851">
        <v>0</v>
      </c>
      <c r="I9" s="1846">
        <v>0.59263320999999991</v>
      </c>
      <c r="J9" s="1853">
        <v>12047.949047412467</v>
      </c>
      <c r="L9" s="1848"/>
      <c r="M9" s="1849"/>
    </row>
    <row r="10" spans="1:13" ht="19.5" customHeight="1" x14ac:dyDescent="0.25">
      <c r="A10" s="1850" t="s">
        <v>308</v>
      </c>
      <c r="B10" s="1851">
        <v>129.242203100588</v>
      </c>
      <c r="C10" s="1852">
        <v>9302.6813650282147</v>
      </c>
      <c r="D10" s="1852">
        <v>0</v>
      </c>
      <c r="E10" s="1851">
        <v>8.6385430299999992</v>
      </c>
      <c r="F10" s="1851">
        <v>0</v>
      </c>
      <c r="G10" s="1851">
        <v>0</v>
      </c>
      <c r="H10" s="1851">
        <v>6.1986600000000003</v>
      </c>
      <c r="I10" s="1846">
        <v>265.65601837999998</v>
      </c>
      <c r="J10" s="1853">
        <v>9712.4167895388018</v>
      </c>
      <c r="L10" s="1848"/>
      <c r="M10" s="1849"/>
    </row>
    <row r="11" spans="1:13" ht="18.75" customHeight="1" x14ac:dyDescent="0.25">
      <c r="A11" s="1850" t="s">
        <v>312</v>
      </c>
      <c r="B11" s="1851">
        <v>1106.8926386136834</v>
      </c>
      <c r="C11" s="1852">
        <v>20434.825452148896</v>
      </c>
      <c r="D11" s="1852">
        <v>41.542126294844998</v>
      </c>
      <c r="E11" s="1851">
        <v>14.355449119999999</v>
      </c>
      <c r="F11" s="1851">
        <v>0</v>
      </c>
      <c r="G11" s="1851">
        <v>5445.08360564958</v>
      </c>
      <c r="H11" s="1851">
        <v>0</v>
      </c>
      <c r="I11" s="1846">
        <v>995.13601862999997</v>
      </c>
      <c r="J11" s="1853">
        <v>28037.835290457006</v>
      </c>
      <c r="L11" s="1848"/>
      <c r="M11" s="1849"/>
    </row>
    <row r="12" spans="1:13" ht="18.75" customHeight="1" x14ac:dyDescent="0.25">
      <c r="A12" s="1850" t="s">
        <v>324</v>
      </c>
      <c r="B12" s="1851">
        <v>563.33743635895519</v>
      </c>
      <c r="C12" s="1852">
        <v>12101.096958426349</v>
      </c>
      <c r="D12" s="1852">
        <v>13564.62539709404</v>
      </c>
      <c r="E12" s="1851">
        <v>1061.6879955999998</v>
      </c>
      <c r="F12" s="1851">
        <v>3.0079088270707057</v>
      </c>
      <c r="G12" s="1851">
        <v>189.97118797277989</v>
      </c>
      <c r="H12" s="1851">
        <v>0</v>
      </c>
      <c r="I12" s="1846">
        <v>1.7741505800000001</v>
      </c>
      <c r="J12" s="1853">
        <v>27485.501034859197</v>
      </c>
      <c r="L12" s="1848"/>
      <c r="M12" s="1849"/>
    </row>
    <row r="13" spans="1:13" ht="22.5" customHeight="1" x14ac:dyDescent="0.25">
      <c r="A13" s="1850" t="s">
        <v>335</v>
      </c>
      <c r="B13" s="1851">
        <v>1.2477348599999998</v>
      </c>
      <c r="C13" s="1852">
        <v>7746.0178845882328</v>
      </c>
      <c r="D13" s="1852">
        <v>874.38833158590421</v>
      </c>
      <c r="E13" s="1851">
        <v>8.0000000000000007E-5</v>
      </c>
      <c r="F13" s="1851">
        <v>0</v>
      </c>
      <c r="G13" s="1851">
        <v>1066.6109453657957</v>
      </c>
      <c r="H13" s="1851">
        <v>0</v>
      </c>
      <c r="I13" s="1846">
        <v>0.33469883</v>
      </c>
      <c r="J13" s="1853">
        <v>9688.5996752299325</v>
      </c>
      <c r="L13" s="1848"/>
      <c r="M13" s="1849"/>
    </row>
    <row r="14" spans="1:13" ht="18" customHeight="1" x14ac:dyDescent="0.25">
      <c r="A14" s="1850" t="s">
        <v>342</v>
      </c>
      <c r="B14" s="1851">
        <v>244.00626347061399</v>
      </c>
      <c r="C14" s="1852">
        <v>34363.359050760366</v>
      </c>
      <c r="D14" s="1852">
        <v>40856.879556947897</v>
      </c>
      <c r="E14" s="1851">
        <v>11583.214477978121</v>
      </c>
      <c r="F14" s="1851">
        <v>3234.9262927690424</v>
      </c>
      <c r="G14" s="1851">
        <v>21442.151024797819</v>
      </c>
      <c r="H14" s="1851">
        <v>8787.0210563787932</v>
      </c>
      <c r="I14" s="1846">
        <v>117.69096677</v>
      </c>
      <c r="J14" s="1853">
        <v>120629.24868987265</v>
      </c>
      <c r="L14" s="1848"/>
      <c r="M14" s="1849"/>
    </row>
    <row r="15" spans="1:13" ht="19.5" customHeight="1" x14ac:dyDescent="0.25">
      <c r="A15" s="1850" t="s">
        <v>350</v>
      </c>
      <c r="B15" s="1851">
        <v>22.047622634650004</v>
      </c>
      <c r="C15" s="1852">
        <v>8310.8573858203126</v>
      </c>
      <c r="D15" s="1852">
        <v>714.24684969000009</v>
      </c>
      <c r="E15" s="1851">
        <v>0</v>
      </c>
      <c r="F15" s="1851">
        <v>1.1548640445333334</v>
      </c>
      <c r="G15" s="1851">
        <v>6215.787151138321</v>
      </c>
      <c r="H15" s="1851">
        <v>0</v>
      </c>
      <c r="I15" s="1846">
        <v>0.33976815999999999</v>
      </c>
      <c r="J15" s="1853">
        <v>15264.433641487816</v>
      </c>
      <c r="L15" s="1848"/>
      <c r="M15" s="1849"/>
    </row>
    <row r="16" spans="1:13" ht="20.25" customHeight="1" x14ac:dyDescent="0.25">
      <c r="A16" s="1850" t="s">
        <v>3552</v>
      </c>
      <c r="B16" s="1851">
        <v>61.789327787649739</v>
      </c>
      <c r="C16" s="1852">
        <v>3205.747628556182</v>
      </c>
      <c r="D16" s="1852">
        <v>98.481489490000016</v>
      </c>
      <c r="E16" s="1851">
        <v>15.8436395</v>
      </c>
      <c r="F16" s="1851">
        <v>0</v>
      </c>
      <c r="G16" s="1851">
        <v>0</v>
      </c>
      <c r="H16" s="1851">
        <v>0</v>
      </c>
      <c r="I16" s="1846">
        <v>233.17310548000003</v>
      </c>
      <c r="J16" s="1853">
        <v>3615.0351908138318</v>
      </c>
      <c r="L16" s="1848"/>
      <c r="M16" s="1849"/>
    </row>
    <row r="17" spans="1:13" ht="21" customHeight="1" x14ac:dyDescent="0.25">
      <c r="A17" s="1850" t="s">
        <v>190</v>
      </c>
      <c r="B17" s="1854">
        <v>411.8438202210919</v>
      </c>
      <c r="C17" s="1855">
        <v>10357.098683061855</v>
      </c>
      <c r="D17" s="1855">
        <v>5384.0362574940273</v>
      </c>
      <c r="E17" s="1854">
        <v>2542.9529095500002</v>
      </c>
      <c r="F17" s="1854">
        <v>2.4325105493999999</v>
      </c>
      <c r="G17" s="1854">
        <v>15851.399135033371</v>
      </c>
      <c r="H17" s="1854">
        <v>1758.41741695</v>
      </c>
      <c r="I17" s="1846">
        <v>74.8515199</v>
      </c>
      <c r="J17" s="1853">
        <v>36383.032252759745</v>
      </c>
      <c r="L17" s="1848"/>
      <c r="M17" s="1849"/>
    </row>
    <row r="18" spans="1:13" ht="23.25" customHeight="1" x14ac:dyDescent="0.25">
      <c r="A18" s="1856" t="s">
        <v>246</v>
      </c>
      <c r="B18" s="1857">
        <v>3943.1777259475557</v>
      </c>
      <c r="C18" s="1857">
        <v>175779.75251135984</v>
      </c>
      <c r="D18" s="1857">
        <v>71554.936052562494</v>
      </c>
      <c r="E18" s="1857">
        <v>17429.55850318812</v>
      </c>
      <c r="F18" s="1857">
        <v>3241.5215761900467</v>
      </c>
      <c r="G18" s="1857">
        <v>50211.003049957668</v>
      </c>
      <c r="H18" s="1857">
        <v>10551.637133328793</v>
      </c>
      <c r="I18" s="1857">
        <v>1690.79529394</v>
      </c>
      <c r="J18" s="1857">
        <v>334402.38184647448</v>
      </c>
      <c r="L18" s="1848"/>
      <c r="M18" s="1849"/>
    </row>
    <row r="19" spans="1:13" ht="18.75" customHeight="1" x14ac:dyDescent="0.25">
      <c r="A19" s="1832"/>
      <c r="B19" s="1858"/>
      <c r="C19" s="1832"/>
      <c r="D19" s="1832"/>
      <c r="E19" s="1832"/>
      <c r="F19" s="1832"/>
      <c r="G19" s="1832"/>
      <c r="H19" s="1832"/>
      <c r="I19" s="1832"/>
      <c r="J19" s="1832"/>
    </row>
    <row r="20" spans="1:13" ht="15" customHeight="1" x14ac:dyDescent="0.25">
      <c r="A20" s="1859" t="s">
        <v>239</v>
      </c>
      <c r="B20" s="1860"/>
      <c r="C20" s="1832"/>
      <c r="D20" s="1832"/>
      <c r="E20" s="1832"/>
      <c r="F20" s="1832"/>
      <c r="G20" s="1832"/>
      <c r="H20" s="1832"/>
      <c r="I20" s="1832"/>
      <c r="J20" s="1832"/>
    </row>
    <row r="21" spans="1:13" ht="12.75" customHeight="1" x14ac:dyDescent="0.25">
      <c r="A21" s="1861" t="s">
        <v>556</v>
      </c>
      <c r="B21" s="1860"/>
      <c r="C21" s="1832"/>
      <c r="D21" s="1832"/>
      <c r="E21" s="1832"/>
      <c r="F21" s="1832"/>
      <c r="G21" s="1832"/>
      <c r="H21" s="1832"/>
      <c r="I21" s="1832"/>
      <c r="J21" s="1832"/>
    </row>
    <row r="22" spans="1:13" ht="15.75" x14ac:dyDescent="0.25">
      <c r="A22" s="1862"/>
    </row>
    <row r="23" spans="1:13" ht="15.75" x14ac:dyDescent="0.25">
      <c r="A23" s="1863"/>
      <c r="B23" s="1864"/>
      <c r="C23" s="1864"/>
      <c r="D23" s="1864"/>
      <c r="E23" s="1864"/>
      <c r="F23" s="1864"/>
      <c r="G23" s="1864"/>
      <c r="H23" s="1864"/>
      <c r="I23" s="1864"/>
      <c r="J23" s="1864"/>
    </row>
    <row r="24" spans="1:13" x14ac:dyDescent="0.25">
      <c r="A24" s="1865"/>
      <c r="C24" s="1866"/>
      <c r="D24" s="1866"/>
      <c r="E24" s="1866"/>
      <c r="F24" s="1866"/>
      <c r="G24" s="1867"/>
      <c r="H24" s="1867"/>
      <c r="I24" s="1867"/>
    </row>
    <row r="25" spans="1:13" ht="15.75" x14ac:dyDescent="0.25">
      <c r="A25" s="1862"/>
      <c r="C25" s="1866"/>
      <c r="D25" s="1866"/>
      <c r="E25" s="1866"/>
      <c r="F25" s="1866"/>
      <c r="G25" s="1867"/>
      <c r="H25" s="1867"/>
      <c r="I25" s="1867"/>
    </row>
    <row r="26" spans="1:13" ht="15.75" x14ac:dyDescent="0.25">
      <c r="A26" s="1862"/>
      <c r="C26" s="1866"/>
      <c r="D26" s="1866"/>
      <c r="E26" s="1866"/>
      <c r="F26" s="1866"/>
      <c r="G26" s="1867"/>
      <c r="H26" s="1867"/>
      <c r="I26" s="1867"/>
    </row>
    <row r="27" spans="1:13" ht="15.75" x14ac:dyDescent="0.25">
      <c r="A27" s="1862"/>
      <c r="C27" s="1866"/>
      <c r="D27" s="1866"/>
      <c r="E27" s="1866"/>
      <c r="F27" s="1866"/>
      <c r="G27" s="1867"/>
      <c r="H27" s="1867"/>
      <c r="I27" s="1867"/>
    </row>
    <row r="28" spans="1:13" ht="15.75" x14ac:dyDescent="0.25">
      <c r="A28" s="1862"/>
      <c r="C28" s="1866"/>
      <c r="D28" s="1866"/>
      <c r="E28" s="1866"/>
      <c r="F28" s="1866"/>
      <c r="G28" s="1867"/>
      <c r="H28" s="1867"/>
      <c r="I28" s="1867"/>
    </row>
    <row r="29" spans="1:13" ht="15.75" x14ac:dyDescent="0.25">
      <c r="A29" s="1862"/>
      <c r="C29" s="1866"/>
      <c r="D29" s="1866"/>
      <c r="E29" s="1866"/>
      <c r="F29" s="1866"/>
      <c r="G29" s="1867"/>
      <c r="H29" s="1867"/>
      <c r="I29" s="1867"/>
    </row>
    <row r="30" spans="1:13" ht="15.75" x14ac:dyDescent="0.25">
      <c r="A30" s="1862"/>
      <c r="C30" s="1866"/>
      <c r="D30" s="1866"/>
      <c r="E30" s="1866"/>
      <c r="F30" s="1866"/>
      <c r="G30" s="1867"/>
      <c r="H30" s="1867"/>
      <c r="I30" s="1867"/>
    </row>
    <row r="31" spans="1:13" ht="15.75" x14ac:dyDescent="0.25">
      <c r="A31" s="1862"/>
      <c r="C31" s="1866"/>
      <c r="D31" s="1866"/>
      <c r="E31" s="1866"/>
      <c r="F31" s="1866"/>
      <c r="G31" s="1867"/>
      <c r="H31" s="1867"/>
      <c r="I31" s="1867"/>
    </row>
    <row r="32" spans="1:13" ht="15.75" x14ac:dyDescent="0.25">
      <c r="A32" s="1862"/>
      <c r="C32" s="1866"/>
      <c r="D32" s="1866"/>
      <c r="E32" s="1866"/>
      <c r="F32" s="1866"/>
      <c r="G32" s="1867"/>
      <c r="H32" s="1867"/>
      <c r="I32" s="1867"/>
    </row>
    <row r="33" spans="1:9" ht="15.75" x14ac:dyDescent="0.25">
      <c r="A33" s="1862"/>
      <c r="C33" s="1866"/>
      <c r="D33" s="1866"/>
      <c r="E33" s="1866"/>
      <c r="F33" s="1866"/>
      <c r="G33" s="1867"/>
      <c r="H33" s="1867"/>
      <c r="I33" s="1867"/>
    </row>
    <row r="34" spans="1:9" ht="15.75" x14ac:dyDescent="0.25">
      <c r="A34" s="1862"/>
    </row>
    <row r="35" spans="1:9" ht="15.75" x14ac:dyDescent="0.25">
      <c r="A35" s="1862"/>
    </row>
    <row r="36" spans="1:9" ht="15.75" x14ac:dyDescent="0.25">
      <c r="A36" s="1862"/>
    </row>
    <row r="37" spans="1:9" ht="15.75" x14ac:dyDescent="0.25">
      <c r="A37" s="1862"/>
    </row>
    <row r="38" spans="1:9" ht="15.75" x14ac:dyDescent="0.25">
      <c r="A38" s="1862"/>
    </row>
    <row r="39" spans="1:9" ht="15.75" x14ac:dyDescent="0.25">
      <c r="A39" s="1862"/>
    </row>
    <row r="40" spans="1:9" ht="15.75" x14ac:dyDescent="0.25">
      <c r="A40" s="1862"/>
    </row>
    <row r="41" spans="1:9" ht="15.75" x14ac:dyDescent="0.25">
      <c r="A41" s="1862"/>
    </row>
    <row r="42" spans="1:9" ht="15.75" x14ac:dyDescent="0.25">
      <c r="A42" s="1862"/>
    </row>
    <row r="43" spans="1:9" ht="15.75" x14ac:dyDescent="0.25">
      <c r="A43" s="1862"/>
    </row>
    <row r="44" spans="1:9" ht="15.75" x14ac:dyDescent="0.25">
      <c r="A44" s="1862"/>
    </row>
    <row r="45" spans="1:9" ht="15.75" x14ac:dyDescent="0.25">
      <c r="A45" s="1862"/>
    </row>
    <row r="46" spans="1:9" ht="15.75" x14ac:dyDescent="0.25">
      <c r="A46" s="1862"/>
    </row>
    <row r="47" spans="1:9" ht="15.75" x14ac:dyDescent="0.25">
      <c r="A47" s="1862"/>
    </row>
    <row r="48" spans="1:9" ht="15.75" x14ac:dyDescent="0.25">
      <c r="A48" s="1862"/>
    </row>
    <row r="49" spans="1:1" ht="15.75" x14ac:dyDescent="0.25">
      <c r="A49" s="1862"/>
    </row>
    <row r="50" spans="1:1" ht="15.75" x14ac:dyDescent="0.25">
      <c r="A50" s="1862"/>
    </row>
    <row r="51" spans="1:1" ht="15.75" x14ac:dyDescent="0.25">
      <c r="A51" s="1862"/>
    </row>
    <row r="52" spans="1:1" ht="15.75" x14ac:dyDescent="0.25">
      <c r="A52" s="1862"/>
    </row>
    <row r="53" spans="1:1" ht="15.75" x14ac:dyDescent="0.25">
      <c r="A53" s="1862"/>
    </row>
    <row r="54" spans="1:1" ht="15.75" x14ac:dyDescent="0.25">
      <c r="A54" s="1862"/>
    </row>
    <row r="55" spans="1:1" ht="15.75" x14ac:dyDescent="0.25">
      <c r="A55" s="1862"/>
    </row>
    <row r="56" spans="1:1" ht="15.75" x14ac:dyDescent="0.25">
      <c r="A56" s="1862"/>
    </row>
    <row r="57" spans="1:1" ht="15.75" x14ac:dyDescent="0.25">
      <c r="A57" s="1862"/>
    </row>
    <row r="58" spans="1:1" ht="15.75" x14ac:dyDescent="0.25">
      <c r="A58" s="1862"/>
    </row>
    <row r="59" spans="1:1" ht="15.75" x14ac:dyDescent="0.25">
      <c r="A59" s="1862"/>
    </row>
    <row r="60" spans="1:1" ht="15.75" x14ac:dyDescent="0.25">
      <c r="A60" s="1862"/>
    </row>
    <row r="61" spans="1:1" ht="15.75" x14ac:dyDescent="0.25">
      <c r="A61" s="1862"/>
    </row>
    <row r="62" spans="1:1" ht="15.75" x14ac:dyDescent="0.25">
      <c r="A62" s="1868"/>
    </row>
    <row r="63" spans="1:1" ht="15.75" x14ac:dyDescent="0.25">
      <c r="A63" s="1868"/>
    </row>
    <row r="64" spans="1:1" ht="15.75" x14ac:dyDescent="0.25">
      <c r="A64" s="1868"/>
    </row>
    <row r="65" spans="1:1" ht="15.75" x14ac:dyDescent="0.25">
      <c r="A65" s="1868"/>
    </row>
    <row r="66" spans="1:1" ht="15.75" x14ac:dyDescent="0.25">
      <c r="A66" s="1868"/>
    </row>
    <row r="67" spans="1:1" ht="15.75" x14ac:dyDescent="0.25">
      <c r="A67" s="1868"/>
    </row>
    <row r="68" spans="1:1" ht="15.75" x14ac:dyDescent="0.25">
      <c r="A68" s="1868"/>
    </row>
    <row r="69" spans="1:1" ht="15.75" x14ac:dyDescent="0.25">
      <c r="A69" s="1868"/>
    </row>
    <row r="70" spans="1:1" ht="15.75" x14ac:dyDescent="0.25">
      <c r="A70" s="1868"/>
    </row>
    <row r="71" spans="1:1" ht="15.75" x14ac:dyDescent="0.25">
      <c r="A71" s="1868"/>
    </row>
    <row r="72" spans="1:1" ht="15.75" x14ac:dyDescent="0.25">
      <c r="A72" s="1868"/>
    </row>
    <row r="73" spans="1:1" ht="15.75" x14ac:dyDescent="0.25">
      <c r="A73" s="1868"/>
    </row>
    <row r="74" spans="1:1" ht="15.75" x14ac:dyDescent="0.25">
      <c r="A74" s="1868"/>
    </row>
    <row r="75" spans="1:1" ht="15.75" x14ac:dyDescent="0.25">
      <c r="A75" s="1868"/>
    </row>
    <row r="76" spans="1:1" ht="15.75" x14ac:dyDescent="0.25">
      <c r="A76" s="1868"/>
    </row>
  </sheetData>
  <mergeCells count="8">
    <mergeCell ref="B4:D5"/>
    <mergeCell ref="E4:E6"/>
    <mergeCell ref="F4:H4"/>
    <mergeCell ref="I4:I6"/>
    <mergeCell ref="J4:J6"/>
    <mergeCell ref="F5:F6"/>
    <mergeCell ref="G5:G6"/>
    <mergeCell ref="H5:H6"/>
  </mergeCells>
  <pageMargins left="0.7" right="0.7" top="0.75" bottom="0.75" header="0.3" footer="0.3"/>
  <pageSetup paperSize="9" scale="8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79"/>
  <sheetViews>
    <sheetView zoomScale="90" zoomScaleNormal="90" workbookViewId="0">
      <pane xSplit="1" ySplit="7" topLeftCell="B162" activePane="bottomRight" state="frozen"/>
      <selection pane="topRight" activeCell="B1" sqref="B1"/>
      <selection pane="bottomLeft" activeCell="A8" sqref="A8"/>
      <selection pane="bottomRight" activeCell="I7" sqref="I7"/>
    </sheetView>
  </sheetViews>
  <sheetFormatPr defaultRowHeight="12.75" x14ac:dyDescent="0.2"/>
  <cols>
    <col min="1" max="1" width="14.42578125" style="1910" customWidth="1"/>
    <col min="2" max="2" width="12.7109375" style="1910" customWidth="1"/>
    <col min="3" max="4" width="16.7109375" style="1911" customWidth="1"/>
    <col min="5" max="5" width="13.7109375" style="1910" customWidth="1"/>
    <col min="6" max="6" width="12.42578125" style="1910" customWidth="1"/>
    <col min="7" max="7" width="12.5703125" style="1910" customWidth="1"/>
    <col min="8" max="8" width="12.7109375" style="1910" customWidth="1"/>
    <col min="9" max="9" width="19" style="1910" customWidth="1"/>
    <col min="10" max="10" width="9.28515625" style="1910" customWidth="1"/>
    <col min="11" max="11" width="9.28515625" style="1910" bestFit="1" customWidth="1"/>
    <col min="12" max="12" width="11" style="1910" customWidth="1"/>
    <col min="13" max="13" width="9.28515625" style="1910" bestFit="1" customWidth="1"/>
    <col min="14" max="14" width="14.85546875" style="1910" bestFit="1" customWidth="1"/>
    <col min="15" max="15" width="14.5703125" style="1910" bestFit="1" customWidth="1"/>
    <col min="16" max="256" width="9.140625" style="1910"/>
    <col min="257" max="257" width="14.42578125" style="1910" customWidth="1"/>
    <col min="258" max="258" width="12.7109375" style="1910" customWidth="1"/>
    <col min="259" max="260" width="16.7109375" style="1910" customWidth="1"/>
    <col min="261" max="261" width="13.7109375" style="1910" customWidth="1"/>
    <col min="262" max="262" width="12.42578125" style="1910" customWidth="1"/>
    <col min="263" max="263" width="12.5703125" style="1910" customWidth="1"/>
    <col min="264" max="264" width="12.7109375" style="1910" customWidth="1"/>
    <col min="265" max="265" width="19" style="1910" customWidth="1"/>
    <col min="266" max="266" width="9.28515625" style="1910" customWidth="1"/>
    <col min="267" max="267" width="9.28515625" style="1910" bestFit="1" customWidth="1"/>
    <col min="268" max="268" width="11" style="1910" customWidth="1"/>
    <col min="269" max="269" width="9.28515625" style="1910" bestFit="1" customWidth="1"/>
    <col min="270" max="270" width="14.85546875" style="1910" bestFit="1" customWidth="1"/>
    <col min="271" max="271" width="14.5703125" style="1910" bestFit="1" customWidth="1"/>
    <col min="272" max="512" width="9.140625" style="1910"/>
    <col min="513" max="513" width="14.42578125" style="1910" customWidth="1"/>
    <col min="514" max="514" width="12.7109375" style="1910" customWidth="1"/>
    <col min="515" max="516" width="16.7109375" style="1910" customWidth="1"/>
    <col min="517" max="517" width="13.7109375" style="1910" customWidth="1"/>
    <col min="518" max="518" width="12.42578125" style="1910" customWidth="1"/>
    <col min="519" max="519" width="12.5703125" style="1910" customWidth="1"/>
    <col min="520" max="520" width="12.7109375" style="1910" customWidth="1"/>
    <col min="521" max="521" width="19" style="1910" customWidth="1"/>
    <col min="522" max="522" width="9.28515625" style="1910" customWidth="1"/>
    <col min="523" max="523" width="9.28515625" style="1910" bestFit="1" customWidth="1"/>
    <col min="524" max="524" width="11" style="1910" customWidth="1"/>
    <col min="525" max="525" width="9.28515625" style="1910" bestFit="1" customWidth="1"/>
    <col min="526" max="526" width="14.85546875" style="1910" bestFit="1" customWidth="1"/>
    <col min="527" max="527" width="14.5703125" style="1910" bestFit="1" customWidth="1"/>
    <col min="528" max="768" width="9.140625" style="1910"/>
    <col min="769" max="769" width="14.42578125" style="1910" customWidth="1"/>
    <col min="770" max="770" width="12.7109375" style="1910" customWidth="1"/>
    <col min="771" max="772" width="16.7109375" style="1910" customWidth="1"/>
    <col min="773" max="773" width="13.7109375" style="1910" customWidth="1"/>
    <col min="774" max="774" width="12.42578125" style="1910" customWidth="1"/>
    <col min="775" max="775" width="12.5703125" style="1910" customWidth="1"/>
    <col min="776" max="776" width="12.7109375" style="1910" customWidth="1"/>
    <col min="777" max="777" width="19" style="1910" customWidth="1"/>
    <col min="778" max="778" width="9.28515625" style="1910" customWidth="1"/>
    <col min="779" max="779" width="9.28515625" style="1910" bestFit="1" customWidth="1"/>
    <col min="780" max="780" width="11" style="1910" customWidth="1"/>
    <col min="781" max="781" width="9.28515625" style="1910" bestFit="1" customWidth="1"/>
    <col min="782" max="782" width="14.85546875" style="1910" bestFit="1" customWidth="1"/>
    <col min="783" max="783" width="14.5703125" style="1910" bestFit="1" customWidth="1"/>
    <col min="784" max="1024" width="9.140625" style="1910"/>
    <col min="1025" max="1025" width="14.42578125" style="1910" customWidth="1"/>
    <col min="1026" max="1026" width="12.7109375" style="1910" customWidth="1"/>
    <col min="1027" max="1028" width="16.7109375" style="1910" customWidth="1"/>
    <col min="1029" max="1029" width="13.7109375" style="1910" customWidth="1"/>
    <col min="1030" max="1030" width="12.42578125" style="1910" customWidth="1"/>
    <col min="1031" max="1031" width="12.5703125" style="1910" customWidth="1"/>
    <col min="1032" max="1032" width="12.7109375" style="1910" customWidth="1"/>
    <col min="1033" max="1033" width="19" style="1910" customWidth="1"/>
    <col min="1034" max="1034" width="9.28515625" style="1910" customWidth="1"/>
    <col min="1035" max="1035" width="9.28515625" style="1910" bestFit="1" customWidth="1"/>
    <col min="1036" max="1036" width="11" style="1910" customWidth="1"/>
    <col min="1037" max="1037" width="9.28515625" style="1910" bestFit="1" customWidth="1"/>
    <col min="1038" max="1038" width="14.85546875" style="1910" bestFit="1" customWidth="1"/>
    <col min="1039" max="1039" width="14.5703125" style="1910" bestFit="1" customWidth="1"/>
    <col min="1040" max="1280" width="9.140625" style="1910"/>
    <col min="1281" max="1281" width="14.42578125" style="1910" customWidth="1"/>
    <col min="1282" max="1282" width="12.7109375" style="1910" customWidth="1"/>
    <col min="1283" max="1284" width="16.7109375" style="1910" customWidth="1"/>
    <col min="1285" max="1285" width="13.7109375" style="1910" customWidth="1"/>
    <col min="1286" max="1286" width="12.42578125" style="1910" customWidth="1"/>
    <col min="1287" max="1287" width="12.5703125" style="1910" customWidth="1"/>
    <col min="1288" max="1288" width="12.7109375" style="1910" customWidth="1"/>
    <col min="1289" max="1289" width="19" style="1910" customWidth="1"/>
    <col min="1290" max="1290" width="9.28515625" style="1910" customWidth="1"/>
    <col min="1291" max="1291" width="9.28515625" style="1910" bestFit="1" customWidth="1"/>
    <col min="1292" max="1292" width="11" style="1910" customWidth="1"/>
    <col min="1293" max="1293" width="9.28515625" style="1910" bestFit="1" customWidth="1"/>
    <col min="1294" max="1294" width="14.85546875" style="1910" bestFit="1" customWidth="1"/>
    <col min="1295" max="1295" width="14.5703125" style="1910" bestFit="1" customWidth="1"/>
    <col min="1296" max="1536" width="9.140625" style="1910"/>
    <col min="1537" max="1537" width="14.42578125" style="1910" customWidth="1"/>
    <col min="1538" max="1538" width="12.7109375" style="1910" customWidth="1"/>
    <col min="1539" max="1540" width="16.7109375" style="1910" customWidth="1"/>
    <col min="1541" max="1541" width="13.7109375" style="1910" customWidth="1"/>
    <col min="1542" max="1542" width="12.42578125" style="1910" customWidth="1"/>
    <col min="1543" max="1543" width="12.5703125" style="1910" customWidth="1"/>
    <col min="1544" max="1544" width="12.7109375" style="1910" customWidth="1"/>
    <col min="1545" max="1545" width="19" style="1910" customWidth="1"/>
    <col min="1546" max="1546" width="9.28515625" style="1910" customWidth="1"/>
    <col min="1547" max="1547" width="9.28515625" style="1910" bestFit="1" customWidth="1"/>
    <col min="1548" max="1548" width="11" style="1910" customWidth="1"/>
    <col min="1549" max="1549" width="9.28515625" style="1910" bestFit="1" customWidth="1"/>
    <col min="1550" max="1550" width="14.85546875" style="1910" bestFit="1" customWidth="1"/>
    <col min="1551" max="1551" width="14.5703125" style="1910" bestFit="1" customWidth="1"/>
    <col min="1552" max="1792" width="9.140625" style="1910"/>
    <col min="1793" max="1793" width="14.42578125" style="1910" customWidth="1"/>
    <col min="1794" max="1794" width="12.7109375" style="1910" customWidth="1"/>
    <col min="1795" max="1796" width="16.7109375" style="1910" customWidth="1"/>
    <col min="1797" max="1797" width="13.7109375" style="1910" customWidth="1"/>
    <col min="1798" max="1798" width="12.42578125" style="1910" customWidth="1"/>
    <col min="1799" max="1799" width="12.5703125" style="1910" customWidth="1"/>
    <col min="1800" max="1800" width="12.7109375" style="1910" customWidth="1"/>
    <col min="1801" max="1801" width="19" style="1910" customWidth="1"/>
    <col min="1802" max="1802" width="9.28515625" style="1910" customWidth="1"/>
    <col min="1803" max="1803" width="9.28515625" style="1910" bestFit="1" customWidth="1"/>
    <col min="1804" max="1804" width="11" style="1910" customWidth="1"/>
    <col min="1805" max="1805" width="9.28515625" style="1910" bestFit="1" customWidth="1"/>
    <col min="1806" max="1806" width="14.85546875" style="1910" bestFit="1" customWidth="1"/>
    <col min="1807" max="1807" width="14.5703125" style="1910" bestFit="1" customWidth="1"/>
    <col min="1808" max="2048" width="9.140625" style="1910"/>
    <col min="2049" max="2049" width="14.42578125" style="1910" customWidth="1"/>
    <col min="2050" max="2050" width="12.7109375" style="1910" customWidth="1"/>
    <col min="2051" max="2052" width="16.7109375" style="1910" customWidth="1"/>
    <col min="2053" max="2053" width="13.7109375" style="1910" customWidth="1"/>
    <col min="2054" max="2054" width="12.42578125" style="1910" customWidth="1"/>
    <col min="2055" max="2055" width="12.5703125" style="1910" customWidth="1"/>
    <col min="2056" max="2056" width="12.7109375" style="1910" customWidth="1"/>
    <col min="2057" max="2057" width="19" style="1910" customWidth="1"/>
    <col min="2058" max="2058" width="9.28515625" style="1910" customWidth="1"/>
    <col min="2059" max="2059" width="9.28515625" style="1910" bestFit="1" customWidth="1"/>
    <col min="2060" max="2060" width="11" style="1910" customWidth="1"/>
    <col min="2061" max="2061" width="9.28515625" style="1910" bestFit="1" customWidth="1"/>
    <col min="2062" max="2062" width="14.85546875" style="1910" bestFit="1" customWidth="1"/>
    <col min="2063" max="2063" width="14.5703125" style="1910" bestFit="1" customWidth="1"/>
    <col min="2064" max="2304" width="9.140625" style="1910"/>
    <col min="2305" max="2305" width="14.42578125" style="1910" customWidth="1"/>
    <col min="2306" max="2306" width="12.7109375" style="1910" customWidth="1"/>
    <col min="2307" max="2308" width="16.7109375" style="1910" customWidth="1"/>
    <col min="2309" max="2309" width="13.7109375" style="1910" customWidth="1"/>
    <col min="2310" max="2310" width="12.42578125" style="1910" customWidth="1"/>
    <col min="2311" max="2311" width="12.5703125" style="1910" customWidth="1"/>
    <col min="2312" max="2312" width="12.7109375" style="1910" customWidth="1"/>
    <col min="2313" max="2313" width="19" style="1910" customWidth="1"/>
    <col min="2314" max="2314" width="9.28515625" style="1910" customWidth="1"/>
    <col min="2315" max="2315" width="9.28515625" style="1910" bestFit="1" customWidth="1"/>
    <col min="2316" max="2316" width="11" style="1910" customWidth="1"/>
    <col min="2317" max="2317" width="9.28515625" style="1910" bestFit="1" customWidth="1"/>
    <col min="2318" max="2318" width="14.85546875" style="1910" bestFit="1" customWidth="1"/>
    <col min="2319" max="2319" width="14.5703125" style="1910" bestFit="1" customWidth="1"/>
    <col min="2320" max="2560" width="9.140625" style="1910"/>
    <col min="2561" max="2561" width="14.42578125" style="1910" customWidth="1"/>
    <col min="2562" max="2562" width="12.7109375" style="1910" customWidth="1"/>
    <col min="2563" max="2564" width="16.7109375" style="1910" customWidth="1"/>
    <col min="2565" max="2565" width="13.7109375" style="1910" customWidth="1"/>
    <col min="2566" max="2566" width="12.42578125" style="1910" customWidth="1"/>
    <col min="2567" max="2567" width="12.5703125" style="1910" customWidth="1"/>
    <col min="2568" max="2568" width="12.7109375" style="1910" customWidth="1"/>
    <col min="2569" max="2569" width="19" style="1910" customWidth="1"/>
    <col min="2570" max="2570" width="9.28515625" style="1910" customWidth="1"/>
    <col min="2571" max="2571" width="9.28515625" style="1910" bestFit="1" customWidth="1"/>
    <col min="2572" max="2572" width="11" style="1910" customWidth="1"/>
    <col min="2573" max="2573" width="9.28515625" style="1910" bestFit="1" customWidth="1"/>
    <col min="2574" max="2574" width="14.85546875" style="1910" bestFit="1" customWidth="1"/>
    <col min="2575" max="2575" width="14.5703125" style="1910" bestFit="1" customWidth="1"/>
    <col min="2576" max="2816" width="9.140625" style="1910"/>
    <col min="2817" max="2817" width="14.42578125" style="1910" customWidth="1"/>
    <col min="2818" max="2818" width="12.7109375" style="1910" customWidth="1"/>
    <col min="2819" max="2820" width="16.7109375" style="1910" customWidth="1"/>
    <col min="2821" max="2821" width="13.7109375" style="1910" customWidth="1"/>
    <col min="2822" max="2822" width="12.42578125" style="1910" customWidth="1"/>
    <col min="2823" max="2823" width="12.5703125" style="1910" customWidth="1"/>
    <col min="2824" max="2824" width="12.7109375" style="1910" customWidth="1"/>
    <col min="2825" max="2825" width="19" style="1910" customWidth="1"/>
    <col min="2826" max="2826" width="9.28515625" style="1910" customWidth="1"/>
    <col min="2827" max="2827" width="9.28515625" style="1910" bestFit="1" customWidth="1"/>
    <col min="2828" max="2828" width="11" style="1910" customWidth="1"/>
    <col min="2829" max="2829" width="9.28515625" style="1910" bestFit="1" customWidth="1"/>
    <col min="2830" max="2830" width="14.85546875" style="1910" bestFit="1" customWidth="1"/>
    <col min="2831" max="2831" width="14.5703125" style="1910" bestFit="1" customWidth="1"/>
    <col min="2832" max="3072" width="9.140625" style="1910"/>
    <col min="3073" max="3073" width="14.42578125" style="1910" customWidth="1"/>
    <col min="3074" max="3074" width="12.7109375" style="1910" customWidth="1"/>
    <col min="3075" max="3076" width="16.7109375" style="1910" customWidth="1"/>
    <col min="3077" max="3077" width="13.7109375" style="1910" customWidth="1"/>
    <col min="3078" max="3078" width="12.42578125" style="1910" customWidth="1"/>
    <col min="3079" max="3079" width="12.5703125" style="1910" customWidth="1"/>
    <col min="3080" max="3080" width="12.7109375" style="1910" customWidth="1"/>
    <col min="3081" max="3081" width="19" style="1910" customWidth="1"/>
    <col min="3082" max="3082" width="9.28515625" style="1910" customWidth="1"/>
    <col min="3083" max="3083" width="9.28515625" style="1910" bestFit="1" customWidth="1"/>
    <col min="3084" max="3084" width="11" style="1910" customWidth="1"/>
    <col min="3085" max="3085" width="9.28515625" style="1910" bestFit="1" customWidth="1"/>
    <col min="3086" max="3086" width="14.85546875" style="1910" bestFit="1" customWidth="1"/>
    <col min="3087" max="3087" width="14.5703125" style="1910" bestFit="1" customWidth="1"/>
    <col min="3088" max="3328" width="9.140625" style="1910"/>
    <col min="3329" max="3329" width="14.42578125" style="1910" customWidth="1"/>
    <col min="3330" max="3330" width="12.7109375" style="1910" customWidth="1"/>
    <col min="3331" max="3332" width="16.7109375" style="1910" customWidth="1"/>
    <col min="3333" max="3333" width="13.7109375" style="1910" customWidth="1"/>
    <col min="3334" max="3334" width="12.42578125" style="1910" customWidth="1"/>
    <col min="3335" max="3335" width="12.5703125" style="1910" customWidth="1"/>
    <col min="3336" max="3336" width="12.7109375" style="1910" customWidth="1"/>
    <col min="3337" max="3337" width="19" style="1910" customWidth="1"/>
    <col min="3338" max="3338" width="9.28515625" style="1910" customWidth="1"/>
    <col min="3339" max="3339" width="9.28515625" style="1910" bestFit="1" customWidth="1"/>
    <col min="3340" max="3340" width="11" style="1910" customWidth="1"/>
    <col min="3341" max="3341" width="9.28515625" style="1910" bestFit="1" customWidth="1"/>
    <col min="3342" max="3342" width="14.85546875" style="1910" bestFit="1" customWidth="1"/>
    <col min="3343" max="3343" width="14.5703125" style="1910" bestFit="1" customWidth="1"/>
    <col min="3344" max="3584" width="9.140625" style="1910"/>
    <col min="3585" max="3585" width="14.42578125" style="1910" customWidth="1"/>
    <col min="3586" max="3586" width="12.7109375" style="1910" customWidth="1"/>
    <col min="3587" max="3588" width="16.7109375" style="1910" customWidth="1"/>
    <col min="3589" max="3589" width="13.7109375" style="1910" customWidth="1"/>
    <col min="3590" max="3590" width="12.42578125" style="1910" customWidth="1"/>
    <col min="3591" max="3591" width="12.5703125" style="1910" customWidth="1"/>
    <col min="3592" max="3592" width="12.7109375" style="1910" customWidth="1"/>
    <col min="3593" max="3593" width="19" style="1910" customWidth="1"/>
    <col min="3594" max="3594" width="9.28515625" style="1910" customWidth="1"/>
    <col min="3595" max="3595" width="9.28515625" style="1910" bestFit="1" customWidth="1"/>
    <col min="3596" max="3596" width="11" style="1910" customWidth="1"/>
    <col min="3597" max="3597" width="9.28515625" style="1910" bestFit="1" customWidth="1"/>
    <col min="3598" max="3598" width="14.85546875" style="1910" bestFit="1" customWidth="1"/>
    <col min="3599" max="3599" width="14.5703125" style="1910" bestFit="1" customWidth="1"/>
    <col min="3600" max="3840" width="9.140625" style="1910"/>
    <col min="3841" max="3841" width="14.42578125" style="1910" customWidth="1"/>
    <col min="3842" max="3842" width="12.7109375" style="1910" customWidth="1"/>
    <col min="3843" max="3844" width="16.7109375" style="1910" customWidth="1"/>
    <col min="3845" max="3845" width="13.7109375" style="1910" customWidth="1"/>
    <col min="3846" max="3846" width="12.42578125" style="1910" customWidth="1"/>
    <col min="3847" max="3847" width="12.5703125" style="1910" customWidth="1"/>
    <col min="3848" max="3848" width="12.7109375" style="1910" customWidth="1"/>
    <col min="3849" max="3849" width="19" style="1910" customWidth="1"/>
    <col min="3850" max="3850" width="9.28515625" style="1910" customWidth="1"/>
    <col min="3851" max="3851" width="9.28515625" style="1910" bestFit="1" customWidth="1"/>
    <col min="3852" max="3852" width="11" style="1910" customWidth="1"/>
    <col min="3853" max="3853" width="9.28515625" style="1910" bestFit="1" customWidth="1"/>
    <col min="3854" max="3854" width="14.85546875" style="1910" bestFit="1" customWidth="1"/>
    <col min="3855" max="3855" width="14.5703125" style="1910" bestFit="1" customWidth="1"/>
    <col min="3856" max="4096" width="9.140625" style="1910"/>
    <col min="4097" max="4097" width="14.42578125" style="1910" customWidth="1"/>
    <col min="4098" max="4098" width="12.7109375" style="1910" customWidth="1"/>
    <col min="4099" max="4100" width="16.7109375" style="1910" customWidth="1"/>
    <col min="4101" max="4101" width="13.7109375" style="1910" customWidth="1"/>
    <col min="4102" max="4102" width="12.42578125" style="1910" customWidth="1"/>
    <col min="4103" max="4103" width="12.5703125" style="1910" customWidth="1"/>
    <col min="4104" max="4104" width="12.7109375" style="1910" customWidth="1"/>
    <col min="4105" max="4105" width="19" style="1910" customWidth="1"/>
    <col min="4106" max="4106" width="9.28515625" style="1910" customWidth="1"/>
    <col min="4107" max="4107" width="9.28515625" style="1910" bestFit="1" customWidth="1"/>
    <col min="4108" max="4108" width="11" style="1910" customWidth="1"/>
    <col min="4109" max="4109" width="9.28515625" style="1910" bestFit="1" customWidth="1"/>
    <col min="4110" max="4110" width="14.85546875" style="1910" bestFit="1" customWidth="1"/>
    <col min="4111" max="4111" width="14.5703125" style="1910" bestFit="1" customWidth="1"/>
    <col min="4112" max="4352" width="9.140625" style="1910"/>
    <col min="4353" max="4353" width="14.42578125" style="1910" customWidth="1"/>
    <col min="4354" max="4354" width="12.7109375" style="1910" customWidth="1"/>
    <col min="4355" max="4356" width="16.7109375" style="1910" customWidth="1"/>
    <col min="4357" max="4357" width="13.7109375" style="1910" customWidth="1"/>
    <col min="4358" max="4358" width="12.42578125" style="1910" customWidth="1"/>
    <col min="4359" max="4359" width="12.5703125" style="1910" customWidth="1"/>
    <col min="4360" max="4360" width="12.7109375" style="1910" customWidth="1"/>
    <col min="4361" max="4361" width="19" style="1910" customWidth="1"/>
    <col min="4362" max="4362" width="9.28515625" style="1910" customWidth="1"/>
    <col min="4363" max="4363" width="9.28515625" style="1910" bestFit="1" customWidth="1"/>
    <col min="4364" max="4364" width="11" style="1910" customWidth="1"/>
    <col min="4365" max="4365" width="9.28515625" style="1910" bestFit="1" customWidth="1"/>
    <col min="4366" max="4366" width="14.85546875" style="1910" bestFit="1" customWidth="1"/>
    <col min="4367" max="4367" width="14.5703125" style="1910" bestFit="1" customWidth="1"/>
    <col min="4368" max="4608" width="9.140625" style="1910"/>
    <col min="4609" max="4609" width="14.42578125" style="1910" customWidth="1"/>
    <col min="4610" max="4610" width="12.7109375" style="1910" customWidth="1"/>
    <col min="4611" max="4612" width="16.7109375" style="1910" customWidth="1"/>
    <col min="4613" max="4613" width="13.7109375" style="1910" customWidth="1"/>
    <col min="4614" max="4614" width="12.42578125" style="1910" customWidth="1"/>
    <col min="4615" max="4615" width="12.5703125" style="1910" customWidth="1"/>
    <col min="4616" max="4616" width="12.7109375" style="1910" customWidth="1"/>
    <col min="4617" max="4617" width="19" style="1910" customWidth="1"/>
    <col min="4618" max="4618" width="9.28515625" style="1910" customWidth="1"/>
    <col min="4619" max="4619" width="9.28515625" style="1910" bestFit="1" customWidth="1"/>
    <col min="4620" max="4620" width="11" style="1910" customWidth="1"/>
    <col min="4621" max="4621" width="9.28515625" style="1910" bestFit="1" customWidth="1"/>
    <col min="4622" max="4622" width="14.85546875" style="1910" bestFit="1" customWidth="1"/>
    <col min="4623" max="4623" width="14.5703125" style="1910" bestFit="1" customWidth="1"/>
    <col min="4624" max="4864" width="9.140625" style="1910"/>
    <col min="4865" max="4865" width="14.42578125" style="1910" customWidth="1"/>
    <col min="4866" max="4866" width="12.7109375" style="1910" customWidth="1"/>
    <col min="4867" max="4868" width="16.7109375" style="1910" customWidth="1"/>
    <col min="4869" max="4869" width="13.7109375" style="1910" customWidth="1"/>
    <col min="4870" max="4870" width="12.42578125" style="1910" customWidth="1"/>
    <col min="4871" max="4871" width="12.5703125" style="1910" customWidth="1"/>
    <col min="4872" max="4872" width="12.7109375" style="1910" customWidth="1"/>
    <col min="4873" max="4873" width="19" style="1910" customWidth="1"/>
    <col min="4874" max="4874" width="9.28515625" style="1910" customWidth="1"/>
    <col min="4875" max="4875" width="9.28515625" style="1910" bestFit="1" customWidth="1"/>
    <col min="4876" max="4876" width="11" style="1910" customWidth="1"/>
    <col min="4877" max="4877" width="9.28515625" style="1910" bestFit="1" customWidth="1"/>
    <col min="4878" max="4878" width="14.85546875" style="1910" bestFit="1" customWidth="1"/>
    <col min="4879" max="4879" width="14.5703125" style="1910" bestFit="1" customWidth="1"/>
    <col min="4880" max="5120" width="9.140625" style="1910"/>
    <col min="5121" max="5121" width="14.42578125" style="1910" customWidth="1"/>
    <col min="5122" max="5122" width="12.7109375" style="1910" customWidth="1"/>
    <col min="5123" max="5124" width="16.7109375" style="1910" customWidth="1"/>
    <col min="5125" max="5125" width="13.7109375" style="1910" customWidth="1"/>
    <col min="5126" max="5126" width="12.42578125" style="1910" customWidth="1"/>
    <col min="5127" max="5127" width="12.5703125" style="1910" customWidth="1"/>
    <col min="5128" max="5128" width="12.7109375" style="1910" customWidth="1"/>
    <col min="5129" max="5129" width="19" style="1910" customWidth="1"/>
    <col min="5130" max="5130" width="9.28515625" style="1910" customWidth="1"/>
    <col min="5131" max="5131" width="9.28515625" style="1910" bestFit="1" customWidth="1"/>
    <col min="5132" max="5132" width="11" style="1910" customWidth="1"/>
    <col min="5133" max="5133" width="9.28515625" style="1910" bestFit="1" customWidth="1"/>
    <col min="5134" max="5134" width="14.85546875" style="1910" bestFit="1" customWidth="1"/>
    <col min="5135" max="5135" width="14.5703125" style="1910" bestFit="1" customWidth="1"/>
    <col min="5136" max="5376" width="9.140625" style="1910"/>
    <col min="5377" max="5377" width="14.42578125" style="1910" customWidth="1"/>
    <col min="5378" max="5378" width="12.7109375" style="1910" customWidth="1"/>
    <col min="5379" max="5380" width="16.7109375" style="1910" customWidth="1"/>
    <col min="5381" max="5381" width="13.7109375" style="1910" customWidth="1"/>
    <col min="5382" max="5382" width="12.42578125" style="1910" customWidth="1"/>
    <col min="5383" max="5383" width="12.5703125" style="1910" customWidth="1"/>
    <col min="5384" max="5384" width="12.7109375" style="1910" customWidth="1"/>
    <col min="5385" max="5385" width="19" style="1910" customWidth="1"/>
    <col min="5386" max="5386" width="9.28515625" style="1910" customWidth="1"/>
    <col min="5387" max="5387" width="9.28515625" style="1910" bestFit="1" customWidth="1"/>
    <col min="5388" max="5388" width="11" style="1910" customWidth="1"/>
    <col min="5389" max="5389" width="9.28515625" style="1910" bestFit="1" customWidth="1"/>
    <col min="5390" max="5390" width="14.85546875" style="1910" bestFit="1" customWidth="1"/>
    <col min="5391" max="5391" width="14.5703125" style="1910" bestFit="1" customWidth="1"/>
    <col min="5392" max="5632" width="9.140625" style="1910"/>
    <col min="5633" max="5633" width="14.42578125" style="1910" customWidth="1"/>
    <col min="5634" max="5634" width="12.7109375" style="1910" customWidth="1"/>
    <col min="5635" max="5636" width="16.7109375" style="1910" customWidth="1"/>
    <col min="5637" max="5637" width="13.7109375" style="1910" customWidth="1"/>
    <col min="5638" max="5638" width="12.42578125" style="1910" customWidth="1"/>
    <col min="5639" max="5639" width="12.5703125" style="1910" customWidth="1"/>
    <col min="5640" max="5640" width="12.7109375" style="1910" customWidth="1"/>
    <col min="5641" max="5641" width="19" style="1910" customWidth="1"/>
    <col min="5642" max="5642" width="9.28515625" style="1910" customWidth="1"/>
    <col min="5643" max="5643" width="9.28515625" style="1910" bestFit="1" customWidth="1"/>
    <col min="5644" max="5644" width="11" style="1910" customWidth="1"/>
    <col min="5645" max="5645" width="9.28515625" style="1910" bestFit="1" customWidth="1"/>
    <col min="5646" max="5646" width="14.85546875" style="1910" bestFit="1" customWidth="1"/>
    <col min="5647" max="5647" width="14.5703125" style="1910" bestFit="1" customWidth="1"/>
    <col min="5648" max="5888" width="9.140625" style="1910"/>
    <col min="5889" max="5889" width="14.42578125" style="1910" customWidth="1"/>
    <col min="5890" max="5890" width="12.7109375" style="1910" customWidth="1"/>
    <col min="5891" max="5892" width="16.7109375" style="1910" customWidth="1"/>
    <col min="5893" max="5893" width="13.7109375" style="1910" customWidth="1"/>
    <col min="5894" max="5894" width="12.42578125" style="1910" customWidth="1"/>
    <col min="5895" max="5895" width="12.5703125" style="1910" customWidth="1"/>
    <col min="5896" max="5896" width="12.7109375" style="1910" customWidth="1"/>
    <col min="5897" max="5897" width="19" style="1910" customWidth="1"/>
    <col min="5898" max="5898" width="9.28515625" style="1910" customWidth="1"/>
    <col min="5899" max="5899" width="9.28515625" style="1910" bestFit="1" customWidth="1"/>
    <col min="5900" max="5900" width="11" style="1910" customWidth="1"/>
    <col min="5901" max="5901" width="9.28515625" style="1910" bestFit="1" customWidth="1"/>
    <col min="5902" max="5902" width="14.85546875" style="1910" bestFit="1" customWidth="1"/>
    <col min="5903" max="5903" width="14.5703125" style="1910" bestFit="1" customWidth="1"/>
    <col min="5904" max="6144" width="9.140625" style="1910"/>
    <col min="6145" max="6145" width="14.42578125" style="1910" customWidth="1"/>
    <col min="6146" max="6146" width="12.7109375" style="1910" customWidth="1"/>
    <col min="6147" max="6148" width="16.7109375" style="1910" customWidth="1"/>
    <col min="6149" max="6149" width="13.7109375" style="1910" customWidth="1"/>
    <col min="6150" max="6150" width="12.42578125" style="1910" customWidth="1"/>
    <col min="6151" max="6151" width="12.5703125" style="1910" customWidth="1"/>
    <col min="6152" max="6152" width="12.7109375" style="1910" customWidth="1"/>
    <col min="6153" max="6153" width="19" style="1910" customWidth="1"/>
    <col min="6154" max="6154" width="9.28515625" style="1910" customWidth="1"/>
    <col min="6155" max="6155" width="9.28515625" style="1910" bestFit="1" customWidth="1"/>
    <col min="6156" max="6156" width="11" style="1910" customWidth="1"/>
    <col min="6157" max="6157" width="9.28515625" style="1910" bestFit="1" customWidth="1"/>
    <col min="6158" max="6158" width="14.85546875" style="1910" bestFit="1" customWidth="1"/>
    <col min="6159" max="6159" width="14.5703125" style="1910" bestFit="1" customWidth="1"/>
    <col min="6160" max="6400" width="9.140625" style="1910"/>
    <col min="6401" max="6401" width="14.42578125" style="1910" customWidth="1"/>
    <col min="6402" max="6402" width="12.7109375" style="1910" customWidth="1"/>
    <col min="6403" max="6404" width="16.7109375" style="1910" customWidth="1"/>
    <col min="6405" max="6405" width="13.7109375" style="1910" customWidth="1"/>
    <col min="6406" max="6406" width="12.42578125" style="1910" customWidth="1"/>
    <col min="6407" max="6407" width="12.5703125" style="1910" customWidth="1"/>
    <col min="6408" max="6408" width="12.7109375" style="1910" customWidth="1"/>
    <col min="6409" max="6409" width="19" style="1910" customWidth="1"/>
    <col min="6410" max="6410" width="9.28515625" style="1910" customWidth="1"/>
    <col min="6411" max="6411" width="9.28515625" style="1910" bestFit="1" customWidth="1"/>
    <col min="6412" max="6412" width="11" style="1910" customWidth="1"/>
    <col min="6413" max="6413" width="9.28515625" style="1910" bestFit="1" customWidth="1"/>
    <col min="6414" max="6414" width="14.85546875" style="1910" bestFit="1" customWidth="1"/>
    <col min="6415" max="6415" width="14.5703125" style="1910" bestFit="1" customWidth="1"/>
    <col min="6416" max="6656" width="9.140625" style="1910"/>
    <col min="6657" max="6657" width="14.42578125" style="1910" customWidth="1"/>
    <col min="6658" max="6658" width="12.7109375" style="1910" customWidth="1"/>
    <col min="6659" max="6660" width="16.7109375" style="1910" customWidth="1"/>
    <col min="6661" max="6661" width="13.7109375" style="1910" customWidth="1"/>
    <col min="6662" max="6662" width="12.42578125" style="1910" customWidth="1"/>
    <col min="6663" max="6663" width="12.5703125" style="1910" customWidth="1"/>
    <col min="6664" max="6664" width="12.7109375" style="1910" customWidth="1"/>
    <col min="6665" max="6665" width="19" style="1910" customWidth="1"/>
    <col min="6666" max="6666" width="9.28515625" style="1910" customWidth="1"/>
    <col min="6667" max="6667" width="9.28515625" style="1910" bestFit="1" customWidth="1"/>
    <col min="6668" max="6668" width="11" style="1910" customWidth="1"/>
    <col min="6669" max="6669" width="9.28515625" style="1910" bestFit="1" customWidth="1"/>
    <col min="6670" max="6670" width="14.85546875" style="1910" bestFit="1" customWidth="1"/>
    <col min="6671" max="6671" width="14.5703125" style="1910" bestFit="1" customWidth="1"/>
    <col min="6672" max="6912" width="9.140625" style="1910"/>
    <col min="6913" max="6913" width="14.42578125" style="1910" customWidth="1"/>
    <col min="6914" max="6914" width="12.7109375" style="1910" customWidth="1"/>
    <col min="6915" max="6916" width="16.7109375" style="1910" customWidth="1"/>
    <col min="6917" max="6917" width="13.7109375" style="1910" customWidth="1"/>
    <col min="6918" max="6918" width="12.42578125" style="1910" customWidth="1"/>
    <col min="6919" max="6919" width="12.5703125" style="1910" customWidth="1"/>
    <col min="6920" max="6920" width="12.7109375" style="1910" customWidth="1"/>
    <col min="6921" max="6921" width="19" style="1910" customWidth="1"/>
    <col min="6922" max="6922" width="9.28515625" style="1910" customWidth="1"/>
    <col min="6923" max="6923" width="9.28515625" style="1910" bestFit="1" customWidth="1"/>
    <col min="6924" max="6924" width="11" style="1910" customWidth="1"/>
    <col min="6925" max="6925" width="9.28515625" style="1910" bestFit="1" customWidth="1"/>
    <col min="6926" max="6926" width="14.85546875" style="1910" bestFit="1" customWidth="1"/>
    <col min="6927" max="6927" width="14.5703125" style="1910" bestFit="1" customWidth="1"/>
    <col min="6928" max="7168" width="9.140625" style="1910"/>
    <col min="7169" max="7169" width="14.42578125" style="1910" customWidth="1"/>
    <col min="7170" max="7170" width="12.7109375" style="1910" customWidth="1"/>
    <col min="7171" max="7172" width="16.7109375" style="1910" customWidth="1"/>
    <col min="7173" max="7173" width="13.7109375" style="1910" customWidth="1"/>
    <col min="7174" max="7174" width="12.42578125" style="1910" customWidth="1"/>
    <col min="7175" max="7175" width="12.5703125" style="1910" customWidth="1"/>
    <col min="7176" max="7176" width="12.7109375" style="1910" customWidth="1"/>
    <col min="7177" max="7177" width="19" style="1910" customWidth="1"/>
    <col min="7178" max="7178" width="9.28515625" style="1910" customWidth="1"/>
    <col min="7179" max="7179" width="9.28515625" style="1910" bestFit="1" customWidth="1"/>
    <col min="7180" max="7180" width="11" style="1910" customWidth="1"/>
    <col min="7181" max="7181" width="9.28515625" style="1910" bestFit="1" customWidth="1"/>
    <col min="7182" max="7182" width="14.85546875" style="1910" bestFit="1" customWidth="1"/>
    <col min="7183" max="7183" width="14.5703125" style="1910" bestFit="1" customWidth="1"/>
    <col min="7184" max="7424" width="9.140625" style="1910"/>
    <col min="7425" max="7425" width="14.42578125" style="1910" customWidth="1"/>
    <col min="7426" max="7426" width="12.7109375" style="1910" customWidth="1"/>
    <col min="7427" max="7428" width="16.7109375" style="1910" customWidth="1"/>
    <col min="7429" max="7429" width="13.7109375" style="1910" customWidth="1"/>
    <col min="7430" max="7430" width="12.42578125" style="1910" customWidth="1"/>
    <col min="7431" max="7431" width="12.5703125" style="1910" customWidth="1"/>
    <col min="7432" max="7432" width="12.7109375" style="1910" customWidth="1"/>
    <col min="7433" max="7433" width="19" style="1910" customWidth="1"/>
    <col min="7434" max="7434" width="9.28515625" style="1910" customWidth="1"/>
    <col min="7435" max="7435" width="9.28515625" style="1910" bestFit="1" customWidth="1"/>
    <col min="7436" max="7436" width="11" style="1910" customWidth="1"/>
    <col min="7437" max="7437" width="9.28515625" style="1910" bestFit="1" customWidth="1"/>
    <col min="7438" max="7438" width="14.85546875" style="1910" bestFit="1" customWidth="1"/>
    <col min="7439" max="7439" width="14.5703125" style="1910" bestFit="1" customWidth="1"/>
    <col min="7440" max="7680" width="9.140625" style="1910"/>
    <col min="7681" max="7681" width="14.42578125" style="1910" customWidth="1"/>
    <col min="7682" max="7682" width="12.7109375" style="1910" customWidth="1"/>
    <col min="7683" max="7684" width="16.7109375" style="1910" customWidth="1"/>
    <col min="7685" max="7685" width="13.7109375" style="1910" customWidth="1"/>
    <col min="7686" max="7686" width="12.42578125" style="1910" customWidth="1"/>
    <col min="7687" max="7687" width="12.5703125" style="1910" customWidth="1"/>
    <col min="7688" max="7688" width="12.7109375" style="1910" customWidth="1"/>
    <col min="7689" max="7689" width="19" style="1910" customWidth="1"/>
    <col min="7690" max="7690" width="9.28515625" style="1910" customWidth="1"/>
    <col min="7691" max="7691" width="9.28515625" style="1910" bestFit="1" customWidth="1"/>
    <col min="7692" max="7692" width="11" style="1910" customWidth="1"/>
    <col min="7693" max="7693" width="9.28515625" style="1910" bestFit="1" customWidth="1"/>
    <col min="7694" max="7694" width="14.85546875" style="1910" bestFit="1" customWidth="1"/>
    <col min="7695" max="7695" width="14.5703125" style="1910" bestFit="1" customWidth="1"/>
    <col min="7696" max="7936" width="9.140625" style="1910"/>
    <col min="7937" max="7937" width="14.42578125" style="1910" customWidth="1"/>
    <col min="7938" max="7938" width="12.7109375" style="1910" customWidth="1"/>
    <col min="7939" max="7940" width="16.7109375" style="1910" customWidth="1"/>
    <col min="7941" max="7941" width="13.7109375" style="1910" customWidth="1"/>
    <col min="7942" max="7942" width="12.42578125" style="1910" customWidth="1"/>
    <col min="7943" max="7943" width="12.5703125" style="1910" customWidth="1"/>
    <col min="7944" max="7944" width="12.7109375" style="1910" customWidth="1"/>
    <col min="7945" max="7945" width="19" style="1910" customWidth="1"/>
    <col min="7946" max="7946" width="9.28515625" style="1910" customWidth="1"/>
    <col min="7947" max="7947" width="9.28515625" style="1910" bestFit="1" customWidth="1"/>
    <col min="7948" max="7948" width="11" style="1910" customWidth="1"/>
    <col min="7949" max="7949" width="9.28515625" style="1910" bestFit="1" customWidth="1"/>
    <col min="7950" max="7950" width="14.85546875" style="1910" bestFit="1" customWidth="1"/>
    <col min="7951" max="7951" width="14.5703125" style="1910" bestFit="1" customWidth="1"/>
    <col min="7952" max="8192" width="9.140625" style="1910"/>
    <col min="8193" max="8193" width="14.42578125" style="1910" customWidth="1"/>
    <col min="8194" max="8194" width="12.7109375" style="1910" customWidth="1"/>
    <col min="8195" max="8196" width="16.7109375" style="1910" customWidth="1"/>
    <col min="8197" max="8197" width="13.7109375" style="1910" customWidth="1"/>
    <col min="8198" max="8198" width="12.42578125" style="1910" customWidth="1"/>
    <col min="8199" max="8199" width="12.5703125" style="1910" customWidth="1"/>
    <col min="8200" max="8200" width="12.7109375" style="1910" customWidth="1"/>
    <col min="8201" max="8201" width="19" style="1910" customWidth="1"/>
    <col min="8202" max="8202" width="9.28515625" style="1910" customWidth="1"/>
    <col min="8203" max="8203" width="9.28515625" style="1910" bestFit="1" customWidth="1"/>
    <col min="8204" max="8204" width="11" style="1910" customWidth="1"/>
    <col min="8205" max="8205" width="9.28515625" style="1910" bestFit="1" customWidth="1"/>
    <col min="8206" max="8206" width="14.85546875" style="1910" bestFit="1" customWidth="1"/>
    <col min="8207" max="8207" width="14.5703125" style="1910" bestFit="1" customWidth="1"/>
    <col min="8208" max="8448" width="9.140625" style="1910"/>
    <col min="8449" max="8449" width="14.42578125" style="1910" customWidth="1"/>
    <col min="8450" max="8450" width="12.7109375" style="1910" customWidth="1"/>
    <col min="8451" max="8452" width="16.7109375" style="1910" customWidth="1"/>
    <col min="8453" max="8453" width="13.7109375" style="1910" customWidth="1"/>
    <col min="8454" max="8454" width="12.42578125" style="1910" customWidth="1"/>
    <col min="8455" max="8455" width="12.5703125" style="1910" customWidth="1"/>
    <col min="8456" max="8456" width="12.7109375" style="1910" customWidth="1"/>
    <col min="8457" max="8457" width="19" style="1910" customWidth="1"/>
    <col min="8458" max="8458" width="9.28515625" style="1910" customWidth="1"/>
    <col min="8459" max="8459" width="9.28515625" style="1910" bestFit="1" customWidth="1"/>
    <col min="8460" max="8460" width="11" style="1910" customWidth="1"/>
    <col min="8461" max="8461" width="9.28515625" style="1910" bestFit="1" customWidth="1"/>
    <col min="8462" max="8462" width="14.85546875" style="1910" bestFit="1" customWidth="1"/>
    <col min="8463" max="8463" width="14.5703125" style="1910" bestFit="1" customWidth="1"/>
    <col min="8464" max="8704" width="9.140625" style="1910"/>
    <col min="8705" max="8705" width="14.42578125" style="1910" customWidth="1"/>
    <col min="8706" max="8706" width="12.7109375" style="1910" customWidth="1"/>
    <col min="8707" max="8708" width="16.7109375" style="1910" customWidth="1"/>
    <col min="8709" max="8709" width="13.7109375" style="1910" customWidth="1"/>
    <col min="8710" max="8710" width="12.42578125" style="1910" customWidth="1"/>
    <col min="8711" max="8711" width="12.5703125" style="1910" customWidth="1"/>
    <col min="8712" max="8712" width="12.7109375" style="1910" customWidth="1"/>
    <col min="8713" max="8713" width="19" style="1910" customWidth="1"/>
    <col min="8714" max="8714" width="9.28515625" style="1910" customWidth="1"/>
    <col min="8715" max="8715" width="9.28515625" style="1910" bestFit="1" customWidth="1"/>
    <col min="8716" max="8716" width="11" style="1910" customWidth="1"/>
    <col min="8717" max="8717" width="9.28515625" style="1910" bestFit="1" customWidth="1"/>
    <col min="8718" max="8718" width="14.85546875" style="1910" bestFit="1" customWidth="1"/>
    <col min="8719" max="8719" width="14.5703125" style="1910" bestFit="1" customWidth="1"/>
    <col min="8720" max="8960" width="9.140625" style="1910"/>
    <col min="8961" max="8961" width="14.42578125" style="1910" customWidth="1"/>
    <col min="8962" max="8962" width="12.7109375" style="1910" customWidth="1"/>
    <col min="8963" max="8964" width="16.7109375" style="1910" customWidth="1"/>
    <col min="8965" max="8965" width="13.7109375" style="1910" customWidth="1"/>
    <col min="8966" max="8966" width="12.42578125" style="1910" customWidth="1"/>
    <col min="8967" max="8967" width="12.5703125" style="1910" customWidth="1"/>
    <col min="8968" max="8968" width="12.7109375" style="1910" customWidth="1"/>
    <col min="8969" max="8969" width="19" style="1910" customWidth="1"/>
    <col min="8970" max="8970" width="9.28515625" style="1910" customWidth="1"/>
    <col min="8971" max="8971" width="9.28515625" style="1910" bestFit="1" customWidth="1"/>
    <col min="8972" max="8972" width="11" style="1910" customWidth="1"/>
    <col min="8973" max="8973" width="9.28515625" style="1910" bestFit="1" customWidth="1"/>
    <col min="8974" max="8974" width="14.85546875" style="1910" bestFit="1" customWidth="1"/>
    <col min="8975" max="8975" width="14.5703125" style="1910" bestFit="1" customWidth="1"/>
    <col min="8976" max="9216" width="9.140625" style="1910"/>
    <col min="9217" max="9217" width="14.42578125" style="1910" customWidth="1"/>
    <col min="9218" max="9218" width="12.7109375" style="1910" customWidth="1"/>
    <col min="9219" max="9220" width="16.7109375" style="1910" customWidth="1"/>
    <col min="9221" max="9221" width="13.7109375" style="1910" customWidth="1"/>
    <col min="9222" max="9222" width="12.42578125" style="1910" customWidth="1"/>
    <col min="9223" max="9223" width="12.5703125" style="1910" customWidth="1"/>
    <col min="9224" max="9224" width="12.7109375" style="1910" customWidth="1"/>
    <col min="9225" max="9225" width="19" style="1910" customWidth="1"/>
    <col min="9226" max="9226" width="9.28515625" style="1910" customWidth="1"/>
    <col min="9227" max="9227" width="9.28515625" style="1910" bestFit="1" customWidth="1"/>
    <col min="9228" max="9228" width="11" style="1910" customWidth="1"/>
    <col min="9229" max="9229" width="9.28515625" style="1910" bestFit="1" customWidth="1"/>
    <col min="9230" max="9230" width="14.85546875" style="1910" bestFit="1" customWidth="1"/>
    <col min="9231" max="9231" width="14.5703125" style="1910" bestFit="1" customWidth="1"/>
    <col min="9232" max="9472" width="9.140625" style="1910"/>
    <col min="9473" max="9473" width="14.42578125" style="1910" customWidth="1"/>
    <col min="9474" max="9474" width="12.7109375" style="1910" customWidth="1"/>
    <col min="9475" max="9476" width="16.7109375" style="1910" customWidth="1"/>
    <col min="9477" max="9477" width="13.7109375" style="1910" customWidth="1"/>
    <col min="9478" max="9478" width="12.42578125" style="1910" customWidth="1"/>
    <col min="9479" max="9479" width="12.5703125" style="1910" customWidth="1"/>
    <col min="9480" max="9480" width="12.7109375" style="1910" customWidth="1"/>
    <col min="9481" max="9481" width="19" style="1910" customWidth="1"/>
    <col min="9482" max="9482" width="9.28515625" style="1910" customWidth="1"/>
    <col min="9483" max="9483" width="9.28515625" style="1910" bestFit="1" customWidth="1"/>
    <col min="9484" max="9484" width="11" style="1910" customWidth="1"/>
    <col min="9485" max="9485" width="9.28515625" style="1910" bestFit="1" customWidth="1"/>
    <col min="9486" max="9486" width="14.85546875" style="1910" bestFit="1" customWidth="1"/>
    <col min="9487" max="9487" width="14.5703125" style="1910" bestFit="1" customWidth="1"/>
    <col min="9488" max="9728" width="9.140625" style="1910"/>
    <col min="9729" max="9729" width="14.42578125" style="1910" customWidth="1"/>
    <col min="9730" max="9730" width="12.7109375" style="1910" customWidth="1"/>
    <col min="9731" max="9732" width="16.7109375" style="1910" customWidth="1"/>
    <col min="9733" max="9733" width="13.7109375" style="1910" customWidth="1"/>
    <col min="9734" max="9734" width="12.42578125" style="1910" customWidth="1"/>
    <col min="9735" max="9735" width="12.5703125" style="1910" customWidth="1"/>
    <col min="9736" max="9736" width="12.7109375" style="1910" customWidth="1"/>
    <col min="9737" max="9737" width="19" style="1910" customWidth="1"/>
    <col min="9738" max="9738" width="9.28515625" style="1910" customWidth="1"/>
    <col min="9739" max="9739" width="9.28515625" style="1910" bestFit="1" customWidth="1"/>
    <col min="9740" max="9740" width="11" style="1910" customWidth="1"/>
    <col min="9741" max="9741" width="9.28515625" style="1910" bestFit="1" customWidth="1"/>
    <col min="9742" max="9742" width="14.85546875" style="1910" bestFit="1" customWidth="1"/>
    <col min="9743" max="9743" width="14.5703125" style="1910" bestFit="1" customWidth="1"/>
    <col min="9744" max="9984" width="9.140625" style="1910"/>
    <col min="9985" max="9985" width="14.42578125" style="1910" customWidth="1"/>
    <col min="9986" max="9986" width="12.7109375" style="1910" customWidth="1"/>
    <col min="9987" max="9988" width="16.7109375" style="1910" customWidth="1"/>
    <col min="9989" max="9989" width="13.7109375" style="1910" customWidth="1"/>
    <col min="9990" max="9990" width="12.42578125" style="1910" customWidth="1"/>
    <col min="9991" max="9991" width="12.5703125" style="1910" customWidth="1"/>
    <col min="9992" max="9992" width="12.7109375" style="1910" customWidth="1"/>
    <col min="9993" max="9993" width="19" style="1910" customWidth="1"/>
    <col min="9994" max="9994" width="9.28515625" style="1910" customWidth="1"/>
    <col min="9995" max="9995" width="9.28515625" style="1910" bestFit="1" customWidth="1"/>
    <col min="9996" max="9996" width="11" style="1910" customWidth="1"/>
    <col min="9997" max="9997" width="9.28515625" style="1910" bestFit="1" customWidth="1"/>
    <col min="9998" max="9998" width="14.85546875" style="1910" bestFit="1" customWidth="1"/>
    <col min="9999" max="9999" width="14.5703125" style="1910" bestFit="1" customWidth="1"/>
    <col min="10000" max="10240" width="9.140625" style="1910"/>
    <col min="10241" max="10241" width="14.42578125" style="1910" customWidth="1"/>
    <col min="10242" max="10242" width="12.7109375" style="1910" customWidth="1"/>
    <col min="10243" max="10244" width="16.7109375" style="1910" customWidth="1"/>
    <col min="10245" max="10245" width="13.7109375" style="1910" customWidth="1"/>
    <col min="10246" max="10246" width="12.42578125" style="1910" customWidth="1"/>
    <col min="10247" max="10247" width="12.5703125" style="1910" customWidth="1"/>
    <col min="10248" max="10248" width="12.7109375" style="1910" customWidth="1"/>
    <col min="10249" max="10249" width="19" style="1910" customWidth="1"/>
    <col min="10250" max="10250" width="9.28515625" style="1910" customWidth="1"/>
    <col min="10251" max="10251" width="9.28515625" style="1910" bestFit="1" customWidth="1"/>
    <col min="10252" max="10252" width="11" style="1910" customWidth="1"/>
    <col min="10253" max="10253" width="9.28515625" style="1910" bestFit="1" customWidth="1"/>
    <col min="10254" max="10254" width="14.85546875" style="1910" bestFit="1" customWidth="1"/>
    <col min="10255" max="10255" width="14.5703125" style="1910" bestFit="1" customWidth="1"/>
    <col min="10256" max="10496" width="9.140625" style="1910"/>
    <col min="10497" max="10497" width="14.42578125" style="1910" customWidth="1"/>
    <col min="10498" max="10498" width="12.7109375" style="1910" customWidth="1"/>
    <col min="10499" max="10500" width="16.7109375" style="1910" customWidth="1"/>
    <col min="10501" max="10501" width="13.7109375" style="1910" customWidth="1"/>
    <col min="10502" max="10502" width="12.42578125" style="1910" customWidth="1"/>
    <col min="10503" max="10503" width="12.5703125" style="1910" customWidth="1"/>
    <col min="10504" max="10504" width="12.7109375" style="1910" customWidth="1"/>
    <col min="10505" max="10505" width="19" style="1910" customWidth="1"/>
    <col min="10506" max="10506" width="9.28515625" style="1910" customWidth="1"/>
    <col min="10507" max="10507" width="9.28515625" style="1910" bestFit="1" customWidth="1"/>
    <col min="10508" max="10508" width="11" style="1910" customWidth="1"/>
    <col min="10509" max="10509" width="9.28515625" style="1910" bestFit="1" customWidth="1"/>
    <col min="10510" max="10510" width="14.85546875" style="1910" bestFit="1" customWidth="1"/>
    <col min="10511" max="10511" width="14.5703125" style="1910" bestFit="1" customWidth="1"/>
    <col min="10512" max="10752" width="9.140625" style="1910"/>
    <col min="10753" max="10753" width="14.42578125" style="1910" customWidth="1"/>
    <col min="10754" max="10754" width="12.7109375" style="1910" customWidth="1"/>
    <col min="10755" max="10756" width="16.7109375" style="1910" customWidth="1"/>
    <col min="10757" max="10757" width="13.7109375" style="1910" customWidth="1"/>
    <col min="10758" max="10758" width="12.42578125" style="1910" customWidth="1"/>
    <col min="10759" max="10759" width="12.5703125" style="1910" customWidth="1"/>
    <col min="10760" max="10760" width="12.7109375" style="1910" customWidth="1"/>
    <col min="10761" max="10761" width="19" style="1910" customWidth="1"/>
    <col min="10762" max="10762" width="9.28515625" style="1910" customWidth="1"/>
    <col min="10763" max="10763" width="9.28515625" style="1910" bestFit="1" customWidth="1"/>
    <col min="10764" max="10764" width="11" style="1910" customWidth="1"/>
    <col min="10765" max="10765" width="9.28515625" style="1910" bestFit="1" customWidth="1"/>
    <col min="10766" max="10766" width="14.85546875" style="1910" bestFit="1" customWidth="1"/>
    <col min="10767" max="10767" width="14.5703125" style="1910" bestFit="1" customWidth="1"/>
    <col min="10768" max="11008" width="9.140625" style="1910"/>
    <col min="11009" max="11009" width="14.42578125" style="1910" customWidth="1"/>
    <col min="11010" max="11010" width="12.7109375" style="1910" customWidth="1"/>
    <col min="11011" max="11012" width="16.7109375" style="1910" customWidth="1"/>
    <col min="11013" max="11013" width="13.7109375" style="1910" customWidth="1"/>
    <col min="11014" max="11014" width="12.42578125" style="1910" customWidth="1"/>
    <col min="11015" max="11015" width="12.5703125" style="1910" customWidth="1"/>
    <col min="11016" max="11016" width="12.7109375" style="1910" customWidth="1"/>
    <col min="11017" max="11017" width="19" style="1910" customWidth="1"/>
    <col min="11018" max="11018" width="9.28515625" style="1910" customWidth="1"/>
    <col min="11019" max="11019" width="9.28515625" style="1910" bestFit="1" customWidth="1"/>
    <col min="11020" max="11020" width="11" style="1910" customWidth="1"/>
    <col min="11021" max="11021" width="9.28515625" style="1910" bestFit="1" customWidth="1"/>
    <col min="11022" max="11022" width="14.85546875" style="1910" bestFit="1" customWidth="1"/>
    <col min="11023" max="11023" width="14.5703125" style="1910" bestFit="1" customWidth="1"/>
    <col min="11024" max="11264" width="9.140625" style="1910"/>
    <col min="11265" max="11265" width="14.42578125" style="1910" customWidth="1"/>
    <col min="11266" max="11266" width="12.7109375" style="1910" customWidth="1"/>
    <col min="11267" max="11268" width="16.7109375" style="1910" customWidth="1"/>
    <col min="11269" max="11269" width="13.7109375" style="1910" customWidth="1"/>
    <col min="11270" max="11270" width="12.42578125" style="1910" customWidth="1"/>
    <col min="11271" max="11271" width="12.5703125" style="1910" customWidth="1"/>
    <col min="11272" max="11272" width="12.7109375" style="1910" customWidth="1"/>
    <col min="11273" max="11273" width="19" style="1910" customWidth="1"/>
    <col min="11274" max="11274" width="9.28515625" style="1910" customWidth="1"/>
    <col min="11275" max="11275" width="9.28515625" style="1910" bestFit="1" customWidth="1"/>
    <col min="11276" max="11276" width="11" style="1910" customWidth="1"/>
    <col min="11277" max="11277" width="9.28515625" style="1910" bestFit="1" customWidth="1"/>
    <col min="11278" max="11278" width="14.85546875" style="1910" bestFit="1" customWidth="1"/>
    <col min="11279" max="11279" width="14.5703125" style="1910" bestFit="1" customWidth="1"/>
    <col min="11280" max="11520" width="9.140625" style="1910"/>
    <col min="11521" max="11521" width="14.42578125" style="1910" customWidth="1"/>
    <col min="11522" max="11522" width="12.7109375" style="1910" customWidth="1"/>
    <col min="11523" max="11524" width="16.7109375" style="1910" customWidth="1"/>
    <col min="11525" max="11525" width="13.7109375" style="1910" customWidth="1"/>
    <col min="11526" max="11526" width="12.42578125" style="1910" customWidth="1"/>
    <col min="11527" max="11527" width="12.5703125" style="1910" customWidth="1"/>
    <col min="11528" max="11528" width="12.7109375" style="1910" customWidth="1"/>
    <col min="11529" max="11529" width="19" style="1910" customWidth="1"/>
    <col min="11530" max="11530" width="9.28515625" style="1910" customWidth="1"/>
    <col min="11531" max="11531" width="9.28515625" style="1910" bestFit="1" customWidth="1"/>
    <col min="11532" max="11532" width="11" style="1910" customWidth="1"/>
    <col min="11533" max="11533" width="9.28515625" style="1910" bestFit="1" customWidth="1"/>
    <col min="11534" max="11534" width="14.85546875" style="1910" bestFit="1" customWidth="1"/>
    <col min="11535" max="11535" width="14.5703125" style="1910" bestFit="1" customWidth="1"/>
    <col min="11536" max="11776" width="9.140625" style="1910"/>
    <col min="11777" max="11777" width="14.42578125" style="1910" customWidth="1"/>
    <col min="11778" max="11778" width="12.7109375" style="1910" customWidth="1"/>
    <col min="11779" max="11780" width="16.7109375" style="1910" customWidth="1"/>
    <col min="11781" max="11781" width="13.7109375" style="1910" customWidth="1"/>
    <col min="11782" max="11782" width="12.42578125" style="1910" customWidth="1"/>
    <col min="11783" max="11783" width="12.5703125" style="1910" customWidth="1"/>
    <col min="11784" max="11784" width="12.7109375" style="1910" customWidth="1"/>
    <col min="11785" max="11785" width="19" style="1910" customWidth="1"/>
    <col min="11786" max="11786" width="9.28515625" style="1910" customWidth="1"/>
    <col min="11787" max="11787" width="9.28515625" style="1910" bestFit="1" customWidth="1"/>
    <col min="11788" max="11788" width="11" style="1910" customWidth="1"/>
    <col min="11789" max="11789" width="9.28515625" style="1910" bestFit="1" customWidth="1"/>
    <col min="11790" max="11790" width="14.85546875" style="1910" bestFit="1" customWidth="1"/>
    <col min="11791" max="11791" width="14.5703125" style="1910" bestFit="1" customWidth="1"/>
    <col min="11792" max="12032" width="9.140625" style="1910"/>
    <col min="12033" max="12033" width="14.42578125" style="1910" customWidth="1"/>
    <col min="12034" max="12034" width="12.7109375" style="1910" customWidth="1"/>
    <col min="12035" max="12036" width="16.7109375" style="1910" customWidth="1"/>
    <col min="12037" max="12037" width="13.7109375" style="1910" customWidth="1"/>
    <col min="12038" max="12038" width="12.42578125" style="1910" customWidth="1"/>
    <col min="12039" max="12039" width="12.5703125" style="1910" customWidth="1"/>
    <col min="12040" max="12040" width="12.7109375" style="1910" customWidth="1"/>
    <col min="12041" max="12041" width="19" style="1910" customWidth="1"/>
    <col min="12042" max="12042" width="9.28515625" style="1910" customWidth="1"/>
    <col min="12043" max="12043" width="9.28515625" style="1910" bestFit="1" customWidth="1"/>
    <col min="12044" max="12044" width="11" style="1910" customWidth="1"/>
    <col min="12045" max="12045" width="9.28515625" style="1910" bestFit="1" customWidth="1"/>
    <col min="12046" max="12046" width="14.85546875" style="1910" bestFit="1" customWidth="1"/>
    <col min="12047" max="12047" width="14.5703125" style="1910" bestFit="1" customWidth="1"/>
    <col min="12048" max="12288" width="9.140625" style="1910"/>
    <col min="12289" max="12289" width="14.42578125" style="1910" customWidth="1"/>
    <col min="12290" max="12290" width="12.7109375" style="1910" customWidth="1"/>
    <col min="12291" max="12292" width="16.7109375" style="1910" customWidth="1"/>
    <col min="12293" max="12293" width="13.7109375" style="1910" customWidth="1"/>
    <col min="12294" max="12294" width="12.42578125" style="1910" customWidth="1"/>
    <col min="12295" max="12295" width="12.5703125" style="1910" customWidth="1"/>
    <col min="12296" max="12296" width="12.7109375" style="1910" customWidth="1"/>
    <col min="12297" max="12297" width="19" style="1910" customWidth="1"/>
    <col min="12298" max="12298" width="9.28515625" style="1910" customWidth="1"/>
    <col min="12299" max="12299" width="9.28515625" style="1910" bestFit="1" customWidth="1"/>
    <col min="12300" max="12300" width="11" style="1910" customWidth="1"/>
    <col min="12301" max="12301" width="9.28515625" style="1910" bestFit="1" customWidth="1"/>
    <col min="12302" max="12302" width="14.85546875" style="1910" bestFit="1" customWidth="1"/>
    <col min="12303" max="12303" width="14.5703125" style="1910" bestFit="1" customWidth="1"/>
    <col min="12304" max="12544" width="9.140625" style="1910"/>
    <col min="12545" max="12545" width="14.42578125" style="1910" customWidth="1"/>
    <col min="12546" max="12546" width="12.7109375" style="1910" customWidth="1"/>
    <col min="12547" max="12548" width="16.7109375" style="1910" customWidth="1"/>
    <col min="12549" max="12549" width="13.7109375" style="1910" customWidth="1"/>
    <col min="12550" max="12550" width="12.42578125" style="1910" customWidth="1"/>
    <col min="12551" max="12551" width="12.5703125" style="1910" customWidth="1"/>
    <col min="12552" max="12552" width="12.7109375" style="1910" customWidth="1"/>
    <col min="12553" max="12553" width="19" style="1910" customWidth="1"/>
    <col min="12554" max="12554" width="9.28515625" style="1910" customWidth="1"/>
    <col min="12555" max="12555" width="9.28515625" style="1910" bestFit="1" customWidth="1"/>
    <col min="12556" max="12556" width="11" style="1910" customWidth="1"/>
    <col min="12557" max="12557" width="9.28515625" style="1910" bestFit="1" customWidth="1"/>
    <col min="12558" max="12558" width="14.85546875" style="1910" bestFit="1" customWidth="1"/>
    <col min="12559" max="12559" width="14.5703125" style="1910" bestFit="1" customWidth="1"/>
    <col min="12560" max="12800" width="9.140625" style="1910"/>
    <col min="12801" max="12801" width="14.42578125" style="1910" customWidth="1"/>
    <col min="12802" max="12802" width="12.7109375" style="1910" customWidth="1"/>
    <col min="12803" max="12804" width="16.7109375" style="1910" customWidth="1"/>
    <col min="12805" max="12805" width="13.7109375" style="1910" customWidth="1"/>
    <col min="12806" max="12806" width="12.42578125" style="1910" customWidth="1"/>
    <col min="12807" max="12807" width="12.5703125" style="1910" customWidth="1"/>
    <col min="12808" max="12808" width="12.7109375" style="1910" customWidth="1"/>
    <col min="12809" max="12809" width="19" style="1910" customWidth="1"/>
    <col min="12810" max="12810" width="9.28515625" style="1910" customWidth="1"/>
    <col min="12811" max="12811" width="9.28515625" style="1910" bestFit="1" customWidth="1"/>
    <col min="12812" max="12812" width="11" style="1910" customWidth="1"/>
    <col min="12813" max="12813" width="9.28515625" style="1910" bestFit="1" customWidth="1"/>
    <col min="12814" max="12814" width="14.85546875" style="1910" bestFit="1" customWidth="1"/>
    <col min="12815" max="12815" width="14.5703125" style="1910" bestFit="1" customWidth="1"/>
    <col min="12816" max="13056" width="9.140625" style="1910"/>
    <col min="13057" max="13057" width="14.42578125" style="1910" customWidth="1"/>
    <col min="13058" max="13058" width="12.7109375" style="1910" customWidth="1"/>
    <col min="13059" max="13060" width="16.7109375" style="1910" customWidth="1"/>
    <col min="13061" max="13061" width="13.7109375" style="1910" customWidth="1"/>
    <col min="13062" max="13062" width="12.42578125" style="1910" customWidth="1"/>
    <col min="13063" max="13063" width="12.5703125" style="1910" customWidth="1"/>
    <col min="13064" max="13064" width="12.7109375" style="1910" customWidth="1"/>
    <col min="13065" max="13065" width="19" style="1910" customWidth="1"/>
    <col min="13066" max="13066" width="9.28515625" style="1910" customWidth="1"/>
    <col min="13067" max="13067" width="9.28515625" style="1910" bestFit="1" customWidth="1"/>
    <col min="13068" max="13068" width="11" style="1910" customWidth="1"/>
    <col min="13069" max="13069" width="9.28515625" style="1910" bestFit="1" customWidth="1"/>
    <col min="13070" max="13070" width="14.85546875" style="1910" bestFit="1" customWidth="1"/>
    <col min="13071" max="13071" width="14.5703125" style="1910" bestFit="1" customWidth="1"/>
    <col min="13072" max="13312" width="9.140625" style="1910"/>
    <col min="13313" max="13313" width="14.42578125" style="1910" customWidth="1"/>
    <col min="13314" max="13314" width="12.7109375" style="1910" customWidth="1"/>
    <col min="13315" max="13316" width="16.7109375" style="1910" customWidth="1"/>
    <col min="13317" max="13317" width="13.7109375" style="1910" customWidth="1"/>
    <col min="13318" max="13318" width="12.42578125" style="1910" customWidth="1"/>
    <col min="13319" max="13319" width="12.5703125" style="1910" customWidth="1"/>
    <col min="13320" max="13320" width="12.7109375" style="1910" customWidth="1"/>
    <col min="13321" max="13321" width="19" style="1910" customWidth="1"/>
    <col min="13322" max="13322" width="9.28515625" style="1910" customWidth="1"/>
    <col min="13323" max="13323" width="9.28515625" style="1910" bestFit="1" customWidth="1"/>
    <col min="13324" max="13324" width="11" style="1910" customWidth="1"/>
    <col min="13325" max="13325" width="9.28515625" style="1910" bestFit="1" customWidth="1"/>
    <col min="13326" max="13326" width="14.85546875" style="1910" bestFit="1" customWidth="1"/>
    <col min="13327" max="13327" width="14.5703125" style="1910" bestFit="1" customWidth="1"/>
    <col min="13328" max="13568" width="9.140625" style="1910"/>
    <col min="13569" max="13569" width="14.42578125" style="1910" customWidth="1"/>
    <col min="13570" max="13570" width="12.7109375" style="1910" customWidth="1"/>
    <col min="13571" max="13572" width="16.7109375" style="1910" customWidth="1"/>
    <col min="13573" max="13573" width="13.7109375" style="1910" customWidth="1"/>
    <col min="13574" max="13574" width="12.42578125" style="1910" customWidth="1"/>
    <col min="13575" max="13575" width="12.5703125" style="1910" customWidth="1"/>
    <col min="13576" max="13576" width="12.7109375" style="1910" customWidth="1"/>
    <col min="13577" max="13577" width="19" style="1910" customWidth="1"/>
    <col min="13578" max="13578" width="9.28515625" style="1910" customWidth="1"/>
    <col min="13579" max="13579" width="9.28515625" style="1910" bestFit="1" customWidth="1"/>
    <col min="13580" max="13580" width="11" style="1910" customWidth="1"/>
    <col min="13581" max="13581" width="9.28515625" style="1910" bestFit="1" customWidth="1"/>
    <col min="13582" max="13582" width="14.85546875" style="1910" bestFit="1" customWidth="1"/>
    <col min="13583" max="13583" width="14.5703125" style="1910" bestFit="1" customWidth="1"/>
    <col min="13584" max="13824" width="9.140625" style="1910"/>
    <col min="13825" max="13825" width="14.42578125" style="1910" customWidth="1"/>
    <col min="13826" max="13826" width="12.7109375" style="1910" customWidth="1"/>
    <col min="13827" max="13828" width="16.7109375" style="1910" customWidth="1"/>
    <col min="13829" max="13829" width="13.7109375" style="1910" customWidth="1"/>
    <col min="13830" max="13830" width="12.42578125" style="1910" customWidth="1"/>
    <col min="13831" max="13831" width="12.5703125" style="1910" customWidth="1"/>
    <col min="13832" max="13832" width="12.7109375" style="1910" customWidth="1"/>
    <col min="13833" max="13833" width="19" style="1910" customWidth="1"/>
    <col min="13834" max="13834" width="9.28515625" style="1910" customWidth="1"/>
    <col min="13835" max="13835" width="9.28515625" style="1910" bestFit="1" customWidth="1"/>
    <col min="13836" max="13836" width="11" style="1910" customWidth="1"/>
    <col min="13837" max="13837" width="9.28515625" style="1910" bestFit="1" customWidth="1"/>
    <col min="13838" max="13838" width="14.85546875" style="1910" bestFit="1" customWidth="1"/>
    <col min="13839" max="13839" width="14.5703125" style="1910" bestFit="1" customWidth="1"/>
    <col min="13840" max="14080" width="9.140625" style="1910"/>
    <col min="14081" max="14081" width="14.42578125" style="1910" customWidth="1"/>
    <col min="14082" max="14082" width="12.7109375" style="1910" customWidth="1"/>
    <col min="14083" max="14084" width="16.7109375" style="1910" customWidth="1"/>
    <col min="14085" max="14085" width="13.7109375" style="1910" customWidth="1"/>
    <col min="14086" max="14086" width="12.42578125" style="1910" customWidth="1"/>
    <col min="14087" max="14087" width="12.5703125" style="1910" customWidth="1"/>
    <col min="14088" max="14088" width="12.7109375" style="1910" customWidth="1"/>
    <col min="14089" max="14089" width="19" style="1910" customWidth="1"/>
    <col min="14090" max="14090" width="9.28515625" style="1910" customWidth="1"/>
    <col min="14091" max="14091" width="9.28515625" style="1910" bestFit="1" customWidth="1"/>
    <col min="14092" max="14092" width="11" style="1910" customWidth="1"/>
    <col min="14093" max="14093" width="9.28515625" style="1910" bestFit="1" customWidth="1"/>
    <col min="14094" max="14094" width="14.85546875" style="1910" bestFit="1" customWidth="1"/>
    <col min="14095" max="14095" width="14.5703125" style="1910" bestFit="1" customWidth="1"/>
    <col min="14096" max="14336" width="9.140625" style="1910"/>
    <col min="14337" max="14337" width="14.42578125" style="1910" customWidth="1"/>
    <col min="14338" max="14338" width="12.7109375" style="1910" customWidth="1"/>
    <col min="14339" max="14340" width="16.7109375" style="1910" customWidth="1"/>
    <col min="14341" max="14341" width="13.7109375" style="1910" customWidth="1"/>
    <col min="14342" max="14342" width="12.42578125" style="1910" customWidth="1"/>
    <col min="14343" max="14343" width="12.5703125" style="1910" customWidth="1"/>
    <col min="14344" max="14344" width="12.7109375" style="1910" customWidth="1"/>
    <col min="14345" max="14345" width="19" style="1910" customWidth="1"/>
    <col min="14346" max="14346" width="9.28515625" style="1910" customWidth="1"/>
    <col min="14347" max="14347" width="9.28515625" style="1910" bestFit="1" customWidth="1"/>
    <col min="14348" max="14348" width="11" style="1910" customWidth="1"/>
    <col min="14349" max="14349" width="9.28515625" style="1910" bestFit="1" customWidth="1"/>
    <col min="14350" max="14350" width="14.85546875" style="1910" bestFit="1" customWidth="1"/>
    <col min="14351" max="14351" width="14.5703125" style="1910" bestFit="1" customWidth="1"/>
    <col min="14352" max="14592" width="9.140625" style="1910"/>
    <col min="14593" max="14593" width="14.42578125" style="1910" customWidth="1"/>
    <col min="14594" max="14594" width="12.7109375" style="1910" customWidth="1"/>
    <col min="14595" max="14596" width="16.7109375" style="1910" customWidth="1"/>
    <col min="14597" max="14597" width="13.7109375" style="1910" customWidth="1"/>
    <col min="14598" max="14598" width="12.42578125" style="1910" customWidth="1"/>
    <col min="14599" max="14599" width="12.5703125" style="1910" customWidth="1"/>
    <col min="14600" max="14600" width="12.7109375" style="1910" customWidth="1"/>
    <col min="14601" max="14601" width="19" style="1910" customWidth="1"/>
    <col min="14602" max="14602" width="9.28515625" style="1910" customWidth="1"/>
    <col min="14603" max="14603" width="9.28515625" style="1910" bestFit="1" customWidth="1"/>
    <col min="14604" max="14604" width="11" style="1910" customWidth="1"/>
    <col min="14605" max="14605" width="9.28515625" style="1910" bestFit="1" customWidth="1"/>
    <col min="14606" max="14606" width="14.85546875" style="1910" bestFit="1" customWidth="1"/>
    <col min="14607" max="14607" width="14.5703125" style="1910" bestFit="1" customWidth="1"/>
    <col min="14608" max="14848" width="9.140625" style="1910"/>
    <col min="14849" max="14849" width="14.42578125" style="1910" customWidth="1"/>
    <col min="14850" max="14850" width="12.7109375" style="1910" customWidth="1"/>
    <col min="14851" max="14852" width="16.7109375" style="1910" customWidth="1"/>
    <col min="14853" max="14853" width="13.7109375" style="1910" customWidth="1"/>
    <col min="14854" max="14854" width="12.42578125" style="1910" customWidth="1"/>
    <col min="14855" max="14855" width="12.5703125" style="1910" customWidth="1"/>
    <col min="14856" max="14856" width="12.7109375" style="1910" customWidth="1"/>
    <col min="14857" max="14857" width="19" style="1910" customWidth="1"/>
    <col min="14858" max="14858" width="9.28515625" style="1910" customWidth="1"/>
    <col min="14859" max="14859" width="9.28515625" style="1910" bestFit="1" customWidth="1"/>
    <col min="14860" max="14860" width="11" style="1910" customWidth="1"/>
    <col min="14861" max="14861" width="9.28515625" style="1910" bestFit="1" customWidth="1"/>
    <col min="14862" max="14862" width="14.85546875" style="1910" bestFit="1" customWidth="1"/>
    <col min="14863" max="14863" width="14.5703125" style="1910" bestFit="1" customWidth="1"/>
    <col min="14864" max="15104" width="9.140625" style="1910"/>
    <col min="15105" max="15105" width="14.42578125" style="1910" customWidth="1"/>
    <col min="15106" max="15106" width="12.7109375" style="1910" customWidth="1"/>
    <col min="15107" max="15108" width="16.7109375" style="1910" customWidth="1"/>
    <col min="15109" max="15109" width="13.7109375" style="1910" customWidth="1"/>
    <col min="15110" max="15110" width="12.42578125" style="1910" customWidth="1"/>
    <col min="15111" max="15111" width="12.5703125" style="1910" customWidth="1"/>
    <col min="15112" max="15112" width="12.7109375" style="1910" customWidth="1"/>
    <col min="15113" max="15113" width="19" style="1910" customWidth="1"/>
    <col min="15114" max="15114" width="9.28515625" style="1910" customWidth="1"/>
    <col min="15115" max="15115" width="9.28515625" style="1910" bestFit="1" customWidth="1"/>
    <col min="15116" max="15116" width="11" style="1910" customWidth="1"/>
    <col min="15117" max="15117" width="9.28515625" style="1910" bestFit="1" customWidth="1"/>
    <col min="15118" max="15118" width="14.85546875" style="1910" bestFit="1" customWidth="1"/>
    <col min="15119" max="15119" width="14.5703125" style="1910" bestFit="1" customWidth="1"/>
    <col min="15120" max="15360" width="9.140625" style="1910"/>
    <col min="15361" max="15361" width="14.42578125" style="1910" customWidth="1"/>
    <col min="15362" max="15362" width="12.7109375" style="1910" customWidth="1"/>
    <col min="15363" max="15364" width="16.7109375" style="1910" customWidth="1"/>
    <col min="15365" max="15365" width="13.7109375" style="1910" customWidth="1"/>
    <col min="15366" max="15366" width="12.42578125" style="1910" customWidth="1"/>
    <col min="15367" max="15367" width="12.5703125" style="1910" customWidth="1"/>
    <col min="15368" max="15368" width="12.7109375" style="1910" customWidth="1"/>
    <col min="15369" max="15369" width="19" style="1910" customWidth="1"/>
    <col min="15370" max="15370" width="9.28515625" style="1910" customWidth="1"/>
    <col min="15371" max="15371" width="9.28515625" style="1910" bestFit="1" customWidth="1"/>
    <col min="15372" max="15372" width="11" style="1910" customWidth="1"/>
    <col min="15373" max="15373" width="9.28515625" style="1910" bestFit="1" customWidth="1"/>
    <col min="15374" max="15374" width="14.85546875" style="1910" bestFit="1" customWidth="1"/>
    <col min="15375" max="15375" width="14.5703125" style="1910" bestFit="1" customWidth="1"/>
    <col min="15376" max="15616" width="9.140625" style="1910"/>
    <col min="15617" max="15617" width="14.42578125" style="1910" customWidth="1"/>
    <col min="15618" max="15618" width="12.7109375" style="1910" customWidth="1"/>
    <col min="15619" max="15620" width="16.7109375" style="1910" customWidth="1"/>
    <col min="15621" max="15621" width="13.7109375" style="1910" customWidth="1"/>
    <col min="15622" max="15622" width="12.42578125" style="1910" customWidth="1"/>
    <col min="15623" max="15623" width="12.5703125" style="1910" customWidth="1"/>
    <col min="15624" max="15624" width="12.7109375" style="1910" customWidth="1"/>
    <col min="15625" max="15625" width="19" style="1910" customWidth="1"/>
    <col min="15626" max="15626" width="9.28515625" style="1910" customWidth="1"/>
    <col min="15627" max="15627" width="9.28515625" style="1910" bestFit="1" customWidth="1"/>
    <col min="15628" max="15628" width="11" style="1910" customWidth="1"/>
    <col min="15629" max="15629" width="9.28515625" style="1910" bestFit="1" customWidth="1"/>
    <col min="15630" max="15630" width="14.85546875" style="1910" bestFit="1" customWidth="1"/>
    <col min="15631" max="15631" width="14.5703125" style="1910" bestFit="1" customWidth="1"/>
    <col min="15632" max="15872" width="9.140625" style="1910"/>
    <col min="15873" max="15873" width="14.42578125" style="1910" customWidth="1"/>
    <col min="15874" max="15874" width="12.7109375" style="1910" customWidth="1"/>
    <col min="15875" max="15876" width="16.7109375" style="1910" customWidth="1"/>
    <col min="15877" max="15877" width="13.7109375" style="1910" customWidth="1"/>
    <col min="15878" max="15878" width="12.42578125" style="1910" customWidth="1"/>
    <col min="15879" max="15879" width="12.5703125" style="1910" customWidth="1"/>
    <col min="15880" max="15880" width="12.7109375" style="1910" customWidth="1"/>
    <col min="15881" max="15881" width="19" style="1910" customWidth="1"/>
    <col min="15882" max="15882" width="9.28515625" style="1910" customWidth="1"/>
    <col min="15883" max="15883" width="9.28515625" style="1910" bestFit="1" customWidth="1"/>
    <col min="15884" max="15884" width="11" style="1910" customWidth="1"/>
    <col min="15885" max="15885" width="9.28515625" style="1910" bestFit="1" customWidth="1"/>
    <col min="15886" max="15886" width="14.85546875" style="1910" bestFit="1" customWidth="1"/>
    <col min="15887" max="15887" width="14.5703125" style="1910" bestFit="1" customWidth="1"/>
    <col min="15888" max="16128" width="9.140625" style="1910"/>
    <col min="16129" max="16129" width="14.42578125" style="1910" customWidth="1"/>
    <col min="16130" max="16130" width="12.7109375" style="1910" customWidth="1"/>
    <col min="16131" max="16132" width="16.7109375" style="1910" customWidth="1"/>
    <col min="16133" max="16133" width="13.7109375" style="1910" customWidth="1"/>
    <col min="16134" max="16134" width="12.42578125" style="1910" customWidth="1"/>
    <col min="16135" max="16135" width="12.5703125" style="1910" customWidth="1"/>
    <col min="16136" max="16136" width="12.7109375" style="1910" customWidth="1"/>
    <col min="16137" max="16137" width="19" style="1910" customWidth="1"/>
    <col min="16138" max="16138" width="9.28515625" style="1910" customWidth="1"/>
    <col min="16139" max="16139" width="9.28515625" style="1910" bestFit="1" customWidth="1"/>
    <col min="16140" max="16140" width="11" style="1910" customWidth="1"/>
    <col min="16141" max="16141" width="9.28515625" style="1910" bestFit="1" customWidth="1"/>
    <col min="16142" max="16142" width="14.85546875" style="1910" bestFit="1" customWidth="1"/>
    <col min="16143" max="16143" width="14.5703125" style="1910" bestFit="1" customWidth="1"/>
    <col min="16144" max="16384" width="9.140625" style="1910"/>
  </cols>
  <sheetData>
    <row r="1" spans="1:8" s="1908" customFormat="1" ht="18.75" customHeight="1" x14ac:dyDescent="0.2">
      <c r="A1" s="1907" t="s">
        <v>3580</v>
      </c>
      <c r="C1" s="1909"/>
      <c r="D1" s="1909"/>
    </row>
    <row r="2" spans="1:8" ht="7.5" customHeight="1" thickBot="1" x14ac:dyDescent="0.25">
      <c r="F2" s="1912"/>
    </row>
    <row r="3" spans="1:8" ht="13.5" thickBot="1" x14ac:dyDescent="0.25">
      <c r="A3" s="1913"/>
      <c r="B3" s="3381" t="s">
        <v>3581</v>
      </c>
      <c r="C3" s="3382"/>
      <c r="D3" s="3382"/>
      <c r="E3" s="3382"/>
      <c r="F3" s="3382"/>
      <c r="G3" s="3382"/>
      <c r="H3" s="3383"/>
    </row>
    <row r="4" spans="1:8" ht="12.75" customHeight="1" thickBot="1" x14ac:dyDescent="0.25">
      <c r="A4" s="1914" t="s">
        <v>211</v>
      </c>
      <c r="B4" s="1915" t="s">
        <v>761</v>
      </c>
      <c r="C4" s="1916"/>
      <c r="D4" s="1917"/>
      <c r="E4" s="3384" t="s">
        <v>1273</v>
      </c>
      <c r="F4" s="3384"/>
      <c r="G4" s="3384"/>
      <c r="H4" s="3385"/>
    </row>
    <row r="5" spans="1:8" ht="12.75" customHeight="1" x14ac:dyDescent="0.2">
      <c r="A5" s="1914"/>
      <c r="B5" s="1918" t="s">
        <v>193</v>
      </c>
      <c r="C5" s="1913" t="s">
        <v>3582</v>
      </c>
      <c r="D5" s="1915" t="s">
        <v>3582</v>
      </c>
      <c r="E5" s="1919" t="s">
        <v>3583</v>
      </c>
      <c r="F5" s="1919" t="s">
        <v>3584</v>
      </c>
      <c r="G5" s="1913" t="s">
        <v>3585</v>
      </c>
      <c r="H5" s="1913" t="s">
        <v>3586</v>
      </c>
    </row>
    <row r="6" spans="1:8" ht="15" customHeight="1" x14ac:dyDescent="0.2">
      <c r="A6" s="1914"/>
      <c r="B6" s="1918" t="s">
        <v>3587</v>
      </c>
      <c r="C6" s="1920" t="s">
        <v>3588</v>
      </c>
      <c r="D6" s="1918" t="s">
        <v>3589</v>
      </c>
      <c r="E6" s="1918" t="s">
        <v>3590</v>
      </c>
      <c r="F6" s="1921"/>
      <c r="G6" s="1920" t="s">
        <v>773</v>
      </c>
      <c r="H6" s="1920" t="s">
        <v>773</v>
      </c>
    </row>
    <row r="7" spans="1:8" ht="12.75" customHeight="1" thickBot="1" x14ac:dyDescent="0.25">
      <c r="A7" s="1922"/>
      <c r="B7" s="1923"/>
      <c r="C7" s="1924"/>
      <c r="D7" s="1923"/>
      <c r="E7" s="1923"/>
      <c r="F7" s="1925" t="s">
        <v>25</v>
      </c>
      <c r="G7" s="1924" t="s">
        <v>1389</v>
      </c>
      <c r="H7" s="1924" t="s">
        <v>3591</v>
      </c>
    </row>
    <row r="8" spans="1:8" ht="12.75" hidden="1" customHeight="1" x14ac:dyDescent="0.2">
      <c r="A8" s="1926">
        <v>37438</v>
      </c>
      <c r="B8" s="1927">
        <v>23</v>
      </c>
      <c r="C8" s="1928">
        <v>703.38</v>
      </c>
      <c r="D8" s="1928">
        <v>375.02</v>
      </c>
      <c r="E8" s="1929">
        <v>79.459999999999994</v>
      </c>
      <c r="F8" s="1930">
        <v>359.86</v>
      </c>
      <c r="G8" s="1931">
        <v>5462</v>
      </c>
      <c r="H8" s="1931">
        <v>390</v>
      </c>
    </row>
    <row r="9" spans="1:8" ht="12.75" hidden="1" customHeight="1" x14ac:dyDescent="0.2">
      <c r="A9" s="1926">
        <v>37469</v>
      </c>
      <c r="B9" s="1927">
        <v>21</v>
      </c>
      <c r="C9" s="1928">
        <v>724.61</v>
      </c>
      <c r="D9" s="1928">
        <v>383.5</v>
      </c>
      <c r="E9" s="1929">
        <v>81.349999999999994</v>
      </c>
      <c r="F9" s="1930">
        <v>369.27</v>
      </c>
      <c r="G9" s="1931">
        <v>4237</v>
      </c>
      <c r="H9" s="1931">
        <v>334</v>
      </c>
    </row>
    <row r="10" spans="1:8" ht="12.75" hidden="1" customHeight="1" x14ac:dyDescent="0.2">
      <c r="A10" s="1926">
        <v>37500</v>
      </c>
      <c r="B10" s="1927">
        <v>20</v>
      </c>
      <c r="C10" s="1928">
        <v>748.41</v>
      </c>
      <c r="D10" s="1928">
        <v>393.72</v>
      </c>
      <c r="E10" s="1929">
        <v>82.34</v>
      </c>
      <c r="F10" s="1930">
        <v>381.25</v>
      </c>
      <c r="G10" s="1931">
        <v>6328</v>
      </c>
      <c r="H10" s="1931">
        <v>488</v>
      </c>
    </row>
    <row r="11" spans="1:8" ht="12.75" hidden="1" customHeight="1" x14ac:dyDescent="0.2">
      <c r="A11" s="1926">
        <v>37530</v>
      </c>
      <c r="B11" s="1927">
        <v>23</v>
      </c>
      <c r="C11" s="1928">
        <v>751.53</v>
      </c>
      <c r="D11" s="1928">
        <v>395.52</v>
      </c>
      <c r="E11" s="1929">
        <v>82.38</v>
      </c>
      <c r="F11" s="1930">
        <v>379.09</v>
      </c>
      <c r="G11" s="1931">
        <v>4380</v>
      </c>
      <c r="H11" s="1931">
        <v>399</v>
      </c>
    </row>
    <row r="12" spans="1:8" ht="12.75" hidden="1" customHeight="1" x14ac:dyDescent="0.2">
      <c r="A12" s="1926">
        <v>37562</v>
      </c>
      <c r="B12" s="1927">
        <v>20</v>
      </c>
      <c r="C12" s="1928">
        <v>757.45</v>
      </c>
      <c r="D12" s="1928">
        <v>400.61</v>
      </c>
      <c r="E12" s="1929">
        <v>82.79</v>
      </c>
      <c r="F12" s="1930">
        <v>380.92</v>
      </c>
      <c r="G12" s="1931">
        <v>5790</v>
      </c>
      <c r="H12" s="1931">
        <v>455</v>
      </c>
    </row>
    <row r="13" spans="1:8" ht="12.75" hidden="1" customHeight="1" x14ac:dyDescent="0.2">
      <c r="A13" s="1926">
        <v>37592</v>
      </c>
      <c r="B13" s="1927">
        <v>20</v>
      </c>
      <c r="C13" s="1928">
        <v>792.91</v>
      </c>
      <c r="D13" s="1928">
        <v>420.66</v>
      </c>
      <c r="E13" s="1929">
        <v>86.5</v>
      </c>
      <c r="F13" s="1930">
        <v>394.26</v>
      </c>
      <c r="G13" s="1931">
        <v>5671</v>
      </c>
      <c r="H13" s="1931">
        <v>421</v>
      </c>
    </row>
    <row r="14" spans="1:8" ht="12.75" hidden="1" customHeight="1" x14ac:dyDescent="0.2">
      <c r="A14" s="1926">
        <v>37624</v>
      </c>
      <c r="B14" s="1927">
        <v>21</v>
      </c>
      <c r="C14" s="1928">
        <v>855</v>
      </c>
      <c r="D14" s="1932">
        <v>463.05</v>
      </c>
      <c r="E14" s="1933">
        <v>94.07</v>
      </c>
      <c r="F14" s="1930">
        <v>419.4</v>
      </c>
      <c r="G14" s="1931">
        <v>7066</v>
      </c>
      <c r="H14" s="1931">
        <v>370</v>
      </c>
    </row>
    <row r="15" spans="1:8" ht="12.75" hidden="1" customHeight="1" x14ac:dyDescent="0.2">
      <c r="A15" s="1926">
        <v>37655</v>
      </c>
      <c r="B15" s="1927">
        <v>19</v>
      </c>
      <c r="C15" s="1928">
        <v>879.71</v>
      </c>
      <c r="D15" s="1932">
        <v>491.9</v>
      </c>
      <c r="E15" s="1933">
        <v>96.74</v>
      </c>
      <c r="F15" s="1930">
        <v>430.16</v>
      </c>
      <c r="G15" s="1931">
        <v>8543</v>
      </c>
      <c r="H15" s="1931">
        <v>419.83</v>
      </c>
    </row>
    <row r="16" spans="1:8" ht="12.75" hidden="1" customHeight="1" x14ac:dyDescent="0.2">
      <c r="A16" s="1926">
        <v>37683</v>
      </c>
      <c r="B16" s="1927">
        <v>20</v>
      </c>
      <c r="C16" s="1928">
        <v>870.27</v>
      </c>
      <c r="D16" s="1932">
        <v>492.47</v>
      </c>
      <c r="E16" s="1933">
        <v>95.12</v>
      </c>
      <c r="F16" s="1930">
        <v>425.16</v>
      </c>
      <c r="G16" s="1931">
        <v>6958</v>
      </c>
      <c r="H16" s="1931">
        <v>440</v>
      </c>
    </row>
    <row r="17" spans="1:8" ht="12.75" hidden="1" customHeight="1" x14ac:dyDescent="0.2">
      <c r="A17" s="1926">
        <v>37714</v>
      </c>
      <c r="B17" s="1927">
        <v>21</v>
      </c>
      <c r="C17" s="1928">
        <v>910.33</v>
      </c>
      <c r="D17" s="1932">
        <v>518.30999999999995</v>
      </c>
      <c r="E17" s="1933">
        <v>98.54</v>
      </c>
      <c r="F17" s="1930">
        <v>440</v>
      </c>
      <c r="G17" s="1931">
        <v>7399</v>
      </c>
      <c r="H17" s="1931">
        <v>814</v>
      </c>
    </row>
    <row r="18" spans="1:8" ht="12.75" hidden="1" customHeight="1" x14ac:dyDescent="0.2">
      <c r="A18" s="1926">
        <v>37742</v>
      </c>
      <c r="B18" s="1927">
        <v>21</v>
      </c>
      <c r="C18" s="1928">
        <v>968.13</v>
      </c>
      <c r="D18" s="1932">
        <v>548.11</v>
      </c>
      <c r="E18" s="1933">
        <v>104.06</v>
      </c>
      <c r="F18" s="1930">
        <v>465.27</v>
      </c>
      <c r="G18" s="1931">
        <v>10253</v>
      </c>
      <c r="H18" s="1931">
        <v>659</v>
      </c>
    </row>
    <row r="19" spans="1:8" ht="12.75" hidden="1" customHeight="1" x14ac:dyDescent="0.2">
      <c r="A19" s="1926">
        <v>37773</v>
      </c>
      <c r="B19" s="1927">
        <v>21</v>
      </c>
      <c r="C19" s="1928">
        <v>1004.17</v>
      </c>
      <c r="D19" s="1932">
        <v>551.09</v>
      </c>
      <c r="E19" s="1933">
        <v>105.98</v>
      </c>
      <c r="F19" s="1930">
        <v>481.03</v>
      </c>
      <c r="G19" s="1931">
        <v>10462</v>
      </c>
      <c r="H19" s="1931">
        <v>970</v>
      </c>
    </row>
    <row r="20" spans="1:8" ht="12.75" hidden="1" customHeight="1" x14ac:dyDescent="0.2">
      <c r="A20" s="1926">
        <v>37805</v>
      </c>
      <c r="B20" s="1927">
        <v>20</v>
      </c>
      <c r="C20" s="1928">
        <v>1013.62</v>
      </c>
      <c r="D20" s="1932">
        <v>537.32000000000005</v>
      </c>
      <c r="E20" s="1933">
        <v>105.19</v>
      </c>
      <c r="F20" s="1930">
        <v>480.96</v>
      </c>
      <c r="G20" s="1931">
        <v>20172</v>
      </c>
      <c r="H20" s="1931">
        <v>1026</v>
      </c>
    </row>
    <row r="21" spans="1:8" ht="13.5" hidden="1" customHeight="1" x14ac:dyDescent="0.2">
      <c r="A21" s="1926">
        <v>37836</v>
      </c>
      <c r="B21" s="1927">
        <v>21</v>
      </c>
      <c r="C21" s="1932">
        <v>995.12</v>
      </c>
      <c r="D21" s="1932">
        <v>531.36</v>
      </c>
      <c r="E21" s="1933">
        <v>102.27</v>
      </c>
      <c r="F21" s="1930">
        <v>472.29</v>
      </c>
      <c r="G21" s="1931">
        <v>11623</v>
      </c>
      <c r="H21" s="1931">
        <v>855</v>
      </c>
    </row>
    <row r="22" spans="1:8" ht="12.75" hidden="1" customHeight="1" x14ac:dyDescent="0.2">
      <c r="A22" s="1926">
        <v>37867</v>
      </c>
      <c r="B22" s="1934">
        <v>21</v>
      </c>
      <c r="C22" s="1932">
        <v>1018.06</v>
      </c>
      <c r="D22" s="1932">
        <v>544.78</v>
      </c>
      <c r="E22" s="1933">
        <v>105.32</v>
      </c>
      <c r="F22" s="1930">
        <v>483.08</v>
      </c>
      <c r="G22" s="1931">
        <v>6792</v>
      </c>
      <c r="H22" s="1931">
        <v>464</v>
      </c>
    </row>
    <row r="23" spans="1:8" ht="12.75" hidden="1" customHeight="1" x14ac:dyDescent="0.2">
      <c r="A23" s="1926">
        <v>37897</v>
      </c>
      <c r="B23" s="1934">
        <v>23</v>
      </c>
      <c r="C23" s="1932">
        <v>1089.51</v>
      </c>
      <c r="D23" s="1932">
        <v>591.4</v>
      </c>
      <c r="E23" s="1933">
        <v>113.54</v>
      </c>
      <c r="F23" s="1930">
        <v>512.29</v>
      </c>
      <c r="G23" s="1931">
        <v>19436</v>
      </c>
      <c r="H23" s="1931">
        <v>995</v>
      </c>
    </row>
    <row r="24" spans="1:8" ht="12.75" hidden="1" customHeight="1" x14ac:dyDescent="0.2">
      <c r="A24" s="1926">
        <v>37928</v>
      </c>
      <c r="B24" s="1927">
        <v>19</v>
      </c>
      <c r="C24" s="1932">
        <v>1163.97</v>
      </c>
      <c r="D24" s="1932">
        <v>639.53</v>
      </c>
      <c r="E24" s="1933">
        <v>120.18</v>
      </c>
      <c r="F24" s="1930">
        <v>545.24</v>
      </c>
      <c r="G24" s="1931">
        <v>7775</v>
      </c>
      <c r="H24" s="1931">
        <v>545</v>
      </c>
    </row>
    <row r="25" spans="1:8" ht="12.75" hidden="1" customHeight="1" x14ac:dyDescent="0.2">
      <c r="A25" s="1926">
        <v>37958</v>
      </c>
      <c r="B25" s="1927">
        <v>22</v>
      </c>
      <c r="C25" s="1932">
        <v>1194.27</v>
      </c>
      <c r="D25" s="1932">
        <v>691.95</v>
      </c>
      <c r="E25" s="1933">
        <v>121.5</v>
      </c>
      <c r="F25" s="1930">
        <v>554.84</v>
      </c>
      <c r="G25" s="1931">
        <v>9682.2000000000007</v>
      </c>
      <c r="H25" s="1931">
        <v>408</v>
      </c>
    </row>
    <row r="26" spans="1:8" ht="12.75" hidden="1" customHeight="1" x14ac:dyDescent="0.2">
      <c r="A26" s="1926">
        <v>37989</v>
      </c>
      <c r="B26" s="1935">
        <v>19</v>
      </c>
      <c r="C26" s="1932">
        <v>1231.02</v>
      </c>
      <c r="D26" s="1932">
        <v>732.75</v>
      </c>
      <c r="E26" s="1932">
        <v>123.2</v>
      </c>
      <c r="F26" s="1936">
        <v>565.4</v>
      </c>
      <c r="G26" s="1937">
        <v>13223</v>
      </c>
      <c r="H26" s="1937">
        <v>703</v>
      </c>
    </row>
    <row r="27" spans="1:8" ht="12.75" hidden="1" customHeight="1" x14ac:dyDescent="0.2">
      <c r="A27" s="1926">
        <v>38021</v>
      </c>
      <c r="B27" s="1935">
        <v>18</v>
      </c>
      <c r="C27" s="1932">
        <v>1306.7</v>
      </c>
      <c r="D27" s="1932">
        <v>787.86</v>
      </c>
      <c r="E27" s="1932">
        <v>130.58000000000001</v>
      </c>
      <c r="F27" s="1936">
        <v>599.33000000000004</v>
      </c>
      <c r="G27" s="1937">
        <v>15372</v>
      </c>
      <c r="H27" s="1937">
        <v>825</v>
      </c>
    </row>
    <row r="28" spans="1:8" ht="12.75" hidden="1" customHeight="1" x14ac:dyDescent="0.2">
      <c r="A28" s="1926">
        <v>38047</v>
      </c>
      <c r="B28" s="1935">
        <v>22</v>
      </c>
      <c r="C28" s="1932">
        <v>1322.36</v>
      </c>
      <c r="D28" s="1932">
        <v>785.43</v>
      </c>
      <c r="E28" s="1932">
        <v>130.88999999999999</v>
      </c>
      <c r="F28" s="1936">
        <v>605.41</v>
      </c>
      <c r="G28" s="1937">
        <v>10015</v>
      </c>
      <c r="H28" s="1937">
        <v>369</v>
      </c>
    </row>
    <row r="29" spans="1:8" ht="12.75" hidden="1" customHeight="1" x14ac:dyDescent="0.2">
      <c r="A29" s="1926">
        <v>38078</v>
      </c>
      <c r="B29" s="1938">
        <v>22</v>
      </c>
      <c r="C29" s="1932">
        <v>1376.95</v>
      </c>
      <c r="D29" s="1932">
        <v>788.88</v>
      </c>
      <c r="E29" s="1932">
        <v>132.37</v>
      </c>
      <c r="F29" s="1936">
        <v>623.96</v>
      </c>
      <c r="G29" s="1937">
        <v>8819</v>
      </c>
      <c r="H29" s="1937">
        <v>321</v>
      </c>
    </row>
    <row r="30" spans="1:8" ht="12.75" hidden="1" customHeight="1" x14ac:dyDescent="0.2">
      <c r="A30" s="1926">
        <v>38108</v>
      </c>
      <c r="B30" s="1938">
        <v>21</v>
      </c>
      <c r="C30" s="1932">
        <v>1441.08</v>
      </c>
      <c r="D30" s="1932">
        <v>802.63</v>
      </c>
      <c r="E30" s="1932">
        <v>137.75</v>
      </c>
      <c r="F30" s="1936">
        <v>650.94000000000005</v>
      </c>
      <c r="G30" s="1937">
        <v>14037</v>
      </c>
      <c r="H30" s="1937">
        <v>624</v>
      </c>
    </row>
    <row r="31" spans="1:8" ht="12.75" hidden="1" customHeight="1" x14ac:dyDescent="0.2">
      <c r="A31" s="1926">
        <v>38139</v>
      </c>
      <c r="B31" s="1935">
        <v>22</v>
      </c>
      <c r="C31" s="1932">
        <v>1457.2</v>
      </c>
      <c r="D31" s="1932">
        <v>805.75</v>
      </c>
      <c r="E31" s="1932">
        <v>138.49</v>
      </c>
      <c r="F31" s="1936">
        <v>656.8</v>
      </c>
      <c r="G31" s="1937">
        <v>12794</v>
      </c>
      <c r="H31" s="1937">
        <v>670</v>
      </c>
    </row>
    <row r="32" spans="1:8" ht="12.75" hidden="1" customHeight="1" x14ac:dyDescent="0.2">
      <c r="A32" s="1926">
        <v>38169</v>
      </c>
      <c r="B32" s="1935">
        <v>22</v>
      </c>
      <c r="C32" s="1932">
        <v>1453.15</v>
      </c>
      <c r="D32" s="1932">
        <v>801.78</v>
      </c>
      <c r="E32" s="1932">
        <v>136.01</v>
      </c>
      <c r="F32" s="1936">
        <v>651.09</v>
      </c>
      <c r="G32" s="1937">
        <v>7884</v>
      </c>
      <c r="H32" s="1937">
        <v>459</v>
      </c>
    </row>
    <row r="33" spans="1:8" ht="12.75" hidden="1" customHeight="1" x14ac:dyDescent="0.2">
      <c r="A33" s="1926">
        <v>38200</v>
      </c>
      <c r="B33" s="1935">
        <v>22</v>
      </c>
      <c r="C33" s="1932">
        <v>1444.65</v>
      </c>
      <c r="D33" s="1932">
        <v>793.9</v>
      </c>
      <c r="E33" s="1932">
        <v>134.07</v>
      </c>
      <c r="F33" s="1936">
        <v>646.79</v>
      </c>
      <c r="G33" s="1937">
        <v>7304</v>
      </c>
      <c r="H33" s="1937">
        <v>482</v>
      </c>
    </row>
    <row r="34" spans="1:8" ht="12.75" hidden="1" customHeight="1" x14ac:dyDescent="0.2">
      <c r="A34" s="1926">
        <v>38231</v>
      </c>
      <c r="B34" s="1935">
        <v>22</v>
      </c>
      <c r="C34" s="1932">
        <v>1455.79</v>
      </c>
      <c r="D34" s="1932">
        <v>794.7</v>
      </c>
      <c r="E34" s="1932">
        <v>135.30000000000001</v>
      </c>
      <c r="F34" s="1936">
        <v>651.04</v>
      </c>
      <c r="G34" s="1937">
        <v>9027</v>
      </c>
      <c r="H34" s="1937">
        <v>558</v>
      </c>
    </row>
    <row r="35" spans="1:8" ht="12.75" hidden="1" customHeight="1" x14ac:dyDescent="0.2">
      <c r="A35" s="1939">
        <v>38261</v>
      </c>
      <c r="B35" s="1935">
        <v>21</v>
      </c>
      <c r="C35" s="1932">
        <v>1499.44</v>
      </c>
      <c r="D35" s="1932">
        <v>817.72</v>
      </c>
      <c r="E35" s="1932">
        <v>138.04</v>
      </c>
      <c r="F35" s="1936">
        <v>666.32</v>
      </c>
      <c r="G35" s="1937">
        <v>12770</v>
      </c>
      <c r="H35" s="1940">
        <v>573.98400000000004</v>
      </c>
    </row>
    <row r="36" spans="1:8" ht="12.75" hidden="1" customHeight="1" x14ac:dyDescent="0.2">
      <c r="A36" s="1926">
        <v>38292</v>
      </c>
      <c r="B36" s="1935">
        <v>20</v>
      </c>
      <c r="C36" s="1932">
        <v>1529.97</v>
      </c>
      <c r="D36" s="1932">
        <v>836.12</v>
      </c>
      <c r="E36" s="1932">
        <v>141.09</v>
      </c>
      <c r="F36" s="1936">
        <v>677.77</v>
      </c>
      <c r="G36" s="1937">
        <v>12281</v>
      </c>
      <c r="H36" s="1937">
        <v>640</v>
      </c>
    </row>
    <row r="37" spans="1:8" ht="12.75" hidden="1" customHeight="1" x14ac:dyDescent="0.2">
      <c r="A37" s="1926">
        <v>38322</v>
      </c>
      <c r="B37" s="1935">
        <v>23</v>
      </c>
      <c r="C37" s="1932">
        <v>1585.78</v>
      </c>
      <c r="D37" s="1932">
        <v>873.31</v>
      </c>
      <c r="E37" s="1932">
        <v>146.06</v>
      </c>
      <c r="F37" s="1936">
        <v>697.01</v>
      </c>
      <c r="G37" s="1937">
        <v>11043</v>
      </c>
      <c r="H37" s="1937">
        <v>753</v>
      </c>
    </row>
    <row r="38" spans="1:8" ht="12.75" hidden="1" customHeight="1" x14ac:dyDescent="0.2">
      <c r="A38" s="1926">
        <v>38353</v>
      </c>
      <c r="B38" s="1935">
        <v>19</v>
      </c>
      <c r="C38" s="1932">
        <v>1656.32</v>
      </c>
      <c r="D38" s="1932">
        <v>909.02</v>
      </c>
      <c r="E38" s="1932">
        <v>151.65</v>
      </c>
      <c r="F38" s="1936">
        <v>722.2</v>
      </c>
      <c r="G38" s="1937">
        <v>11864</v>
      </c>
      <c r="H38" s="1937">
        <v>1010.5</v>
      </c>
    </row>
    <row r="39" spans="1:8" ht="12.75" hidden="1" customHeight="1" x14ac:dyDescent="0.2">
      <c r="A39" s="1926">
        <v>38384</v>
      </c>
      <c r="B39" s="1935">
        <v>18</v>
      </c>
      <c r="C39" s="1932">
        <v>1684.81</v>
      </c>
      <c r="D39" s="1932">
        <v>913.47</v>
      </c>
      <c r="E39" s="1932">
        <v>153.96</v>
      </c>
      <c r="F39" s="1936">
        <v>731.03</v>
      </c>
      <c r="G39" s="1937">
        <v>10978</v>
      </c>
      <c r="H39" s="1937">
        <v>400</v>
      </c>
    </row>
    <row r="40" spans="1:8" ht="12.75" hidden="1" customHeight="1" x14ac:dyDescent="0.2">
      <c r="A40" s="1926">
        <v>38412</v>
      </c>
      <c r="B40" s="1935">
        <v>20</v>
      </c>
      <c r="C40" s="1932">
        <v>1713.2</v>
      </c>
      <c r="D40" s="1932">
        <v>922.99</v>
      </c>
      <c r="E40" s="1932">
        <v>158.25</v>
      </c>
      <c r="F40" s="1936">
        <v>742.65</v>
      </c>
      <c r="G40" s="1937">
        <v>18126</v>
      </c>
      <c r="H40" s="1937">
        <v>805</v>
      </c>
    </row>
    <row r="41" spans="1:8" ht="12.75" hidden="1" customHeight="1" x14ac:dyDescent="0.2">
      <c r="A41" s="1926">
        <v>38443</v>
      </c>
      <c r="B41" s="1935">
        <v>21</v>
      </c>
      <c r="C41" s="1932">
        <v>1705.97</v>
      </c>
      <c r="D41" s="1932">
        <v>915.09</v>
      </c>
      <c r="E41" s="1932">
        <v>155.06</v>
      </c>
      <c r="F41" s="1936">
        <v>730.93</v>
      </c>
      <c r="G41" s="1937">
        <v>12972</v>
      </c>
      <c r="H41" s="1937">
        <v>463</v>
      </c>
    </row>
    <row r="42" spans="1:8" ht="12.75" hidden="1" customHeight="1" x14ac:dyDescent="0.2">
      <c r="A42" s="1926">
        <v>38473</v>
      </c>
      <c r="B42" s="1935">
        <v>22</v>
      </c>
      <c r="C42" s="1932">
        <v>1649.42</v>
      </c>
      <c r="D42" s="1932">
        <v>883.36</v>
      </c>
      <c r="E42" s="1932">
        <v>148.54</v>
      </c>
      <c r="F42" s="1936">
        <v>705.22</v>
      </c>
      <c r="G42" s="1937">
        <v>9013</v>
      </c>
      <c r="H42" s="1937">
        <v>272</v>
      </c>
    </row>
    <row r="43" spans="1:8" ht="12.75" hidden="1" customHeight="1" x14ac:dyDescent="0.2">
      <c r="A43" s="1926">
        <v>38504</v>
      </c>
      <c r="B43" s="1935">
        <v>22</v>
      </c>
      <c r="C43" s="1932">
        <v>1681.86</v>
      </c>
      <c r="D43" s="1932">
        <v>895.08</v>
      </c>
      <c r="E43" s="1932">
        <v>152.52000000000001</v>
      </c>
      <c r="F43" s="1936">
        <v>717.54</v>
      </c>
      <c r="G43" s="1937">
        <v>29856</v>
      </c>
      <c r="H43" s="1937">
        <v>804</v>
      </c>
    </row>
    <row r="44" spans="1:8" ht="12.75" hidden="1" customHeight="1" x14ac:dyDescent="0.2">
      <c r="A44" s="1926">
        <v>38534</v>
      </c>
      <c r="B44" s="1935">
        <v>21</v>
      </c>
      <c r="C44" s="1932">
        <v>1724.38</v>
      </c>
      <c r="D44" s="1932">
        <v>911.56</v>
      </c>
      <c r="E44" s="1932">
        <v>155.41999999999999</v>
      </c>
      <c r="F44" s="1936">
        <v>726.77</v>
      </c>
      <c r="G44" s="1937">
        <v>8071</v>
      </c>
      <c r="H44" s="1937">
        <v>520</v>
      </c>
    </row>
    <row r="45" spans="1:8" ht="12.75" hidden="1" customHeight="1" x14ac:dyDescent="0.2">
      <c r="A45" s="1926">
        <v>38565</v>
      </c>
      <c r="B45" s="1935">
        <v>23</v>
      </c>
      <c r="C45" s="1932">
        <v>1812.43</v>
      </c>
      <c r="D45" s="1932">
        <v>952.76</v>
      </c>
      <c r="E45" s="1941">
        <v>164.74</v>
      </c>
      <c r="F45" s="1930">
        <v>759.86</v>
      </c>
      <c r="G45" s="1931">
        <v>11593</v>
      </c>
      <c r="H45" s="1931">
        <v>612</v>
      </c>
    </row>
    <row r="46" spans="1:8" ht="12.75" hidden="1" customHeight="1" x14ac:dyDescent="0.2">
      <c r="A46" s="1926">
        <v>38596</v>
      </c>
      <c r="B46" s="1935">
        <v>21</v>
      </c>
      <c r="C46" s="1932">
        <v>1922.12</v>
      </c>
      <c r="D46" s="1932">
        <v>1003.55</v>
      </c>
      <c r="E46" s="1933">
        <v>176.47</v>
      </c>
      <c r="F46" s="1930">
        <v>805.72</v>
      </c>
      <c r="G46" s="1931">
        <v>17669</v>
      </c>
      <c r="H46" s="1931">
        <v>1026</v>
      </c>
    </row>
    <row r="47" spans="1:8" ht="12.75" hidden="1" customHeight="1" x14ac:dyDescent="0.2">
      <c r="A47" s="1926">
        <v>38626</v>
      </c>
      <c r="B47" s="1935">
        <v>21</v>
      </c>
      <c r="C47" s="1932">
        <v>1957.01</v>
      </c>
      <c r="D47" s="1932">
        <v>1007.65</v>
      </c>
      <c r="E47" s="1933">
        <v>178.24</v>
      </c>
      <c r="F47" s="1930">
        <v>815.68</v>
      </c>
      <c r="G47" s="1931">
        <v>15882</v>
      </c>
      <c r="H47" s="1931">
        <v>762</v>
      </c>
    </row>
    <row r="48" spans="1:8" ht="12.75" hidden="1" customHeight="1" x14ac:dyDescent="0.2">
      <c r="A48" s="1926">
        <v>38657</v>
      </c>
      <c r="B48" s="1935">
        <v>19</v>
      </c>
      <c r="C48" s="1932">
        <v>1965.17</v>
      </c>
      <c r="D48" s="1932">
        <v>1007.33</v>
      </c>
      <c r="E48" s="1933">
        <v>177.89</v>
      </c>
      <c r="F48" s="1930">
        <v>816.57</v>
      </c>
      <c r="G48" s="1931">
        <v>25540</v>
      </c>
      <c r="H48" s="1931">
        <v>935</v>
      </c>
    </row>
    <row r="49" spans="1:8" ht="12.75" hidden="1" customHeight="1" x14ac:dyDescent="0.2">
      <c r="A49" s="1926">
        <v>38687</v>
      </c>
      <c r="B49" s="1935">
        <v>22</v>
      </c>
      <c r="C49" s="1932">
        <v>1958.47</v>
      </c>
      <c r="D49" s="1932">
        <v>1000.5</v>
      </c>
      <c r="E49" s="1933">
        <v>176.76</v>
      </c>
      <c r="F49" s="1930">
        <v>807.72</v>
      </c>
      <c r="G49" s="1931">
        <v>45862</v>
      </c>
      <c r="H49" s="1931">
        <v>5243</v>
      </c>
    </row>
    <row r="50" spans="1:8" ht="12.75" hidden="1" customHeight="1" x14ac:dyDescent="0.2">
      <c r="A50" s="1939">
        <v>38718</v>
      </c>
      <c r="B50" s="1935">
        <v>21</v>
      </c>
      <c r="C50" s="1932">
        <v>1982.3</v>
      </c>
      <c r="D50" s="1932">
        <v>1012.04</v>
      </c>
      <c r="E50" s="1933">
        <v>178.52</v>
      </c>
      <c r="F50" s="1930">
        <v>816.24</v>
      </c>
      <c r="G50" s="1931">
        <v>19067</v>
      </c>
      <c r="H50" s="1942">
        <v>700</v>
      </c>
    </row>
    <row r="51" spans="1:8" ht="12.75" hidden="1" customHeight="1" x14ac:dyDescent="0.2">
      <c r="A51" s="1939">
        <v>38749</v>
      </c>
      <c r="B51" s="1935">
        <v>19</v>
      </c>
      <c r="C51" s="1932">
        <v>2028.15</v>
      </c>
      <c r="D51" s="1932">
        <v>1033.42</v>
      </c>
      <c r="E51" s="1933">
        <v>183.78</v>
      </c>
      <c r="F51" s="1930">
        <v>834.57</v>
      </c>
      <c r="G51" s="1931">
        <v>21168</v>
      </c>
      <c r="H51" s="1942">
        <v>865</v>
      </c>
    </row>
    <row r="52" spans="1:8" ht="12.75" hidden="1" customHeight="1" x14ac:dyDescent="0.2">
      <c r="A52" s="1939">
        <v>38777</v>
      </c>
      <c r="B52" s="1935">
        <v>22</v>
      </c>
      <c r="C52" s="1932">
        <v>2059.31</v>
      </c>
      <c r="D52" s="1932">
        <v>1047.3599999999999</v>
      </c>
      <c r="E52" s="1933">
        <v>184.86</v>
      </c>
      <c r="F52" s="1930">
        <v>845.69</v>
      </c>
      <c r="G52" s="1931">
        <v>12508</v>
      </c>
      <c r="H52" s="1942">
        <v>684</v>
      </c>
    </row>
    <row r="53" spans="1:8" ht="12.75" hidden="1" customHeight="1" x14ac:dyDescent="0.2">
      <c r="A53" s="1926">
        <v>38808</v>
      </c>
      <c r="B53" s="1935">
        <v>20</v>
      </c>
      <c r="C53" s="1932">
        <v>2044.66</v>
      </c>
      <c r="D53" s="1932">
        <v>1037.69</v>
      </c>
      <c r="E53" s="1933">
        <v>181.23</v>
      </c>
      <c r="F53" s="1930">
        <v>833.78</v>
      </c>
      <c r="G53" s="1931">
        <v>10726</v>
      </c>
      <c r="H53" s="1942">
        <v>631</v>
      </c>
    </row>
    <row r="54" spans="1:8" ht="12.75" hidden="1" customHeight="1" x14ac:dyDescent="0.2">
      <c r="A54" s="1926">
        <v>38838</v>
      </c>
      <c r="B54" s="1935">
        <v>22</v>
      </c>
      <c r="C54" s="1932">
        <v>2038.16</v>
      </c>
      <c r="D54" s="1932">
        <v>1034.25</v>
      </c>
      <c r="E54" s="1933">
        <v>180.08</v>
      </c>
      <c r="F54" s="1930">
        <v>828.41</v>
      </c>
      <c r="G54" s="1931">
        <v>13755.8</v>
      </c>
      <c r="H54" s="1931">
        <v>386</v>
      </c>
    </row>
    <row r="55" spans="1:8" ht="12.75" hidden="1" customHeight="1" x14ac:dyDescent="0.2">
      <c r="A55" s="1926">
        <v>38869</v>
      </c>
      <c r="B55" s="1935">
        <v>22</v>
      </c>
      <c r="C55" s="1932">
        <v>2023.92</v>
      </c>
      <c r="D55" s="1932">
        <v>1026.75</v>
      </c>
      <c r="E55" s="1933">
        <v>178.23</v>
      </c>
      <c r="F55" s="1930">
        <v>818.95</v>
      </c>
      <c r="G55" s="1931">
        <v>15269</v>
      </c>
      <c r="H55" s="1931">
        <v>1054</v>
      </c>
    </row>
    <row r="56" spans="1:8" ht="12.75" hidden="1" customHeight="1" x14ac:dyDescent="0.2">
      <c r="A56" s="1926">
        <v>38899</v>
      </c>
      <c r="B56" s="1935">
        <v>21</v>
      </c>
      <c r="C56" s="1932">
        <v>2110.1</v>
      </c>
      <c r="D56" s="1932">
        <v>1060.6300000000001</v>
      </c>
      <c r="E56" s="1933">
        <v>187</v>
      </c>
      <c r="F56" s="1930">
        <v>852.36</v>
      </c>
      <c r="G56" s="1931">
        <v>18819</v>
      </c>
      <c r="H56" s="1931">
        <v>425.6</v>
      </c>
    </row>
    <row r="57" spans="1:8" ht="12.75" hidden="1" customHeight="1" x14ac:dyDescent="0.2">
      <c r="A57" s="1926">
        <v>38930</v>
      </c>
      <c r="B57" s="1935">
        <v>21</v>
      </c>
      <c r="C57" s="1932">
        <v>2223.5500000000002</v>
      </c>
      <c r="D57" s="1932">
        <v>1089.49</v>
      </c>
      <c r="E57" s="1933">
        <v>195.58</v>
      </c>
      <c r="F57" s="1930">
        <v>890.52</v>
      </c>
      <c r="G57" s="1931">
        <v>14331</v>
      </c>
      <c r="H57" s="1931">
        <v>794</v>
      </c>
    </row>
    <row r="58" spans="1:8" ht="12.75" hidden="1" customHeight="1" x14ac:dyDescent="0.2">
      <c r="A58" s="1926">
        <v>38961</v>
      </c>
      <c r="B58" s="1935">
        <v>21</v>
      </c>
      <c r="C58" s="1932">
        <v>2394.35</v>
      </c>
      <c r="D58" s="1932">
        <v>1154.33</v>
      </c>
      <c r="E58" s="1933">
        <v>207.36</v>
      </c>
      <c r="F58" s="1930">
        <v>957.06</v>
      </c>
      <c r="G58" s="1931">
        <v>16903.900000000001</v>
      </c>
      <c r="H58" s="1931">
        <v>622.79999999999995</v>
      </c>
    </row>
    <row r="59" spans="1:8" ht="12.75" hidden="1" customHeight="1" x14ac:dyDescent="0.2">
      <c r="A59" s="1926">
        <v>38991</v>
      </c>
      <c r="B59" s="1935">
        <v>21</v>
      </c>
      <c r="C59" s="1932">
        <v>2631.06</v>
      </c>
      <c r="D59" s="1932">
        <v>1259.0899999999999</v>
      </c>
      <c r="E59" s="1933">
        <v>228.19</v>
      </c>
      <c r="F59" s="1930">
        <v>1046.08</v>
      </c>
      <c r="G59" s="1931">
        <v>17704</v>
      </c>
      <c r="H59" s="1931">
        <v>551.31799999999998</v>
      </c>
    </row>
    <row r="60" spans="1:8" ht="12.75" hidden="1" customHeight="1" x14ac:dyDescent="0.2">
      <c r="A60" s="1926">
        <v>39022</v>
      </c>
      <c r="B60" s="1935">
        <v>21</v>
      </c>
      <c r="C60" s="1932">
        <v>2979.76</v>
      </c>
      <c r="D60" s="1932">
        <v>1412.8</v>
      </c>
      <c r="E60" s="1933">
        <v>255.29</v>
      </c>
      <c r="F60" s="1930">
        <v>1181.17</v>
      </c>
      <c r="G60" s="1931">
        <v>24762</v>
      </c>
      <c r="H60" s="1931">
        <v>771</v>
      </c>
    </row>
    <row r="61" spans="1:8" ht="12.75" hidden="1" customHeight="1" x14ac:dyDescent="0.2">
      <c r="A61" s="1926">
        <v>39052</v>
      </c>
      <c r="B61" s="1935">
        <v>20</v>
      </c>
      <c r="C61" s="1932">
        <v>3028.73</v>
      </c>
      <c r="D61" s="1932">
        <v>1426.82</v>
      </c>
      <c r="E61" s="1933">
        <v>259.47000000000003</v>
      </c>
      <c r="F61" s="1930">
        <v>1193.69</v>
      </c>
      <c r="G61" s="1931">
        <v>105922</v>
      </c>
      <c r="H61" s="1931">
        <v>3221</v>
      </c>
    </row>
    <row r="62" spans="1:8" ht="12.75" hidden="1" customHeight="1" x14ac:dyDescent="0.2">
      <c r="A62" s="1926">
        <v>39083</v>
      </c>
      <c r="B62" s="1935">
        <v>21</v>
      </c>
      <c r="C62" s="1932">
        <v>3244.01</v>
      </c>
      <c r="D62" s="1932">
        <v>1515.07</v>
      </c>
      <c r="E62" s="1933">
        <v>281.14999999999998</v>
      </c>
      <c r="F62" s="1930">
        <v>1276.51</v>
      </c>
      <c r="G62" s="1931">
        <v>25890</v>
      </c>
      <c r="H62" s="1931">
        <v>686.3</v>
      </c>
    </row>
    <row r="63" spans="1:8" ht="12.75" hidden="1" customHeight="1" x14ac:dyDescent="0.2">
      <c r="A63" s="1926">
        <v>39114</v>
      </c>
      <c r="B63" s="1935">
        <v>18</v>
      </c>
      <c r="C63" s="1932">
        <v>3265.93</v>
      </c>
      <c r="D63" s="1932">
        <v>1534.24</v>
      </c>
      <c r="E63" s="1933">
        <v>286.47000000000003</v>
      </c>
      <c r="F63" s="1930">
        <v>1284.03</v>
      </c>
      <c r="G63" s="1931">
        <v>215289.557</v>
      </c>
      <c r="H63" s="1931">
        <v>4616.0870000000004</v>
      </c>
    </row>
    <row r="64" spans="1:8" ht="12.75" hidden="1" customHeight="1" x14ac:dyDescent="0.2">
      <c r="A64" s="1926">
        <v>39142</v>
      </c>
      <c r="B64" s="1935">
        <v>20</v>
      </c>
      <c r="C64" s="1932">
        <v>3327.8</v>
      </c>
      <c r="D64" s="1932">
        <v>1591.49</v>
      </c>
      <c r="E64" s="1933">
        <v>294.11</v>
      </c>
      <c r="F64" s="1930">
        <v>1305.58</v>
      </c>
      <c r="G64" s="1931">
        <v>20607.429</v>
      </c>
      <c r="H64" s="1931">
        <v>529.08500000000004</v>
      </c>
    </row>
    <row r="65" spans="1:8" ht="12.75" hidden="1" customHeight="1" x14ac:dyDescent="0.2">
      <c r="A65" s="1926">
        <v>39173</v>
      </c>
      <c r="B65" s="1935">
        <v>21</v>
      </c>
      <c r="C65" s="1932">
        <v>3444.42</v>
      </c>
      <c r="D65" s="1932">
        <v>1669.21</v>
      </c>
      <c r="E65" s="1933">
        <v>304.26</v>
      </c>
      <c r="F65" s="1930">
        <v>1345.27</v>
      </c>
      <c r="G65" s="1931">
        <v>27817</v>
      </c>
      <c r="H65" s="1931">
        <v>684</v>
      </c>
    </row>
    <row r="66" spans="1:8" ht="12.75" hidden="1" customHeight="1" x14ac:dyDescent="0.2">
      <c r="A66" s="1926">
        <v>39203</v>
      </c>
      <c r="B66" s="1935">
        <v>22</v>
      </c>
      <c r="C66" s="1932">
        <v>3513.32</v>
      </c>
      <c r="D66" s="1932">
        <v>1730.77</v>
      </c>
      <c r="E66" s="1933">
        <v>317.95</v>
      </c>
      <c r="F66" s="1930">
        <v>1369.27</v>
      </c>
      <c r="G66" s="1931">
        <v>31129.279999999999</v>
      </c>
      <c r="H66" s="1931">
        <v>636.38300000000004</v>
      </c>
    </row>
    <row r="67" spans="1:8" ht="12.75" hidden="1" customHeight="1" x14ac:dyDescent="0.2">
      <c r="A67" s="1926">
        <v>39234</v>
      </c>
      <c r="B67" s="1935">
        <v>21</v>
      </c>
      <c r="C67" s="1932">
        <v>3698.34</v>
      </c>
      <c r="D67" s="1932">
        <v>1811.6</v>
      </c>
      <c r="E67" s="1933">
        <v>327.11</v>
      </c>
      <c r="F67" s="1930">
        <v>1386.03</v>
      </c>
      <c r="G67" s="1931">
        <v>28688</v>
      </c>
      <c r="H67" s="1931">
        <v>641.274</v>
      </c>
    </row>
    <row r="68" spans="1:8" ht="12.75" hidden="1" customHeight="1" x14ac:dyDescent="0.2">
      <c r="A68" s="1926">
        <v>39264</v>
      </c>
      <c r="B68" s="1935">
        <v>22</v>
      </c>
      <c r="C68" s="1932">
        <v>3758.4</v>
      </c>
      <c r="D68" s="1932">
        <v>1851.74</v>
      </c>
      <c r="E68" s="1933">
        <v>347.12</v>
      </c>
      <c r="F68" s="1930">
        <v>1457.49</v>
      </c>
      <c r="G68" s="1931">
        <v>19415.598000000002</v>
      </c>
      <c r="H68" s="1931">
        <v>436.88600000000002</v>
      </c>
    </row>
    <row r="69" spans="1:8" ht="12.75" hidden="1" customHeight="1" x14ac:dyDescent="0.2">
      <c r="A69" s="1926">
        <v>39295</v>
      </c>
      <c r="B69" s="1935">
        <v>23</v>
      </c>
      <c r="C69" s="1932">
        <v>3823.44</v>
      </c>
      <c r="D69" s="1932">
        <v>1909.21</v>
      </c>
      <c r="E69" s="1933">
        <v>356.91</v>
      </c>
      <c r="F69" s="1930">
        <v>1480.6</v>
      </c>
      <c r="G69" s="1931">
        <v>21702</v>
      </c>
      <c r="H69" s="1931">
        <v>625</v>
      </c>
    </row>
    <row r="70" spans="1:8" ht="12.75" hidden="1" customHeight="1" x14ac:dyDescent="0.2">
      <c r="A70" s="1926">
        <v>39326</v>
      </c>
      <c r="B70" s="1935">
        <v>20</v>
      </c>
      <c r="C70" s="1932">
        <v>3848.39</v>
      </c>
      <c r="D70" s="1932">
        <v>1928.04</v>
      </c>
      <c r="E70" s="1933">
        <v>362</v>
      </c>
      <c r="F70" s="1930">
        <v>1484.38</v>
      </c>
      <c r="G70" s="1931">
        <v>26549.976999999999</v>
      </c>
      <c r="H70" s="1931">
        <v>566.15899999999999</v>
      </c>
    </row>
    <row r="71" spans="1:8" ht="12.75" hidden="1" customHeight="1" x14ac:dyDescent="0.2">
      <c r="A71" s="1926">
        <v>39356</v>
      </c>
      <c r="B71" s="1935">
        <v>23</v>
      </c>
      <c r="C71" s="1932">
        <v>4289.03</v>
      </c>
      <c r="D71" s="1932">
        <v>2182.33</v>
      </c>
      <c r="E71" s="1933">
        <v>409.25</v>
      </c>
      <c r="F71" s="1930">
        <v>1644.98</v>
      </c>
      <c r="G71" s="1931">
        <v>49955.307999999997</v>
      </c>
      <c r="H71" s="1931">
        <v>806.62400000000002</v>
      </c>
    </row>
    <row r="72" spans="1:8" ht="12.75" hidden="1" customHeight="1" x14ac:dyDescent="0.2">
      <c r="A72" s="1926">
        <v>39387</v>
      </c>
      <c r="B72" s="1935">
        <v>19</v>
      </c>
      <c r="C72" s="1932">
        <v>4729.45</v>
      </c>
      <c r="D72" s="1932">
        <v>2423.71</v>
      </c>
      <c r="E72" s="1933">
        <v>464.41</v>
      </c>
      <c r="F72" s="1930">
        <v>1809.61</v>
      </c>
      <c r="G72" s="1931">
        <v>66924.271999999997</v>
      </c>
      <c r="H72" s="1931">
        <v>1736.2529999999999</v>
      </c>
    </row>
    <row r="73" spans="1:8" ht="12.75" hidden="1" customHeight="1" x14ac:dyDescent="0.2">
      <c r="A73" s="1926">
        <v>39417</v>
      </c>
      <c r="B73" s="1935">
        <v>20</v>
      </c>
      <c r="C73" s="1932">
        <v>4779.3615000000009</v>
      </c>
      <c r="D73" s="1932">
        <v>2506.6840000000002</v>
      </c>
      <c r="E73" s="1933">
        <v>468.03199999999998</v>
      </c>
      <c r="F73" s="1930">
        <v>1819.6895</v>
      </c>
      <c r="G73" s="1931">
        <v>62188</v>
      </c>
      <c r="H73" s="1931">
        <v>1041</v>
      </c>
    </row>
    <row r="74" spans="1:8" ht="12.75" hidden="1" customHeight="1" x14ac:dyDescent="0.2">
      <c r="A74" s="1926">
        <v>39448</v>
      </c>
      <c r="B74" s="1935">
        <v>20</v>
      </c>
      <c r="C74" s="1932">
        <v>5097.03</v>
      </c>
      <c r="D74" s="1932">
        <v>2739.86</v>
      </c>
      <c r="E74" s="1933">
        <v>505.55</v>
      </c>
      <c r="F74" s="1930">
        <v>1938.86</v>
      </c>
      <c r="G74" s="1931">
        <v>52533</v>
      </c>
      <c r="H74" s="1931">
        <v>1097</v>
      </c>
    </row>
    <row r="75" spans="1:8" ht="12.75" hidden="1" customHeight="1" x14ac:dyDescent="0.2">
      <c r="A75" s="1926">
        <v>39479</v>
      </c>
      <c r="B75" s="1935">
        <v>19</v>
      </c>
      <c r="C75" s="1932">
        <v>5334.6215789473672</v>
      </c>
      <c r="D75" s="1932">
        <v>2906.4263157894734</v>
      </c>
      <c r="E75" s="1933">
        <v>523.21421052631592</v>
      </c>
      <c r="F75" s="1930">
        <v>2028.65</v>
      </c>
      <c r="G75" s="1931">
        <v>65724</v>
      </c>
      <c r="H75" s="1931">
        <v>870</v>
      </c>
    </row>
    <row r="76" spans="1:8" ht="12.75" hidden="1" customHeight="1" x14ac:dyDescent="0.2">
      <c r="A76" s="1926">
        <v>39508</v>
      </c>
      <c r="B76" s="1935">
        <v>19</v>
      </c>
      <c r="C76" s="1932">
        <v>5047.18</v>
      </c>
      <c r="D76" s="1932">
        <v>2897.84</v>
      </c>
      <c r="E76" s="1933">
        <v>486.33</v>
      </c>
      <c r="F76" s="1930">
        <v>1916.63</v>
      </c>
      <c r="G76" s="1931">
        <v>50776</v>
      </c>
      <c r="H76" s="1931">
        <v>854</v>
      </c>
    </row>
    <row r="77" spans="1:8" ht="12.75" hidden="1" customHeight="1" x14ac:dyDescent="0.2">
      <c r="A77" s="1926">
        <v>39539</v>
      </c>
      <c r="B77" s="1935">
        <v>21</v>
      </c>
      <c r="C77" s="1932">
        <v>4752.76</v>
      </c>
      <c r="D77" s="1932">
        <v>2815.46</v>
      </c>
      <c r="E77" s="1933">
        <v>446.57</v>
      </c>
      <c r="F77" s="1930">
        <v>1796.01</v>
      </c>
      <c r="G77" s="1931">
        <v>36358</v>
      </c>
      <c r="H77" s="1931">
        <v>1091</v>
      </c>
    </row>
    <row r="78" spans="1:8" ht="12.75" hidden="1" customHeight="1" x14ac:dyDescent="0.2">
      <c r="A78" s="1926">
        <v>39569</v>
      </c>
      <c r="B78" s="1935">
        <v>21</v>
      </c>
      <c r="C78" s="1932">
        <v>4960.6499999999996</v>
      </c>
      <c r="D78" s="1932">
        <v>2800.19</v>
      </c>
      <c r="E78" s="1933">
        <v>471.43</v>
      </c>
      <c r="F78" s="1930">
        <v>1870.7</v>
      </c>
      <c r="G78" s="1931">
        <v>56054</v>
      </c>
      <c r="H78" s="1931">
        <v>1132</v>
      </c>
    </row>
    <row r="79" spans="1:8" ht="12.75" hidden="1" customHeight="1" x14ac:dyDescent="0.2">
      <c r="A79" s="1926">
        <v>39600</v>
      </c>
      <c r="B79" s="1935">
        <v>21</v>
      </c>
      <c r="C79" s="1932">
        <v>4966.8900000000003</v>
      </c>
      <c r="D79" s="1932">
        <v>2797.4</v>
      </c>
      <c r="E79" s="1933">
        <v>469.24</v>
      </c>
      <c r="F79" s="1930">
        <v>1871.83</v>
      </c>
      <c r="G79" s="1931">
        <v>70459</v>
      </c>
      <c r="H79" s="1931">
        <v>1700</v>
      </c>
    </row>
    <row r="80" spans="1:8" ht="12.75" hidden="1" customHeight="1" x14ac:dyDescent="0.2">
      <c r="A80" s="1926">
        <v>39630</v>
      </c>
      <c r="B80" s="1935">
        <v>23</v>
      </c>
      <c r="C80" s="1932">
        <v>4557.3900000000003</v>
      </c>
      <c r="D80" s="1932">
        <v>2626.4</v>
      </c>
      <c r="E80" s="1933">
        <v>420.36</v>
      </c>
      <c r="F80" s="1930">
        <v>1709.9</v>
      </c>
      <c r="G80" s="1931">
        <v>25202</v>
      </c>
      <c r="H80" s="1931">
        <v>876</v>
      </c>
    </row>
    <row r="81" spans="1:8" ht="12.75" hidden="1" customHeight="1" x14ac:dyDescent="0.2">
      <c r="A81" s="1926">
        <v>39661</v>
      </c>
      <c r="B81" s="1935">
        <v>20</v>
      </c>
      <c r="C81" s="1932">
        <v>4564.1099999999997</v>
      </c>
      <c r="D81" s="1932">
        <v>2550.79</v>
      </c>
      <c r="E81" s="1933">
        <v>418.64</v>
      </c>
      <c r="F81" s="1930">
        <v>1708.4</v>
      </c>
      <c r="G81" s="1931">
        <v>43094</v>
      </c>
      <c r="H81" s="1931">
        <v>705</v>
      </c>
    </row>
    <row r="82" spans="1:8" ht="12.75" hidden="1" customHeight="1" x14ac:dyDescent="0.2">
      <c r="A82" s="1926">
        <v>39699</v>
      </c>
      <c r="B82" s="1935">
        <v>21</v>
      </c>
      <c r="C82" s="1932">
        <v>4369.83</v>
      </c>
      <c r="D82" s="1932">
        <v>2326.5700000000002</v>
      </c>
      <c r="E82" s="1933">
        <v>393.49</v>
      </c>
      <c r="F82" s="1930">
        <v>1630.66</v>
      </c>
      <c r="G82" s="1931">
        <v>37203</v>
      </c>
      <c r="H82" s="1931">
        <v>504</v>
      </c>
    </row>
    <row r="83" spans="1:8" ht="12.75" hidden="1" customHeight="1" x14ac:dyDescent="0.2">
      <c r="A83" s="1926">
        <v>39729</v>
      </c>
      <c r="B83" s="1935">
        <v>21</v>
      </c>
      <c r="C83" s="1932">
        <v>3873.6</v>
      </c>
      <c r="D83" s="1932">
        <v>1976.09</v>
      </c>
      <c r="E83" s="1933">
        <v>339.74</v>
      </c>
      <c r="F83" s="1930">
        <v>1434.25</v>
      </c>
      <c r="G83" s="1931">
        <v>45100</v>
      </c>
      <c r="H83" s="1931">
        <v>902</v>
      </c>
    </row>
    <row r="84" spans="1:8" ht="12.75" hidden="1" customHeight="1" x14ac:dyDescent="0.2">
      <c r="A84" s="1926">
        <v>39760</v>
      </c>
      <c r="B84" s="1935">
        <v>20</v>
      </c>
      <c r="C84" s="1932">
        <v>3431.06</v>
      </c>
      <c r="D84" s="1932">
        <v>1653.51</v>
      </c>
      <c r="E84" s="1933">
        <v>289.25450000000001</v>
      </c>
      <c r="F84" s="1930">
        <v>1266.8094999999998</v>
      </c>
      <c r="G84" s="1931">
        <v>40288</v>
      </c>
      <c r="H84" s="1931">
        <v>766</v>
      </c>
    </row>
    <row r="85" spans="1:8" ht="12.75" hidden="1" customHeight="1" x14ac:dyDescent="0.2">
      <c r="A85" s="1926">
        <v>39790</v>
      </c>
      <c r="B85" s="1935">
        <v>22</v>
      </c>
      <c r="C85" s="1932">
        <v>3220.7404545454551</v>
      </c>
      <c r="D85" s="1932">
        <v>1551.9959090909092</v>
      </c>
      <c r="E85" s="1933">
        <v>266.05318181818183</v>
      </c>
      <c r="F85" s="1930">
        <v>1179.2677272727271</v>
      </c>
      <c r="G85" s="1931">
        <v>38757</v>
      </c>
      <c r="H85" s="1931">
        <v>674</v>
      </c>
    </row>
    <row r="86" spans="1:8" ht="12.75" hidden="1" customHeight="1" x14ac:dyDescent="0.2">
      <c r="A86" s="1926">
        <v>39821</v>
      </c>
      <c r="B86" s="1935">
        <v>19</v>
      </c>
      <c r="C86" s="1932">
        <v>3205.9642105263156</v>
      </c>
      <c r="D86" s="1932">
        <v>1528.0031578947367</v>
      </c>
      <c r="E86" s="1933">
        <v>265.43842105263167</v>
      </c>
      <c r="F86" s="1930">
        <v>1171.0794736842101</v>
      </c>
      <c r="G86" s="1931">
        <v>14198</v>
      </c>
      <c r="H86" s="1931">
        <v>370</v>
      </c>
    </row>
    <row r="87" spans="1:8" ht="12.75" hidden="1" customHeight="1" x14ac:dyDescent="0.2">
      <c r="A87" s="1926">
        <v>39852</v>
      </c>
      <c r="B87" s="1935">
        <v>19</v>
      </c>
      <c r="C87" s="1932">
        <v>2771.1478947368423</v>
      </c>
      <c r="D87" s="1932">
        <v>1286.3705263157894</v>
      </c>
      <c r="E87" s="1933">
        <v>219.57157894736847</v>
      </c>
      <c r="F87" s="1930">
        <v>1011.6305263157897</v>
      </c>
      <c r="G87" s="1931">
        <v>30908</v>
      </c>
      <c r="H87" s="1931">
        <v>664</v>
      </c>
    </row>
    <row r="88" spans="1:8" ht="12.75" hidden="1" customHeight="1" x14ac:dyDescent="0.2">
      <c r="A88" s="1926">
        <v>39880</v>
      </c>
      <c r="B88" s="1935">
        <v>20</v>
      </c>
      <c r="C88" s="1932">
        <v>2673.8294999999994</v>
      </c>
      <c r="D88" s="1932">
        <v>1220.9910000000002</v>
      </c>
      <c r="E88" s="1933">
        <v>210.45700000000005</v>
      </c>
      <c r="F88" s="1930">
        <v>974.81600000000003</v>
      </c>
      <c r="G88" s="1931">
        <v>22700</v>
      </c>
      <c r="H88" s="1931">
        <v>594</v>
      </c>
    </row>
    <row r="89" spans="1:8" ht="12.75" hidden="1" customHeight="1" x14ac:dyDescent="0.2">
      <c r="A89" s="1926">
        <v>39911</v>
      </c>
      <c r="B89" s="1935">
        <v>22</v>
      </c>
      <c r="C89" s="1932">
        <v>3146.7736363636359</v>
      </c>
      <c r="D89" s="1932">
        <v>1446.2295454545456</v>
      </c>
      <c r="E89" s="1933">
        <v>250.3868181818182</v>
      </c>
      <c r="F89" s="1930">
        <v>1141.6222727272725</v>
      </c>
      <c r="G89" s="1931">
        <v>61733</v>
      </c>
      <c r="H89" s="1931">
        <v>1170</v>
      </c>
    </row>
    <row r="90" spans="1:8" ht="12.75" hidden="1" customHeight="1" x14ac:dyDescent="0.2">
      <c r="A90" s="1926">
        <v>39941</v>
      </c>
      <c r="B90" s="1935">
        <v>20</v>
      </c>
      <c r="C90" s="1932">
        <v>3297.8479999999995</v>
      </c>
      <c r="D90" s="1932">
        <v>1537.1479999999999</v>
      </c>
      <c r="E90" s="1933">
        <v>263.45</v>
      </c>
      <c r="F90" s="1930">
        <v>1194.3605</v>
      </c>
      <c r="G90" s="1931">
        <v>64090</v>
      </c>
      <c r="H90" s="1931">
        <v>1116</v>
      </c>
    </row>
    <row r="91" spans="1:8" ht="12.75" hidden="1" customHeight="1" x14ac:dyDescent="0.2">
      <c r="A91" s="1926">
        <v>39972</v>
      </c>
      <c r="B91" s="1935">
        <v>22</v>
      </c>
      <c r="C91" s="1932">
        <v>3903.7250000000004</v>
      </c>
      <c r="D91" s="1932">
        <v>1846.6913636363633</v>
      </c>
      <c r="E91" s="1933">
        <v>319.95227272727271</v>
      </c>
      <c r="F91" s="1930">
        <v>1412.1186363636361</v>
      </c>
      <c r="G91" s="1931">
        <v>54702</v>
      </c>
      <c r="H91" s="1931">
        <v>918</v>
      </c>
    </row>
    <row r="92" spans="1:8" ht="12.75" hidden="1" customHeight="1" x14ac:dyDescent="0.2">
      <c r="A92" s="1926">
        <v>40002</v>
      </c>
      <c r="B92" s="1935">
        <v>23</v>
      </c>
      <c r="C92" s="1932">
        <v>3914.88</v>
      </c>
      <c r="D92" s="1932">
        <v>1869.76</v>
      </c>
      <c r="E92" s="1933">
        <v>318.86</v>
      </c>
      <c r="F92" s="1930">
        <v>1408.19</v>
      </c>
      <c r="G92" s="1931">
        <v>29655</v>
      </c>
      <c r="H92" s="1931">
        <v>919</v>
      </c>
    </row>
    <row r="93" spans="1:8" ht="12.75" hidden="1" customHeight="1" x14ac:dyDescent="0.2">
      <c r="A93" s="1926">
        <v>40033</v>
      </c>
      <c r="B93" s="1935">
        <v>20</v>
      </c>
      <c r="C93" s="1932">
        <v>4160.22</v>
      </c>
      <c r="D93" s="1932">
        <v>2008.75</v>
      </c>
      <c r="E93" s="1933">
        <v>335.63</v>
      </c>
      <c r="F93" s="1930">
        <v>1493.15</v>
      </c>
      <c r="G93" s="1931">
        <v>36738</v>
      </c>
      <c r="H93" s="1931">
        <v>822</v>
      </c>
    </row>
    <row r="94" spans="1:8" ht="12.75" hidden="1" customHeight="1" x14ac:dyDescent="0.2">
      <c r="A94" s="1926">
        <v>40064</v>
      </c>
      <c r="B94" s="1935">
        <v>21</v>
      </c>
      <c r="C94" s="1932">
        <v>4464.2119047619053</v>
      </c>
      <c r="D94" s="1932">
        <v>2197.2742857142857</v>
      </c>
      <c r="E94" s="1933">
        <v>362.01428571428568</v>
      </c>
      <c r="F94" s="1930">
        <v>1597.3671428571431</v>
      </c>
      <c r="G94" s="1931">
        <v>42226</v>
      </c>
      <c r="H94" s="1931">
        <v>863</v>
      </c>
    </row>
    <row r="95" spans="1:8" ht="12.75" hidden="1" customHeight="1" x14ac:dyDescent="0.2">
      <c r="A95" s="1926">
        <v>40094</v>
      </c>
      <c r="B95" s="1935">
        <v>22</v>
      </c>
      <c r="C95" s="1932">
        <v>4767.124545454546</v>
      </c>
      <c r="D95" s="1932">
        <v>2403.7390909090905</v>
      </c>
      <c r="E95" s="1933">
        <v>381.49681818181813</v>
      </c>
      <c r="F95" s="1930">
        <v>1696.5281818181816</v>
      </c>
      <c r="G95" s="1931">
        <v>43510</v>
      </c>
      <c r="H95" s="1931">
        <v>769</v>
      </c>
    </row>
    <row r="96" spans="1:8" ht="12.75" hidden="1" customHeight="1" x14ac:dyDescent="0.2">
      <c r="A96" s="1926">
        <v>40125</v>
      </c>
      <c r="B96" s="1935">
        <v>20</v>
      </c>
      <c r="C96" s="1932">
        <v>4721.5674129955196</v>
      </c>
      <c r="D96" s="1932">
        <v>2406.3637595919799</v>
      </c>
      <c r="E96" s="1933">
        <v>372.11362115828592</v>
      </c>
      <c r="F96" s="1930">
        <v>1677.3474031503495</v>
      </c>
      <c r="G96" s="1931">
        <v>40743</v>
      </c>
      <c r="H96" s="1931">
        <v>877</v>
      </c>
    </row>
    <row r="97" spans="1:8" ht="12.75" hidden="1" customHeight="1" x14ac:dyDescent="0.2">
      <c r="A97" s="1926">
        <v>40155</v>
      </c>
      <c r="B97" s="1935">
        <v>22</v>
      </c>
      <c r="C97" s="1932">
        <v>4701.4132797052725</v>
      </c>
      <c r="D97" s="1932">
        <v>2446.8369212574939</v>
      </c>
      <c r="E97" s="1933">
        <v>362.67871098361297</v>
      </c>
      <c r="F97" s="1930">
        <v>1657.6934882367291</v>
      </c>
      <c r="G97" s="1931">
        <v>56531</v>
      </c>
      <c r="H97" s="1931">
        <v>1654</v>
      </c>
    </row>
    <row r="98" spans="1:8" ht="12.75" hidden="1" customHeight="1" x14ac:dyDescent="0.2">
      <c r="A98" s="1926">
        <v>40186</v>
      </c>
      <c r="B98" s="1935">
        <v>20</v>
      </c>
      <c r="C98" s="1932">
        <v>4827.1281697691684</v>
      </c>
      <c r="D98" s="1932">
        <v>2475.0554744435585</v>
      </c>
      <c r="E98" s="1933">
        <v>365.83203606426071</v>
      </c>
      <c r="F98" s="1930">
        <v>1700.434026533318</v>
      </c>
      <c r="G98" s="1931">
        <v>38064</v>
      </c>
      <c r="H98" s="1931">
        <v>1413</v>
      </c>
    </row>
    <row r="99" spans="1:8" ht="12.75" hidden="1" customHeight="1" x14ac:dyDescent="0.2">
      <c r="A99" s="1926">
        <v>40217</v>
      </c>
      <c r="B99" s="1935">
        <v>18</v>
      </c>
      <c r="C99" s="1932">
        <v>4805.5193926340053</v>
      </c>
      <c r="D99" s="1932">
        <v>2430.7307198612152</v>
      </c>
      <c r="E99" s="1933">
        <v>353.9740535310724</v>
      </c>
      <c r="F99" s="1930">
        <v>1692.2094895967871</v>
      </c>
      <c r="G99" s="1931">
        <v>40847</v>
      </c>
      <c r="H99" s="1931">
        <v>785</v>
      </c>
    </row>
    <row r="100" spans="1:8" ht="12.75" hidden="1" customHeight="1" x14ac:dyDescent="0.2">
      <c r="A100" s="1926">
        <v>40245</v>
      </c>
      <c r="B100" s="1935">
        <v>21</v>
      </c>
      <c r="C100" s="1932">
        <v>4674.8081776468707</v>
      </c>
      <c r="D100" s="1932">
        <v>2350.0572374430562</v>
      </c>
      <c r="E100" s="1933">
        <v>341.97600536861296</v>
      </c>
      <c r="F100" s="1930">
        <v>1643.7926014056338</v>
      </c>
      <c r="G100" s="1931">
        <v>82793</v>
      </c>
      <c r="H100" s="1931">
        <v>4025</v>
      </c>
    </row>
    <row r="101" spans="1:8" ht="12.75" hidden="1" customHeight="1" x14ac:dyDescent="0.2">
      <c r="A101" s="1926">
        <v>40276</v>
      </c>
      <c r="B101" s="1935">
        <v>22</v>
      </c>
      <c r="C101" s="1932">
        <v>4760.5342160712489</v>
      </c>
      <c r="D101" s="1932">
        <v>2382.7889710460195</v>
      </c>
      <c r="E101" s="1933">
        <v>345.60349215515083</v>
      </c>
      <c r="F101" s="1930">
        <v>1668.8078676625278</v>
      </c>
      <c r="G101" s="1931">
        <v>54778</v>
      </c>
      <c r="H101" s="1931">
        <v>1748</v>
      </c>
    </row>
    <row r="102" spans="1:8" ht="12.75" hidden="1" customHeight="1" x14ac:dyDescent="0.2">
      <c r="A102" s="1926">
        <v>40306</v>
      </c>
      <c r="B102" s="1935">
        <v>20</v>
      </c>
      <c r="C102" s="1932">
        <v>4662.6628687485299</v>
      </c>
      <c r="D102" s="1932">
        <v>2210.6989462763413</v>
      </c>
      <c r="E102" s="1933">
        <v>332.38117521174797</v>
      </c>
      <c r="F102" s="1930">
        <v>1631.7926129041973</v>
      </c>
      <c r="G102" s="1931">
        <v>67156</v>
      </c>
      <c r="H102" s="1931">
        <v>868</v>
      </c>
    </row>
    <row r="103" spans="1:8" ht="12.75" hidden="1" customHeight="1" x14ac:dyDescent="0.2">
      <c r="A103" s="1926">
        <v>40337</v>
      </c>
      <c r="B103" s="1935">
        <v>22</v>
      </c>
      <c r="C103" s="1932">
        <v>4672.8805318184213</v>
      </c>
      <c r="D103" s="1932">
        <v>2190.7194830182489</v>
      </c>
      <c r="E103" s="1933">
        <v>331.08397814321273</v>
      </c>
      <c r="F103" s="1930">
        <v>1632.9807664416192</v>
      </c>
      <c r="G103" s="1931">
        <v>32840</v>
      </c>
      <c r="H103" s="1931">
        <v>564</v>
      </c>
    </row>
    <row r="104" spans="1:8" s="1944" customFormat="1" ht="21.75" hidden="1" customHeight="1" x14ac:dyDescent="0.2">
      <c r="A104" s="1943">
        <v>40367</v>
      </c>
      <c r="B104" s="1935">
        <v>22</v>
      </c>
      <c r="C104" s="1932">
        <v>4838.2017363038049</v>
      </c>
      <c r="D104" s="1932">
        <v>2387.9606222700363</v>
      </c>
      <c r="E104" s="1933">
        <v>335.74937648069584</v>
      </c>
      <c r="F104" s="1930">
        <v>1682.4248521466639</v>
      </c>
      <c r="G104" s="1931">
        <v>54326</v>
      </c>
      <c r="H104" s="1931">
        <v>2003</v>
      </c>
    </row>
    <row r="105" spans="1:8" s="1944" customFormat="1" ht="21.75" hidden="1" customHeight="1" x14ac:dyDescent="0.2">
      <c r="A105" s="1943">
        <v>40398</v>
      </c>
      <c r="B105" s="1935">
        <v>22</v>
      </c>
      <c r="C105" s="1932">
        <v>4988.2433227794754</v>
      </c>
      <c r="D105" s="1932">
        <v>2514.5728062364096</v>
      </c>
      <c r="E105" s="1933">
        <v>342.64115513215557</v>
      </c>
      <c r="F105" s="1930">
        <v>1732.0934897286488</v>
      </c>
      <c r="G105" s="1931">
        <v>27448</v>
      </c>
      <c r="H105" s="1931">
        <v>980</v>
      </c>
    </row>
    <row r="106" spans="1:8" s="1944" customFormat="1" ht="21.75" hidden="1" customHeight="1" x14ac:dyDescent="0.2">
      <c r="A106" s="1943">
        <v>40429</v>
      </c>
      <c r="B106" s="1935">
        <v>21</v>
      </c>
      <c r="C106" s="1932">
        <v>5022.4022225149456</v>
      </c>
      <c r="D106" s="1932">
        <v>2518.2450421749295</v>
      </c>
      <c r="E106" s="1933">
        <v>334.51944034010921</v>
      </c>
      <c r="F106" s="1930">
        <v>1738.0269440402251</v>
      </c>
      <c r="G106" s="1931">
        <v>43286</v>
      </c>
      <c r="H106" s="1931">
        <v>1176</v>
      </c>
    </row>
    <row r="107" spans="1:8" s="1944" customFormat="1" ht="21.75" hidden="1" customHeight="1" x14ac:dyDescent="0.2">
      <c r="A107" s="1943">
        <v>40459</v>
      </c>
      <c r="B107" s="1935">
        <v>21</v>
      </c>
      <c r="C107" s="1932">
        <v>5285.4285551968696</v>
      </c>
      <c r="D107" s="1932">
        <v>2713.2079883741744</v>
      </c>
      <c r="E107" s="1933">
        <v>348.07677117991886</v>
      </c>
      <c r="F107" s="1930">
        <v>1823.9338179872177</v>
      </c>
      <c r="G107" s="1931">
        <v>51066</v>
      </c>
      <c r="H107" s="1931">
        <v>895</v>
      </c>
    </row>
    <row r="108" spans="1:8" s="1944" customFormat="1" ht="21.75" hidden="1" customHeight="1" x14ac:dyDescent="0.2">
      <c r="A108" s="1943">
        <v>40490</v>
      </c>
      <c r="B108" s="1935">
        <v>20</v>
      </c>
      <c r="C108" s="1932">
        <v>5501.1338542679714</v>
      </c>
      <c r="D108" s="1932">
        <v>2807.6990289142145</v>
      </c>
      <c r="E108" s="1933">
        <v>361.86941521596083</v>
      </c>
      <c r="F108" s="1930">
        <v>1896.7225727265977</v>
      </c>
      <c r="G108" s="1931">
        <v>45840</v>
      </c>
      <c r="H108" s="1931">
        <v>970</v>
      </c>
    </row>
    <row r="109" spans="1:8" s="1944" customFormat="1" ht="21.75" hidden="1" customHeight="1" x14ac:dyDescent="0.2">
      <c r="A109" s="1943">
        <v>40520</v>
      </c>
      <c r="B109" s="1935">
        <v>23</v>
      </c>
      <c r="C109" s="1932">
        <v>5618.3541600930466</v>
      </c>
      <c r="D109" s="1932">
        <v>2822.6191139903472</v>
      </c>
      <c r="E109" s="1933">
        <v>366.39261578827808</v>
      </c>
      <c r="F109" s="1930">
        <v>1924.7444906555879</v>
      </c>
      <c r="G109" s="1931">
        <v>24223</v>
      </c>
      <c r="H109" s="1931">
        <v>687</v>
      </c>
    </row>
    <row r="110" spans="1:8" s="1944" customFormat="1" ht="21.75" hidden="1" customHeight="1" x14ac:dyDescent="0.2">
      <c r="A110" s="1943">
        <v>40551</v>
      </c>
      <c r="B110" s="1935">
        <v>19</v>
      </c>
      <c r="C110" s="1932">
        <v>5913.2862330420758</v>
      </c>
      <c r="D110" s="1932">
        <v>3006.7265101479898</v>
      </c>
      <c r="E110" s="1933">
        <v>385.70946088370619</v>
      </c>
      <c r="F110" s="1930">
        <v>2023.8537404096467</v>
      </c>
      <c r="G110" s="1931">
        <v>63052</v>
      </c>
      <c r="H110" s="1931">
        <v>1131</v>
      </c>
    </row>
    <row r="111" spans="1:8" s="1944" customFormat="1" ht="21.75" hidden="1" customHeight="1" x14ac:dyDescent="0.2">
      <c r="A111" s="1943">
        <v>40582</v>
      </c>
      <c r="B111" s="1935">
        <v>18</v>
      </c>
      <c r="C111" s="1932">
        <v>5971.5883042516125</v>
      </c>
      <c r="D111" s="1932">
        <v>3100.530430433852</v>
      </c>
      <c r="E111" s="1933">
        <v>388.02398015466383</v>
      </c>
      <c r="F111" s="1930">
        <v>2042.9682051176185</v>
      </c>
      <c r="G111" s="1931">
        <v>36863</v>
      </c>
      <c r="H111" s="1931">
        <v>798</v>
      </c>
    </row>
    <row r="112" spans="1:8" s="1944" customFormat="1" ht="21.75" hidden="1" customHeight="1" x14ac:dyDescent="0.2">
      <c r="A112" s="1943">
        <v>40610</v>
      </c>
      <c r="B112" s="1935">
        <v>22</v>
      </c>
      <c r="C112" s="1932">
        <v>5831.1306084196221</v>
      </c>
      <c r="D112" s="1932">
        <v>3076.7769249677276</v>
      </c>
      <c r="E112" s="1933">
        <v>375.53189619666387</v>
      </c>
      <c r="F112" s="1930">
        <v>1992.36040584489</v>
      </c>
      <c r="G112" s="1931">
        <v>32668.889211363639</v>
      </c>
      <c r="H112" s="1931">
        <v>598</v>
      </c>
    </row>
    <row r="113" spans="1:8" s="1944" customFormat="1" ht="21.75" hidden="1" customHeight="1" x14ac:dyDescent="0.2">
      <c r="A113" s="1943">
        <v>40641</v>
      </c>
      <c r="B113" s="1935">
        <v>20</v>
      </c>
      <c r="C113" s="1932">
        <v>5989.9702859358367</v>
      </c>
      <c r="D113" s="1932">
        <v>3269.5195610526985</v>
      </c>
      <c r="E113" s="1933">
        <v>382.92513075988165</v>
      </c>
      <c r="F113" s="1930">
        <v>2041.4989029438213</v>
      </c>
      <c r="G113" s="1931">
        <v>30257</v>
      </c>
      <c r="H113" s="1931">
        <v>623</v>
      </c>
    </row>
    <row r="114" spans="1:8" s="1944" customFormat="1" ht="21.75" hidden="1" customHeight="1" x14ac:dyDescent="0.2">
      <c r="A114" s="1943">
        <v>40671</v>
      </c>
      <c r="B114" s="1935">
        <v>22</v>
      </c>
      <c r="C114" s="1932">
        <v>6123.3196184820754</v>
      </c>
      <c r="D114" s="1932">
        <v>3355.5446732187688</v>
      </c>
      <c r="E114" s="1933">
        <v>391.50420544999781</v>
      </c>
      <c r="F114" s="1930">
        <v>2084.7833272037842</v>
      </c>
      <c r="G114" s="1931">
        <v>52608</v>
      </c>
      <c r="H114" s="1931">
        <v>931</v>
      </c>
    </row>
    <row r="115" spans="1:8" s="1944" customFormat="1" ht="21.75" hidden="1" customHeight="1" x14ac:dyDescent="0.2">
      <c r="A115" s="1943">
        <v>40702</v>
      </c>
      <c r="B115" s="1935">
        <v>22</v>
      </c>
      <c r="C115" s="1932">
        <v>6134.9756152538139</v>
      </c>
      <c r="D115" s="1932">
        <v>3330.8548858048957</v>
      </c>
      <c r="E115" s="1933">
        <v>393.56788981559907</v>
      </c>
      <c r="F115" s="1930">
        <v>2085.3614012646781</v>
      </c>
      <c r="G115" s="1931">
        <v>34508</v>
      </c>
      <c r="H115" s="1931">
        <v>655</v>
      </c>
    </row>
    <row r="116" spans="1:8" s="1944" customFormat="1" ht="21.75" hidden="1" customHeight="1" x14ac:dyDescent="0.2">
      <c r="A116" s="1943">
        <v>40732</v>
      </c>
      <c r="B116" s="1935">
        <v>21</v>
      </c>
      <c r="C116" s="1932">
        <v>6100.5340312545441</v>
      </c>
      <c r="D116" s="1932">
        <v>3311.6270853551978</v>
      </c>
      <c r="E116" s="1933">
        <v>385.70675885352853</v>
      </c>
      <c r="F116" s="1930">
        <v>2064.2108597424194</v>
      </c>
      <c r="G116" s="1931">
        <v>34925</v>
      </c>
      <c r="H116" s="1931">
        <v>747</v>
      </c>
    </row>
    <row r="117" spans="1:8" s="1944" customFormat="1" ht="21.75" hidden="1" customHeight="1" x14ac:dyDescent="0.2">
      <c r="A117" s="1943">
        <v>40763</v>
      </c>
      <c r="B117" s="1935">
        <v>22</v>
      </c>
      <c r="C117" s="1932">
        <v>5808.8463405194743</v>
      </c>
      <c r="D117" s="1932">
        <v>3183.1998574103122</v>
      </c>
      <c r="E117" s="1933">
        <v>364.34880298524291</v>
      </c>
      <c r="F117" s="1930">
        <v>1958.5331262179209</v>
      </c>
      <c r="G117" s="1931">
        <v>53001</v>
      </c>
      <c r="H117" s="1931">
        <v>881</v>
      </c>
    </row>
    <row r="118" spans="1:8" s="1944" customFormat="1" ht="21.75" hidden="1" customHeight="1" x14ac:dyDescent="0.2">
      <c r="A118" s="1943">
        <v>40794</v>
      </c>
      <c r="B118" s="1935">
        <v>21</v>
      </c>
      <c r="C118" s="1932">
        <v>5670.9189604148805</v>
      </c>
      <c r="D118" s="1932">
        <v>3059.7972168683987</v>
      </c>
      <c r="E118" s="1933">
        <v>353.40800894684475</v>
      </c>
      <c r="F118" s="1930">
        <v>1905.4120639045841</v>
      </c>
      <c r="G118" s="1931">
        <v>28224</v>
      </c>
      <c r="H118" s="1931">
        <v>561</v>
      </c>
    </row>
    <row r="119" spans="1:8" s="1944" customFormat="1" ht="21.75" hidden="1" customHeight="1" x14ac:dyDescent="0.2">
      <c r="A119" s="1943">
        <v>40824</v>
      </c>
      <c r="B119" s="1935">
        <v>20</v>
      </c>
      <c r="C119" s="1932">
        <v>5637.5744888979953</v>
      </c>
      <c r="D119" s="1932">
        <v>2995.3269299796339</v>
      </c>
      <c r="E119" s="1933">
        <v>349.34833664543714</v>
      </c>
      <c r="F119" s="1930">
        <v>1889.8135130994874</v>
      </c>
      <c r="G119" s="1931">
        <v>134903</v>
      </c>
      <c r="H119" s="1931">
        <v>2876</v>
      </c>
    </row>
    <row r="120" spans="1:8" s="1944" customFormat="1" ht="21.75" hidden="1" customHeight="1" x14ac:dyDescent="0.2">
      <c r="A120" s="1943">
        <v>40855</v>
      </c>
      <c r="B120" s="1935">
        <v>20</v>
      </c>
      <c r="C120" s="1932">
        <v>5670.6592734865053</v>
      </c>
      <c r="D120" s="1932">
        <v>3004.8248623912759</v>
      </c>
      <c r="E120" s="1933">
        <v>351.42636680825899</v>
      </c>
      <c r="F120" s="1930">
        <v>1899.078404469974</v>
      </c>
      <c r="G120" s="1931">
        <v>203815</v>
      </c>
      <c r="H120" s="1931">
        <v>1755</v>
      </c>
    </row>
    <row r="121" spans="1:8" s="1944" customFormat="1" ht="21.75" hidden="1" customHeight="1" x14ac:dyDescent="0.2">
      <c r="A121" s="1943">
        <v>40885</v>
      </c>
      <c r="B121" s="1935">
        <v>22</v>
      </c>
      <c r="C121" s="1932">
        <v>5594.3785752621407</v>
      </c>
      <c r="D121" s="1932">
        <v>2944.5615894899115</v>
      </c>
      <c r="E121" s="1933">
        <v>344.85004846409981</v>
      </c>
      <c r="F121" s="1930">
        <v>1864.2220738195088</v>
      </c>
      <c r="G121" s="1931">
        <v>26850</v>
      </c>
      <c r="H121" s="1931">
        <v>367</v>
      </c>
    </row>
    <row r="122" spans="1:8" s="1944" customFormat="1" ht="21.75" hidden="1" customHeight="1" x14ac:dyDescent="0.2">
      <c r="A122" s="1943">
        <v>40916</v>
      </c>
      <c r="B122" s="1935">
        <v>20</v>
      </c>
      <c r="C122" s="1932">
        <v>5610.8151320798479</v>
      </c>
      <c r="D122" s="1932">
        <v>2953.8328536620202</v>
      </c>
      <c r="E122" s="1933">
        <v>346.98399905645067</v>
      </c>
      <c r="F122" s="1930">
        <v>1865.3933302329146</v>
      </c>
      <c r="G122" s="1931">
        <v>23760</v>
      </c>
      <c r="H122" s="1931">
        <v>463</v>
      </c>
    </row>
    <row r="123" spans="1:8" s="1944" customFormat="1" ht="21.75" hidden="1" customHeight="1" x14ac:dyDescent="0.2">
      <c r="A123" s="1943">
        <v>40947</v>
      </c>
      <c r="B123" s="1935">
        <v>18</v>
      </c>
      <c r="C123" s="1932">
        <v>5470.1114168408585</v>
      </c>
      <c r="D123" s="1932">
        <v>2913.2561118098797</v>
      </c>
      <c r="E123" s="1933">
        <v>340.90402923250309</v>
      </c>
      <c r="F123" s="1930">
        <v>1816.4284835109709</v>
      </c>
      <c r="G123" s="1931">
        <v>29830</v>
      </c>
      <c r="H123" s="1931">
        <v>569</v>
      </c>
    </row>
    <row r="124" spans="1:8" s="1944" customFormat="1" ht="21.75" hidden="1" customHeight="1" x14ac:dyDescent="0.2">
      <c r="A124" s="1943">
        <v>40976</v>
      </c>
      <c r="B124" s="1935">
        <v>20</v>
      </c>
      <c r="C124" s="1932">
        <v>5344.216449809076</v>
      </c>
      <c r="D124" s="1932">
        <v>2843.40224746678</v>
      </c>
      <c r="E124" s="1933">
        <v>331.90113355150743</v>
      </c>
      <c r="F124" s="1930">
        <v>1772.0401656764675</v>
      </c>
      <c r="G124" s="1931">
        <v>22808</v>
      </c>
      <c r="H124" s="1931">
        <v>587</v>
      </c>
    </row>
    <row r="125" spans="1:8" s="1944" customFormat="1" ht="21.75" hidden="1" customHeight="1" x14ac:dyDescent="0.2">
      <c r="A125" s="1943">
        <v>41007</v>
      </c>
      <c r="B125" s="1935">
        <v>21</v>
      </c>
      <c r="C125" s="1932">
        <v>5432.8290132240727</v>
      </c>
      <c r="D125" s="1932">
        <v>2876.0336849063874</v>
      </c>
      <c r="E125" s="1933">
        <v>338.76382206302799</v>
      </c>
      <c r="F125" s="1930">
        <v>1797.9146441970308</v>
      </c>
      <c r="G125" s="1931">
        <v>27694</v>
      </c>
      <c r="H125" s="1931">
        <v>444</v>
      </c>
    </row>
    <row r="126" spans="1:8" s="1944" customFormat="1" ht="21.75" hidden="1" customHeight="1" x14ac:dyDescent="0.2">
      <c r="A126" s="1943">
        <v>41030</v>
      </c>
      <c r="B126" s="1935">
        <v>22</v>
      </c>
      <c r="C126" s="1932">
        <v>5473.6417947698528</v>
      </c>
      <c r="D126" s="1932">
        <v>2864.68</v>
      </c>
      <c r="E126" s="1933">
        <v>342.88817332746271</v>
      </c>
      <c r="F126" s="1930">
        <v>1809.4602287430114</v>
      </c>
      <c r="G126" s="1931">
        <v>49260.276581363636</v>
      </c>
      <c r="H126" s="1931">
        <v>1218</v>
      </c>
    </row>
    <row r="127" spans="1:8" s="1944" customFormat="1" ht="21.75" hidden="1" customHeight="1" x14ac:dyDescent="0.2">
      <c r="A127" s="1943">
        <v>41061</v>
      </c>
      <c r="B127" s="1935">
        <v>21</v>
      </c>
      <c r="C127" s="1932">
        <v>5420.0854013313028</v>
      </c>
      <c r="D127" s="1932">
        <v>2758.76320559943</v>
      </c>
      <c r="E127" s="1933">
        <v>340.89007235984388</v>
      </c>
      <c r="F127" s="1930">
        <v>1788.7070911958654</v>
      </c>
      <c r="G127" s="1931">
        <v>27132.0045942857</v>
      </c>
      <c r="H127" s="1931">
        <v>528.29661904761906</v>
      </c>
    </row>
    <row r="128" spans="1:8" s="1944" customFormat="1" ht="21.75" hidden="1" customHeight="1" x14ac:dyDescent="0.2">
      <c r="A128" s="1943">
        <v>41091</v>
      </c>
      <c r="B128" s="1935">
        <v>22</v>
      </c>
      <c r="C128" s="1932">
        <v>5349.9797180510968</v>
      </c>
      <c r="D128" s="1932">
        <v>2662.3849025838758</v>
      </c>
      <c r="E128" s="1933">
        <v>337.62030270935105</v>
      </c>
      <c r="F128" s="1930">
        <v>1757.0258603567993</v>
      </c>
      <c r="G128" s="1931">
        <v>55150</v>
      </c>
      <c r="H128" s="1931">
        <v>835</v>
      </c>
    </row>
    <row r="129" spans="1:8" s="1944" customFormat="1" ht="21.75" hidden="1" customHeight="1" x14ac:dyDescent="0.2">
      <c r="A129" s="1943">
        <v>41122</v>
      </c>
      <c r="B129" s="1935">
        <v>21</v>
      </c>
      <c r="C129" s="1932">
        <v>5245.0794021110551</v>
      </c>
      <c r="D129" s="1933">
        <v>2639.3387503780659</v>
      </c>
      <c r="E129" s="1933">
        <v>333.33846830889098</v>
      </c>
      <c r="F129" s="1930">
        <v>1719.9610192639136</v>
      </c>
      <c r="G129" s="1931">
        <v>44271</v>
      </c>
      <c r="H129" s="1931">
        <v>897</v>
      </c>
    </row>
    <row r="130" spans="1:8" s="1944" customFormat="1" ht="21.75" hidden="1" customHeight="1" x14ac:dyDescent="0.2">
      <c r="A130" s="1943">
        <v>41153</v>
      </c>
      <c r="B130" s="1935">
        <v>19</v>
      </c>
      <c r="C130" s="1932">
        <v>5192.6105554554606</v>
      </c>
      <c r="D130" s="1932">
        <v>2641.6586168231688</v>
      </c>
      <c r="E130" s="1933">
        <v>330.92570796411428</v>
      </c>
      <c r="F130" s="1930">
        <v>1702.112424445781</v>
      </c>
      <c r="G130" s="1931">
        <v>48290</v>
      </c>
      <c r="H130" s="1931">
        <v>1046</v>
      </c>
    </row>
    <row r="131" spans="1:8" s="1944" customFormat="1" ht="21.75" hidden="1" customHeight="1" x14ac:dyDescent="0.2">
      <c r="A131" s="1943">
        <v>41183</v>
      </c>
      <c r="B131" s="1935">
        <v>23</v>
      </c>
      <c r="C131" s="1932">
        <v>5167.6407259096486</v>
      </c>
      <c r="D131" s="1932">
        <v>2596.9531537295984</v>
      </c>
      <c r="E131" s="1933">
        <v>326.87429115643334</v>
      </c>
      <c r="F131" s="1930">
        <v>1692.5891542268419</v>
      </c>
      <c r="G131" s="1931">
        <v>42041</v>
      </c>
      <c r="H131" s="1931">
        <v>1208</v>
      </c>
    </row>
    <row r="132" spans="1:8" s="1944" customFormat="1" ht="21.75" hidden="1" customHeight="1" x14ac:dyDescent="0.2">
      <c r="A132" s="1943">
        <v>41214</v>
      </c>
      <c r="B132" s="1935">
        <v>20</v>
      </c>
      <c r="C132" s="1932">
        <v>5111.2919006366801</v>
      </c>
      <c r="D132" s="1932">
        <v>2552.5462217573104</v>
      </c>
      <c r="E132" s="1933">
        <v>320.88367861160424</v>
      </c>
      <c r="F132" s="1930">
        <v>1663.6266381723792</v>
      </c>
      <c r="G132" s="1931">
        <v>43271</v>
      </c>
      <c r="H132" s="1931">
        <v>2242</v>
      </c>
    </row>
    <row r="133" spans="1:8" s="1944" customFormat="1" ht="21.75" hidden="1" customHeight="1" x14ac:dyDescent="0.2">
      <c r="A133" s="1943">
        <v>41244</v>
      </c>
      <c r="B133" s="1935">
        <v>20</v>
      </c>
      <c r="C133" s="1932">
        <v>5289.9115873023793</v>
      </c>
      <c r="D133" s="1932">
        <v>2678.9063357086279</v>
      </c>
      <c r="E133" s="1933">
        <v>333.15411350648162</v>
      </c>
      <c r="F133" s="1930">
        <v>1710.9982147528208</v>
      </c>
      <c r="G133" s="1931">
        <v>43266</v>
      </c>
      <c r="H133" s="1931">
        <v>976</v>
      </c>
    </row>
    <row r="134" spans="1:8" s="1944" customFormat="1" ht="21.75" hidden="1" customHeight="1" x14ac:dyDescent="0.2">
      <c r="A134" s="1943">
        <v>41275</v>
      </c>
      <c r="B134" s="1935">
        <v>21</v>
      </c>
      <c r="C134" s="1932">
        <v>5491.2625203959324</v>
      </c>
      <c r="D134" s="1932">
        <v>2797.8274260708181</v>
      </c>
      <c r="E134" s="1933">
        <v>347.03893506091526</v>
      </c>
      <c r="F134" s="1930">
        <v>1771.9293336032008</v>
      </c>
      <c r="G134" s="1931">
        <v>50325</v>
      </c>
      <c r="H134" s="1931">
        <v>1480</v>
      </c>
    </row>
    <row r="135" spans="1:8" s="1944" customFormat="1" ht="21.75" hidden="1" customHeight="1" x14ac:dyDescent="0.2">
      <c r="A135" s="1943">
        <v>41306</v>
      </c>
      <c r="B135" s="1935">
        <v>19</v>
      </c>
      <c r="C135" s="1932">
        <v>5711.7698208890888</v>
      </c>
      <c r="D135" s="1932">
        <v>2913.3728545294202</v>
      </c>
      <c r="E135" s="1933">
        <v>361.36561988269057</v>
      </c>
      <c r="F135" s="1930">
        <v>1842.5341962184448</v>
      </c>
      <c r="G135" s="1931">
        <v>56805</v>
      </c>
      <c r="H135" s="1931">
        <v>1454</v>
      </c>
    </row>
    <row r="136" spans="1:8" s="1944" customFormat="1" ht="21.75" hidden="1" customHeight="1" x14ac:dyDescent="0.2">
      <c r="A136" s="1943">
        <v>41334</v>
      </c>
      <c r="B136" s="1935">
        <v>20</v>
      </c>
      <c r="C136" s="1932">
        <v>5905.6085627081156</v>
      </c>
      <c r="D136" s="1932">
        <v>2970.1544057385718</v>
      </c>
      <c r="E136" s="1933">
        <v>378.60650682257977</v>
      </c>
      <c r="F136" s="1930">
        <v>1903.5645159361095</v>
      </c>
      <c r="G136" s="1931">
        <v>44332</v>
      </c>
      <c r="H136" s="1931">
        <v>6979</v>
      </c>
    </row>
    <row r="137" spans="1:8" s="1944" customFormat="1" ht="21.75" hidden="1" customHeight="1" x14ac:dyDescent="0.2">
      <c r="A137" s="1943">
        <v>41365</v>
      </c>
      <c r="B137" s="1935">
        <v>20</v>
      </c>
      <c r="C137" s="1932">
        <v>5925.8694118838303</v>
      </c>
      <c r="D137" s="1932">
        <v>2977.7162584739845</v>
      </c>
      <c r="E137" s="1933">
        <v>379.77221068014592</v>
      </c>
      <c r="F137" s="1930">
        <v>1909.18382824572</v>
      </c>
      <c r="G137" s="1931">
        <v>23747</v>
      </c>
      <c r="H137" s="1931">
        <v>7035</v>
      </c>
    </row>
    <row r="138" spans="1:8" s="1944" customFormat="1" ht="21.75" hidden="1" customHeight="1" x14ac:dyDescent="0.2">
      <c r="A138" s="1945">
        <v>41395</v>
      </c>
      <c r="B138" s="1935">
        <v>22</v>
      </c>
      <c r="C138" s="1932">
        <v>6035.6893429399342</v>
      </c>
      <c r="D138" s="1932">
        <v>3022.7819214621345</v>
      </c>
      <c r="E138" s="1933">
        <v>384.92912600965792</v>
      </c>
      <c r="F138" s="1930">
        <v>1943.3664041456955</v>
      </c>
      <c r="G138" s="1931">
        <v>34240</v>
      </c>
      <c r="H138" s="1931">
        <v>5315</v>
      </c>
    </row>
    <row r="139" spans="1:8" s="1944" customFormat="1" ht="21.75" hidden="1" customHeight="1" x14ac:dyDescent="0.2">
      <c r="A139" s="1945">
        <v>41426</v>
      </c>
      <c r="B139" s="1935">
        <v>20</v>
      </c>
      <c r="C139" s="1932">
        <v>6003.8818344144211</v>
      </c>
      <c r="D139" s="1932">
        <v>3019.4429969149505</v>
      </c>
      <c r="E139" s="1933">
        <v>379.205154828746</v>
      </c>
      <c r="F139" s="1930">
        <v>1929.9368160751917</v>
      </c>
      <c r="G139" s="1931">
        <v>49521</v>
      </c>
      <c r="H139" s="1931">
        <v>13235</v>
      </c>
    </row>
    <row r="140" spans="1:8" s="1944" customFormat="1" ht="21.75" hidden="1" customHeight="1" x14ac:dyDescent="0.2">
      <c r="A140" s="1945">
        <v>41456</v>
      </c>
      <c r="B140" s="1935">
        <v>23</v>
      </c>
      <c r="C140" s="1932">
        <v>5861.2335306335744</v>
      </c>
      <c r="D140" s="1932">
        <v>2932.1836157815283</v>
      </c>
      <c r="E140" s="1933">
        <v>365.89100458220588</v>
      </c>
      <c r="F140" s="1930">
        <v>1873.6728068604425</v>
      </c>
      <c r="G140" s="1931">
        <v>20939</v>
      </c>
      <c r="H140" s="1931">
        <v>2425</v>
      </c>
    </row>
    <row r="141" spans="1:8" s="1944" customFormat="1" ht="21.75" hidden="1" customHeight="1" x14ac:dyDescent="0.2">
      <c r="A141" s="1946">
        <v>41487</v>
      </c>
      <c r="B141" s="1947">
        <v>21</v>
      </c>
      <c r="C141" s="1948">
        <v>5938.6437072263843</v>
      </c>
      <c r="D141" s="1948">
        <v>2987.154768060127</v>
      </c>
      <c r="E141" s="1949">
        <v>371.43416315744048</v>
      </c>
      <c r="F141" s="1950">
        <v>1894.1986776730573</v>
      </c>
      <c r="G141" s="1951">
        <f>35688769.0185714/1000</f>
        <v>35688.769018571402</v>
      </c>
      <c r="H141" s="1951">
        <f>11766444.7619048/1000</f>
        <v>11766.444761904801</v>
      </c>
    </row>
    <row r="142" spans="1:8" s="1944" customFormat="1" ht="21" hidden="1" customHeight="1" x14ac:dyDescent="0.2">
      <c r="A142" s="1945">
        <v>41518</v>
      </c>
      <c r="B142" s="1935">
        <v>20</v>
      </c>
      <c r="C142" s="1932">
        <v>6135.9122365628855</v>
      </c>
      <c r="D142" s="1932">
        <v>3089.75435174942</v>
      </c>
      <c r="E142" s="1933">
        <v>378.95210710928052</v>
      </c>
      <c r="F142" s="1941">
        <v>1949.1574629356851</v>
      </c>
      <c r="G142" s="1931">
        <v>45673.182169500004</v>
      </c>
      <c r="H142" s="1931">
        <v>15597.3014</v>
      </c>
    </row>
    <row r="143" spans="1:8" s="1944" customFormat="1" ht="21" hidden="1" customHeight="1" x14ac:dyDescent="0.2">
      <c r="A143" s="1945">
        <v>41548</v>
      </c>
      <c r="B143" s="1935">
        <v>23</v>
      </c>
      <c r="C143" s="1932">
        <v>6263.9843439559036</v>
      </c>
      <c r="D143" s="1932">
        <v>3209.972628184551</v>
      </c>
      <c r="E143" s="1933">
        <v>388.04733826287656</v>
      </c>
      <c r="F143" s="1941">
        <v>1984.2677177535472</v>
      </c>
      <c r="G143" s="1951">
        <v>71113.644136521732</v>
      </c>
      <c r="H143" s="1951">
        <v>8909.6984347826092</v>
      </c>
    </row>
    <row r="144" spans="1:8" s="1944" customFormat="1" ht="21" hidden="1" customHeight="1" x14ac:dyDescent="0.2">
      <c r="A144" s="1945">
        <v>41579</v>
      </c>
      <c r="B144" s="1935">
        <v>23</v>
      </c>
      <c r="C144" s="1932">
        <v>6435.1746965896145</v>
      </c>
      <c r="D144" s="1932">
        <v>3276.4817615889151</v>
      </c>
      <c r="E144" s="1933">
        <v>397.34544073953288</v>
      </c>
      <c r="F144" s="1941">
        <v>2036.8240879558823</v>
      </c>
      <c r="G144" s="1951">
        <v>32633.431793500007</v>
      </c>
      <c r="H144" s="1951">
        <v>3966.7009500000004</v>
      </c>
    </row>
    <row r="145" spans="1:8" s="1944" customFormat="1" ht="21" hidden="1" customHeight="1" x14ac:dyDescent="0.2">
      <c r="A145" s="1945">
        <v>41609</v>
      </c>
      <c r="B145" s="1935">
        <v>21</v>
      </c>
      <c r="C145" s="1932">
        <v>6565.9314861770808</v>
      </c>
      <c r="D145" s="1932">
        <v>3365.3160475398963</v>
      </c>
      <c r="E145" s="1933">
        <v>401.65649020014359</v>
      </c>
      <c r="F145" s="1941">
        <v>2064.8483022954238</v>
      </c>
      <c r="G145" s="1951">
        <v>41835.919750952402</v>
      </c>
      <c r="H145" s="1951">
        <v>5609.1432380952401</v>
      </c>
    </row>
    <row r="146" spans="1:8" s="1944" customFormat="1" ht="21" hidden="1" customHeight="1" x14ac:dyDescent="0.2">
      <c r="A146" s="1945">
        <v>41640</v>
      </c>
      <c r="B146" s="1935">
        <v>19</v>
      </c>
      <c r="C146" s="1932">
        <v>6752.2293580895366</v>
      </c>
      <c r="D146" s="1932">
        <v>3464.2036812287797</v>
      </c>
      <c r="E146" s="1933">
        <v>407.15387740249116</v>
      </c>
      <c r="F146" s="1941">
        <v>2119.8054832397761</v>
      </c>
      <c r="G146" s="1951">
        <v>58767.026706315803</v>
      </c>
      <c r="H146" s="1951">
        <v>9147.1905789473713</v>
      </c>
    </row>
    <row r="147" spans="1:8" s="1944" customFormat="1" ht="21" hidden="1" customHeight="1" x14ac:dyDescent="0.2">
      <c r="A147" s="1945">
        <v>41671</v>
      </c>
      <c r="B147" s="1935">
        <v>18</v>
      </c>
      <c r="C147" s="1932">
        <v>6622.5085866794834</v>
      </c>
      <c r="D147" s="1932">
        <v>3395.5105736274477</v>
      </c>
      <c r="E147" s="1933">
        <v>399.92717494601004</v>
      </c>
      <c r="F147" s="1941">
        <v>2078.3765063013252</v>
      </c>
      <c r="G147" s="1951">
        <v>51213.340688333301</v>
      </c>
      <c r="H147" s="1951">
        <v>6046.6841111111098</v>
      </c>
    </row>
    <row r="148" spans="1:8" s="1944" customFormat="1" ht="21" hidden="1" customHeight="1" x14ac:dyDescent="0.2">
      <c r="A148" s="1945">
        <v>41699</v>
      </c>
      <c r="B148" s="1935">
        <v>19</v>
      </c>
      <c r="C148" s="1932">
        <v>6610.4170439451073</v>
      </c>
      <c r="D148" s="1932">
        <v>3406.4342368498687</v>
      </c>
      <c r="E148" s="1933">
        <v>402.2470838394197</v>
      </c>
      <c r="F148" s="1941">
        <v>2073.2155678745858</v>
      </c>
      <c r="G148" s="1951">
        <v>82767.679326315789</v>
      </c>
      <c r="H148" s="1951">
        <v>8674.0475263157896</v>
      </c>
    </row>
    <row r="149" spans="1:8" s="1944" customFormat="1" ht="21" hidden="1" customHeight="1" x14ac:dyDescent="0.2">
      <c r="A149" s="1945">
        <v>41730</v>
      </c>
      <c r="B149" s="1935">
        <v>22</v>
      </c>
      <c r="C149" s="1932">
        <v>6677.2</v>
      </c>
      <c r="D149" s="1932">
        <v>3445.81</v>
      </c>
      <c r="E149" s="1933">
        <v>406.44</v>
      </c>
      <c r="F149" s="1941">
        <v>2089.04</v>
      </c>
      <c r="G149" s="1951">
        <v>47264.600630000001</v>
      </c>
      <c r="H149" s="1951">
        <v>8115.54864</v>
      </c>
    </row>
    <row r="150" spans="1:8" s="1944" customFormat="1" ht="21" hidden="1" customHeight="1" x14ac:dyDescent="0.2">
      <c r="A150" s="1945">
        <v>41760</v>
      </c>
      <c r="B150" s="1935">
        <v>21</v>
      </c>
      <c r="C150" s="1932">
        <v>6583.58</v>
      </c>
      <c r="D150" s="1932">
        <v>3395.9570834660444</v>
      </c>
      <c r="E150" s="1933">
        <v>402.65869764358536</v>
      </c>
      <c r="F150" s="1941">
        <v>2056.1273025810301</v>
      </c>
      <c r="G150" s="1951">
        <v>69349.756773333298</v>
      </c>
      <c r="H150" s="1951">
        <v>19624.936047619001</v>
      </c>
    </row>
    <row r="151" spans="1:8" s="1944" customFormat="1" ht="21" hidden="1" customHeight="1" x14ac:dyDescent="0.2">
      <c r="A151" s="1945">
        <v>41791</v>
      </c>
      <c r="B151" s="1935">
        <v>21</v>
      </c>
      <c r="C151" s="1932">
        <v>6680.5379999999996</v>
      </c>
      <c r="D151" s="1932">
        <v>3422.55</v>
      </c>
      <c r="E151" s="1933">
        <v>403.45600000000002</v>
      </c>
      <c r="F151" s="1941">
        <v>2078.529</v>
      </c>
      <c r="G151" s="1951">
        <v>117258.61</v>
      </c>
      <c r="H151" s="1951">
        <v>12715.77</v>
      </c>
    </row>
    <row r="152" spans="1:8" s="1944" customFormat="1" ht="21" hidden="1" customHeight="1" x14ac:dyDescent="0.2">
      <c r="A152" s="1945">
        <v>41821</v>
      </c>
      <c r="B152" s="1935">
        <v>22</v>
      </c>
      <c r="C152" s="1932">
        <v>6721.4557813452557</v>
      </c>
      <c r="D152" s="1932">
        <v>3438.4133489568339</v>
      </c>
      <c r="E152" s="1933">
        <v>401.17550313104226</v>
      </c>
      <c r="F152" s="1941">
        <v>2081.9618208644174</v>
      </c>
      <c r="G152" s="1951">
        <v>41509</v>
      </c>
      <c r="H152" s="1951">
        <v>9324.2000000000007</v>
      </c>
    </row>
    <row r="153" spans="1:8" s="1944" customFormat="1" ht="21" hidden="1" customHeight="1" x14ac:dyDescent="0.2">
      <c r="A153" s="1945">
        <v>41852</v>
      </c>
      <c r="B153" s="1935">
        <v>20</v>
      </c>
      <c r="C153" s="1932">
        <v>6815.1202922883949</v>
      </c>
      <c r="D153" s="1932">
        <v>3462.3438620628026</v>
      </c>
      <c r="E153" s="1933">
        <v>402.96856859730644</v>
      </c>
      <c r="F153" s="1941">
        <v>2106.1361546997364</v>
      </c>
      <c r="G153" s="1951">
        <f>59273479.044/1000</f>
        <v>59273.479044</v>
      </c>
      <c r="H153" s="1951">
        <f>13539874.4/1000</f>
        <v>13539.874400000001</v>
      </c>
    </row>
    <row r="154" spans="1:8" s="1944" customFormat="1" ht="21" hidden="1" customHeight="1" x14ac:dyDescent="0.2">
      <c r="A154" s="1945">
        <v>41883</v>
      </c>
      <c r="B154" s="1935">
        <v>22</v>
      </c>
      <c r="C154" s="1932">
        <v>6890.44</v>
      </c>
      <c r="D154" s="1932">
        <v>3444.61</v>
      </c>
      <c r="E154" s="1933">
        <v>401.94</v>
      </c>
      <c r="F154" s="1941">
        <v>2124.36</v>
      </c>
      <c r="G154" s="1951">
        <v>62786.5</v>
      </c>
      <c r="H154" s="1951">
        <v>10950.7</v>
      </c>
    </row>
    <row r="155" spans="1:8" s="1944" customFormat="1" ht="21" hidden="1" customHeight="1" x14ac:dyDescent="0.2">
      <c r="A155" s="1945">
        <v>41913</v>
      </c>
      <c r="B155" s="1935">
        <v>22</v>
      </c>
      <c r="C155" s="1932">
        <v>6964.3925702940796</v>
      </c>
      <c r="D155" s="1932">
        <v>3453.8254306361519</v>
      </c>
      <c r="E155" s="1933">
        <v>405.4765654159288</v>
      </c>
      <c r="F155" s="1941">
        <v>2145.0724929504572</v>
      </c>
      <c r="G155" s="1951">
        <v>69451.899999999994</v>
      </c>
      <c r="H155" s="1951">
        <v>8562</v>
      </c>
    </row>
    <row r="156" spans="1:8" s="1944" customFormat="1" ht="21" hidden="1" customHeight="1" x14ac:dyDescent="0.2">
      <c r="A156" s="1945">
        <v>41944</v>
      </c>
      <c r="B156" s="1935">
        <v>20</v>
      </c>
      <c r="C156" s="1932">
        <v>6838.1</v>
      </c>
      <c r="D156" s="1932">
        <v>3373.62</v>
      </c>
      <c r="E156" s="1933">
        <v>397.18</v>
      </c>
      <c r="F156" s="1941">
        <v>2105.4699999999998</v>
      </c>
      <c r="G156" s="1951">
        <v>98178.6</v>
      </c>
      <c r="H156" s="1951">
        <v>14092.4</v>
      </c>
    </row>
    <row r="157" spans="1:8" s="1944" customFormat="1" ht="21" hidden="1" customHeight="1" x14ac:dyDescent="0.2">
      <c r="A157" s="1945">
        <v>41974</v>
      </c>
      <c r="B157" s="1935">
        <v>21</v>
      </c>
      <c r="C157" s="1932">
        <v>6805.1104826814344</v>
      </c>
      <c r="D157" s="1932">
        <v>3344.9890173461076</v>
      </c>
      <c r="E157" s="1933">
        <v>389.40542403285434</v>
      </c>
      <c r="F157" s="1941">
        <v>2081.5829036052701</v>
      </c>
      <c r="G157" s="1951">
        <v>47971.6</v>
      </c>
      <c r="H157" s="1951">
        <v>5928.4</v>
      </c>
    </row>
    <row r="158" spans="1:8" s="1944" customFormat="1" ht="21" hidden="1" customHeight="1" x14ac:dyDescent="0.2">
      <c r="A158" s="1945">
        <v>42005</v>
      </c>
      <c r="B158" s="1935">
        <v>20</v>
      </c>
      <c r="C158" s="1932">
        <v>6681.657434461149</v>
      </c>
      <c r="D158" s="1932">
        <v>3214.8859725586567</v>
      </c>
      <c r="E158" s="1933">
        <v>378.71998498982123</v>
      </c>
      <c r="F158" s="1941">
        <v>2038.2797993041488</v>
      </c>
      <c r="G158" s="1951">
        <v>48166</v>
      </c>
      <c r="H158" s="1951">
        <v>6767</v>
      </c>
    </row>
    <row r="159" spans="1:8" s="1944" customFormat="1" ht="21" hidden="1" customHeight="1" x14ac:dyDescent="0.2">
      <c r="A159" s="1945">
        <v>42036</v>
      </c>
      <c r="B159" s="1935">
        <v>17</v>
      </c>
      <c r="C159" s="1932">
        <v>6564.078402524935</v>
      </c>
      <c r="D159" s="1932">
        <v>3094.8093036255532</v>
      </c>
      <c r="E159" s="1933">
        <v>374.60187170787367</v>
      </c>
      <c r="F159" s="1941">
        <v>2001.8371655006936</v>
      </c>
      <c r="G159" s="1951">
        <v>130776.954814706</v>
      </c>
      <c r="H159" s="1951">
        <v>13270.4126470588</v>
      </c>
    </row>
    <row r="160" spans="1:8" s="1944" customFormat="1" ht="21" hidden="1" customHeight="1" x14ac:dyDescent="0.2">
      <c r="A160" s="1945">
        <v>42064</v>
      </c>
      <c r="B160" s="1935">
        <v>21</v>
      </c>
      <c r="C160" s="1932">
        <v>6510.4605770226863</v>
      </c>
      <c r="D160" s="1932">
        <v>2860.4329038230271</v>
      </c>
      <c r="E160" s="1933">
        <v>375.28144438807476</v>
      </c>
      <c r="F160" s="1941">
        <v>1983.7651045301907</v>
      </c>
      <c r="G160" s="1951">
        <f>79890772.9928571/1000</f>
        <v>79890.772992857092</v>
      </c>
      <c r="H160" s="1951">
        <f>7958053.42857143/1000</f>
        <v>7958.0534285714302</v>
      </c>
    </row>
    <row r="161" spans="1:16" s="1944" customFormat="1" ht="21" hidden="1" customHeight="1" x14ac:dyDescent="0.2">
      <c r="A161" s="1945">
        <v>42095</v>
      </c>
      <c r="B161" s="1935">
        <v>22</v>
      </c>
      <c r="C161" s="1932">
        <v>6419.0132062999264</v>
      </c>
      <c r="D161" s="1932">
        <v>2755.1640692944438</v>
      </c>
      <c r="E161" s="1933">
        <v>370.31480636977938</v>
      </c>
      <c r="F161" s="1941">
        <v>1953.2978949349672</v>
      </c>
      <c r="G161" s="1951">
        <v>108403.788288636</v>
      </c>
      <c r="H161" s="1951">
        <v>36459.9070454545</v>
      </c>
    </row>
    <row r="162" spans="1:16" s="1944" customFormat="1" ht="21" customHeight="1" x14ac:dyDescent="0.2">
      <c r="A162" s="1945">
        <v>42125</v>
      </c>
      <c r="B162" s="1935">
        <v>20</v>
      </c>
      <c r="C162" s="1932">
        <v>6450.478482469548</v>
      </c>
      <c r="D162" s="1932">
        <v>2851.1677596533727</v>
      </c>
      <c r="E162" s="1933">
        <v>372.54924064363382</v>
      </c>
      <c r="F162" s="1941">
        <v>1960.1243177372751</v>
      </c>
      <c r="G162" s="1951">
        <f>139535712.247/1000</f>
        <v>139535.71224700002</v>
      </c>
      <c r="H162" s="1951">
        <f>48918567.75/1000</f>
        <v>48918.567750000002</v>
      </c>
    </row>
    <row r="163" spans="1:16" s="1944" customFormat="1" ht="21" customHeight="1" x14ac:dyDescent="0.2">
      <c r="A163" s="1945">
        <v>42156</v>
      </c>
      <c r="B163" s="1935">
        <v>22</v>
      </c>
      <c r="C163" s="1932">
        <v>6525.6866478424863</v>
      </c>
      <c r="D163" s="1932">
        <v>2870.9921802035224</v>
      </c>
      <c r="E163" s="1933">
        <v>376.4666297962583</v>
      </c>
      <c r="F163" s="1941">
        <v>1975.572525682066</v>
      </c>
      <c r="G163" s="1951">
        <f>57802550.9627273/1000</f>
        <v>57802.550962727299</v>
      </c>
      <c r="H163" s="1951">
        <f>21735266/1000</f>
        <v>21735.266</v>
      </c>
    </row>
    <row r="164" spans="1:16" s="1944" customFormat="1" ht="21" customHeight="1" x14ac:dyDescent="0.2">
      <c r="A164" s="1945">
        <v>42186</v>
      </c>
      <c r="B164" s="1935">
        <v>23</v>
      </c>
      <c r="C164" s="1932">
        <v>6516.2301700960934</v>
      </c>
      <c r="D164" s="1932">
        <v>2845.1468618665826</v>
      </c>
      <c r="E164" s="1933">
        <v>373.69061981631603</v>
      </c>
      <c r="F164" s="1941">
        <v>1960.7232310253328</v>
      </c>
      <c r="G164" s="1951">
        <v>41150.161211739098</v>
      </c>
      <c r="H164" s="1951">
        <v>11376.320644347799</v>
      </c>
    </row>
    <row r="165" spans="1:16" s="1944" customFormat="1" ht="21" customHeight="1" x14ac:dyDescent="0.2">
      <c r="A165" s="1945">
        <v>42217</v>
      </c>
      <c r="B165" s="1935">
        <v>21</v>
      </c>
      <c r="C165" s="1932">
        <v>6533.5810239087223</v>
      </c>
      <c r="D165" s="1932">
        <v>2866.0495855963864</v>
      </c>
      <c r="E165" s="1933">
        <v>375.33617422018608</v>
      </c>
      <c r="F165" s="1941">
        <v>1960.9326536251258</v>
      </c>
      <c r="G165" s="1951">
        <v>53471.605172857206</v>
      </c>
      <c r="H165" s="1951">
        <v>14573.8962380952</v>
      </c>
    </row>
    <row r="166" spans="1:16" s="1944" customFormat="1" ht="21" customHeight="1" x14ac:dyDescent="0.2">
      <c r="A166" s="1945">
        <v>42248</v>
      </c>
      <c r="B166" s="1935">
        <v>21</v>
      </c>
      <c r="C166" s="1932">
        <v>6425.36</v>
      </c>
      <c r="D166" s="1932">
        <v>2815.07</v>
      </c>
      <c r="E166" s="1933">
        <v>367.18</v>
      </c>
      <c r="F166" s="1941">
        <v>1925.62</v>
      </c>
      <c r="G166" s="1951">
        <v>55953</v>
      </c>
      <c r="H166" s="1951">
        <v>8508.7999999999993</v>
      </c>
    </row>
    <row r="167" spans="1:16" s="1944" customFormat="1" ht="21" customHeight="1" x14ac:dyDescent="0.2">
      <c r="A167" s="1945">
        <v>42278</v>
      </c>
      <c r="B167" s="1935">
        <v>22</v>
      </c>
      <c r="C167" s="1932">
        <v>6295.1396327107741</v>
      </c>
      <c r="D167" s="1932">
        <v>2738.7714621928135</v>
      </c>
      <c r="E167" s="1933">
        <v>360.6477508563475</v>
      </c>
      <c r="F167" s="1941">
        <v>1885.5750136794466</v>
      </c>
      <c r="G167" s="1951">
        <v>54226.515322272702</v>
      </c>
      <c r="H167" s="1951">
        <v>8573.1904545454599</v>
      </c>
    </row>
    <row r="168" spans="1:16" s="1944" customFormat="1" ht="21" customHeight="1" x14ac:dyDescent="0.2">
      <c r="A168" s="1945">
        <v>42309</v>
      </c>
      <c r="B168" s="1935">
        <v>19</v>
      </c>
      <c r="C168" s="1932">
        <v>6184.9426333006541</v>
      </c>
      <c r="D168" s="1932">
        <v>2642.8544555248682</v>
      </c>
      <c r="E168" s="1933">
        <v>354.53902304180872</v>
      </c>
      <c r="F168" s="1941">
        <v>1845.4210097033026</v>
      </c>
      <c r="G168" s="1951">
        <v>36971.379974736803</v>
      </c>
      <c r="H168" s="1951">
        <v>6275.5189473684195</v>
      </c>
    </row>
    <row r="169" spans="1:16" s="1944" customFormat="1" ht="21" customHeight="1" x14ac:dyDescent="0.2">
      <c r="A169" s="1945">
        <v>42339</v>
      </c>
      <c r="B169" s="1935">
        <v>22</v>
      </c>
      <c r="C169" s="1932">
        <v>6083.09</v>
      </c>
      <c r="D169" s="1932">
        <v>2614.83</v>
      </c>
      <c r="E169" s="1933">
        <v>346.23</v>
      </c>
      <c r="F169" s="1941">
        <v>1806.85</v>
      </c>
      <c r="G169" s="1951">
        <v>67301</v>
      </c>
      <c r="H169" s="1951">
        <v>8244.4</v>
      </c>
    </row>
    <row r="170" spans="1:16" s="1944" customFormat="1" ht="21" customHeight="1" x14ac:dyDescent="0.2">
      <c r="A170" s="1945">
        <v>42370</v>
      </c>
      <c r="B170" s="1935">
        <v>20</v>
      </c>
      <c r="C170" s="1932">
        <v>6117.64</v>
      </c>
      <c r="D170" s="1932">
        <v>2624.64</v>
      </c>
      <c r="E170" s="1933">
        <v>346.55</v>
      </c>
      <c r="F170" s="1941">
        <v>1811.16</v>
      </c>
      <c r="G170" s="1951">
        <v>29713.19</v>
      </c>
      <c r="H170" s="1951">
        <v>9980</v>
      </c>
    </row>
    <row r="171" spans="1:16" s="1944" customFormat="1" ht="21" customHeight="1" x14ac:dyDescent="0.2">
      <c r="A171" s="1945">
        <v>42401</v>
      </c>
      <c r="B171" s="1935">
        <v>19</v>
      </c>
      <c r="C171" s="1932">
        <v>6214.43</v>
      </c>
      <c r="D171" s="1932">
        <v>2691.21</v>
      </c>
      <c r="E171" s="1933">
        <v>352.31</v>
      </c>
      <c r="F171" s="1941">
        <v>1836.75</v>
      </c>
      <c r="G171" s="1951">
        <v>140425</v>
      </c>
      <c r="H171" s="1951">
        <v>12493.58</v>
      </c>
    </row>
    <row r="172" spans="1:16" s="1944" customFormat="1" ht="21" customHeight="1" x14ac:dyDescent="0.2">
      <c r="A172" s="1945">
        <v>42430</v>
      </c>
      <c r="B172" s="1935">
        <v>22</v>
      </c>
      <c r="C172" s="1932">
        <v>6103.72</v>
      </c>
      <c r="D172" s="1932">
        <v>2646.85</v>
      </c>
      <c r="E172" s="1933">
        <v>346.47</v>
      </c>
      <c r="F172" s="1941">
        <v>1802.4680000000001</v>
      </c>
      <c r="G172" s="1951">
        <v>39994.080000000002</v>
      </c>
      <c r="H172" s="1951">
        <v>7685.95</v>
      </c>
    </row>
    <row r="173" spans="1:16" s="1944" customFormat="1" ht="21" customHeight="1" x14ac:dyDescent="0.2">
      <c r="A173" s="1945">
        <v>42461</v>
      </c>
      <c r="B173" s="1935">
        <v>20</v>
      </c>
      <c r="C173" s="1932">
        <v>6038.81</v>
      </c>
      <c r="D173" s="1932">
        <v>2640.2080000000001</v>
      </c>
      <c r="E173" s="1933">
        <v>341.59</v>
      </c>
      <c r="F173" s="1941">
        <v>1781.14</v>
      </c>
      <c r="G173" s="1951">
        <v>45744.063000000002</v>
      </c>
      <c r="H173" s="1951">
        <v>6072.5820000000003</v>
      </c>
    </row>
    <row r="174" spans="1:16" s="1944" customFormat="1" ht="21" customHeight="1" thickBot="1" x14ac:dyDescent="0.25">
      <c r="A174" s="1952">
        <v>42491</v>
      </c>
      <c r="B174" s="1953">
        <v>22</v>
      </c>
      <c r="C174" s="1954">
        <v>5998.88</v>
      </c>
      <c r="D174" s="1954">
        <v>2609.19</v>
      </c>
      <c r="E174" s="1955">
        <v>340.07</v>
      </c>
      <c r="F174" s="1956">
        <v>1767.24</v>
      </c>
      <c r="G174" s="1957">
        <v>25520.799999999999</v>
      </c>
      <c r="H174" s="1957">
        <v>6134.76</v>
      </c>
      <c r="I174" s="1958"/>
    </row>
    <row r="175" spans="1:16" s="1963" customFormat="1" ht="10.5" customHeight="1" x14ac:dyDescent="0.2">
      <c r="A175" s="1959"/>
      <c r="B175" s="1960"/>
      <c r="C175" s="1961"/>
      <c r="D175" s="1961"/>
      <c r="E175" s="1962"/>
      <c r="F175" s="1960"/>
      <c r="G175" s="1960"/>
      <c r="H175" s="1960"/>
      <c r="J175" s="1944"/>
      <c r="K175" s="1944"/>
      <c r="L175" s="1944"/>
      <c r="M175" s="1944"/>
      <c r="O175" s="1964"/>
    </row>
    <row r="176" spans="1:16" s="1963" customFormat="1" ht="37.5" customHeight="1" x14ac:dyDescent="0.2">
      <c r="A176" s="3386" t="s">
        <v>3592</v>
      </c>
      <c r="B176" s="3386"/>
      <c r="C176" s="3386"/>
      <c r="D176" s="3386"/>
      <c r="E176" s="3386"/>
      <c r="F176" s="3386"/>
      <c r="G176" s="3386"/>
      <c r="H176" s="3386"/>
      <c r="J176" s="1944"/>
      <c r="K176" s="1944"/>
      <c r="L176" s="1944"/>
      <c r="M176" s="1944"/>
      <c r="N176" s="1965"/>
      <c r="O176" s="1965"/>
      <c r="P176" s="1965"/>
    </row>
    <row r="177" spans="1:14" s="1963" customFormat="1" ht="25.5" customHeight="1" x14ac:dyDescent="0.2">
      <c r="A177" s="3386" t="s">
        <v>3593</v>
      </c>
      <c r="B177" s="3386"/>
      <c r="C177" s="3386"/>
      <c r="D177" s="3386"/>
      <c r="E177" s="3386"/>
      <c r="F177" s="3386"/>
      <c r="G177" s="3386"/>
      <c r="H177" s="3386"/>
      <c r="J177" s="1966"/>
      <c r="K177" s="1966"/>
      <c r="L177" s="1966"/>
      <c r="M177" s="1966"/>
      <c r="N177" s="1966"/>
    </row>
    <row r="178" spans="1:14" s="1963" customFormat="1" ht="12.75" customHeight="1" x14ac:dyDescent="0.2">
      <c r="A178" s="3387" t="s">
        <v>3594</v>
      </c>
      <c r="B178" s="3386"/>
      <c r="C178" s="3386"/>
      <c r="D178" s="3386"/>
      <c r="E178" s="3386"/>
      <c r="F178" s="3386"/>
      <c r="G178" s="3386"/>
      <c r="H178" s="3386"/>
    </row>
    <row r="179" spans="1:14" s="1908" customFormat="1" ht="57.75" customHeight="1" x14ac:dyDescent="0.2">
      <c r="A179" s="3380" t="s">
        <v>3595</v>
      </c>
      <c r="B179" s="3380"/>
      <c r="C179" s="3380"/>
      <c r="D179" s="3380"/>
      <c r="E179" s="1967"/>
      <c r="F179" s="1968"/>
      <c r="G179" s="1968"/>
      <c r="H179" s="1944"/>
    </row>
    <row r="180" spans="1:14" ht="12.75" customHeight="1" thickBot="1" x14ac:dyDescent="0.25">
      <c r="A180" s="1969"/>
      <c r="B180" s="1969"/>
      <c r="C180" s="1970"/>
      <c r="D180" s="1971" t="s">
        <v>73</v>
      </c>
      <c r="H180" s="1944"/>
    </row>
    <row r="181" spans="1:14" ht="46.5" customHeight="1" thickBot="1" x14ac:dyDescent="0.25">
      <c r="A181" s="1972" t="s">
        <v>211</v>
      </c>
      <c r="B181" s="1972" t="s">
        <v>3596</v>
      </c>
      <c r="C181" s="1972" t="s">
        <v>3597</v>
      </c>
      <c r="D181" s="1973" t="s">
        <v>3598</v>
      </c>
      <c r="H181" s="1944"/>
    </row>
    <row r="182" spans="1:14" ht="16.5" hidden="1" customHeight="1" x14ac:dyDescent="0.2">
      <c r="A182" s="1926">
        <v>40217</v>
      </c>
      <c r="B182" s="1974">
        <v>161.03771599999999</v>
      </c>
      <c r="C182" s="1975">
        <v>131.77647004000002</v>
      </c>
      <c r="D182" s="1976" t="s">
        <v>3599</v>
      </c>
      <c r="E182" s="1977"/>
      <c r="F182" s="1978"/>
    </row>
    <row r="183" spans="1:14" ht="15" hidden="1" customHeight="1" x14ac:dyDescent="0.2">
      <c r="A183" s="1926">
        <v>40245</v>
      </c>
      <c r="B183" s="1974">
        <v>403.32256000000001</v>
      </c>
      <c r="C183" s="1975">
        <v>356.66909319999996</v>
      </c>
      <c r="D183" s="1976" t="s">
        <v>3600</v>
      </c>
      <c r="E183" s="1977"/>
      <c r="F183" s="1978"/>
    </row>
    <row r="184" spans="1:14" ht="15" hidden="1" customHeight="1" x14ac:dyDescent="0.2">
      <c r="A184" s="1926">
        <v>40276</v>
      </c>
      <c r="B184" s="1974">
        <v>521.20303650000005</v>
      </c>
      <c r="C184" s="1975">
        <v>201.15583000000001</v>
      </c>
      <c r="D184" s="1976" t="s">
        <v>3601</v>
      </c>
      <c r="E184" s="1977"/>
      <c r="F184" s="1979"/>
      <c r="G184" s="1980"/>
      <c r="H184" s="1980"/>
    </row>
    <row r="185" spans="1:14" ht="15" hidden="1" customHeight="1" x14ac:dyDescent="0.2">
      <c r="A185" s="1926">
        <v>40306</v>
      </c>
      <c r="B185" s="1974">
        <v>329.135806</v>
      </c>
      <c r="C185" s="1975">
        <v>128.8008695</v>
      </c>
      <c r="D185" s="1976" t="s">
        <v>3602</v>
      </c>
      <c r="E185" s="1977"/>
      <c r="F185" s="1978"/>
      <c r="G185" s="1980"/>
      <c r="H185" s="1980"/>
    </row>
    <row r="186" spans="1:14" ht="15" hidden="1" customHeight="1" x14ac:dyDescent="0.2">
      <c r="A186" s="1926">
        <v>40337</v>
      </c>
      <c r="B186" s="1974">
        <v>207.11887580000001</v>
      </c>
      <c r="C186" s="1975">
        <v>28.417289</v>
      </c>
      <c r="D186" s="1976" t="s">
        <v>3603</v>
      </c>
      <c r="E186" s="1977"/>
      <c r="F186" s="1978"/>
      <c r="G186" s="1980"/>
      <c r="H186" s="1980"/>
    </row>
    <row r="187" spans="1:14" ht="15" hidden="1" customHeight="1" x14ac:dyDescent="0.2">
      <c r="A187" s="1943">
        <v>40367</v>
      </c>
      <c r="B187" s="1974">
        <v>270.14908350000002</v>
      </c>
      <c r="C187" s="1975">
        <v>133.29416225</v>
      </c>
      <c r="D187" s="1976" t="s">
        <v>3604</v>
      </c>
      <c r="E187" s="1977"/>
      <c r="F187" s="1978"/>
      <c r="G187" s="1980"/>
      <c r="H187" s="1980"/>
    </row>
    <row r="188" spans="1:14" ht="15" hidden="1" customHeight="1" x14ac:dyDescent="0.2">
      <c r="A188" s="1943">
        <v>40398</v>
      </c>
      <c r="B188" s="1974">
        <v>217.86438000000001</v>
      </c>
      <c r="C188" s="1975">
        <v>79.483020699999997</v>
      </c>
      <c r="D188" s="1976" t="s">
        <v>3605</v>
      </c>
      <c r="E188" s="1977"/>
      <c r="F188" s="1979"/>
      <c r="G188" s="1978"/>
    </row>
    <row r="189" spans="1:14" ht="15" hidden="1" customHeight="1" x14ac:dyDescent="0.2">
      <c r="A189" s="1943">
        <v>40429</v>
      </c>
      <c r="B189" s="1974">
        <v>388.8727184</v>
      </c>
      <c r="C189" s="1975">
        <v>199.41526140000002</v>
      </c>
      <c r="D189" s="1976" t="s">
        <v>3606</v>
      </c>
      <c r="E189" s="1977"/>
      <c r="F189" s="1978"/>
      <c r="G189" s="1978"/>
    </row>
    <row r="190" spans="1:14" ht="15" hidden="1" customHeight="1" x14ac:dyDescent="0.2">
      <c r="A190" s="1943">
        <v>40459</v>
      </c>
      <c r="B190" s="1974">
        <v>348.71195539999997</v>
      </c>
      <c r="C190" s="1975">
        <v>354.42421330000002</v>
      </c>
      <c r="D190" s="1976" t="s">
        <v>3607</v>
      </c>
      <c r="E190" s="1977"/>
      <c r="F190" s="1978"/>
      <c r="G190" s="1978"/>
    </row>
    <row r="191" spans="1:14" ht="15" hidden="1" customHeight="1" x14ac:dyDescent="0.2">
      <c r="A191" s="1943">
        <v>40490</v>
      </c>
      <c r="B191" s="1974">
        <v>347.89406220000001</v>
      </c>
      <c r="C191" s="1975">
        <v>128.35713510000002</v>
      </c>
      <c r="D191" s="1976" t="s">
        <v>3608</v>
      </c>
      <c r="E191" s="1977"/>
      <c r="F191" s="1978"/>
      <c r="G191" s="1978"/>
    </row>
    <row r="192" spans="1:14" ht="15" hidden="1" customHeight="1" x14ac:dyDescent="0.2">
      <c r="A192" s="1943">
        <v>40520</v>
      </c>
      <c r="B192" s="1974">
        <v>178.9509745</v>
      </c>
      <c r="C192" s="1975">
        <v>55.540696149999995</v>
      </c>
      <c r="D192" s="1976" t="s">
        <v>3609</v>
      </c>
      <c r="E192" s="1977"/>
      <c r="F192" s="1978"/>
    </row>
    <row r="193" spans="1:8" ht="15" hidden="1" customHeight="1" x14ac:dyDescent="0.2">
      <c r="A193" s="1943">
        <v>40551</v>
      </c>
      <c r="B193" s="1981">
        <v>725.55969600000003</v>
      </c>
      <c r="C193" s="1982">
        <v>370.46430950000001</v>
      </c>
      <c r="D193" s="1976" t="s">
        <v>3610</v>
      </c>
      <c r="E193" s="1977"/>
      <c r="F193" s="1978"/>
    </row>
    <row r="194" spans="1:8" ht="15" hidden="1" customHeight="1" x14ac:dyDescent="0.2">
      <c r="A194" s="1943">
        <v>40582</v>
      </c>
      <c r="B194" s="1981">
        <v>154.24198669999998</v>
      </c>
      <c r="C194" s="1983">
        <v>111.00644709999999</v>
      </c>
      <c r="D194" s="1976" t="s">
        <v>3611</v>
      </c>
      <c r="E194" s="1977"/>
      <c r="F194" s="1978"/>
    </row>
    <row r="195" spans="1:8" ht="15" hidden="1" customHeight="1" x14ac:dyDescent="0.2">
      <c r="A195" s="1943">
        <v>40610</v>
      </c>
      <c r="B195" s="1981">
        <v>42.2</v>
      </c>
      <c r="C195" s="1983">
        <v>203.6</v>
      </c>
      <c r="D195" s="1976" t="s">
        <v>3612</v>
      </c>
      <c r="E195" s="1977"/>
      <c r="F195" s="1978"/>
    </row>
    <row r="196" spans="1:8" ht="15" hidden="1" customHeight="1" x14ac:dyDescent="0.2">
      <c r="A196" s="1943">
        <v>40641</v>
      </c>
      <c r="B196" s="1981">
        <v>142.80000000000001</v>
      </c>
      <c r="C196" s="1983">
        <v>119.9</v>
      </c>
      <c r="D196" s="1976" t="s">
        <v>3613</v>
      </c>
      <c r="E196" s="1977"/>
      <c r="F196" s="1978"/>
    </row>
    <row r="197" spans="1:8" ht="15" hidden="1" customHeight="1" x14ac:dyDescent="0.2">
      <c r="A197" s="1943">
        <v>40671</v>
      </c>
      <c r="B197" s="1981">
        <v>246.9</v>
      </c>
      <c r="C197" s="1983">
        <v>263.39999999999998</v>
      </c>
      <c r="D197" s="1976" t="s">
        <v>3614</v>
      </c>
      <c r="E197" s="1977"/>
      <c r="F197" s="1978"/>
    </row>
    <row r="198" spans="1:8" ht="15" hidden="1" customHeight="1" x14ac:dyDescent="0.2">
      <c r="A198" s="1943">
        <v>40702</v>
      </c>
      <c r="B198" s="1981">
        <v>201.6</v>
      </c>
      <c r="C198" s="1983">
        <v>336.5</v>
      </c>
      <c r="D198" s="1976" t="s">
        <v>3615</v>
      </c>
      <c r="E198" s="1977"/>
      <c r="F198" s="1984"/>
    </row>
    <row r="199" spans="1:8" ht="15" hidden="1" customHeight="1" x14ac:dyDescent="0.2">
      <c r="A199" s="1943">
        <v>40732</v>
      </c>
      <c r="B199" s="1981">
        <v>218.3</v>
      </c>
      <c r="C199" s="1983">
        <v>240.4</v>
      </c>
      <c r="D199" s="1976" t="s">
        <v>3616</v>
      </c>
      <c r="E199" s="1977"/>
      <c r="F199" s="1978"/>
      <c r="G199" s="1985"/>
    </row>
    <row r="200" spans="1:8" ht="15" hidden="1" customHeight="1" x14ac:dyDescent="0.2">
      <c r="A200" s="1943">
        <v>40763</v>
      </c>
      <c r="B200" s="1981">
        <v>168.1</v>
      </c>
      <c r="C200" s="1983">
        <v>606.6</v>
      </c>
      <c r="D200" s="1976" t="s">
        <v>3617</v>
      </c>
      <c r="E200" s="1977"/>
      <c r="F200" s="1978"/>
      <c r="G200" s="1985"/>
    </row>
    <row r="201" spans="1:8" ht="15" hidden="1" customHeight="1" x14ac:dyDescent="0.2">
      <c r="A201" s="1943">
        <v>40794</v>
      </c>
      <c r="B201" s="1981">
        <v>130.69999999999999</v>
      </c>
      <c r="C201" s="1983">
        <v>174.4</v>
      </c>
      <c r="D201" s="1976" t="s">
        <v>3618</v>
      </c>
      <c r="E201" s="1977"/>
      <c r="F201" s="1978"/>
      <c r="G201" s="1985"/>
    </row>
    <row r="202" spans="1:8" ht="15" hidden="1" customHeight="1" x14ac:dyDescent="0.2">
      <c r="A202" s="1943">
        <v>40824</v>
      </c>
      <c r="B202" s="1981">
        <v>166.1</v>
      </c>
      <c r="C202" s="1983">
        <v>339.9</v>
      </c>
      <c r="D202" s="1976" t="s">
        <v>3619</v>
      </c>
      <c r="E202" s="1977"/>
      <c r="F202" s="1978"/>
      <c r="G202" s="1985"/>
      <c r="H202" s="1980"/>
    </row>
    <row r="203" spans="1:8" ht="15" hidden="1" customHeight="1" x14ac:dyDescent="0.2">
      <c r="A203" s="1943">
        <v>40855</v>
      </c>
      <c r="B203" s="1981">
        <v>3631.7</v>
      </c>
      <c r="C203" s="1983">
        <v>3694.6</v>
      </c>
      <c r="D203" s="1976" t="s">
        <v>3620</v>
      </c>
      <c r="E203" s="1977"/>
      <c r="F203" s="1978"/>
      <c r="G203" s="1985"/>
      <c r="H203" s="1980"/>
    </row>
    <row r="204" spans="1:8" ht="15" hidden="1" customHeight="1" x14ac:dyDescent="0.2">
      <c r="A204" s="1943">
        <v>40885</v>
      </c>
      <c r="B204" s="1983">
        <v>329.8</v>
      </c>
      <c r="C204" s="1983">
        <v>175.4</v>
      </c>
      <c r="D204" s="1976" t="s">
        <v>3621</v>
      </c>
      <c r="E204" s="1977"/>
      <c r="F204" s="1984"/>
      <c r="G204" s="1985"/>
      <c r="H204" s="1980"/>
    </row>
    <row r="205" spans="1:8" ht="15" hidden="1" customHeight="1" x14ac:dyDescent="0.2">
      <c r="A205" s="1943">
        <v>40916</v>
      </c>
      <c r="B205" s="1983">
        <v>125.6</v>
      </c>
      <c r="C205" s="1983">
        <v>111.1</v>
      </c>
      <c r="D205" s="1976" t="s">
        <v>3622</v>
      </c>
      <c r="E205" s="1977"/>
      <c r="F205" s="1984"/>
      <c r="G205" s="1985"/>
      <c r="H205" s="1980"/>
    </row>
    <row r="206" spans="1:8" ht="15" hidden="1" customHeight="1" x14ac:dyDescent="0.2">
      <c r="A206" s="1943">
        <v>40947</v>
      </c>
      <c r="B206" s="1983">
        <v>180</v>
      </c>
      <c r="C206" s="1983">
        <v>131.6</v>
      </c>
      <c r="D206" s="1976" t="s">
        <v>3623</v>
      </c>
      <c r="E206" s="1977"/>
      <c r="F206" s="1984"/>
      <c r="G206" s="1985"/>
      <c r="H206" s="1980"/>
    </row>
    <row r="207" spans="1:8" ht="15" hidden="1" customHeight="1" x14ac:dyDescent="0.2">
      <c r="A207" s="1943">
        <v>40976</v>
      </c>
      <c r="B207" s="1983">
        <v>151.69999999999999</v>
      </c>
      <c r="C207" s="1983">
        <v>123.2</v>
      </c>
      <c r="D207" s="1976" t="s">
        <v>3624</v>
      </c>
      <c r="E207" s="1977"/>
      <c r="F207" s="1984"/>
      <c r="G207" s="1985"/>
      <c r="H207" s="1980"/>
    </row>
    <row r="208" spans="1:8" ht="15" hidden="1" customHeight="1" x14ac:dyDescent="0.2">
      <c r="A208" s="1943">
        <v>41007</v>
      </c>
      <c r="B208" s="1983">
        <v>311.5</v>
      </c>
      <c r="C208" s="1983">
        <v>291.5</v>
      </c>
      <c r="D208" s="1976" t="s">
        <v>3625</v>
      </c>
      <c r="E208" s="1977"/>
      <c r="F208" s="1984"/>
      <c r="G208" s="1985"/>
      <c r="H208" s="1980"/>
    </row>
    <row r="209" spans="1:8" ht="15" hidden="1" customHeight="1" x14ac:dyDescent="0.2">
      <c r="A209" s="1943">
        <v>41037</v>
      </c>
      <c r="B209" s="1983">
        <v>210.2</v>
      </c>
      <c r="C209" s="1983">
        <v>395.36</v>
      </c>
      <c r="D209" s="1986">
        <v>-185.2</v>
      </c>
      <c r="E209" s="1977"/>
      <c r="F209" s="1984"/>
      <c r="G209" s="1985"/>
      <c r="H209" s="1980"/>
    </row>
    <row r="210" spans="1:8" ht="15" hidden="1" customHeight="1" x14ac:dyDescent="0.2">
      <c r="A210" s="1943">
        <v>41068</v>
      </c>
      <c r="B210" s="1983">
        <v>154.94</v>
      </c>
      <c r="C210" s="1983">
        <v>223.923</v>
      </c>
      <c r="D210" s="1986">
        <v>-68.983000000000004</v>
      </c>
      <c r="E210" s="1977"/>
      <c r="F210" s="1984"/>
      <c r="G210" s="1985"/>
      <c r="H210" s="1980"/>
    </row>
    <row r="211" spans="1:8" ht="15" hidden="1" customHeight="1" x14ac:dyDescent="0.2">
      <c r="A211" s="1943">
        <v>41098</v>
      </c>
      <c r="B211" s="1983">
        <v>389.9</v>
      </c>
      <c r="C211" s="1983">
        <v>344.3</v>
      </c>
      <c r="D211" s="1986" t="s">
        <v>3626</v>
      </c>
      <c r="E211" s="1977"/>
      <c r="F211" s="1984"/>
      <c r="G211" s="1985"/>
      <c r="H211" s="1980"/>
    </row>
    <row r="212" spans="1:8" ht="15" hidden="1" customHeight="1" x14ac:dyDescent="0.2">
      <c r="A212" s="1943">
        <v>41129</v>
      </c>
      <c r="B212" s="1983">
        <v>209.5</v>
      </c>
      <c r="C212" s="1983">
        <v>315.5</v>
      </c>
      <c r="D212" s="1986" t="s">
        <v>3627</v>
      </c>
      <c r="E212" s="1977"/>
      <c r="F212" s="1984"/>
      <c r="G212" s="1985"/>
      <c r="H212" s="1980"/>
    </row>
    <row r="213" spans="1:8" ht="15" hidden="1" customHeight="1" x14ac:dyDescent="0.2">
      <c r="A213" s="1943">
        <v>41160</v>
      </c>
      <c r="B213" s="1983">
        <v>163.1</v>
      </c>
      <c r="C213" s="1983">
        <v>243.9</v>
      </c>
      <c r="D213" s="1986">
        <v>-80.8</v>
      </c>
      <c r="E213" s="1977"/>
      <c r="F213" s="1984"/>
      <c r="G213" s="1985"/>
      <c r="H213" s="1980"/>
    </row>
    <row r="214" spans="1:8" ht="15" hidden="1" customHeight="1" x14ac:dyDescent="0.2">
      <c r="A214" s="1943">
        <v>41190</v>
      </c>
      <c r="B214" s="1983">
        <v>216.6</v>
      </c>
      <c r="C214" s="1983">
        <v>236.5</v>
      </c>
      <c r="D214" s="1986">
        <f>B214-C214</f>
        <v>-19.900000000000006</v>
      </c>
      <c r="E214" s="1977"/>
      <c r="F214" s="1984"/>
      <c r="G214" s="1985"/>
      <c r="H214" s="1980"/>
    </row>
    <row r="215" spans="1:8" ht="15" hidden="1" customHeight="1" x14ac:dyDescent="0.2">
      <c r="A215" s="1943">
        <v>41221</v>
      </c>
      <c r="B215" s="1987">
        <v>347.4</v>
      </c>
      <c r="C215" s="1987">
        <v>135.5</v>
      </c>
      <c r="D215" s="1986">
        <f t="shared" ref="D215:D239" si="0">B215-C215</f>
        <v>211.89999999999998</v>
      </c>
      <c r="E215" s="1977"/>
      <c r="F215" s="1984"/>
      <c r="G215" s="1985"/>
      <c r="H215" s="1988"/>
    </row>
    <row r="216" spans="1:8" ht="15" hidden="1" customHeight="1" x14ac:dyDescent="0.2">
      <c r="A216" s="1943">
        <v>41251</v>
      </c>
      <c r="B216" s="1983">
        <v>313.17</v>
      </c>
      <c r="C216" s="1983">
        <v>120.857</v>
      </c>
      <c r="D216" s="1986">
        <f t="shared" si="0"/>
        <v>192.31300000000002</v>
      </c>
      <c r="E216" s="1977"/>
      <c r="F216" s="1984"/>
      <c r="G216" s="1985"/>
      <c r="H216" s="1980"/>
    </row>
    <row r="217" spans="1:8" ht="15" hidden="1" customHeight="1" x14ac:dyDescent="0.2">
      <c r="A217" s="1943">
        <v>41282</v>
      </c>
      <c r="B217" s="1983">
        <v>530.9</v>
      </c>
      <c r="C217" s="1983">
        <v>391.2</v>
      </c>
      <c r="D217" s="1986">
        <f t="shared" si="0"/>
        <v>139.69999999999999</v>
      </c>
      <c r="E217" s="1977"/>
      <c r="F217" s="1984"/>
      <c r="G217" s="1985"/>
      <c r="H217" s="1980"/>
    </row>
    <row r="218" spans="1:8" ht="15" hidden="1" customHeight="1" x14ac:dyDescent="0.2">
      <c r="A218" s="1943">
        <v>41313</v>
      </c>
      <c r="B218" s="1983">
        <v>565.5</v>
      </c>
      <c r="C218" s="1983">
        <v>447.5</v>
      </c>
      <c r="D218" s="1986">
        <f t="shared" si="0"/>
        <v>118</v>
      </c>
      <c r="E218" s="1977"/>
      <c r="F218" s="1984"/>
      <c r="G218" s="1985"/>
      <c r="H218" s="1980"/>
    </row>
    <row r="219" spans="1:8" ht="15" hidden="1" customHeight="1" x14ac:dyDescent="0.2">
      <c r="A219" s="1943">
        <v>41341</v>
      </c>
      <c r="B219" s="1983">
        <v>384.6</v>
      </c>
      <c r="C219" s="1983">
        <v>129.4</v>
      </c>
      <c r="D219" s="1986">
        <f t="shared" si="0"/>
        <v>255.20000000000002</v>
      </c>
      <c r="E219" s="1977"/>
      <c r="F219" s="1984"/>
      <c r="G219" s="1989"/>
      <c r="H219" s="1989"/>
    </row>
    <row r="220" spans="1:8" ht="15" hidden="1" customHeight="1" x14ac:dyDescent="0.2">
      <c r="A220" s="1943">
        <v>41372</v>
      </c>
      <c r="B220" s="1983">
        <v>240.5</v>
      </c>
      <c r="C220" s="1983">
        <v>113.6</v>
      </c>
      <c r="D220" s="1986">
        <f t="shared" si="0"/>
        <v>126.9</v>
      </c>
      <c r="E220" s="1977"/>
      <c r="F220" s="1984"/>
      <c r="G220" s="1985"/>
      <c r="H220" s="1980"/>
    </row>
    <row r="221" spans="1:8" ht="15" hidden="1" customHeight="1" x14ac:dyDescent="0.2">
      <c r="A221" s="1945">
        <v>41402</v>
      </c>
      <c r="B221" s="1983">
        <v>331.9</v>
      </c>
      <c r="C221" s="1983">
        <v>235.2</v>
      </c>
      <c r="D221" s="1986">
        <f t="shared" si="0"/>
        <v>96.699999999999989</v>
      </c>
      <c r="E221" s="1977"/>
      <c r="F221" s="1984"/>
      <c r="G221" s="1985"/>
      <c r="H221" s="1980"/>
    </row>
    <row r="222" spans="1:8" ht="15" hidden="1" customHeight="1" x14ac:dyDescent="0.2">
      <c r="A222" s="1945">
        <v>41433</v>
      </c>
      <c r="B222" s="1983">
        <v>474.5</v>
      </c>
      <c r="C222" s="1983">
        <v>440</v>
      </c>
      <c r="D222" s="1986">
        <f t="shared" si="0"/>
        <v>34.5</v>
      </c>
      <c r="E222" s="1977"/>
      <c r="F222" s="1984"/>
      <c r="G222" s="1985"/>
      <c r="H222" s="1980"/>
    </row>
    <row r="223" spans="1:8" ht="15" hidden="1" customHeight="1" x14ac:dyDescent="0.2">
      <c r="A223" s="1945">
        <v>41463</v>
      </c>
      <c r="B223" s="1983">
        <v>167.53213600000001</v>
      </c>
      <c r="C223" s="1987">
        <v>87.90154167</v>
      </c>
      <c r="D223" s="1986">
        <f t="shared" si="0"/>
        <v>79.630594330000008</v>
      </c>
      <c r="E223" s="1977"/>
      <c r="F223" s="1984"/>
      <c r="G223" s="1985"/>
      <c r="H223" s="1980"/>
    </row>
    <row r="224" spans="1:8" ht="15" hidden="1" customHeight="1" x14ac:dyDescent="0.2">
      <c r="A224" s="1945">
        <v>41494</v>
      </c>
      <c r="B224" s="1983">
        <v>300.86</v>
      </c>
      <c r="C224" s="1983">
        <v>275.04000000000002</v>
      </c>
      <c r="D224" s="1986">
        <f t="shared" si="0"/>
        <v>25.819999999999993</v>
      </c>
      <c r="E224" s="1977"/>
      <c r="F224" s="1984"/>
      <c r="G224" s="1985"/>
      <c r="H224" s="1980"/>
    </row>
    <row r="225" spans="1:11" ht="18" hidden="1" customHeight="1" x14ac:dyDescent="0.2">
      <c r="A225" s="1945">
        <v>41525</v>
      </c>
      <c r="B225" s="1987">
        <v>213.7</v>
      </c>
      <c r="C225" s="1983">
        <v>520.1</v>
      </c>
      <c r="D225" s="1986">
        <f t="shared" si="0"/>
        <v>-306.40000000000003</v>
      </c>
      <c r="E225" s="1977"/>
      <c r="F225" s="1984"/>
      <c r="G225" s="1985"/>
      <c r="H225" s="1980"/>
    </row>
    <row r="226" spans="1:11" ht="18" hidden="1" customHeight="1" x14ac:dyDescent="0.2">
      <c r="A226" s="1945">
        <v>41555</v>
      </c>
      <c r="B226" s="1983">
        <v>743.9</v>
      </c>
      <c r="C226" s="1983">
        <v>1020.6</v>
      </c>
      <c r="D226" s="1986">
        <f t="shared" si="0"/>
        <v>-276.70000000000005</v>
      </c>
      <c r="E226" s="1977"/>
      <c r="F226" s="1984"/>
      <c r="G226" s="1985"/>
      <c r="H226" s="1990"/>
    </row>
    <row r="227" spans="1:11" ht="18" hidden="1" customHeight="1" x14ac:dyDescent="0.2">
      <c r="A227" s="1945">
        <v>41586</v>
      </c>
      <c r="B227" s="1987">
        <v>184.5</v>
      </c>
      <c r="C227" s="1983">
        <v>112</v>
      </c>
      <c r="D227" s="1986">
        <f t="shared" si="0"/>
        <v>72.5</v>
      </c>
      <c r="E227" s="1977"/>
      <c r="F227" s="1984"/>
      <c r="G227" s="1989"/>
      <c r="H227" s="1989"/>
    </row>
    <row r="228" spans="1:11" ht="18" hidden="1" customHeight="1" x14ac:dyDescent="0.2">
      <c r="A228" s="1945">
        <v>41616</v>
      </c>
      <c r="B228" s="1983">
        <v>501.6</v>
      </c>
      <c r="C228" s="1983">
        <v>493.5</v>
      </c>
      <c r="D228" s="1986">
        <f t="shared" si="0"/>
        <v>8.1000000000000227</v>
      </c>
      <c r="E228" s="1977"/>
      <c r="F228" s="1984"/>
      <c r="G228" s="1985"/>
      <c r="H228" s="1990"/>
    </row>
    <row r="229" spans="1:11" ht="18" hidden="1" customHeight="1" x14ac:dyDescent="0.2">
      <c r="A229" s="1945">
        <v>41647</v>
      </c>
      <c r="B229" s="1983">
        <v>439.2</v>
      </c>
      <c r="C229" s="1983">
        <v>475</v>
      </c>
      <c r="D229" s="1986">
        <f t="shared" si="0"/>
        <v>-35.800000000000011</v>
      </c>
      <c r="E229" s="1977"/>
      <c r="F229" s="1984"/>
      <c r="G229" s="1985"/>
      <c r="H229" s="1990"/>
    </row>
    <row r="230" spans="1:11" ht="18" hidden="1" customHeight="1" x14ac:dyDescent="0.2">
      <c r="A230" s="1945">
        <v>41678</v>
      </c>
      <c r="B230" s="1987">
        <v>455.9</v>
      </c>
      <c r="C230" s="1987">
        <v>475.2</v>
      </c>
      <c r="D230" s="1991">
        <f t="shared" si="0"/>
        <v>-19.300000000000011</v>
      </c>
      <c r="E230" s="1977"/>
      <c r="F230" s="1984"/>
      <c r="G230" s="1984"/>
      <c r="H230" s="1984"/>
    </row>
    <row r="231" spans="1:11" ht="18" hidden="1" customHeight="1" x14ac:dyDescent="0.2">
      <c r="A231" s="1945">
        <v>41706</v>
      </c>
      <c r="B231" s="1983">
        <v>159.49</v>
      </c>
      <c r="C231" s="1983">
        <v>257</v>
      </c>
      <c r="D231" s="1986">
        <f t="shared" si="0"/>
        <v>-97.509999999999991</v>
      </c>
      <c r="E231" s="1977"/>
      <c r="F231" s="1984"/>
      <c r="G231" s="1984"/>
      <c r="H231" s="1984"/>
    </row>
    <row r="232" spans="1:11" ht="18" hidden="1" customHeight="1" x14ac:dyDescent="0.2">
      <c r="A232" s="1945">
        <v>41737</v>
      </c>
      <c r="B232" s="1983">
        <v>516.6</v>
      </c>
      <c r="C232" s="1983">
        <v>528.29999999999995</v>
      </c>
      <c r="D232" s="1986">
        <f t="shared" si="0"/>
        <v>-11.699999999999932</v>
      </c>
      <c r="E232" s="1977"/>
      <c r="F232" s="1984"/>
      <c r="G232" s="1984"/>
      <c r="H232" s="1984"/>
    </row>
    <row r="233" spans="1:11" ht="18" hidden="1" customHeight="1" x14ac:dyDescent="0.2">
      <c r="A233" s="1945">
        <v>41767</v>
      </c>
      <c r="B233" s="1983">
        <v>924.98</v>
      </c>
      <c r="C233" s="1983">
        <v>641.19000000000005</v>
      </c>
      <c r="D233" s="1986">
        <f t="shared" si="0"/>
        <v>283.78999999999996</v>
      </c>
      <c r="E233" s="1977"/>
      <c r="F233" s="1984"/>
      <c r="G233" s="1984"/>
      <c r="H233" s="1984"/>
    </row>
    <row r="234" spans="1:11" ht="18" hidden="1" customHeight="1" x14ac:dyDescent="0.2">
      <c r="A234" s="1945">
        <v>41798</v>
      </c>
      <c r="B234" s="1983">
        <v>846.45</v>
      </c>
      <c r="C234" s="1983">
        <v>784.9</v>
      </c>
      <c r="D234" s="1986">
        <f t="shared" si="0"/>
        <v>61.550000000000068</v>
      </c>
      <c r="E234" s="1977"/>
      <c r="F234" s="1984"/>
      <c r="G234" s="1984"/>
      <c r="H234" s="1984"/>
    </row>
    <row r="235" spans="1:11" ht="18" hidden="1" customHeight="1" x14ac:dyDescent="0.2">
      <c r="A235" s="1945">
        <v>41828</v>
      </c>
      <c r="B235" s="1983">
        <v>330.4</v>
      </c>
      <c r="C235" s="1983">
        <v>313.5</v>
      </c>
      <c r="D235" s="1986">
        <f t="shared" si="0"/>
        <v>16.899999999999977</v>
      </c>
      <c r="E235" s="1977"/>
      <c r="F235" s="1984"/>
      <c r="G235" s="1984"/>
      <c r="H235" s="1984"/>
    </row>
    <row r="236" spans="1:11" ht="18" hidden="1" customHeight="1" x14ac:dyDescent="0.2">
      <c r="A236" s="1945">
        <v>41859</v>
      </c>
      <c r="B236" s="1983">
        <v>372.4</v>
      </c>
      <c r="C236" s="1983">
        <v>544.79999999999995</v>
      </c>
      <c r="D236" s="1986">
        <f t="shared" si="0"/>
        <v>-172.39999999999998</v>
      </c>
      <c r="E236" s="1977"/>
      <c r="F236" s="1984"/>
      <c r="G236" s="1984"/>
      <c r="H236" s="1984"/>
    </row>
    <row r="237" spans="1:11" ht="18" hidden="1" customHeight="1" x14ac:dyDescent="0.2">
      <c r="A237" s="1945">
        <v>41890</v>
      </c>
      <c r="B237" s="1983">
        <v>539.20000000000005</v>
      </c>
      <c r="C237" s="1983">
        <v>515.16</v>
      </c>
      <c r="D237" s="1986">
        <f t="shared" si="0"/>
        <v>24.040000000000077</v>
      </c>
      <c r="E237" s="1977"/>
      <c r="F237" s="1984"/>
      <c r="G237" s="1984"/>
      <c r="H237" s="1984"/>
      <c r="I237" s="1980"/>
      <c r="J237" s="1990"/>
      <c r="K237" s="1990"/>
    </row>
    <row r="238" spans="1:11" ht="18" hidden="1" customHeight="1" x14ac:dyDescent="0.2">
      <c r="A238" s="1945">
        <v>41920</v>
      </c>
      <c r="B238" s="1983">
        <v>442.86</v>
      </c>
      <c r="C238" s="1983">
        <v>664.5</v>
      </c>
      <c r="D238" s="1986">
        <f t="shared" si="0"/>
        <v>-221.64</v>
      </c>
      <c r="E238" s="1977"/>
      <c r="F238" s="1984"/>
      <c r="G238" s="1984"/>
      <c r="H238" s="1984"/>
    </row>
    <row r="239" spans="1:11" ht="18" hidden="1" customHeight="1" x14ac:dyDescent="0.2">
      <c r="A239" s="1945">
        <v>41951</v>
      </c>
      <c r="B239" s="1983">
        <v>359.09500000000003</v>
      </c>
      <c r="C239" s="1983">
        <v>795.55</v>
      </c>
      <c r="D239" s="1986">
        <f t="shared" si="0"/>
        <v>-436.45499999999993</v>
      </c>
      <c r="E239" s="1977"/>
      <c r="F239" s="1984"/>
      <c r="G239" s="1984"/>
      <c r="H239" s="1984"/>
      <c r="I239" s="1984"/>
      <c r="J239" s="1984"/>
      <c r="K239" s="1984"/>
    </row>
    <row r="240" spans="1:11" ht="18" hidden="1" customHeight="1" x14ac:dyDescent="0.2">
      <c r="A240" s="1945">
        <v>41981</v>
      </c>
      <c r="B240" s="1983">
        <v>216.4</v>
      </c>
      <c r="C240" s="1983">
        <v>432.38</v>
      </c>
      <c r="D240" s="1986">
        <v>-215.98</v>
      </c>
      <c r="E240" s="1977"/>
      <c r="F240" s="1984"/>
      <c r="G240" s="1984"/>
      <c r="H240" s="1984"/>
    </row>
    <row r="241" spans="1:14" ht="18" hidden="1" customHeight="1" x14ac:dyDescent="0.2">
      <c r="A241" s="1945">
        <v>42005</v>
      </c>
      <c r="B241" s="1983">
        <v>221.6</v>
      </c>
      <c r="C241" s="1983">
        <v>445.3</v>
      </c>
      <c r="D241" s="1986">
        <f t="shared" ref="D241:D258" si="1">B241-C241</f>
        <v>-223.70000000000002</v>
      </c>
      <c r="E241" s="1977"/>
      <c r="F241" s="1984"/>
      <c r="G241" s="1984"/>
      <c r="H241" s="1984"/>
    </row>
    <row r="242" spans="1:14" ht="18" hidden="1" customHeight="1" x14ac:dyDescent="0.2">
      <c r="A242" s="1945">
        <v>42036</v>
      </c>
      <c r="B242" s="1983">
        <v>232.3</v>
      </c>
      <c r="C242" s="1983">
        <v>730.7</v>
      </c>
      <c r="D242" s="1986">
        <f t="shared" si="1"/>
        <v>-498.40000000000003</v>
      </c>
      <c r="E242" s="1977"/>
      <c r="F242" s="1984"/>
      <c r="G242" s="1984"/>
      <c r="H242" s="1984"/>
    </row>
    <row r="243" spans="1:14" ht="18" hidden="1" customHeight="1" x14ac:dyDescent="0.2">
      <c r="A243" s="1945">
        <v>42064</v>
      </c>
      <c r="B243" s="1983">
        <v>268.5</v>
      </c>
      <c r="C243" s="1983">
        <v>898.4</v>
      </c>
      <c r="D243" s="1986">
        <f t="shared" si="1"/>
        <v>-629.9</v>
      </c>
      <c r="E243" s="1977"/>
      <c r="F243" s="1984"/>
      <c r="G243" s="1984"/>
      <c r="H243" s="1984"/>
    </row>
    <row r="244" spans="1:14" ht="18" hidden="1" customHeight="1" x14ac:dyDescent="0.2">
      <c r="A244" s="1945">
        <v>42095</v>
      </c>
      <c r="B244" s="1983">
        <v>424.5</v>
      </c>
      <c r="C244" s="1983">
        <v>1610.7</v>
      </c>
      <c r="D244" s="1986">
        <f t="shared" si="1"/>
        <v>-1186.2</v>
      </c>
      <c r="E244" s="1977"/>
      <c r="F244" s="1984"/>
      <c r="G244" s="1984"/>
      <c r="H244" s="1984"/>
    </row>
    <row r="245" spans="1:14" ht="18" customHeight="1" x14ac:dyDescent="0.2">
      <c r="A245" s="1945">
        <v>42125</v>
      </c>
      <c r="B245" s="1983">
        <v>316.79000000000002</v>
      </c>
      <c r="C245" s="1983">
        <v>871.38900000000001</v>
      </c>
      <c r="D245" s="1986">
        <f t="shared" si="1"/>
        <v>-554.59899999999993</v>
      </c>
      <c r="E245" s="1977"/>
      <c r="F245" s="1984"/>
      <c r="G245" s="1984"/>
      <c r="H245" s="1984"/>
    </row>
    <row r="246" spans="1:14" ht="18" customHeight="1" x14ac:dyDescent="0.2">
      <c r="A246" s="1945">
        <v>42156</v>
      </c>
      <c r="B246" s="1983">
        <v>223.7</v>
      </c>
      <c r="C246" s="1983">
        <v>679.1</v>
      </c>
      <c r="D246" s="1986">
        <f t="shared" si="1"/>
        <v>-455.40000000000003</v>
      </c>
      <c r="E246" s="1977"/>
      <c r="F246" s="1984"/>
      <c r="G246" s="1984"/>
      <c r="H246" s="1984"/>
      <c r="L246" s="1989"/>
      <c r="M246" s="1989"/>
      <c r="N246" s="1989"/>
    </row>
    <row r="247" spans="1:14" ht="18" customHeight="1" x14ac:dyDescent="0.2">
      <c r="A247" s="1945">
        <v>42186</v>
      </c>
      <c r="B247" s="1983">
        <v>299.5</v>
      </c>
      <c r="C247" s="1983">
        <v>294.8</v>
      </c>
      <c r="D247" s="1986">
        <f t="shared" si="1"/>
        <v>4.6999999999999886</v>
      </c>
      <c r="E247" s="1977"/>
      <c r="F247" s="1984"/>
      <c r="G247" s="1984"/>
      <c r="H247" s="1984"/>
    </row>
    <row r="248" spans="1:14" ht="18" customHeight="1" x14ac:dyDescent="0.2">
      <c r="A248" s="1945">
        <v>42217</v>
      </c>
      <c r="B248" s="1983">
        <v>252.7</v>
      </c>
      <c r="C248" s="1983">
        <v>534.70000000000005</v>
      </c>
      <c r="D248" s="1986">
        <f t="shared" si="1"/>
        <v>-282.00000000000006</v>
      </c>
      <c r="E248" s="1977"/>
      <c r="F248" s="1984"/>
      <c r="G248" s="1984"/>
      <c r="H248" s="1984"/>
    </row>
    <row r="249" spans="1:14" ht="18" customHeight="1" x14ac:dyDescent="0.2">
      <c r="A249" s="1945">
        <v>42248</v>
      </c>
      <c r="B249" s="1983">
        <v>355.57600000000002</v>
      </c>
      <c r="C249" s="1983">
        <v>823.68700000000001</v>
      </c>
      <c r="D249" s="1986">
        <f t="shared" si="1"/>
        <v>-468.11099999999999</v>
      </c>
      <c r="E249" s="1977"/>
      <c r="F249" s="1984"/>
      <c r="G249" s="1984"/>
      <c r="H249" s="1984"/>
    </row>
    <row r="250" spans="1:14" ht="18" customHeight="1" x14ac:dyDescent="0.2">
      <c r="A250" s="1945">
        <v>42278</v>
      </c>
      <c r="B250" s="1983">
        <f>480723132/1000000</f>
        <v>480.72313200000002</v>
      </c>
      <c r="C250" s="1983">
        <f>775221006/1000000</f>
        <v>775.22100599999999</v>
      </c>
      <c r="D250" s="1986">
        <f t="shared" si="1"/>
        <v>-294.49787399999997</v>
      </c>
      <c r="E250" s="1977"/>
      <c r="F250" s="1984"/>
      <c r="G250" s="1984"/>
      <c r="H250" s="1984"/>
    </row>
    <row r="251" spans="1:14" ht="18" customHeight="1" x14ac:dyDescent="0.2">
      <c r="A251" s="1945">
        <v>42309</v>
      </c>
      <c r="B251" s="1983">
        <v>277.5</v>
      </c>
      <c r="C251" s="1983">
        <v>420.6</v>
      </c>
      <c r="D251" s="1986">
        <f t="shared" si="1"/>
        <v>-143.10000000000002</v>
      </c>
      <c r="E251" s="1977"/>
      <c r="F251" s="1992"/>
      <c r="G251" s="1992"/>
      <c r="H251" s="1992"/>
      <c r="I251" s="1993"/>
    </row>
    <row r="252" spans="1:14" ht="18" customHeight="1" x14ac:dyDescent="0.25">
      <c r="A252" s="1945">
        <v>42339</v>
      </c>
      <c r="B252" s="1983">
        <v>987.9</v>
      </c>
      <c r="C252" s="1983">
        <v>1231</v>
      </c>
      <c r="D252" s="1986">
        <f t="shared" si="1"/>
        <v>-243.10000000000002</v>
      </c>
      <c r="E252" s="1977"/>
      <c r="F252" s="1992"/>
      <c r="G252" s="1992"/>
      <c r="H252" s="1992"/>
      <c r="I252" s="1994"/>
    </row>
    <row r="253" spans="1:14" ht="18" customHeight="1" x14ac:dyDescent="0.2">
      <c r="A253" s="1945">
        <v>42370</v>
      </c>
      <c r="B253" s="1983">
        <v>227.35</v>
      </c>
      <c r="C253" s="1983">
        <v>272.8</v>
      </c>
      <c r="D253" s="1986">
        <f t="shared" si="1"/>
        <v>-45.450000000000017</v>
      </c>
      <c r="E253" s="1977"/>
      <c r="F253" s="1992"/>
      <c r="G253" s="1992"/>
      <c r="H253" s="1992"/>
      <c r="I253" s="1993"/>
    </row>
    <row r="254" spans="1:14" ht="18" customHeight="1" x14ac:dyDescent="0.25">
      <c r="A254" s="1945">
        <v>42401</v>
      </c>
      <c r="B254" s="1983">
        <v>734.2</v>
      </c>
      <c r="C254" s="1983">
        <v>686.38599999999997</v>
      </c>
      <c r="D254" s="1986">
        <f t="shared" si="1"/>
        <v>47.814000000000078</v>
      </c>
      <c r="E254" s="1977"/>
      <c r="F254" s="1984"/>
      <c r="G254" s="1984"/>
      <c r="H254" s="1984"/>
      <c r="I254" s="1995"/>
    </row>
    <row r="255" spans="1:14" ht="18" customHeight="1" x14ac:dyDescent="0.2">
      <c r="A255" s="1945">
        <v>42430</v>
      </c>
      <c r="B255" s="1983">
        <v>329.8</v>
      </c>
      <c r="C255" s="1983">
        <v>311.7</v>
      </c>
      <c r="D255" s="1986">
        <f t="shared" si="1"/>
        <v>18.100000000000023</v>
      </c>
      <c r="E255" s="1977"/>
      <c r="F255" s="1984"/>
      <c r="G255" s="1984"/>
      <c r="H255" s="1984"/>
    </row>
    <row r="256" spans="1:14" ht="18" customHeight="1" x14ac:dyDescent="0.2">
      <c r="A256" s="1945">
        <v>42461</v>
      </c>
      <c r="B256" s="1983">
        <v>565.79999999999995</v>
      </c>
      <c r="C256" s="1983">
        <v>422.1</v>
      </c>
      <c r="D256" s="1986">
        <v>143.69999999999993</v>
      </c>
      <c r="E256" s="1977"/>
      <c r="F256" s="1984"/>
      <c r="G256" s="1984"/>
      <c r="H256" s="1984"/>
    </row>
    <row r="257" spans="1:10" ht="18" customHeight="1" thickBot="1" x14ac:dyDescent="0.25">
      <c r="A257" s="1945">
        <v>42491</v>
      </c>
      <c r="B257" s="1987">
        <v>158.65</v>
      </c>
      <c r="C257" s="1987">
        <v>201.6</v>
      </c>
      <c r="D257" s="1986">
        <f t="shared" si="1"/>
        <v>-42.949999999999989</v>
      </c>
      <c r="E257" s="1977"/>
      <c r="F257" s="1984"/>
      <c r="G257" s="1984"/>
      <c r="H257" s="1984"/>
      <c r="I257" s="1984"/>
    </row>
    <row r="258" spans="1:10" ht="23.25" customHeight="1" thickBot="1" x14ac:dyDescent="0.25">
      <c r="A258" s="1996" t="s">
        <v>197</v>
      </c>
      <c r="B258" s="1997">
        <f>SUM(B245:B257)</f>
        <v>5210.1891320000004</v>
      </c>
      <c r="C258" s="1997">
        <f>SUM(C245:C257)</f>
        <v>7525.0830060000017</v>
      </c>
      <c r="D258" s="1997">
        <f t="shared" si="1"/>
        <v>-2314.8938740000012</v>
      </c>
      <c r="E258" s="1998"/>
      <c r="F258" s="1984"/>
      <c r="G258" s="1984"/>
      <c r="H258" s="1984"/>
      <c r="I258" s="1984"/>
    </row>
    <row r="259" spans="1:10" ht="14.25" customHeight="1" x14ac:dyDescent="0.2">
      <c r="A259" s="1999"/>
      <c r="B259" s="2000"/>
      <c r="C259" s="2000"/>
      <c r="D259" s="2000"/>
      <c r="E259" s="2000"/>
      <c r="F259" s="1984"/>
      <c r="G259" s="1984"/>
      <c r="H259" s="1984"/>
      <c r="I259" s="1984"/>
    </row>
    <row r="260" spans="1:10" s="2002" customFormat="1" ht="12.75" customHeight="1" x14ac:dyDescent="0.2">
      <c r="A260" s="2001" t="s">
        <v>3628</v>
      </c>
      <c r="C260" s="2003"/>
      <c r="D260" s="2004"/>
      <c r="E260" s="2005"/>
      <c r="F260" s="1990"/>
      <c r="G260" s="1984"/>
      <c r="H260" s="1984"/>
      <c r="I260" s="1910"/>
      <c r="J260" s="1910"/>
    </row>
    <row r="261" spans="1:10" s="2002" customFormat="1" ht="12.75" customHeight="1" x14ac:dyDescent="0.2">
      <c r="A261" s="2001" t="s">
        <v>3594</v>
      </c>
      <c r="C261" s="2003"/>
      <c r="D261" s="2006"/>
      <c r="E261" s="1990"/>
      <c r="F261" s="1990"/>
      <c r="H261" s="2007"/>
    </row>
    <row r="262" spans="1:10" ht="12.75" customHeight="1" x14ac:dyDescent="0.2">
      <c r="B262" s="2008"/>
      <c r="C262" s="2009"/>
      <c r="D262" s="2010"/>
      <c r="E262" s="1990"/>
      <c r="F262" s="1990"/>
      <c r="G262" s="2007"/>
    </row>
    <row r="263" spans="1:10" ht="12.75" customHeight="1" x14ac:dyDescent="0.2">
      <c r="A263" s="2011"/>
    </row>
    <row r="264" spans="1:10" ht="12.75" customHeight="1" x14ac:dyDescent="0.2">
      <c r="B264" s="2012"/>
      <c r="C264" s="2013"/>
      <c r="D264" s="2013"/>
      <c r="E264" s="2014"/>
      <c r="F264" s="2015"/>
      <c r="G264" s="2016"/>
      <c r="H264" s="2016"/>
    </row>
    <row r="265" spans="1:10" ht="12.75" customHeight="1" x14ac:dyDescent="0.2"/>
    <row r="266" spans="1:10" ht="12.75" customHeight="1" x14ac:dyDescent="0.2"/>
    <row r="267" spans="1:10" ht="12.75" customHeight="1" x14ac:dyDescent="0.2"/>
    <row r="268" spans="1:10" ht="12.75" customHeight="1" x14ac:dyDescent="0.2"/>
    <row r="269" spans="1:10" ht="12.75" customHeight="1" x14ac:dyDescent="0.2"/>
    <row r="270" spans="1:10" ht="12.75" customHeight="1" x14ac:dyDescent="0.2">
      <c r="C270" s="2017"/>
      <c r="D270" s="2010"/>
      <c r="E270" s="1990"/>
      <c r="F270" s="1990"/>
      <c r="G270" s="1980"/>
    </row>
    <row r="271" spans="1:10" x14ac:dyDescent="0.2">
      <c r="B271" s="1980"/>
      <c r="C271" s="2006"/>
      <c r="D271" s="2006"/>
    </row>
    <row r="272" spans="1:10" x14ac:dyDescent="0.2">
      <c r="C272" s="2006"/>
      <c r="D272" s="2017"/>
    </row>
    <row r="273" spans="3:4" x14ac:dyDescent="0.2">
      <c r="C273" s="2017"/>
      <c r="D273" s="2017"/>
    </row>
    <row r="274" spans="3:4" x14ac:dyDescent="0.2">
      <c r="D274" s="2017"/>
    </row>
    <row r="275" spans="3:4" x14ac:dyDescent="0.2">
      <c r="D275" s="2017"/>
    </row>
    <row r="276" spans="3:4" x14ac:dyDescent="0.2">
      <c r="C276" s="2017"/>
      <c r="D276" s="2017"/>
    </row>
    <row r="277" spans="3:4" x14ac:dyDescent="0.2">
      <c r="C277" s="2017"/>
      <c r="D277" s="2017"/>
    </row>
    <row r="278" spans="3:4" x14ac:dyDescent="0.2">
      <c r="C278" s="2017"/>
      <c r="D278" s="2017"/>
    </row>
    <row r="279" spans="3:4" x14ac:dyDescent="0.2">
      <c r="D279" s="2017"/>
    </row>
  </sheetData>
  <mergeCells count="6">
    <mergeCell ref="A179:D179"/>
    <mergeCell ref="B3:H3"/>
    <mergeCell ref="E4:H4"/>
    <mergeCell ref="A176:H176"/>
    <mergeCell ref="A177:H177"/>
    <mergeCell ref="A178:H178"/>
  </mergeCells>
  <printOptions horizontalCentered="1" verticalCentered="1"/>
  <pageMargins left="0.74803149606299213" right="0" top="0.51181102362204722" bottom="0" header="0" footer="0"/>
  <pageSetup paperSize="9" scale="7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152"/>
  <sheetViews>
    <sheetView zoomScaleNormal="100" zoomScaleSheetLayoutView="100" workbookViewId="0">
      <pane xSplit="1" ySplit="3" topLeftCell="B25" activePane="bottomRight" state="frozen"/>
      <selection pane="topRight" activeCell="B1" sqref="B1"/>
      <selection pane="bottomLeft" activeCell="A4" sqref="A4"/>
      <selection pane="bottomRight" activeCell="I133" sqref="I133"/>
    </sheetView>
  </sheetViews>
  <sheetFormatPr defaultRowHeight="15" x14ac:dyDescent="0.2"/>
  <cols>
    <col min="1" max="1" width="26.5703125" style="2022" customWidth="1"/>
    <col min="2" max="2" width="9.140625" style="2022" customWidth="1"/>
    <col min="3" max="3" width="9.7109375" style="2022" customWidth="1"/>
    <col min="4" max="4" width="9.140625" style="2022"/>
    <col min="5" max="6" width="10" style="2022" customWidth="1"/>
    <col min="7" max="7" width="9.85546875" style="2022" customWidth="1"/>
    <col min="8" max="8" width="10" style="2022" customWidth="1"/>
    <col min="9" max="16384" width="9.140625" style="2022"/>
  </cols>
  <sheetData>
    <row r="1" spans="1:10" ht="17.25" x14ac:dyDescent="0.2">
      <c r="A1" s="2018" t="s">
        <v>3629</v>
      </c>
      <c r="B1" s="2019"/>
      <c r="C1" s="2019"/>
      <c r="D1" s="2019"/>
      <c r="E1" s="2019"/>
      <c r="F1" s="2020"/>
      <c r="G1" s="2020"/>
      <c r="H1" s="2020"/>
      <c r="I1" s="2021"/>
    </row>
    <row r="2" spans="1:10" ht="15.75" thickBot="1" x14ac:dyDescent="0.25">
      <c r="A2" s="2023"/>
      <c r="B2" s="2024"/>
      <c r="C2" s="2024"/>
      <c r="D2" s="2024"/>
      <c r="E2" s="2024"/>
      <c r="F2" s="2023"/>
      <c r="G2" s="2023"/>
      <c r="H2" s="2023"/>
    </row>
    <row r="3" spans="1:10" ht="16.5" thickTop="1" thickBot="1" x14ac:dyDescent="0.25">
      <c r="A3" s="2025" t="s">
        <v>620</v>
      </c>
      <c r="B3" s="2026">
        <v>2008</v>
      </c>
      <c r="C3" s="2026">
        <v>2009</v>
      </c>
      <c r="D3" s="2026">
        <v>2010</v>
      </c>
      <c r="E3" s="2026">
        <v>2011</v>
      </c>
      <c r="F3" s="2026">
        <v>2012</v>
      </c>
      <c r="G3" s="2026">
        <v>2013</v>
      </c>
      <c r="H3" s="2026">
        <v>2014</v>
      </c>
      <c r="I3" s="2026">
        <v>2015</v>
      </c>
      <c r="J3" s="2027">
        <v>2016</v>
      </c>
    </row>
    <row r="4" spans="1:10" ht="15.75" thickTop="1" x14ac:dyDescent="0.2">
      <c r="A4" s="2028" t="s">
        <v>3630</v>
      </c>
      <c r="B4" s="2029">
        <v>109.6</v>
      </c>
      <c r="C4" s="2029">
        <v>115.3</v>
      </c>
      <c r="D4" s="2029">
        <v>118.2</v>
      </c>
      <c r="E4" s="2029">
        <v>125.8</v>
      </c>
      <c r="F4" s="2029">
        <v>131.9</v>
      </c>
      <c r="G4" s="2029">
        <v>135.69999999999999</v>
      </c>
      <c r="H4" s="2030">
        <v>107.2</v>
      </c>
      <c r="I4" s="2030">
        <v>107.9</v>
      </c>
      <c r="J4" s="2031">
        <v>108.3</v>
      </c>
    </row>
    <row r="5" spans="1:10" x14ac:dyDescent="0.2">
      <c r="A5" s="2028" t="s">
        <v>3631</v>
      </c>
      <c r="B5" s="2029">
        <v>110.7</v>
      </c>
      <c r="C5" s="2029">
        <v>115.8</v>
      </c>
      <c r="D5" s="2029">
        <v>118.6</v>
      </c>
      <c r="E5" s="2029">
        <v>126.7</v>
      </c>
      <c r="F5" s="2029">
        <v>131.9</v>
      </c>
      <c r="G5" s="2029">
        <v>136.6</v>
      </c>
      <c r="H5" s="2029">
        <v>108.5</v>
      </c>
      <c r="I5" s="2029">
        <v>110.7</v>
      </c>
      <c r="J5" s="2032">
        <v>110.1</v>
      </c>
    </row>
    <row r="6" spans="1:10" ht="15.75" thickBot="1" x14ac:dyDescent="0.25">
      <c r="A6" s="2028" t="s">
        <v>3632</v>
      </c>
      <c r="B6" s="2029">
        <v>110.8</v>
      </c>
      <c r="C6" s="2029">
        <v>116.1</v>
      </c>
      <c r="D6" s="2029">
        <v>118.8</v>
      </c>
      <c r="E6" s="2029">
        <v>127.4</v>
      </c>
      <c r="F6" s="2029">
        <v>132.30000000000001</v>
      </c>
      <c r="G6" s="2029">
        <v>137.1</v>
      </c>
      <c r="H6" s="2029">
        <v>107.7</v>
      </c>
      <c r="I6" s="2029">
        <v>110.1</v>
      </c>
      <c r="J6" s="2032">
        <v>111.1</v>
      </c>
    </row>
    <row r="7" spans="1:10" ht="15.75" thickTop="1" x14ac:dyDescent="0.2">
      <c r="A7" s="2028" t="s">
        <v>3633</v>
      </c>
      <c r="B7" s="2029">
        <v>111.9</v>
      </c>
      <c r="C7" s="2029">
        <v>116.2</v>
      </c>
      <c r="D7" s="2029">
        <v>119.3</v>
      </c>
      <c r="E7" s="2029">
        <v>127.6</v>
      </c>
      <c r="F7" s="2029">
        <v>132.5</v>
      </c>
      <c r="G7" s="2033">
        <v>103.4</v>
      </c>
      <c r="H7" s="2029">
        <v>107.7</v>
      </c>
      <c r="I7" s="2029">
        <v>110</v>
      </c>
      <c r="J7" s="2032">
        <v>110.2</v>
      </c>
    </row>
    <row r="8" spans="1:10" x14ac:dyDescent="0.2">
      <c r="A8" s="2028" t="s">
        <v>3634</v>
      </c>
      <c r="B8" s="2029">
        <v>113</v>
      </c>
      <c r="C8" s="2029">
        <v>116.2</v>
      </c>
      <c r="D8" s="2029">
        <v>119.1</v>
      </c>
      <c r="E8" s="2029">
        <v>127.6</v>
      </c>
      <c r="F8" s="2029">
        <v>132.5</v>
      </c>
      <c r="G8" s="2029">
        <v>103.3</v>
      </c>
      <c r="H8" s="2029">
        <v>106.8</v>
      </c>
      <c r="I8" s="2029">
        <v>107.3</v>
      </c>
      <c r="J8" s="2032">
        <v>108.2</v>
      </c>
    </row>
    <row r="9" spans="1:10" x14ac:dyDescent="0.2">
      <c r="A9" s="2028" t="s">
        <v>3635</v>
      </c>
      <c r="B9" s="2029">
        <v>113.4</v>
      </c>
      <c r="C9" s="2029">
        <v>117.1</v>
      </c>
      <c r="D9" s="2029">
        <v>119.9</v>
      </c>
      <c r="E9" s="2029">
        <v>127.8</v>
      </c>
      <c r="F9" s="2029">
        <v>132.80000000000001</v>
      </c>
      <c r="G9" s="2029">
        <v>103.4</v>
      </c>
      <c r="H9" s="2029">
        <v>106.8</v>
      </c>
      <c r="I9" s="2029">
        <v>107.2</v>
      </c>
      <c r="J9" s="2032"/>
    </row>
    <row r="10" spans="1:10" x14ac:dyDescent="0.2">
      <c r="A10" s="2028" t="s">
        <v>3636</v>
      </c>
      <c r="B10" s="2029">
        <v>115.6</v>
      </c>
      <c r="C10" s="2029">
        <v>117.8</v>
      </c>
      <c r="D10" s="2029">
        <v>120.2</v>
      </c>
      <c r="E10" s="2029">
        <v>128.19999999999999</v>
      </c>
      <c r="F10" s="2029">
        <v>133</v>
      </c>
      <c r="G10" s="2029">
        <v>103.6</v>
      </c>
      <c r="H10" s="2029">
        <v>106.8</v>
      </c>
      <c r="I10" s="2029">
        <v>107.4</v>
      </c>
      <c r="J10" s="2032"/>
    </row>
    <row r="11" spans="1:10" x14ac:dyDescent="0.2">
      <c r="A11" s="2028" t="s">
        <v>3637</v>
      </c>
      <c r="B11" s="2029">
        <v>116.3</v>
      </c>
      <c r="C11" s="2029">
        <v>117.5</v>
      </c>
      <c r="D11" s="2029">
        <v>120.6</v>
      </c>
      <c r="E11" s="2029">
        <v>128.4</v>
      </c>
      <c r="F11" s="2029">
        <v>133.19999999999999</v>
      </c>
      <c r="G11" s="2029">
        <v>103.3</v>
      </c>
      <c r="H11" s="2029">
        <v>107.2</v>
      </c>
      <c r="I11" s="2029">
        <v>108.4</v>
      </c>
      <c r="J11" s="2032"/>
    </row>
    <row r="12" spans="1:10" x14ac:dyDescent="0.2">
      <c r="A12" s="2028" t="s">
        <v>3638</v>
      </c>
      <c r="B12" s="2029">
        <v>116.7</v>
      </c>
      <c r="C12" s="2029">
        <v>117.8</v>
      </c>
      <c r="D12" s="2029">
        <v>120.7</v>
      </c>
      <c r="E12" s="2029">
        <v>128.30000000000001</v>
      </c>
      <c r="F12" s="2029">
        <v>133.30000000000001</v>
      </c>
      <c r="G12" s="2029">
        <v>103.5</v>
      </c>
      <c r="H12" s="2029">
        <v>106.5</v>
      </c>
      <c r="I12" s="2029">
        <v>108.6</v>
      </c>
      <c r="J12" s="2032"/>
    </row>
    <row r="13" spans="1:10" x14ac:dyDescent="0.2">
      <c r="A13" s="2028" t="s">
        <v>3639</v>
      </c>
      <c r="B13" s="2029">
        <v>117.2</v>
      </c>
      <c r="C13" s="2029">
        <v>117.3</v>
      </c>
      <c r="D13" s="2029">
        <v>121</v>
      </c>
      <c r="E13" s="2029">
        <v>128.19999999999999</v>
      </c>
      <c r="F13" s="2029">
        <v>133.6</v>
      </c>
      <c r="G13" s="2029">
        <v>103.9</v>
      </c>
      <c r="H13" s="2029">
        <v>105.9</v>
      </c>
      <c r="I13" s="2029">
        <v>107.5</v>
      </c>
      <c r="J13" s="2032"/>
    </row>
    <row r="14" spans="1:10" x14ac:dyDescent="0.2">
      <c r="A14" s="2028" t="s">
        <v>3640</v>
      </c>
      <c r="B14" s="2029">
        <v>116.5</v>
      </c>
      <c r="C14" s="2029">
        <v>117.3</v>
      </c>
      <c r="D14" s="2029">
        <v>121.9</v>
      </c>
      <c r="E14" s="2029">
        <v>130.4</v>
      </c>
      <c r="F14" s="2029">
        <v>134.4</v>
      </c>
      <c r="G14" s="2029">
        <v>105</v>
      </c>
      <c r="H14" s="2029">
        <v>105.9</v>
      </c>
      <c r="I14" s="2029">
        <v>107</v>
      </c>
      <c r="J14" s="2032"/>
    </row>
    <row r="15" spans="1:10" x14ac:dyDescent="0.2">
      <c r="A15" s="2028" t="s">
        <v>3641</v>
      </c>
      <c r="B15" s="2029">
        <v>115.5</v>
      </c>
      <c r="C15" s="2029">
        <v>117.2</v>
      </c>
      <c r="D15" s="2029">
        <v>124.4</v>
      </c>
      <c r="E15" s="2029">
        <v>130.4</v>
      </c>
      <c r="F15" s="2029">
        <v>134.6</v>
      </c>
      <c r="G15" s="2029">
        <v>105.3</v>
      </c>
      <c r="H15" s="2029">
        <v>105.5</v>
      </c>
      <c r="I15" s="2029">
        <v>106.9</v>
      </c>
      <c r="J15" s="2032"/>
    </row>
    <row r="16" spans="1:10" ht="15.75" x14ac:dyDescent="0.2">
      <c r="A16" s="2028"/>
      <c r="B16" s="2034"/>
      <c r="C16" s="2034"/>
      <c r="D16" s="2034"/>
      <c r="E16" s="2034"/>
      <c r="F16" s="2034"/>
      <c r="G16" s="2034"/>
      <c r="H16" s="2034"/>
      <c r="I16" s="2034"/>
      <c r="J16" s="2035"/>
    </row>
    <row r="17" spans="1:10" x14ac:dyDescent="0.2">
      <c r="A17" s="2028" t="s">
        <v>1273</v>
      </c>
      <c r="B17" s="2036">
        <f t="shared" ref="B17:I17" si="0">AVERAGE(B4:B15)</f>
        <v>113.93333333333334</v>
      </c>
      <c r="C17" s="2036">
        <f t="shared" si="0"/>
        <v>116.8</v>
      </c>
      <c r="D17" s="2036">
        <f t="shared" si="0"/>
        <v>120.22500000000002</v>
      </c>
      <c r="E17" s="2036">
        <f t="shared" si="0"/>
        <v>128.06666666666669</v>
      </c>
      <c r="F17" s="2036">
        <f t="shared" si="0"/>
        <v>133</v>
      </c>
      <c r="G17" s="2036"/>
      <c r="H17" s="2036">
        <f t="shared" si="0"/>
        <v>106.875</v>
      </c>
      <c r="I17" s="2036">
        <f t="shared" si="0"/>
        <v>108.25</v>
      </c>
      <c r="J17" s="2037"/>
    </row>
    <row r="18" spans="1:10" x14ac:dyDescent="0.2">
      <c r="A18" s="2028"/>
      <c r="B18" s="2036"/>
      <c r="C18" s="2036"/>
      <c r="D18" s="2036"/>
      <c r="E18" s="2036"/>
      <c r="F18" s="2036"/>
      <c r="G18" s="2036"/>
      <c r="H18" s="2036"/>
      <c r="I18" s="2036"/>
      <c r="J18" s="2037"/>
    </row>
    <row r="19" spans="1:10" ht="15.75" x14ac:dyDescent="0.2">
      <c r="A19" s="2038" t="s">
        <v>1350</v>
      </c>
      <c r="B19" s="2034"/>
      <c r="C19" s="2034"/>
      <c r="D19" s="2034"/>
      <c r="E19" s="2034"/>
      <c r="F19" s="2034"/>
      <c r="G19" s="2034"/>
      <c r="H19" s="2034"/>
      <c r="I19" s="2034"/>
      <c r="J19" s="2035"/>
    </row>
    <row r="20" spans="1:10" x14ac:dyDescent="0.2">
      <c r="A20" s="2028" t="s">
        <v>3642</v>
      </c>
      <c r="B20" s="2039" t="s">
        <v>3643</v>
      </c>
      <c r="C20" s="2039" t="s">
        <v>3644</v>
      </c>
      <c r="D20" s="2039" t="s">
        <v>3645</v>
      </c>
      <c r="E20" s="2039" t="s">
        <v>3646</v>
      </c>
      <c r="F20" s="2039" t="s">
        <v>3647</v>
      </c>
      <c r="G20" s="2039" t="s">
        <v>3648</v>
      </c>
      <c r="H20" s="2039" t="s">
        <v>3649</v>
      </c>
      <c r="I20" s="2039" t="s">
        <v>3650</v>
      </c>
      <c r="J20" s="2040" t="s">
        <v>3651</v>
      </c>
    </row>
    <row r="21" spans="1:10" ht="15.75" thickBot="1" x14ac:dyDescent="0.25">
      <c r="A21" s="2041" t="s">
        <v>3652</v>
      </c>
      <c r="B21" s="2042" t="s">
        <v>3653</v>
      </c>
      <c r="C21" s="2042" t="s">
        <v>3654</v>
      </c>
      <c r="D21" s="2042" t="s">
        <v>3655</v>
      </c>
      <c r="E21" s="2042" t="s">
        <v>3656</v>
      </c>
      <c r="F21" s="2042" t="s">
        <v>3657</v>
      </c>
      <c r="G21" s="2042" t="s">
        <v>3658</v>
      </c>
      <c r="H21" s="2042" t="s">
        <v>3647</v>
      </c>
      <c r="I21" s="2042" t="s">
        <v>3650</v>
      </c>
      <c r="J21" s="2043" t="s">
        <v>3659</v>
      </c>
    </row>
    <row r="22" spans="1:10" ht="16.5" thickTop="1" x14ac:dyDescent="0.2">
      <c r="A22" s="2044" t="s">
        <v>3660</v>
      </c>
      <c r="B22" s="2045"/>
      <c r="C22" s="2046"/>
      <c r="D22" s="2046"/>
      <c r="E22" s="2046"/>
      <c r="F22" s="2046"/>
      <c r="G22" s="2047"/>
      <c r="H22" s="2047"/>
      <c r="I22" s="2048"/>
    </row>
    <row r="23" spans="1:10" ht="15.75" x14ac:dyDescent="0.2">
      <c r="A23" s="2044" t="s">
        <v>3661</v>
      </c>
      <c r="B23" s="2045"/>
      <c r="C23" s="2046"/>
      <c r="D23" s="2046"/>
      <c r="E23" s="2046"/>
      <c r="F23" s="2046"/>
      <c r="G23" s="2047"/>
      <c r="H23" s="2047"/>
      <c r="I23" s="2048"/>
    </row>
    <row r="24" spans="1:10" ht="15.75" x14ac:dyDescent="0.2">
      <c r="A24" s="2049" t="s">
        <v>3662</v>
      </c>
      <c r="B24" s="2045"/>
      <c r="C24" s="2046"/>
      <c r="D24" s="2046"/>
      <c r="E24" s="2046"/>
      <c r="F24" s="2046"/>
      <c r="G24" s="2047"/>
      <c r="H24" s="2047"/>
      <c r="I24" s="2048"/>
    </row>
    <row r="25" spans="1:10" ht="15.75" x14ac:dyDescent="0.2">
      <c r="A25" s="2044" t="s">
        <v>3663</v>
      </c>
      <c r="B25" s="2045"/>
      <c r="C25" s="2045"/>
      <c r="D25" s="2046"/>
      <c r="E25" s="2046"/>
      <c r="F25" s="2046"/>
      <c r="G25" s="2047"/>
      <c r="H25" s="2047"/>
      <c r="I25" s="2048"/>
    </row>
    <row r="26" spans="1:10" x14ac:dyDescent="0.2">
      <c r="A26" s="2050" t="s">
        <v>3664</v>
      </c>
      <c r="B26" s="2050"/>
      <c r="C26" s="2050"/>
      <c r="D26" s="2050"/>
      <c r="E26" s="2050"/>
      <c r="F26" s="2050"/>
      <c r="G26" s="2050"/>
      <c r="H26" s="2050"/>
      <c r="I26" s="2048"/>
    </row>
    <row r="27" spans="1:10" x14ac:dyDescent="0.2">
      <c r="A27" s="2050" t="s">
        <v>3665</v>
      </c>
      <c r="B27" s="2050"/>
      <c r="C27" s="2050"/>
      <c r="D27" s="2050"/>
      <c r="E27" s="2050"/>
      <c r="F27" s="2050"/>
      <c r="G27" s="2050"/>
      <c r="H27" s="2050"/>
      <c r="I27" s="2048"/>
    </row>
    <row r="28" spans="1:10" x14ac:dyDescent="0.2">
      <c r="A28" s="2050" t="s">
        <v>3666</v>
      </c>
      <c r="B28" s="2050"/>
      <c r="C28" s="2050"/>
      <c r="D28" s="2050"/>
      <c r="E28" s="2050"/>
      <c r="F28" s="2050"/>
      <c r="G28" s="2050"/>
      <c r="H28" s="2050"/>
      <c r="I28" s="2048"/>
    </row>
    <row r="29" spans="1:10" x14ac:dyDescent="0.2">
      <c r="A29" s="2050" t="s">
        <v>3667</v>
      </c>
      <c r="B29" s="2050"/>
      <c r="C29" s="2050"/>
      <c r="D29" s="2050"/>
      <c r="E29" s="2050"/>
      <c r="F29" s="2050"/>
      <c r="G29" s="2050"/>
      <c r="H29" s="2050"/>
      <c r="I29" s="2048"/>
    </row>
    <row r="30" spans="1:10" ht="15.75" x14ac:dyDescent="0.2">
      <c r="A30" s="2051" t="s">
        <v>3668</v>
      </c>
      <c r="B30" s="2046"/>
      <c r="C30" s="2045"/>
      <c r="D30" s="2046"/>
      <c r="E30" s="2046"/>
      <c r="F30" s="2046"/>
      <c r="G30" s="2047"/>
      <c r="H30" s="2047"/>
      <c r="I30" s="2048"/>
    </row>
    <row r="32" spans="1:10" s="2048" customFormat="1" ht="13.5" x14ac:dyDescent="0.2">
      <c r="A32" s="2052"/>
      <c r="B32" s="2053"/>
      <c r="C32" s="2053"/>
      <c r="D32" s="2053"/>
      <c r="E32" s="2053"/>
      <c r="F32" s="2053"/>
      <c r="G32" s="2053"/>
      <c r="H32" s="2054"/>
    </row>
    <row r="33" spans="1:8" s="2021" customFormat="1" ht="17.25" x14ac:dyDescent="0.25">
      <c r="A33" s="2055" t="s">
        <v>3669</v>
      </c>
      <c r="B33" s="2019"/>
      <c r="C33" s="2019"/>
      <c r="D33" s="2019"/>
      <c r="E33" s="2019"/>
      <c r="F33" s="2056"/>
      <c r="G33" s="2056"/>
      <c r="H33" s="2056"/>
    </row>
    <row r="34" spans="1:8" s="2047" customFormat="1" ht="3.75" customHeight="1" x14ac:dyDescent="0.2">
      <c r="A34" s="2057"/>
      <c r="B34" s="2024"/>
      <c r="C34" s="2024"/>
      <c r="D34" s="2024"/>
      <c r="E34" s="2024"/>
      <c r="F34" s="2058"/>
      <c r="G34" s="2058"/>
      <c r="H34" s="2058"/>
    </row>
    <row r="35" spans="1:8" ht="16.5" thickBot="1" x14ac:dyDescent="0.3">
      <c r="A35" s="2059"/>
      <c r="B35" s="2060"/>
      <c r="C35" s="2061"/>
      <c r="E35" s="2062" t="s">
        <v>1350</v>
      </c>
      <c r="G35" s="2062"/>
      <c r="H35" s="2063"/>
    </row>
    <row r="36" spans="1:8" ht="17.25" thickTop="1" thickBot="1" x14ac:dyDescent="0.25">
      <c r="A36" s="2064" t="s">
        <v>620</v>
      </c>
      <c r="B36" s="2065" t="s">
        <v>3670</v>
      </c>
      <c r="C36" s="2066" t="s">
        <v>3671</v>
      </c>
      <c r="D36" s="2065" t="s">
        <v>3672</v>
      </c>
      <c r="E36" s="2067" t="s">
        <v>3673</v>
      </c>
      <c r="F36" s="2068"/>
      <c r="G36" s="2068"/>
      <c r="H36" s="2069"/>
    </row>
    <row r="37" spans="1:8" ht="16.5" thickTop="1" x14ac:dyDescent="0.25">
      <c r="A37" s="2070">
        <v>39264</v>
      </c>
      <c r="B37" s="2071">
        <v>10.5</v>
      </c>
      <c r="C37" s="2072">
        <v>7.6</v>
      </c>
      <c r="D37" s="2071">
        <v>6.4</v>
      </c>
      <c r="E37" s="2073">
        <v>7.5</v>
      </c>
      <c r="F37" s="2068"/>
      <c r="G37" s="2068"/>
      <c r="H37" s="2063"/>
    </row>
    <row r="38" spans="1:8" ht="15.75" hidden="1" x14ac:dyDescent="0.25">
      <c r="A38" s="2070">
        <v>39295</v>
      </c>
      <c r="B38" s="2071">
        <v>10.1</v>
      </c>
      <c r="C38" s="2072">
        <v>7</v>
      </c>
      <c r="D38" s="2071">
        <v>6.2</v>
      </c>
      <c r="E38" s="2073">
        <v>7.4</v>
      </c>
      <c r="F38" s="2068"/>
      <c r="G38" s="2068"/>
      <c r="H38" s="2063"/>
    </row>
    <row r="39" spans="1:8" ht="15.75" hidden="1" x14ac:dyDescent="0.25">
      <c r="A39" s="2070">
        <v>39326</v>
      </c>
      <c r="B39" s="2071">
        <v>9.6999999999999993</v>
      </c>
      <c r="C39" s="2072">
        <v>6.4</v>
      </c>
      <c r="D39" s="2071">
        <v>6.2</v>
      </c>
      <c r="E39" s="2073">
        <v>7.2</v>
      </c>
      <c r="F39" s="2068"/>
      <c r="G39" s="2068"/>
      <c r="H39" s="2063"/>
    </row>
    <row r="40" spans="1:8" ht="15.75" hidden="1" x14ac:dyDescent="0.25">
      <c r="A40" s="2070">
        <v>39356</v>
      </c>
      <c r="B40" s="2071">
        <v>9.4</v>
      </c>
      <c r="C40" s="2072">
        <v>5.9</v>
      </c>
      <c r="D40" s="2071">
        <v>6.1</v>
      </c>
      <c r="E40" s="2073">
        <v>7.1</v>
      </c>
      <c r="F40" s="2068"/>
      <c r="G40" s="2068"/>
      <c r="H40" s="2063"/>
    </row>
    <row r="41" spans="1:8" ht="15.75" hidden="1" x14ac:dyDescent="0.25">
      <c r="A41" s="2070">
        <v>39387</v>
      </c>
      <c r="B41" s="2071">
        <v>9.1</v>
      </c>
      <c r="C41" s="2072">
        <v>5.4</v>
      </c>
      <c r="D41" s="2071">
        <v>6</v>
      </c>
      <c r="E41" s="2073">
        <v>7</v>
      </c>
      <c r="F41" s="2068"/>
      <c r="G41" s="2068"/>
      <c r="H41" s="2063"/>
    </row>
    <row r="42" spans="1:8" ht="15.75" x14ac:dyDescent="0.25">
      <c r="A42" s="2070">
        <v>39417</v>
      </c>
      <c r="B42" s="2071">
        <v>8.8000000000000007</v>
      </c>
      <c r="C42" s="2071">
        <v>5</v>
      </c>
      <c r="D42" s="2072">
        <v>5.7</v>
      </c>
      <c r="E42" s="2073">
        <v>7</v>
      </c>
      <c r="F42" s="2068"/>
      <c r="G42" s="2068"/>
      <c r="H42" s="2063"/>
    </row>
    <row r="43" spans="1:8" ht="15.75" hidden="1" x14ac:dyDescent="0.25">
      <c r="A43" s="2070">
        <v>39448</v>
      </c>
      <c r="B43" s="2071">
        <v>8.9</v>
      </c>
      <c r="C43" s="2071">
        <v>5.2</v>
      </c>
      <c r="D43" s="2072">
        <v>5.7</v>
      </c>
      <c r="E43" s="2073">
        <v>7.4</v>
      </c>
      <c r="F43" s="2068"/>
      <c r="G43" s="2068"/>
      <c r="H43" s="2063"/>
    </row>
    <row r="44" spans="1:8" ht="15.75" hidden="1" x14ac:dyDescent="0.25">
      <c r="A44" s="2070">
        <v>39479</v>
      </c>
      <c r="B44" s="2071">
        <v>9</v>
      </c>
      <c r="C44" s="2071">
        <v>5.5</v>
      </c>
      <c r="D44" s="2072">
        <v>5.7</v>
      </c>
      <c r="E44" s="2073">
        <v>7.5</v>
      </c>
      <c r="F44" s="2068"/>
      <c r="G44" s="2068"/>
      <c r="H44" s="2063"/>
    </row>
    <row r="45" spans="1:8" ht="15.75" hidden="1" x14ac:dyDescent="0.25">
      <c r="A45" s="2070">
        <v>39508</v>
      </c>
      <c r="B45" s="2071">
        <v>9</v>
      </c>
      <c r="C45" s="2071">
        <v>5.8</v>
      </c>
      <c r="D45" s="2072">
        <v>5.7</v>
      </c>
      <c r="E45" s="2073">
        <v>7.3</v>
      </c>
      <c r="F45" s="2068"/>
      <c r="G45" s="2068"/>
      <c r="H45" s="2063"/>
    </row>
    <row r="46" spans="1:8" ht="15.75" hidden="1" x14ac:dyDescent="0.25">
      <c r="A46" s="2070">
        <v>39539</v>
      </c>
      <c r="B46" s="2071">
        <v>8.9</v>
      </c>
      <c r="C46" s="2071">
        <v>5.9</v>
      </c>
      <c r="D46" s="2072">
        <v>5.6</v>
      </c>
      <c r="E46" s="2073">
        <v>7</v>
      </c>
      <c r="F46" s="2068"/>
      <c r="G46" s="2068"/>
      <c r="H46" s="2063"/>
    </row>
    <row r="47" spans="1:8" ht="15.75" hidden="1" x14ac:dyDescent="0.25">
      <c r="A47" s="2070">
        <v>39569</v>
      </c>
      <c r="B47" s="2071">
        <v>8.8000000000000007</v>
      </c>
      <c r="C47" s="2071">
        <v>6.2</v>
      </c>
      <c r="D47" s="2072">
        <v>5.6</v>
      </c>
      <c r="E47" s="2073">
        <v>6.7</v>
      </c>
      <c r="F47" s="2068"/>
      <c r="G47" s="2068"/>
      <c r="H47" s="2063"/>
    </row>
    <row r="48" spans="1:8" ht="15.75" x14ac:dyDescent="0.25">
      <c r="A48" s="2070">
        <v>39600</v>
      </c>
      <c r="B48" s="2071">
        <v>8.8000000000000007</v>
      </c>
      <c r="C48" s="2071">
        <v>6.6</v>
      </c>
      <c r="D48" s="2072">
        <v>5.5</v>
      </c>
      <c r="E48" s="2073">
        <v>6.5</v>
      </c>
      <c r="F48" s="2068"/>
      <c r="G48" s="2068"/>
      <c r="H48" s="2063"/>
    </row>
    <row r="49" spans="1:8" ht="15.75" hidden="1" x14ac:dyDescent="0.25">
      <c r="A49" s="2070">
        <v>39630</v>
      </c>
      <c r="B49" s="2071">
        <v>9.1</v>
      </c>
      <c r="C49" s="2071">
        <v>7.2</v>
      </c>
      <c r="D49" s="2072">
        <v>5.7</v>
      </c>
      <c r="E49" s="2073">
        <v>6.2</v>
      </c>
      <c r="F49" s="2068"/>
      <c r="G49" s="2068"/>
      <c r="H49" s="2063"/>
    </row>
    <row r="50" spans="1:8" ht="15.75" hidden="1" x14ac:dyDescent="0.25">
      <c r="A50" s="2070">
        <v>39661</v>
      </c>
      <c r="B50" s="2071">
        <v>9.5</v>
      </c>
      <c r="C50" s="2071">
        <v>7.8</v>
      </c>
      <c r="D50" s="2072">
        <v>5.9</v>
      </c>
      <c r="E50" s="2073">
        <v>5.9</v>
      </c>
      <c r="F50" s="2068"/>
      <c r="G50" s="2068"/>
      <c r="H50" s="2063"/>
    </row>
    <row r="51" spans="1:8" ht="15.75" hidden="1" x14ac:dyDescent="0.25">
      <c r="A51" s="2070">
        <v>39692</v>
      </c>
      <c r="B51" s="2071">
        <v>9.8000000000000007</v>
      </c>
      <c r="C51" s="2071">
        <v>8.3000000000000007</v>
      </c>
      <c r="D51" s="2072">
        <v>6</v>
      </c>
      <c r="E51" s="2073">
        <v>5.5</v>
      </c>
      <c r="F51" s="2068"/>
      <c r="G51" s="2068"/>
      <c r="H51" s="2063"/>
    </row>
    <row r="52" spans="1:8" ht="15.75" hidden="1" x14ac:dyDescent="0.25">
      <c r="A52" s="2070">
        <v>39722</v>
      </c>
      <c r="B52" s="2071">
        <v>9.9</v>
      </c>
      <c r="C52" s="2071">
        <v>8.5</v>
      </c>
      <c r="D52" s="2072">
        <v>6.1</v>
      </c>
      <c r="E52" s="2073">
        <v>5.0999999999999996</v>
      </c>
      <c r="F52" s="2068"/>
      <c r="G52" s="2068"/>
      <c r="H52" s="2063"/>
    </row>
    <row r="53" spans="1:8" ht="15.75" hidden="1" x14ac:dyDescent="0.25">
      <c r="A53" s="2070">
        <v>39753</v>
      </c>
      <c r="B53" s="2071">
        <v>9.9</v>
      </c>
      <c r="C53" s="2071">
        <v>8.6999999999999993</v>
      </c>
      <c r="D53" s="2072">
        <v>6.1</v>
      </c>
      <c r="E53" s="2073">
        <v>4.5999999999999996</v>
      </c>
      <c r="F53" s="2068"/>
      <c r="G53" s="2068"/>
      <c r="H53" s="2063"/>
    </row>
    <row r="54" spans="1:8" ht="15.75" x14ac:dyDescent="0.25">
      <c r="A54" s="2070">
        <v>39783</v>
      </c>
      <c r="B54" s="2071">
        <v>9.6999999999999993</v>
      </c>
      <c r="C54" s="2071">
        <v>8.6999999999999993</v>
      </c>
      <c r="D54" s="2072">
        <v>6.1</v>
      </c>
      <c r="E54" s="2073">
        <v>3.5</v>
      </c>
      <c r="F54" s="2068"/>
      <c r="G54" s="2068"/>
      <c r="H54" s="2063"/>
    </row>
    <row r="55" spans="1:8" ht="15.75" hidden="1" x14ac:dyDescent="0.25">
      <c r="A55" s="2070">
        <v>39814</v>
      </c>
      <c r="B55" s="2071">
        <v>9.3000000000000007</v>
      </c>
      <c r="C55" s="2071">
        <v>8.4</v>
      </c>
      <c r="D55" s="2072">
        <v>6</v>
      </c>
      <c r="E55" s="2073">
        <v>2.2999999999999998</v>
      </c>
      <c r="F55" s="2068"/>
      <c r="G55" s="2068"/>
      <c r="H55" s="2063"/>
    </row>
    <row r="56" spans="1:8" ht="15.75" hidden="1" x14ac:dyDescent="0.25">
      <c r="A56" s="2070">
        <v>39845</v>
      </c>
      <c r="B56" s="2071">
        <v>8.8000000000000007</v>
      </c>
      <c r="C56" s="2071">
        <v>8</v>
      </c>
      <c r="D56" s="2072">
        <v>5.9</v>
      </c>
      <c r="E56" s="2073">
        <v>2.4</v>
      </c>
      <c r="F56" s="2068"/>
      <c r="G56" s="2068"/>
      <c r="H56" s="2063"/>
    </row>
    <row r="57" spans="1:8" ht="15.75" hidden="1" x14ac:dyDescent="0.25">
      <c r="A57" s="2070">
        <v>39873</v>
      </c>
      <c r="B57" s="2071">
        <v>8.5</v>
      </c>
      <c r="C57" s="2071">
        <v>7.6</v>
      </c>
      <c r="D57" s="2072">
        <v>5.8</v>
      </c>
      <c r="E57" s="2073">
        <v>2.5</v>
      </c>
      <c r="F57" s="2068"/>
      <c r="G57" s="2068"/>
      <c r="H57" s="2063"/>
    </row>
    <row r="58" spans="1:8" ht="15.75" hidden="1" x14ac:dyDescent="0.25">
      <c r="A58" s="2070">
        <v>39904</v>
      </c>
      <c r="B58" s="2071">
        <v>8</v>
      </c>
      <c r="C58" s="2071">
        <v>7.1</v>
      </c>
      <c r="D58" s="2072">
        <v>5.7</v>
      </c>
      <c r="E58" s="2073">
        <v>2.6</v>
      </c>
      <c r="F58" s="2068"/>
      <c r="G58" s="2068"/>
      <c r="H58" s="2063"/>
    </row>
    <row r="59" spans="1:8" ht="15.75" hidden="1" x14ac:dyDescent="0.25">
      <c r="A59" s="2070">
        <v>39934</v>
      </c>
      <c r="B59" s="2071">
        <v>7.4</v>
      </c>
      <c r="C59" s="2071">
        <v>6.5</v>
      </c>
      <c r="D59" s="2072">
        <v>5.6</v>
      </c>
      <c r="E59" s="2073">
        <v>2.7</v>
      </c>
      <c r="F59" s="2068"/>
      <c r="G59" s="2068"/>
      <c r="H59" s="2063"/>
    </row>
    <row r="60" spans="1:8" ht="15.75" x14ac:dyDescent="0.25">
      <c r="A60" s="2070">
        <v>39965</v>
      </c>
      <c r="B60" s="2071">
        <v>6.9</v>
      </c>
      <c r="C60" s="2071">
        <v>6.1</v>
      </c>
      <c r="D60" s="2072">
        <v>5.5</v>
      </c>
      <c r="E60" s="2073">
        <v>2.8</v>
      </c>
      <c r="F60" s="2068"/>
      <c r="G60" s="2068"/>
      <c r="H60" s="2063"/>
    </row>
    <row r="61" spans="1:8" ht="15.75" hidden="1" x14ac:dyDescent="0.25">
      <c r="A61" s="2070">
        <v>39995</v>
      </c>
      <c r="B61" s="2071">
        <v>6.1</v>
      </c>
      <c r="C61" s="2071">
        <v>5.5</v>
      </c>
      <c r="D61" s="2072">
        <v>5.4</v>
      </c>
      <c r="E61" s="2073">
        <v>2.8</v>
      </c>
      <c r="F61" s="2068"/>
      <c r="G61" s="2068"/>
      <c r="H61" s="2063"/>
    </row>
    <row r="62" spans="1:8" ht="15.75" hidden="1" x14ac:dyDescent="0.25">
      <c r="A62" s="2070">
        <v>40026</v>
      </c>
      <c r="B62" s="2071">
        <v>5.2</v>
      </c>
      <c r="C62" s="2071">
        <v>4.5999999999999996</v>
      </c>
      <c r="D62" s="2072">
        <v>5.0999999999999996</v>
      </c>
      <c r="E62" s="2073">
        <v>2.7</v>
      </c>
      <c r="F62" s="2068"/>
      <c r="G62" s="2068"/>
      <c r="H62" s="2063"/>
    </row>
    <row r="63" spans="1:8" ht="15.75" hidden="1" x14ac:dyDescent="0.25">
      <c r="A63" s="2070">
        <v>40057</v>
      </c>
      <c r="B63" s="2071">
        <v>4.4000000000000004</v>
      </c>
      <c r="C63" s="2071">
        <v>3.9</v>
      </c>
      <c r="D63" s="2072">
        <v>4.8</v>
      </c>
      <c r="E63" s="2073">
        <v>2.7</v>
      </c>
      <c r="F63" s="2068"/>
      <c r="G63" s="2068"/>
      <c r="H63" s="2063"/>
    </row>
    <row r="64" spans="1:8" ht="15.75" hidden="1" x14ac:dyDescent="0.25">
      <c r="A64" s="2070">
        <v>40087</v>
      </c>
      <c r="B64" s="2071">
        <v>3.6</v>
      </c>
      <c r="C64" s="2071">
        <v>3.2</v>
      </c>
      <c r="D64" s="2072">
        <v>4.5</v>
      </c>
      <c r="E64" s="2073">
        <v>2.7</v>
      </c>
      <c r="F64" s="2068"/>
      <c r="G64" s="2068"/>
      <c r="H64" s="2063"/>
    </row>
    <row r="65" spans="1:8" ht="15.75" hidden="1" x14ac:dyDescent="0.25">
      <c r="A65" s="2070">
        <v>40118</v>
      </c>
      <c r="B65" s="2071">
        <v>2.9</v>
      </c>
      <c r="C65" s="2071">
        <v>2.7</v>
      </c>
      <c r="D65" s="2072">
        <v>4.0999999999999996</v>
      </c>
      <c r="E65" s="2073">
        <v>2.7</v>
      </c>
      <c r="F65" s="2068"/>
      <c r="G65" s="2068"/>
      <c r="H65" s="2063"/>
    </row>
    <row r="66" spans="1:8" ht="15.75" x14ac:dyDescent="0.25">
      <c r="A66" s="2070">
        <v>40148</v>
      </c>
      <c r="B66" s="2071">
        <v>2.5</v>
      </c>
      <c r="C66" s="2071">
        <v>2.4</v>
      </c>
      <c r="D66" s="2072">
        <v>3.8</v>
      </c>
      <c r="E66" s="2073">
        <v>2.4</v>
      </c>
      <c r="F66" s="2068"/>
      <c r="G66" s="2068"/>
      <c r="H66" s="2063"/>
    </row>
    <row r="67" spans="1:8" ht="15.75" hidden="1" x14ac:dyDescent="0.25">
      <c r="A67" s="2070">
        <v>40179</v>
      </c>
      <c r="B67" s="2071">
        <v>2.2999999999999998</v>
      </c>
      <c r="C67" s="2071">
        <v>2.4</v>
      </c>
      <c r="D67" s="2072">
        <v>3.6</v>
      </c>
      <c r="E67" s="2073">
        <v>2.6</v>
      </c>
      <c r="F67" s="2068"/>
      <c r="G67" s="2068"/>
      <c r="H67" s="2063"/>
    </row>
    <row r="68" spans="1:8" ht="15.75" hidden="1" x14ac:dyDescent="0.25">
      <c r="A68" s="2070">
        <v>40210</v>
      </c>
      <c r="B68" s="2071">
        <v>2.1</v>
      </c>
      <c r="C68" s="2071">
        <v>2.2999999999999998</v>
      </c>
      <c r="D68" s="2072">
        <v>3.4</v>
      </c>
      <c r="E68" s="2073">
        <v>2.5</v>
      </c>
      <c r="F68" s="2068"/>
      <c r="G68" s="2068"/>
      <c r="H68" s="2063"/>
    </row>
    <row r="69" spans="1:8" ht="15.75" hidden="1" x14ac:dyDescent="0.25">
      <c r="A69" s="2070">
        <v>40238</v>
      </c>
      <c r="B69" s="2071">
        <v>1.9</v>
      </c>
      <c r="C69" s="2071">
        <v>2.2000000000000002</v>
      </c>
      <c r="D69" s="2072">
        <v>3.2</v>
      </c>
      <c r="E69" s="2073">
        <v>2.2999999999999998</v>
      </c>
      <c r="F69" s="2068"/>
      <c r="G69" s="2068"/>
      <c r="H69" s="2063"/>
    </row>
    <row r="70" spans="1:8" ht="15.75" hidden="1" x14ac:dyDescent="0.25">
      <c r="A70" s="2070">
        <v>40269</v>
      </c>
      <c r="B70" s="2071">
        <v>1.8</v>
      </c>
      <c r="C70" s="2071">
        <v>2.2000000000000002</v>
      </c>
      <c r="D70" s="2072">
        <v>3</v>
      </c>
      <c r="E70" s="2073">
        <v>2.2000000000000002</v>
      </c>
      <c r="F70" s="2068"/>
      <c r="G70" s="2068"/>
      <c r="H70" s="2063"/>
    </row>
    <row r="71" spans="1:8" ht="15.75" hidden="1" x14ac:dyDescent="0.25">
      <c r="A71" s="2070">
        <v>40299</v>
      </c>
      <c r="B71" s="2071">
        <v>1.8</v>
      </c>
      <c r="C71" s="2071">
        <v>2.2000000000000002</v>
      </c>
      <c r="D71" s="2072">
        <v>2.8</v>
      </c>
      <c r="E71" s="2073">
        <v>2.2000000000000002</v>
      </c>
      <c r="F71" s="2068"/>
      <c r="G71" s="2068"/>
      <c r="H71" s="2063"/>
    </row>
    <row r="72" spans="1:8" ht="15.75" x14ac:dyDescent="0.25">
      <c r="A72" s="2070">
        <v>40330</v>
      </c>
      <c r="B72" s="2071">
        <v>1.7</v>
      </c>
      <c r="C72" s="2071">
        <v>2.2000000000000002</v>
      </c>
      <c r="D72" s="2072">
        <v>2.6</v>
      </c>
      <c r="E72" s="2073">
        <v>2.1</v>
      </c>
      <c r="F72" s="2068"/>
      <c r="G72" s="2068"/>
      <c r="H72" s="2063"/>
    </row>
    <row r="73" spans="1:8" ht="15.75" hidden="1" x14ac:dyDescent="0.25">
      <c r="A73" s="2070">
        <v>40360</v>
      </c>
      <c r="B73" s="2071">
        <v>1.8</v>
      </c>
      <c r="C73" s="2071">
        <v>2.2000000000000002</v>
      </c>
      <c r="D73" s="2072">
        <v>2.5</v>
      </c>
      <c r="E73" s="2073">
        <v>2.1</v>
      </c>
      <c r="F73" s="2068"/>
      <c r="G73" s="2068"/>
      <c r="H73" s="2063"/>
    </row>
    <row r="74" spans="1:8" ht="15.75" hidden="1" x14ac:dyDescent="0.25">
      <c r="A74" s="2070">
        <v>40391</v>
      </c>
      <c r="B74" s="2071">
        <v>1.9</v>
      </c>
      <c r="C74" s="2071">
        <v>2.4</v>
      </c>
      <c r="D74" s="2072">
        <v>2.5</v>
      </c>
      <c r="E74" s="2073">
        <v>2.1</v>
      </c>
      <c r="F74" s="2068"/>
      <c r="G74" s="2068"/>
      <c r="H74" s="2063"/>
    </row>
    <row r="75" spans="1:8" ht="15.75" hidden="1" x14ac:dyDescent="0.25">
      <c r="A75" s="2070">
        <v>40422</v>
      </c>
      <c r="B75" s="2071">
        <v>2</v>
      </c>
      <c r="C75" s="2071">
        <v>2.4</v>
      </c>
      <c r="D75" s="2072">
        <v>2.5</v>
      </c>
      <c r="E75" s="2073">
        <v>2.2000000000000002</v>
      </c>
      <c r="F75" s="2068"/>
      <c r="G75" s="2068"/>
      <c r="H75" s="2063"/>
    </row>
    <row r="76" spans="1:8" ht="15.75" hidden="1" x14ac:dyDescent="0.25">
      <c r="A76" s="2070">
        <v>40452</v>
      </c>
      <c r="B76" s="2071">
        <v>2.2999999999999998</v>
      </c>
      <c r="C76" s="2071">
        <v>2.7</v>
      </c>
      <c r="D76" s="2072">
        <v>2.5</v>
      </c>
      <c r="E76" s="2073">
        <v>2.4</v>
      </c>
      <c r="F76" s="2068"/>
      <c r="G76" s="2068"/>
      <c r="H76" s="2063"/>
    </row>
    <row r="77" spans="1:8" ht="15.75" hidden="1" x14ac:dyDescent="0.25">
      <c r="A77" s="2070">
        <v>40483</v>
      </c>
      <c r="B77" s="2071">
        <v>2.5</v>
      </c>
      <c r="C77" s="2071">
        <v>2.9</v>
      </c>
      <c r="D77" s="2072">
        <v>2.6</v>
      </c>
      <c r="E77" s="2073">
        <v>2.6</v>
      </c>
      <c r="F77" s="2068"/>
      <c r="G77" s="2068"/>
      <c r="H77" s="2063"/>
    </row>
    <row r="78" spans="1:8" ht="15.75" x14ac:dyDescent="0.25">
      <c r="A78" s="2070">
        <v>40513</v>
      </c>
      <c r="B78" s="2071">
        <v>2.9</v>
      </c>
      <c r="C78" s="2071">
        <v>3.2</v>
      </c>
      <c r="D78" s="2072">
        <v>2.8</v>
      </c>
      <c r="E78" s="2073">
        <v>2.9</v>
      </c>
      <c r="F78" s="2068"/>
      <c r="G78" s="2068"/>
      <c r="H78" s="2063"/>
    </row>
    <row r="79" spans="1:8" ht="15.75" hidden="1" x14ac:dyDescent="0.25">
      <c r="A79" s="2070">
        <v>40544</v>
      </c>
      <c r="B79" s="2071">
        <v>3.3</v>
      </c>
      <c r="C79" s="2071">
        <v>3.4</v>
      </c>
      <c r="D79" s="2072">
        <v>3</v>
      </c>
      <c r="E79" s="2073">
        <v>3.1</v>
      </c>
      <c r="F79" s="2068"/>
      <c r="G79" s="2068"/>
      <c r="H79" s="2063"/>
    </row>
    <row r="80" spans="1:8" ht="15.75" hidden="1" x14ac:dyDescent="0.25">
      <c r="A80" s="2070">
        <v>40575</v>
      </c>
      <c r="B80" s="2071">
        <v>3.6</v>
      </c>
      <c r="C80" s="2071">
        <v>3.7</v>
      </c>
      <c r="D80" s="2072">
        <v>3.2</v>
      </c>
      <c r="E80" s="2073">
        <v>3.5</v>
      </c>
      <c r="F80" s="2068"/>
      <c r="G80" s="2068"/>
      <c r="H80" s="2063"/>
    </row>
    <row r="81" spans="1:8" ht="15.75" hidden="1" x14ac:dyDescent="0.25">
      <c r="A81" s="2070">
        <v>40603</v>
      </c>
      <c r="B81" s="2071">
        <v>4</v>
      </c>
      <c r="C81" s="2071">
        <v>4</v>
      </c>
      <c r="D81" s="2072">
        <v>3.5</v>
      </c>
      <c r="E81" s="2073">
        <v>3.8</v>
      </c>
      <c r="F81" s="2068"/>
      <c r="G81" s="2068"/>
      <c r="H81" s="2063"/>
    </row>
    <row r="82" spans="1:8" ht="15.75" hidden="1" x14ac:dyDescent="0.25">
      <c r="A82" s="2070">
        <v>40634</v>
      </c>
      <c r="B82" s="2071">
        <v>4.4000000000000004</v>
      </c>
      <c r="C82" s="2071">
        <v>4.3</v>
      </c>
      <c r="D82" s="2072">
        <v>3.8</v>
      </c>
      <c r="E82" s="2073">
        <v>4.0999999999999996</v>
      </c>
      <c r="F82" s="2068"/>
      <c r="G82" s="2068"/>
      <c r="H82" s="2063"/>
    </row>
    <row r="83" spans="1:8" ht="15.75" hidden="1" x14ac:dyDescent="0.25">
      <c r="A83" s="2070">
        <v>40664</v>
      </c>
      <c r="B83" s="2071">
        <v>4.8</v>
      </c>
      <c r="C83" s="2071">
        <v>4.5999999999999996</v>
      </c>
      <c r="D83" s="2072">
        <v>4.0999999999999996</v>
      </c>
      <c r="E83" s="2073">
        <v>4.4000000000000004</v>
      </c>
      <c r="F83" s="2068"/>
      <c r="G83" s="2068"/>
      <c r="H83" s="2063"/>
    </row>
    <row r="84" spans="1:8" ht="15.75" x14ac:dyDescent="0.25">
      <c r="A84" s="2070">
        <v>40695</v>
      </c>
      <c r="B84" s="2071">
        <v>5.0999999999999996</v>
      </c>
      <c r="C84" s="2071">
        <v>4.8</v>
      </c>
      <c r="D84" s="2072">
        <v>4.3</v>
      </c>
      <c r="E84" s="2073">
        <v>4.7</v>
      </c>
      <c r="F84" s="2068"/>
      <c r="G84" s="2068"/>
      <c r="H84" s="2063"/>
    </row>
    <row r="85" spans="1:8" ht="15.75" hidden="1" x14ac:dyDescent="0.25">
      <c r="A85" s="2070">
        <v>40725</v>
      </c>
      <c r="B85" s="2071">
        <v>5.5</v>
      </c>
      <c r="C85" s="2071">
        <v>5.2</v>
      </c>
      <c r="D85" s="2072">
        <v>4.5</v>
      </c>
      <c r="E85" s="2073">
        <v>5</v>
      </c>
      <c r="F85" s="2068"/>
      <c r="G85" s="2068"/>
      <c r="H85" s="2063"/>
    </row>
    <row r="86" spans="1:8" ht="15.75" hidden="1" x14ac:dyDescent="0.25">
      <c r="A86" s="2070">
        <v>40756</v>
      </c>
      <c r="B86" s="2071">
        <v>5.8</v>
      </c>
      <c r="C86" s="2071">
        <v>5.5</v>
      </c>
      <c r="D86" s="2072">
        <v>4.7</v>
      </c>
      <c r="E86" s="2073">
        <v>5.0999999999999996</v>
      </c>
      <c r="F86" s="2068"/>
      <c r="G86" s="2068"/>
      <c r="H86" s="2063"/>
    </row>
    <row r="87" spans="1:8" ht="15.75" hidden="1" x14ac:dyDescent="0.25">
      <c r="A87" s="2070">
        <v>40787</v>
      </c>
      <c r="B87" s="2071">
        <v>6.2</v>
      </c>
      <c r="C87" s="2071">
        <v>5.8</v>
      </c>
      <c r="D87" s="2072">
        <v>4.8</v>
      </c>
      <c r="E87" s="2073">
        <v>5.3</v>
      </c>
      <c r="F87" s="2068"/>
      <c r="G87" s="2068"/>
      <c r="H87" s="2063"/>
    </row>
    <row r="88" spans="1:8" ht="15.75" hidden="1" x14ac:dyDescent="0.25">
      <c r="A88" s="2070">
        <v>40817</v>
      </c>
      <c r="B88" s="2071">
        <v>6.4</v>
      </c>
      <c r="C88" s="2071">
        <v>5.9</v>
      </c>
      <c r="D88" s="2072">
        <v>4.8</v>
      </c>
      <c r="E88" s="2073">
        <v>5.4</v>
      </c>
      <c r="F88" s="2068"/>
      <c r="G88" s="2068"/>
      <c r="H88" s="2063"/>
    </row>
    <row r="89" spans="1:8" ht="15.75" hidden="1" x14ac:dyDescent="0.25">
      <c r="A89" s="2070">
        <v>40848</v>
      </c>
      <c r="B89" s="2071">
        <v>6.6</v>
      </c>
      <c r="C89" s="2071">
        <v>6.1</v>
      </c>
      <c r="D89" s="2072">
        <v>4.9000000000000004</v>
      </c>
      <c r="E89" s="2073">
        <v>5.5</v>
      </c>
      <c r="F89" s="2068"/>
      <c r="G89" s="2068"/>
      <c r="H89" s="2063"/>
    </row>
    <row r="90" spans="1:8" ht="15.75" x14ac:dyDescent="0.25">
      <c r="A90" s="2070">
        <v>40878</v>
      </c>
      <c r="B90" s="2071">
        <v>6.5</v>
      </c>
      <c r="C90" s="2071">
        <v>6</v>
      </c>
      <c r="D90" s="2072">
        <v>4.8</v>
      </c>
      <c r="E90" s="2073">
        <v>5.3</v>
      </c>
      <c r="F90" s="2068"/>
      <c r="G90" s="2068"/>
      <c r="H90" s="2063"/>
    </row>
    <row r="91" spans="1:8" ht="15.75" hidden="1" x14ac:dyDescent="0.25">
      <c r="A91" s="2070">
        <v>40909</v>
      </c>
      <c r="B91" s="2071">
        <v>6.4</v>
      </c>
      <c r="C91" s="2071">
        <v>5.8</v>
      </c>
      <c r="D91" s="2072">
        <v>4.5999999999999996</v>
      </c>
      <c r="E91" s="2073">
        <v>5</v>
      </c>
      <c r="F91" s="2068"/>
      <c r="G91" s="2068"/>
      <c r="H91" s="2063"/>
    </row>
    <row r="92" spans="1:8" ht="15.75" hidden="1" x14ac:dyDescent="0.25">
      <c r="A92" s="2070">
        <v>40940</v>
      </c>
      <c r="B92" s="2071">
        <v>6.2</v>
      </c>
      <c r="C92" s="2071">
        <v>5.6</v>
      </c>
      <c r="D92" s="2072">
        <v>4.5</v>
      </c>
      <c r="E92" s="2073">
        <v>4.7</v>
      </c>
      <c r="F92" s="2068"/>
      <c r="G92" s="2068"/>
      <c r="H92" s="2063"/>
    </row>
    <row r="93" spans="1:8" ht="15.75" hidden="1" x14ac:dyDescent="0.25">
      <c r="A93" s="2070">
        <v>40969</v>
      </c>
      <c r="B93" s="2071">
        <v>5.9</v>
      </c>
      <c r="C93" s="2071">
        <v>5.3</v>
      </c>
      <c r="D93" s="2072">
        <v>4.3</v>
      </c>
      <c r="E93" s="2073">
        <v>4.4000000000000004</v>
      </c>
      <c r="F93" s="2068"/>
      <c r="G93" s="2068"/>
      <c r="H93" s="2063"/>
    </row>
    <row r="94" spans="1:8" ht="15.75" hidden="1" x14ac:dyDescent="0.25">
      <c r="A94" s="2070">
        <v>41000</v>
      </c>
      <c r="B94" s="2071">
        <v>5.6</v>
      </c>
      <c r="C94" s="2071">
        <v>5</v>
      </c>
      <c r="D94" s="2072">
        <v>4.0999999999999996</v>
      </c>
      <c r="E94" s="2073">
        <v>4.0999999999999996</v>
      </c>
      <c r="F94" s="2068"/>
      <c r="G94" s="2068"/>
      <c r="H94" s="2063"/>
    </row>
    <row r="95" spans="1:8" ht="15.75" hidden="1" x14ac:dyDescent="0.25">
      <c r="A95" s="2070">
        <v>41030</v>
      </c>
      <c r="B95" s="2071">
        <v>5.3</v>
      </c>
      <c r="C95" s="2071">
        <v>4.5999999999999996</v>
      </c>
      <c r="D95" s="2072">
        <v>3.8</v>
      </c>
      <c r="E95" s="2073">
        <v>3.8</v>
      </c>
      <c r="F95" s="2068"/>
      <c r="G95" s="2068"/>
      <c r="H95" s="2063"/>
    </row>
    <row r="96" spans="1:8" ht="15.75" x14ac:dyDescent="0.25">
      <c r="A96" s="2070">
        <v>41061</v>
      </c>
      <c r="B96" s="2071">
        <v>5.0999999999999996</v>
      </c>
      <c r="C96" s="2071">
        <v>4.4000000000000004</v>
      </c>
      <c r="D96" s="2072">
        <v>3.6</v>
      </c>
      <c r="E96" s="2073">
        <v>3.6</v>
      </c>
      <c r="F96" s="2068"/>
      <c r="G96" s="2068"/>
      <c r="H96" s="2063"/>
    </row>
    <row r="97" spans="1:8" ht="15.75" hidden="1" x14ac:dyDescent="0.25">
      <c r="A97" s="2070">
        <v>41091</v>
      </c>
      <c r="B97" s="2071">
        <v>4.9000000000000004</v>
      </c>
      <c r="C97" s="2071">
        <v>4.0999999999999996</v>
      </c>
      <c r="D97" s="2072">
        <v>3.4</v>
      </c>
      <c r="E97" s="2073">
        <v>3.3</v>
      </c>
      <c r="F97" s="2068"/>
      <c r="G97" s="2068"/>
      <c r="H97" s="2063"/>
    </row>
    <row r="98" spans="1:8" ht="15.75" hidden="1" x14ac:dyDescent="0.25">
      <c r="A98" s="2070">
        <v>41122</v>
      </c>
      <c r="B98" s="2071">
        <v>4.5999999999999996</v>
      </c>
      <c r="C98" s="2071">
        <v>3.9</v>
      </c>
      <c r="D98" s="2072">
        <v>3.2</v>
      </c>
      <c r="E98" s="2073">
        <v>3.1</v>
      </c>
      <c r="F98" s="2068"/>
      <c r="G98" s="2068"/>
      <c r="H98" s="2063"/>
    </row>
    <row r="99" spans="1:8" ht="15.75" hidden="1" x14ac:dyDescent="0.25">
      <c r="A99" s="2070">
        <v>41153</v>
      </c>
      <c r="B99" s="2071">
        <v>4.4000000000000004</v>
      </c>
      <c r="C99" s="2071">
        <v>3.7</v>
      </c>
      <c r="D99" s="2072">
        <v>3.2</v>
      </c>
      <c r="E99" s="2073">
        <v>2.9</v>
      </c>
      <c r="F99" s="2068"/>
      <c r="G99" s="2068"/>
      <c r="H99" s="2063"/>
    </row>
    <row r="100" spans="1:8" ht="15.75" hidden="1" x14ac:dyDescent="0.25">
      <c r="A100" s="2070">
        <v>41183</v>
      </c>
      <c r="B100" s="2071">
        <v>4.3</v>
      </c>
      <c r="C100" s="2071">
        <v>3.6</v>
      </c>
      <c r="D100" s="2072">
        <v>3.1</v>
      </c>
      <c r="E100" s="2073">
        <v>2.8</v>
      </c>
      <c r="F100" s="2068"/>
      <c r="G100" s="2068"/>
      <c r="H100" s="2063"/>
    </row>
    <row r="101" spans="1:8" ht="15.75" hidden="1" x14ac:dyDescent="0.25">
      <c r="A101" s="2070">
        <v>41214</v>
      </c>
      <c r="B101" s="2071">
        <v>4</v>
      </c>
      <c r="C101" s="2071">
        <v>3.4</v>
      </c>
      <c r="D101" s="2072">
        <v>3.1</v>
      </c>
      <c r="E101" s="2073">
        <v>2.6</v>
      </c>
      <c r="F101" s="2068"/>
      <c r="G101" s="2068"/>
      <c r="H101" s="2063"/>
    </row>
    <row r="102" spans="1:8" ht="15.75" x14ac:dyDescent="0.25">
      <c r="A102" s="2070">
        <v>41244</v>
      </c>
      <c r="B102" s="2071">
        <v>3.9</v>
      </c>
      <c r="C102" s="2071">
        <v>3.3</v>
      </c>
      <c r="D102" s="2072">
        <v>3</v>
      </c>
      <c r="E102" s="2073">
        <v>2.5</v>
      </c>
      <c r="F102" s="2068"/>
      <c r="G102" s="2068"/>
      <c r="H102" s="2063"/>
    </row>
    <row r="103" spans="1:8" ht="15.75" hidden="1" x14ac:dyDescent="0.25">
      <c r="A103" s="2070">
        <v>41275</v>
      </c>
      <c r="B103" s="2071">
        <v>3.7</v>
      </c>
      <c r="C103" s="2071">
        <v>3.2</v>
      </c>
      <c r="D103" s="2072">
        <v>3</v>
      </c>
      <c r="E103" s="2073">
        <v>2.4</v>
      </c>
      <c r="F103" s="2068"/>
      <c r="G103" s="2068"/>
      <c r="H103" s="2063"/>
    </row>
    <row r="104" spans="1:8" ht="15.75" hidden="1" x14ac:dyDescent="0.25">
      <c r="A104" s="2070">
        <v>41306</v>
      </c>
      <c r="B104" s="2071">
        <v>3.6</v>
      </c>
      <c r="C104" s="2071">
        <v>3</v>
      </c>
      <c r="D104" s="2072">
        <v>2.9</v>
      </c>
      <c r="E104" s="2073">
        <v>2.4</v>
      </c>
      <c r="F104" s="2068"/>
      <c r="G104" s="2068"/>
      <c r="H104" s="2063"/>
    </row>
    <row r="105" spans="1:8" ht="15.75" hidden="1" x14ac:dyDescent="0.25">
      <c r="A105" s="2070">
        <v>41334</v>
      </c>
      <c r="B105" s="2071">
        <v>3.6</v>
      </c>
      <c r="C105" s="2071">
        <v>3</v>
      </c>
      <c r="D105" s="2072">
        <v>2.9</v>
      </c>
      <c r="E105" s="2073">
        <v>2.4</v>
      </c>
      <c r="F105" s="2068"/>
      <c r="G105" s="2068"/>
      <c r="H105" s="2063"/>
    </row>
    <row r="106" spans="1:8" ht="15.75" hidden="1" x14ac:dyDescent="0.25">
      <c r="A106" s="2070">
        <v>41365</v>
      </c>
      <c r="B106" s="2071">
        <v>3.6</v>
      </c>
      <c r="C106" s="2071">
        <v>2.9</v>
      </c>
      <c r="D106" s="2072">
        <v>2.8</v>
      </c>
      <c r="E106" s="2073">
        <v>2.5</v>
      </c>
      <c r="F106" s="2068"/>
      <c r="G106" s="2068"/>
      <c r="H106" s="2063"/>
    </row>
    <row r="107" spans="1:8" ht="15.75" hidden="1" x14ac:dyDescent="0.25">
      <c r="A107" s="2070">
        <v>41395</v>
      </c>
      <c r="B107" s="2071">
        <v>3.6</v>
      </c>
      <c r="C107" s="2071">
        <v>2.9</v>
      </c>
      <c r="D107" s="2072">
        <v>2.8</v>
      </c>
      <c r="E107" s="2073">
        <v>2.5</v>
      </c>
      <c r="F107" s="2068"/>
      <c r="G107" s="2068"/>
      <c r="H107" s="2063"/>
    </row>
    <row r="108" spans="1:8" ht="15.75" x14ac:dyDescent="0.25">
      <c r="A108" s="2070">
        <v>41426</v>
      </c>
      <c r="B108" s="2071">
        <v>3.6</v>
      </c>
      <c r="C108" s="2071">
        <v>2.8</v>
      </c>
      <c r="D108" s="2072">
        <v>2.8</v>
      </c>
      <c r="E108" s="2073">
        <v>2.5</v>
      </c>
      <c r="F108" s="2068"/>
      <c r="G108" s="2068"/>
      <c r="H108" s="2063"/>
    </row>
    <row r="109" spans="1:8" ht="15.75" hidden="1" x14ac:dyDescent="0.25">
      <c r="A109" s="2070">
        <v>41456</v>
      </c>
      <c r="B109" s="2071">
        <v>3.6</v>
      </c>
      <c r="C109" s="2071">
        <v>2.8</v>
      </c>
      <c r="D109" s="2072">
        <v>2.8</v>
      </c>
      <c r="E109" s="2073">
        <v>2.6</v>
      </c>
      <c r="F109" s="2068"/>
      <c r="G109" s="2068"/>
      <c r="H109" s="2063"/>
    </row>
    <row r="110" spans="1:8" ht="15.75" hidden="1" x14ac:dyDescent="0.25">
      <c r="A110" s="2070">
        <v>41487</v>
      </c>
      <c r="B110" s="2071">
        <v>3.5</v>
      </c>
      <c r="C110" s="2071">
        <v>2.8</v>
      </c>
      <c r="D110" s="2072">
        <v>2.7</v>
      </c>
      <c r="E110" s="2073">
        <v>2.6</v>
      </c>
      <c r="F110" s="2068"/>
      <c r="G110" s="2068"/>
      <c r="H110" s="2063"/>
    </row>
    <row r="111" spans="1:8" ht="15.75" hidden="1" x14ac:dyDescent="0.25">
      <c r="A111" s="2070">
        <v>41518</v>
      </c>
      <c r="B111" s="2071">
        <v>3.5</v>
      </c>
      <c r="C111" s="2071">
        <v>2.7</v>
      </c>
      <c r="D111" s="2072">
        <v>2.7</v>
      </c>
      <c r="E111" s="2073">
        <v>2.7</v>
      </c>
      <c r="F111" s="2068"/>
      <c r="G111" s="2068"/>
      <c r="H111" s="2063"/>
    </row>
    <row r="112" spans="1:8" ht="15.75" hidden="1" x14ac:dyDescent="0.25">
      <c r="A112" s="2070">
        <v>41548</v>
      </c>
      <c r="B112" s="2071">
        <v>3.4</v>
      </c>
      <c r="C112" s="2071">
        <v>2.6</v>
      </c>
      <c r="D112" s="2072">
        <v>2.6</v>
      </c>
      <c r="E112" s="2073">
        <v>2.7</v>
      </c>
      <c r="F112" s="2068"/>
      <c r="G112" s="2068"/>
      <c r="H112" s="2063"/>
    </row>
    <row r="113" spans="1:8" ht="15.75" hidden="1" x14ac:dyDescent="0.25">
      <c r="A113" s="2070">
        <v>41579</v>
      </c>
      <c r="B113" s="2071">
        <v>3.5</v>
      </c>
      <c r="C113" s="2071">
        <v>2.6</v>
      </c>
      <c r="D113" s="2072">
        <v>2.5</v>
      </c>
      <c r="E113" s="2073">
        <v>2.8</v>
      </c>
      <c r="F113" s="2068"/>
      <c r="G113" s="2068"/>
      <c r="H113" s="2063"/>
    </row>
    <row r="114" spans="1:8" ht="15.75" x14ac:dyDescent="0.25">
      <c r="A114" s="2070">
        <v>41609</v>
      </c>
      <c r="B114" s="2071">
        <v>3.5</v>
      </c>
      <c r="C114" s="2071">
        <v>2.6</v>
      </c>
      <c r="D114" s="2072">
        <v>2.6</v>
      </c>
      <c r="E114" s="2073">
        <v>2.9</v>
      </c>
      <c r="F114" s="2068"/>
      <c r="G114" s="2068"/>
      <c r="H114" s="2063"/>
    </row>
    <row r="115" spans="1:8" ht="15.75" hidden="1" x14ac:dyDescent="0.25">
      <c r="A115" s="2070">
        <v>41640</v>
      </c>
      <c r="B115" s="2071">
        <v>3.7</v>
      </c>
      <c r="C115" s="2071">
        <v>2.8</v>
      </c>
      <c r="D115" s="2072">
        <v>2.6</v>
      </c>
      <c r="E115" s="2073">
        <v>3.1</v>
      </c>
      <c r="F115" s="2068"/>
      <c r="G115" s="2068"/>
      <c r="H115" s="2063"/>
    </row>
    <row r="116" spans="1:8" ht="15.75" hidden="1" x14ac:dyDescent="0.25">
      <c r="A116" s="2070">
        <v>41671</v>
      </c>
      <c r="B116" s="2071">
        <v>3.9</v>
      </c>
      <c r="C116" s="2071">
        <v>2.9</v>
      </c>
      <c r="D116" s="2072">
        <v>2.7</v>
      </c>
      <c r="E116" s="2073">
        <v>3.2</v>
      </c>
      <c r="F116" s="2068"/>
      <c r="G116" s="2068"/>
      <c r="H116" s="2063"/>
    </row>
    <row r="117" spans="1:8" ht="15.75" hidden="1" x14ac:dyDescent="0.25">
      <c r="A117" s="2070">
        <v>41699</v>
      </c>
      <c r="B117" s="2071">
        <v>4</v>
      </c>
      <c r="C117" s="2071">
        <v>2.9</v>
      </c>
      <c r="D117" s="2072">
        <v>2.7</v>
      </c>
      <c r="E117" s="2073">
        <v>3.3</v>
      </c>
      <c r="F117" s="2068"/>
      <c r="G117" s="2068"/>
      <c r="H117" s="2063"/>
    </row>
    <row r="118" spans="1:8" ht="15.75" hidden="1" x14ac:dyDescent="0.25">
      <c r="A118" s="2070">
        <v>41730</v>
      </c>
      <c r="B118" s="2071">
        <v>4</v>
      </c>
      <c r="C118" s="2071">
        <v>2.9</v>
      </c>
      <c r="D118" s="2072">
        <v>2.8</v>
      </c>
      <c r="E118" s="2073">
        <v>3.2</v>
      </c>
      <c r="F118" s="2068"/>
      <c r="G118" s="2068"/>
      <c r="H118" s="2063"/>
    </row>
    <row r="119" spans="1:8" ht="15.75" hidden="1" x14ac:dyDescent="0.25">
      <c r="A119" s="2070">
        <v>41760</v>
      </c>
      <c r="B119" s="2071">
        <v>4</v>
      </c>
      <c r="C119" s="2071">
        <v>2.9</v>
      </c>
      <c r="D119" s="2072">
        <v>2.9</v>
      </c>
      <c r="E119" s="2073">
        <v>3.2</v>
      </c>
      <c r="F119" s="2068"/>
      <c r="G119" s="2068"/>
      <c r="H119" s="2063"/>
    </row>
    <row r="120" spans="1:8" ht="15.75" x14ac:dyDescent="0.25">
      <c r="A120" s="2070">
        <v>41791</v>
      </c>
      <c r="B120" s="2071">
        <v>4</v>
      </c>
      <c r="C120" s="2071">
        <v>2.9</v>
      </c>
      <c r="D120" s="2072">
        <v>2.9</v>
      </c>
      <c r="E120" s="2073">
        <v>3.2</v>
      </c>
      <c r="F120" s="2068"/>
      <c r="G120" s="2068"/>
      <c r="H120" s="2063"/>
    </row>
    <row r="121" spans="1:8" ht="15.75" hidden="1" x14ac:dyDescent="0.25">
      <c r="A121" s="2070">
        <v>41821</v>
      </c>
      <c r="B121" s="2071">
        <v>3.9</v>
      </c>
      <c r="C121" s="2071">
        <v>2.9</v>
      </c>
      <c r="D121" s="2072">
        <v>3</v>
      </c>
      <c r="E121" s="2073">
        <v>3.1</v>
      </c>
      <c r="F121" s="2068"/>
      <c r="G121" s="2068"/>
      <c r="H121" s="2063"/>
    </row>
    <row r="122" spans="1:8" ht="15.75" hidden="1" x14ac:dyDescent="0.25">
      <c r="A122" s="2070">
        <v>41852</v>
      </c>
      <c r="B122" s="2071">
        <v>4</v>
      </c>
      <c r="C122" s="2071">
        <v>2.9</v>
      </c>
      <c r="D122" s="2072">
        <v>3.1</v>
      </c>
      <c r="E122" s="2073">
        <v>3.1</v>
      </c>
      <c r="F122" s="2068"/>
      <c r="G122" s="2068"/>
      <c r="H122" s="2063"/>
    </row>
    <row r="123" spans="1:8" ht="15.75" hidden="1" x14ac:dyDescent="0.25">
      <c r="A123" s="2070">
        <v>41883</v>
      </c>
      <c r="B123" s="2071">
        <v>3.9</v>
      </c>
      <c r="C123" s="2071">
        <v>2.9</v>
      </c>
      <c r="D123" s="2072">
        <v>3.2</v>
      </c>
      <c r="E123" s="2073">
        <v>3.1</v>
      </c>
      <c r="F123" s="2068"/>
      <c r="G123" s="2068"/>
      <c r="H123" s="2063"/>
    </row>
    <row r="124" spans="1:8" ht="15.75" hidden="1" x14ac:dyDescent="0.25">
      <c r="A124" s="2070">
        <v>41913</v>
      </c>
      <c r="B124" s="2071">
        <v>3.8</v>
      </c>
      <c r="C124" s="2071">
        <v>2.9</v>
      </c>
      <c r="D124" s="2072">
        <v>3.2</v>
      </c>
      <c r="E124" s="2073">
        <v>3</v>
      </c>
      <c r="F124" s="2068"/>
      <c r="G124" s="2068"/>
      <c r="H124" s="2063"/>
    </row>
    <row r="125" spans="1:8" ht="15.75" hidden="1" x14ac:dyDescent="0.25">
      <c r="A125" s="2070">
        <v>41944</v>
      </c>
      <c r="B125" s="2071">
        <v>3.5</v>
      </c>
      <c r="C125" s="2071">
        <v>2.8</v>
      </c>
      <c r="D125" s="2072">
        <v>3.2</v>
      </c>
      <c r="E125" s="2073">
        <v>2.8</v>
      </c>
      <c r="F125" s="2068"/>
      <c r="G125" s="2068"/>
      <c r="H125" s="2063"/>
    </row>
    <row r="126" spans="1:8" ht="15.75" x14ac:dyDescent="0.25">
      <c r="A126" s="2070">
        <v>41974</v>
      </c>
      <c r="B126" s="2071">
        <v>3.2</v>
      </c>
      <c r="C126" s="2071">
        <v>2.6</v>
      </c>
      <c r="D126" s="2072">
        <v>3.1</v>
      </c>
      <c r="E126" s="2073">
        <v>2.5</v>
      </c>
      <c r="F126" s="2068"/>
      <c r="G126" s="2068"/>
      <c r="H126" s="2063"/>
    </row>
    <row r="127" spans="1:8" ht="15.75" hidden="1" x14ac:dyDescent="0.25">
      <c r="A127" s="2070">
        <v>42005</v>
      </c>
      <c r="B127" s="2071">
        <v>2.8</v>
      </c>
      <c r="C127" s="2071">
        <v>2.2000000000000002</v>
      </c>
      <c r="D127" s="2072">
        <v>2.9</v>
      </c>
      <c r="E127" s="2073">
        <v>2.2000000000000002</v>
      </c>
      <c r="F127" s="2068"/>
      <c r="G127" s="2068"/>
      <c r="H127" s="2063"/>
    </row>
    <row r="128" spans="1:8" ht="15.75" hidden="1" x14ac:dyDescent="0.25">
      <c r="A128" s="2070">
        <v>42036</v>
      </c>
      <c r="B128" s="2071">
        <v>2.5</v>
      </c>
      <c r="C128" s="2071">
        <v>1.9</v>
      </c>
      <c r="D128" s="2072">
        <v>2.7</v>
      </c>
      <c r="E128" s="2073">
        <v>1.9</v>
      </c>
      <c r="F128" s="2068"/>
      <c r="G128" s="2068"/>
      <c r="H128" s="2063"/>
    </row>
    <row r="129" spans="1:8" ht="15.75" hidden="1" x14ac:dyDescent="0.25">
      <c r="A129" s="2070">
        <v>42064</v>
      </c>
      <c r="B129" s="2071">
        <v>2.4</v>
      </c>
      <c r="C129" s="2071">
        <v>1.7</v>
      </c>
      <c r="D129" s="2072">
        <v>2.6</v>
      </c>
      <c r="E129" s="2073">
        <v>1.7</v>
      </c>
      <c r="F129" s="2068"/>
      <c r="G129" s="2068"/>
      <c r="H129" s="2063"/>
    </row>
    <row r="130" spans="1:8" ht="15.75" hidden="1" x14ac:dyDescent="0.25">
      <c r="A130" s="2070">
        <v>42095</v>
      </c>
      <c r="B130" s="2071">
        <v>2.2000000000000002</v>
      </c>
      <c r="C130" s="2071">
        <v>1.5</v>
      </c>
      <c r="D130" s="2072">
        <v>2.5</v>
      </c>
      <c r="E130" s="2073">
        <v>1.5</v>
      </c>
      <c r="F130" s="2068"/>
      <c r="G130" s="2068"/>
      <c r="H130" s="2063"/>
    </row>
    <row r="131" spans="1:8" ht="15.75" hidden="1" x14ac:dyDescent="0.25">
      <c r="A131" s="2070">
        <v>42125</v>
      </c>
      <c r="B131" s="2071">
        <v>2</v>
      </c>
      <c r="C131" s="2071">
        <v>1.3</v>
      </c>
      <c r="D131" s="2072">
        <v>2.2999999999999998</v>
      </c>
      <c r="E131" s="2073">
        <v>1.3</v>
      </c>
      <c r="F131" s="2068"/>
      <c r="G131" s="2068"/>
      <c r="H131" s="2063"/>
    </row>
    <row r="132" spans="1:8" ht="15.75" x14ac:dyDescent="0.25">
      <c r="A132" s="2070">
        <v>42156</v>
      </c>
      <c r="B132" s="2071">
        <v>1.7</v>
      </c>
      <c r="C132" s="2071">
        <v>1.1000000000000001</v>
      </c>
      <c r="D132" s="2072">
        <v>2.2999999999999998</v>
      </c>
      <c r="E132" s="2073">
        <v>1.1000000000000001</v>
      </c>
      <c r="F132" s="2068"/>
      <c r="G132" s="2068"/>
      <c r="H132" s="2063"/>
    </row>
    <row r="133" spans="1:8" ht="15.75" x14ac:dyDescent="0.25">
      <c r="A133" s="2070">
        <v>42186</v>
      </c>
      <c r="B133" s="2071">
        <v>1.5</v>
      </c>
      <c r="C133" s="2071">
        <v>0.9</v>
      </c>
      <c r="D133" s="2072">
        <v>2.1</v>
      </c>
      <c r="E133" s="2073">
        <v>0.9</v>
      </c>
      <c r="F133" s="2068"/>
      <c r="G133" s="2068"/>
      <c r="H133" s="2063"/>
    </row>
    <row r="134" spans="1:8" ht="15.75" x14ac:dyDescent="0.25">
      <c r="A134" s="2070">
        <v>42217</v>
      </c>
      <c r="B134" s="2071">
        <v>1.3</v>
      </c>
      <c r="C134" s="2071">
        <v>0.7</v>
      </c>
      <c r="D134" s="2072">
        <v>2</v>
      </c>
      <c r="E134" s="2073">
        <v>0.8</v>
      </c>
      <c r="F134" s="2068"/>
      <c r="G134" s="2068"/>
      <c r="H134" s="2063"/>
    </row>
    <row r="135" spans="1:8" ht="15.75" x14ac:dyDescent="0.25">
      <c r="A135" s="2070">
        <v>42248</v>
      </c>
      <c r="B135" s="2071">
        <v>1.2</v>
      </c>
      <c r="C135" s="2071">
        <v>0.6</v>
      </c>
      <c r="D135" s="2072">
        <v>1.9</v>
      </c>
      <c r="E135" s="2073">
        <v>0.7</v>
      </c>
      <c r="F135" s="2068"/>
      <c r="G135" s="2068"/>
      <c r="H135" s="2063"/>
    </row>
    <row r="136" spans="1:8" ht="15.75" x14ac:dyDescent="0.25">
      <c r="A136" s="2070">
        <v>42278</v>
      </c>
      <c r="B136" s="2071">
        <v>1.2</v>
      </c>
      <c r="C136" s="2071">
        <v>0.5</v>
      </c>
      <c r="D136" s="2072">
        <v>1.8</v>
      </c>
      <c r="E136" s="2073">
        <v>0.6</v>
      </c>
      <c r="F136" s="2068"/>
      <c r="G136" s="2068"/>
      <c r="H136" s="2063"/>
    </row>
    <row r="137" spans="1:8" ht="15.75" x14ac:dyDescent="0.25">
      <c r="A137" s="2070">
        <v>42309</v>
      </c>
      <c r="B137" s="2071">
        <v>1.2</v>
      </c>
      <c r="C137" s="2071">
        <v>0.4</v>
      </c>
      <c r="D137" s="2072">
        <v>1.7</v>
      </c>
      <c r="E137" s="2073">
        <v>0.6</v>
      </c>
      <c r="F137" s="2068"/>
      <c r="G137" s="2068"/>
      <c r="H137" s="2063"/>
    </row>
    <row r="138" spans="1:8" ht="15.75" x14ac:dyDescent="0.25">
      <c r="A138" s="2070">
        <v>42339</v>
      </c>
      <c r="B138" s="2071">
        <v>1.3</v>
      </c>
      <c r="C138" s="2071">
        <v>0.4</v>
      </c>
      <c r="D138" s="2072">
        <v>1.7</v>
      </c>
      <c r="E138" s="2073">
        <v>0.6</v>
      </c>
      <c r="F138" s="2068"/>
      <c r="G138" s="2068"/>
      <c r="H138" s="2063"/>
    </row>
    <row r="139" spans="1:8" ht="15.75" x14ac:dyDescent="0.25">
      <c r="A139" s="2070">
        <v>42370</v>
      </c>
      <c r="B139" s="2071">
        <v>1.3</v>
      </c>
      <c r="C139" s="2071">
        <v>0.6</v>
      </c>
      <c r="D139" s="2072">
        <v>2</v>
      </c>
      <c r="E139" s="2073">
        <v>0.6</v>
      </c>
      <c r="F139" s="2068"/>
      <c r="G139" s="2068"/>
      <c r="H139" s="2063"/>
    </row>
    <row r="140" spans="1:8" ht="15.75" x14ac:dyDescent="0.25">
      <c r="A140" s="2070">
        <v>42401</v>
      </c>
      <c r="B140" s="2071">
        <v>1</v>
      </c>
      <c r="C140" s="2071">
        <v>0.7</v>
      </c>
      <c r="D140" s="2072">
        <v>2.1</v>
      </c>
      <c r="E140" s="2073">
        <v>0.7</v>
      </c>
      <c r="F140" s="2068"/>
      <c r="G140" s="2068"/>
      <c r="H140" s="2063"/>
    </row>
    <row r="141" spans="1:8" ht="15.75" x14ac:dyDescent="0.25">
      <c r="A141" s="2070">
        <v>42430</v>
      </c>
      <c r="B141" s="2071">
        <v>0.9</v>
      </c>
      <c r="C141" s="2071">
        <v>0.7</v>
      </c>
      <c r="D141" s="2072">
        <v>2.1</v>
      </c>
      <c r="E141" s="2073">
        <v>0.8</v>
      </c>
      <c r="F141" s="2068"/>
      <c r="G141" s="2068"/>
      <c r="H141" s="2063"/>
    </row>
    <row r="142" spans="1:8" ht="15.75" x14ac:dyDescent="0.25">
      <c r="A142" s="2070">
        <v>42461</v>
      </c>
      <c r="B142" s="2071">
        <v>0.8</v>
      </c>
      <c r="C142" s="2071">
        <v>0.7</v>
      </c>
      <c r="D142" s="2072">
        <v>2.2000000000000002</v>
      </c>
      <c r="E142" s="2073">
        <v>0.8</v>
      </c>
      <c r="F142" s="2068"/>
      <c r="G142" s="2068"/>
      <c r="H142" s="2063"/>
    </row>
    <row r="143" spans="1:8" ht="15.75" x14ac:dyDescent="0.25">
      <c r="A143" s="2070">
        <v>42491</v>
      </c>
      <c r="B143" s="2071">
        <v>0.8</v>
      </c>
      <c r="C143" s="2071">
        <v>0.7</v>
      </c>
      <c r="D143" s="2072">
        <v>2.2000000000000002</v>
      </c>
      <c r="E143" s="2073">
        <v>0.8</v>
      </c>
      <c r="F143" s="2068"/>
      <c r="G143" s="2068"/>
      <c r="H143" s="2063"/>
    </row>
    <row r="144" spans="1:8" ht="3.75" customHeight="1" thickBot="1" x14ac:dyDescent="0.3">
      <c r="A144" s="2074"/>
      <c r="B144" s="2075"/>
      <c r="C144" s="2075"/>
      <c r="D144" s="2076"/>
      <c r="E144" s="2077"/>
      <c r="F144" s="2068"/>
      <c r="G144" s="2068"/>
      <c r="H144" s="2063"/>
    </row>
    <row r="145" spans="1:8" ht="18" customHeight="1" thickTop="1" x14ac:dyDescent="0.2">
      <c r="A145" s="2050" t="s">
        <v>3674</v>
      </c>
      <c r="B145" s="2078"/>
      <c r="C145" s="2078"/>
      <c r="D145" s="2078"/>
      <c r="E145" s="2078"/>
      <c r="F145" s="2078"/>
      <c r="G145" s="2078"/>
      <c r="H145" s="2078"/>
    </row>
    <row r="146" spans="1:8" x14ac:dyDescent="0.2">
      <c r="A146" s="2050" t="s">
        <v>3675</v>
      </c>
      <c r="B146" s="2050"/>
      <c r="C146" s="2050"/>
      <c r="D146" s="2050"/>
      <c r="E146" s="2050"/>
      <c r="F146" s="2050"/>
      <c r="G146" s="2050"/>
      <c r="H146" s="2050"/>
    </row>
    <row r="147" spans="1:8" x14ac:dyDescent="0.2">
      <c r="A147" s="2050" t="s">
        <v>3676</v>
      </c>
      <c r="B147" s="2050"/>
      <c r="C147" s="2050"/>
      <c r="D147" s="2050"/>
      <c r="E147" s="2050"/>
      <c r="F147" s="2050"/>
      <c r="G147" s="2050"/>
      <c r="H147" s="2050"/>
    </row>
    <row r="148" spans="1:8" s="2081" customFormat="1" x14ac:dyDescent="0.2">
      <c r="A148" s="2079" t="s">
        <v>3677</v>
      </c>
      <c r="B148" s="2080"/>
      <c r="C148" s="2080"/>
      <c r="D148" s="2080"/>
      <c r="E148" s="2080"/>
      <c r="F148" s="2079"/>
      <c r="G148" s="2079"/>
      <c r="H148" s="2079"/>
    </row>
    <row r="149" spans="1:8" s="2081" customFormat="1" x14ac:dyDescent="0.2">
      <c r="A149" s="2079" t="s">
        <v>3678</v>
      </c>
      <c r="B149" s="2080"/>
      <c r="C149" s="2080"/>
      <c r="D149" s="2080"/>
      <c r="E149" s="2080"/>
      <c r="F149" s="2079"/>
      <c r="G149" s="2079"/>
      <c r="H149" s="2079"/>
    </row>
    <row r="150" spans="1:8" x14ac:dyDescent="0.2">
      <c r="A150" s="2050" t="s">
        <v>3679</v>
      </c>
      <c r="B150" s="2082"/>
      <c r="C150" s="2082"/>
      <c r="D150" s="2082"/>
      <c r="E150" s="2082"/>
      <c r="F150" s="2050"/>
      <c r="G150" s="2050"/>
      <c r="H150" s="2050"/>
    </row>
    <row r="151" spans="1:8" x14ac:dyDescent="0.2">
      <c r="A151" s="2050" t="s">
        <v>179</v>
      </c>
      <c r="B151" s="2048"/>
    </row>
    <row r="152" spans="1:8" ht="15.75" x14ac:dyDescent="0.25">
      <c r="A152" s="2083"/>
      <c r="B152" s="2083"/>
      <c r="C152" s="2083"/>
      <c r="D152" s="2083"/>
      <c r="E152" s="2083"/>
      <c r="F152" s="2083"/>
      <c r="G152" s="2083"/>
      <c r="H152" s="2083"/>
    </row>
  </sheetData>
  <printOptions horizontalCentered="1"/>
  <pageMargins left="0.5" right="0" top="0.5" bottom="0" header="0" footer="0"/>
  <pageSetup paperSize="9" scale="7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72"/>
  <sheetViews>
    <sheetView topLeftCell="A39" zoomScaleNormal="100" zoomScaleSheetLayoutView="100" workbookViewId="0">
      <selection activeCell="K100" sqref="K100"/>
    </sheetView>
  </sheetViews>
  <sheetFormatPr defaultRowHeight="15.75" x14ac:dyDescent="0.2"/>
  <cols>
    <col min="1" max="1" width="11.28515625" style="2088" customWidth="1"/>
    <col min="2" max="2" width="10.42578125" style="2088" customWidth="1"/>
    <col min="3" max="3" width="10.28515625" style="2088" customWidth="1"/>
    <col min="4" max="4" width="12.42578125" style="2088" customWidth="1"/>
    <col min="5" max="5" width="8.85546875" style="2088" customWidth="1"/>
    <col min="6" max="6" width="10.7109375" style="2088" customWidth="1"/>
    <col min="7" max="7" width="10" style="2088" customWidth="1"/>
    <col min="8" max="8" width="8.5703125" style="2088" customWidth="1"/>
    <col min="9" max="9" width="8.7109375" style="2088" customWidth="1"/>
    <col min="10" max="10" width="8.42578125" style="2088" customWidth="1"/>
    <col min="11" max="11" width="13.42578125" style="2088" customWidth="1"/>
    <col min="12" max="12" width="10.42578125" style="2088" customWidth="1"/>
    <col min="13" max="13" width="9.140625" style="2088"/>
    <col min="14" max="14" width="14.5703125" style="2088" bestFit="1" customWidth="1"/>
    <col min="15" max="15" width="9.140625" style="2088"/>
    <col min="16" max="16" width="14.5703125" style="2088" bestFit="1" customWidth="1"/>
    <col min="17" max="256" width="9.140625" style="2088"/>
    <col min="257" max="257" width="11.28515625" style="2088" customWidth="1"/>
    <col min="258" max="259" width="9.140625" style="2088"/>
    <col min="260" max="260" width="9.85546875" style="2088" customWidth="1"/>
    <col min="261" max="262" width="9.140625" style="2088" customWidth="1"/>
    <col min="263" max="263" width="8.85546875" style="2088" customWidth="1"/>
    <col min="264" max="264" width="8.5703125" style="2088" customWidth="1"/>
    <col min="265" max="265" width="8" style="2088" customWidth="1"/>
    <col min="266" max="266" width="8.7109375" style="2088" customWidth="1"/>
    <col min="267" max="267" width="13.42578125" style="2088" customWidth="1"/>
    <col min="268" max="268" width="10.42578125" style="2088" customWidth="1"/>
    <col min="269" max="269" width="9.140625" style="2088"/>
    <col min="270" max="270" width="14.5703125" style="2088" bestFit="1" customWidth="1"/>
    <col min="271" max="271" width="9.140625" style="2088"/>
    <col min="272" max="272" width="14.5703125" style="2088" bestFit="1" customWidth="1"/>
    <col min="273" max="512" width="9.140625" style="2088"/>
    <col min="513" max="513" width="11.28515625" style="2088" customWidth="1"/>
    <col min="514" max="515" width="9.140625" style="2088"/>
    <col min="516" max="516" width="9.85546875" style="2088" customWidth="1"/>
    <col min="517" max="518" width="9.140625" style="2088" customWidth="1"/>
    <col min="519" max="519" width="8.85546875" style="2088" customWidth="1"/>
    <col min="520" max="520" width="8.5703125" style="2088" customWidth="1"/>
    <col min="521" max="521" width="8" style="2088" customWidth="1"/>
    <col min="522" max="522" width="8.7109375" style="2088" customWidth="1"/>
    <col min="523" max="523" width="13.42578125" style="2088" customWidth="1"/>
    <col min="524" max="524" width="10.42578125" style="2088" customWidth="1"/>
    <col min="525" max="525" width="9.140625" style="2088"/>
    <col min="526" max="526" width="14.5703125" style="2088" bestFit="1" customWidth="1"/>
    <col min="527" max="527" width="9.140625" style="2088"/>
    <col min="528" max="528" width="14.5703125" style="2088" bestFit="1" customWidth="1"/>
    <col min="529" max="768" width="9.140625" style="2088"/>
    <col min="769" max="769" width="11.28515625" style="2088" customWidth="1"/>
    <col min="770" max="771" width="9.140625" style="2088"/>
    <col min="772" max="772" width="9.85546875" style="2088" customWidth="1"/>
    <col min="773" max="774" width="9.140625" style="2088" customWidth="1"/>
    <col min="775" max="775" width="8.85546875" style="2088" customWidth="1"/>
    <col min="776" max="776" width="8.5703125" style="2088" customWidth="1"/>
    <col min="777" max="777" width="8" style="2088" customWidth="1"/>
    <col min="778" max="778" width="8.7109375" style="2088" customWidth="1"/>
    <col min="779" max="779" width="13.42578125" style="2088" customWidth="1"/>
    <col min="780" max="780" width="10.42578125" style="2088" customWidth="1"/>
    <col min="781" max="781" width="9.140625" style="2088"/>
    <col min="782" max="782" width="14.5703125" style="2088" bestFit="1" customWidth="1"/>
    <col min="783" max="783" width="9.140625" style="2088"/>
    <col min="784" max="784" width="14.5703125" style="2088" bestFit="1" customWidth="1"/>
    <col min="785" max="1024" width="9.140625" style="2088"/>
    <col min="1025" max="1025" width="11.28515625" style="2088" customWidth="1"/>
    <col min="1026" max="1027" width="9.140625" style="2088"/>
    <col min="1028" max="1028" width="9.85546875" style="2088" customWidth="1"/>
    <col min="1029" max="1030" width="9.140625" style="2088" customWidth="1"/>
    <col min="1031" max="1031" width="8.85546875" style="2088" customWidth="1"/>
    <col min="1032" max="1032" width="8.5703125" style="2088" customWidth="1"/>
    <col min="1033" max="1033" width="8" style="2088" customWidth="1"/>
    <col min="1034" max="1034" width="8.7109375" style="2088" customWidth="1"/>
    <col min="1035" max="1035" width="13.42578125" style="2088" customWidth="1"/>
    <col min="1036" max="1036" width="10.42578125" style="2088" customWidth="1"/>
    <col min="1037" max="1037" width="9.140625" style="2088"/>
    <col min="1038" max="1038" width="14.5703125" style="2088" bestFit="1" customWidth="1"/>
    <col min="1039" max="1039" width="9.140625" style="2088"/>
    <col min="1040" max="1040" width="14.5703125" style="2088" bestFit="1" customWidth="1"/>
    <col min="1041" max="1280" width="9.140625" style="2088"/>
    <col min="1281" max="1281" width="11.28515625" style="2088" customWidth="1"/>
    <col min="1282" max="1283" width="9.140625" style="2088"/>
    <col min="1284" max="1284" width="9.85546875" style="2088" customWidth="1"/>
    <col min="1285" max="1286" width="9.140625" style="2088" customWidth="1"/>
    <col min="1287" max="1287" width="8.85546875" style="2088" customWidth="1"/>
    <col min="1288" max="1288" width="8.5703125" style="2088" customWidth="1"/>
    <col min="1289" max="1289" width="8" style="2088" customWidth="1"/>
    <col min="1290" max="1290" width="8.7109375" style="2088" customWidth="1"/>
    <col min="1291" max="1291" width="13.42578125" style="2088" customWidth="1"/>
    <col min="1292" max="1292" width="10.42578125" style="2088" customWidth="1"/>
    <col min="1293" max="1293" width="9.140625" style="2088"/>
    <col min="1294" max="1294" width="14.5703125" style="2088" bestFit="1" customWidth="1"/>
    <col min="1295" max="1295" width="9.140625" style="2088"/>
    <col min="1296" max="1296" width="14.5703125" style="2088" bestFit="1" customWidth="1"/>
    <col min="1297" max="1536" width="9.140625" style="2088"/>
    <col min="1537" max="1537" width="11.28515625" style="2088" customWidth="1"/>
    <col min="1538" max="1539" width="9.140625" style="2088"/>
    <col min="1540" max="1540" width="9.85546875" style="2088" customWidth="1"/>
    <col min="1541" max="1542" width="9.140625" style="2088" customWidth="1"/>
    <col min="1543" max="1543" width="8.85546875" style="2088" customWidth="1"/>
    <col min="1544" max="1544" width="8.5703125" style="2088" customWidth="1"/>
    <col min="1545" max="1545" width="8" style="2088" customWidth="1"/>
    <col min="1546" max="1546" width="8.7109375" style="2088" customWidth="1"/>
    <col min="1547" max="1547" width="13.42578125" style="2088" customWidth="1"/>
    <col min="1548" max="1548" width="10.42578125" style="2088" customWidth="1"/>
    <col min="1549" max="1549" width="9.140625" style="2088"/>
    <col min="1550" max="1550" width="14.5703125" style="2088" bestFit="1" customWidth="1"/>
    <col min="1551" max="1551" width="9.140625" style="2088"/>
    <col min="1552" max="1552" width="14.5703125" style="2088" bestFit="1" customWidth="1"/>
    <col min="1553" max="1792" width="9.140625" style="2088"/>
    <col min="1793" max="1793" width="11.28515625" style="2088" customWidth="1"/>
    <col min="1794" max="1795" width="9.140625" style="2088"/>
    <col min="1796" max="1796" width="9.85546875" style="2088" customWidth="1"/>
    <col min="1797" max="1798" width="9.140625" style="2088" customWidth="1"/>
    <col min="1799" max="1799" width="8.85546875" style="2088" customWidth="1"/>
    <col min="1800" max="1800" width="8.5703125" style="2088" customWidth="1"/>
    <col min="1801" max="1801" width="8" style="2088" customWidth="1"/>
    <col min="1802" max="1802" width="8.7109375" style="2088" customWidth="1"/>
    <col min="1803" max="1803" width="13.42578125" style="2088" customWidth="1"/>
    <col min="1804" max="1804" width="10.42578125" style="2088" customWidth="1"/>
    <col min="1805" max="1805" width="9.140625" style="2088"/>
    <col min="1806" max="1806" width="14.5703125" style="2088" bestFit="1" customWidth="1"/>
    <col min="1807" max="1807" width="9.140625" style="2088"/>
    <col min="1808" max="1808" width="14.5703125" style="2088" bestFit="1" customWidth="1"/>
    <col min="1809" max="2048" width="9.140625" style="2088"/>
    <col min="2049" max="2049" width="11.28515625" style="2088" customWidth="1"/>
    <col min="2050" max="2051" width="9.140625" style="2088"/>
    <col min="2052" max="2052" width="9.85546875" style="2088" customWidth="1"/>
    <col min="2053" max="2054" width="9.140625" style="2088" customWidth="1"/>
    <col min="2055" max="2055" width="8.85546875" style="2088" customWidth="1"/>
    <col min="2056" max="2056" width="8.5703125" style="2088" customWidth="1"/>
    <col min="2057" max="2057" width="8" style="2088" customWidth="1"/>
    <col min="2058" max="2058" width="8.7109375" style="2088" customWidth="1"/>
    <col min="2059" max="2059" width="13.42578125" style="2088" customWidth="1"/>
    <col min="2060" max="2060" width="10.42578125" style="2088" customWidth="1"/>
    <col min="2061" max="2061" width="9.140625" style="2088"/>
    <col min="2062" max="2062" width="14.5703125" style="2088" bestFit="1" customWidth="1"/>
    <col min="2063" max="2063" width="9.140625" style="2088"/>
    <col min="2064" max="2064" width="14.5703125" style="2088" bestFit="1" customWidth="1"/>
    <col min="2065" max="2304" width="9.140625" style="2088"/>
    <col min="2305" max="2305" width="11.28515625" style="2088" customWidth="1"/>
    <col min="2306" max="2307" width="9.140625" style="2088"/>
    <col min="2308" max="2308" width="9.85546875" style="2088" customWidth="1"/>
    <col min="2309" max="2310" width="9.140625" style="2088" customWidth="1"/>
    <col min="2311" max="2311" width="8.85546875" style="2088" customWidth="1"/>
    <col min="2312" max="2312" width="8.5703125" style="2088" customWidth="1"/>
    <col min="2313" max="2313" width="8" style="2088" customWidth="1"/>
    <col min="2314" max="2314" width="8.7109375" style="2088" customWidth="1"/>
    <col min="2315" max="2315" width="13.42578125" style="2088" customWidth="1"/>
    <col min="2316" max="2316" width="10.42578125" style="2088" customWidth="1"/>
    <col min="2317" max="2317" width="9.140625" style="2088"/>
    <col min="2318" max="2318" width="14.5703125" style="2088" bestFit="1" customWidth="1"/>
    <col min="2319" max="2319" width="9.140625" style="2088"/>
    <col min="2320" max="2320" width="14.5703125" style="2088" bestFit="1" customWidth="1"/>
    <col min="2321" max="2560" width="9.140625" style="2088"/>
    <col min="2561" max="2561" width="11.28515625" style="2088" customWidth="1"/>
    <col min="2562" max="2563" width="9.140625" style="2088"/>
    <col min="2564" max="2564" width="9.85546875" style="2088" customWidth="1"/>
    <col min="2565" max="2566" width="9.140625" style="2088" customWidth="1"/>
    <col min="2567" max="2567" width="8.85546875" style="2088" customWidth="1"/>
    <col min="2568" max="2568" width="8.5703125" style="2088" customWidth="1"/>
    <col min="2569" max="2569" width="8" style="2088" customWidth="1"/>
    <col min="2570" max="2570" width="8.7109375" style="2088" customWidth="1"/>
    <col min="2571" max="2571" width="13.42578125" style="2088" customWidth="1"/>
    <col min="2572" max="2572" width="10.42578125" style="2088" customWidth="1"/>
    <col min="2573" max="2573" width="9.140625" style="2088"/>
    <col min="2574" max="2574" width="14.5703125" style="2088" bestFit="1" customWidth="1"/>
    <col min="2575" max="2575" width="9.140625" style="2088"/>
    <col min="2576" max="2576" width="14.5703125" style="2088" bestFit="1" customWidth="1"/>
    <col min="2577" max="2816" width="9.140625" style="2088"/>
    <col min="2817" max="2817" width="11.28515625" style="2088" customWidth="1"/>
    <col min="2818" max="2819" width="9.140625" style="2088"/>
    <col min="2820" max="2820" width="9.85546875" style="2088" customWidth="1"/>
    <col min="2821" max="2822" width="9.140625" style="2088" customWidth="1"/>
    <col min="2823" max="2823" width="8.85546875" style="2088" customWidth="1"/>
    <col min="2824" max="2824" width="8.5703125" style="2088" customWidth="1"/>
    <col min="2825" max="2825" width="8" style="2088" customWidth="1"/>
    <col min="2826" max="2826" width="8.7109375" style="2088" customWidth="1"/>
    <col min="2827" max="2827" width="13.42578125" style="2088" customWidth="1"/>
    <col min="2828" max="2828" width="10.42578125" style="2088" customWidth="1"/>
    <col min="2829" max="2829" width="9.140625" style="2088"/>
    <col min="2830" max="2830" width="14.5703125" style="2088" bestFit="1" customWidth="1"/>
    <col min="2831" max="2831" width="9.140625" style="2088"/>
    <col min="2832" max="2832" width="14.5703125" style="2088" bestFit="1" customWidth="1"/>
    <col min="2833" max="3072" width="9.140625" style="2088"/>
    <col min="3073" max="3073" width="11.28515625" style="2088" customWidth="1"/>
    <col min="3074" max="3075" width="9.140625" style="2088"/>
    <col min="3076" max="3076" width="9.85546875" style="2088" customWidth="1"/>
    <col min="3077" max="3078" width="9.140625" style="2088" customWidth="1"/>
    <col min="3079" max="3079" width="8.85546875" style="2088" customWidth="1"/>
    <col min="3080" max="3080" width="8.5703125" style="2088" customWidth="1"/>
    <col min="3081" max="3081" width="8" style="2088" customWidth="1"/>
    <col min="3082" max="3082" width="8.7109375" style="2088" customWidth="1"/>
    <col min="3083" max="3083" width="13.42578125" style="2088" customWidth="1"/>
    <col min="3084" max="3084" width="10.42578125" style="2088" customWidth="1"/>
    <col min="3085" max="3085" width="9.140625" style="2088"/>
    <col min="3086" max="3086" width="14.5703125" style="2088" bestFit="1" customWidth="1"/>
    <col min="3087" max="3087" width="9.140625" style="2088"/>
    <col min="3088" max="3088" width="14.5703125" style="2088" bestFit="1" customWidth="1"/>
    <col min="3089" max="3328" width="9.140625" style="2088"/>
    <col min="3329" max="3329" width="11.28515625" style="2088" customWidth="1"/>
    <col min="3330" max="3331" width="9.140625" style="2088"/>
    <col min="3332" max="3332" width="9.85546875" style="2088" customWidth="1"/>
    <col min="3333" max="3334" width="9.140625" style="2088" customWidth="1"/>
    <col min="3335" max="3335" width="8.85546875" style="2088" customWidth="1"/>
    <col min="3336" max="3336" width="8.5703125" style="2088" customWidth="1"/>
    <col min="3337" max="3337" width="8" style="2088" customWidth="1"/>
    <col min="3338" max="3338" width="8.7109375" style="2088" customWidth="1"/>
    <col min="3339" max="3339" width="13.42578125" style="2088" customWidth="1"/>
    <col min="3340" max="3340" width="10.42578125" style="2088" customWidth="1"/>
    <col min="3341" max="3341" width="9.140625" style="2088"/>
    <col min="3342" max="3342" width="14.5703125" style="2088" bestFit="1" customWidth="1"/>
    <col min="3343" max="3343" width="9.140625" style="2088"/>
    <col min="3344" max="3344" width="14.5703125" style="2088" bestFit="1" customWidth="1"/>
    <col min="3345" max="3584" width="9.140625" style="2088"/>
    <col min="3585" max="3585" width="11.28515625" style="2088" customWidth="1"/>
    <col min="3586" max="3587" width="9.140625" style="2088"/>
    <col min="3588" max="3588" width="9.85546875" style="2088" customWidth="1"/>
    <col min="3589" max="3590" width="9.140625" style="2088" customWidth="1"/>
    <col min="3591" max="3591" width="8.85546875" style="2088" customWidth="1"/>
    <col min="3592" max="3592" width="8.5703125" style="2088" customWidth="1"/>
    <col min="3593" max="3593" width="8" style="2088" customWidth="1"/>
    <col min="3594" max="3594" width="8.7109375" style="2088" customWidth="1"/>
    <col min="3595" max="3595" width="13.42578125" style="2088" customWidth="1"/>
    <col min="3596" max="3596" width="10.42578125" style="2088" customWidth="1"/>
    <col min="3597" max="3597" width="9.140625" style="2088"/>
    <col min="3598" max="3598" width="14.5703125" style="2088" bestFit="1" customWidth="1"/>
    <col min="3599" max="3599" width="9.140625" style="2088"/>
    <col min="3600" max="3600" width="14.5703125" style="2088" bestFit="1" customWidth="1"/>
    <col min="3601" max="3840" width="9.140625" style="2088"/>
    <col min="3841" max="3841" width="11.28515625" style="2088" customWidth="1"/>
    <col min="3842" max="3843" width="9.140625" style="2088"/>
    <col min="3844" max="3844" width="9.85546875" style="2088" customWidth="1"/>
    <col min="3845" max="3846" width="9.140625" style="2088" customWidth="1"/>
    <col min="3847" max="3847" width="8.85546875" style="2088" customWidth="1"/>
    <col min="3848" max="3848" width="8.5703125" style="2088" customWidth="1"/>
    <col min="3849" max="3849" width="8" style="2088" customWidth="1"/>
    <col min="3850" max="3850" width="8.7109375" style="2088" customWidth="1"/>
    <col min="3851" max="3851" width="13.42578125" style="2088" customWidth="1"/>
    <col min="3852" max="3852" width="10.42578125" style="2088" customWidth="1"/>
    <col min="3853" max="3853" width="9.140625" style="2088"/>
    <col min="3854" max="3854" width="14.5703125" style="2088" bestFit="1" customWidth="1"/>
    <col min="3855" max="3855" width="9.140625" style="2088"/>
    <col min="3856" max="3856" width="14.5703125" style="2088" bestFit="1" customWidth="1"/>
    <col min="3857" max="4096" width="9.140625" style="2088"/>
    <col min="4097" max="4097" width="11.28515625" style="2088" customWidth="1"/>
    <col min="4098" max="4099" width="9.140625" style="2088"/>
    <col min="4100" max="4100" width="9.85546875" style="2088" customWidth="1"/>
    <col min="4101" max="4102" width="9.140625" style="2088" customWidth="1"/>
    <col min="4103" max="4103" width="8.85546875" style="2088" customWidth="1"/>
    <col min="4104" max="4104" width="8.5703125" style="2088" customWidth="1"/>
    <col min="4105" max="4105" width="8" style="2088" customWidth="1"/>
    <col min="4106" max="4106" width="8.7109375" style="2088" customWidth="1"/>
    <col min="4107" max="4107" width="13.42578125" style="2088" customWidth="1"/>
    <col min="4108" max="4108" width="10.42578125" style="2088" customWidth="1"/>
    <col min="4109" max="4109" width="9.140625" style="2088"/>
    <col min="4110" max="4110" width="14.5703125" style="2088" bestFit="1" customWidth="1"/>
    <col min="4111" max="4111" width="9.140625" style="2088"/>
    <col min="4112" max="4112" width="14.5703125" style="2088" bestFit="1" customWidth="1"/>
    <col min="4113" max="4352" width="9.140625" style="2088"/>
    <col min="4353" max="4353" width="11.28515625" style="2088" customWidth="1"/>
    <col min="4354" max="4355" width="9.140625" style="2088"/>
    <col min="4356" max="4356" width="9.85546875" style="2088" customWidth="1"/>
    <col min="4357" max="4358" width="9.140625" style="2088" customWidth="1"/>
    <col min="4359" max="4359" width="8.85546875" style="2088" customWidth="1"/>
    <col min="4360" max="4360" width="8.5703125" style="2088" customWidth="1"/>
    <col min="4361" max="4361" width="8" style="2088" customWidth="1"/>
    <col min="4362" max="4362" width="8.7109375" style="2088" customWidth="1"/>
    <col min="4363" max="4363" width="13.42578125" style="2088" customWidth="1"/>
    <col min="4364" max="4364" width="10.42578125" style="2088" customWidth="1"/>
    <col min="4365" max="4365" width="9.140625" style="2088"/>
    <col min="4366" max="4366" width="14.5703125" style="2088" bestFit="1" customWidth="1"/>
    <col min="4367" max="4367" width="9.140625" style="2088"/>
    <col min="4368" max="4368" width="14.5703125" style="2088" bestFit="1" customWidth="1"/>
    <col min="4369" max="4608" width="9.140625" style="2088"/>
    <col min="4609" max="4609" width="11.28515625" style="2088" customWidth="1"/>
    <col min="4610" max="4611" width="9.140625" style="2088"/>
    <col min="4612" max="4612" width="9.85546875" style="2088" customWidth="1"/>
    <col min="4613" max="4614" width="9.140625" style="2088" customWidth="1"/>
    <col min="4615" max="4615" width="8.85546875" style="2088" customWidth="1"/>
    <col min="4616" max="4616" width="8.5703125" style="2088" customWidth="1"/>
    <col min="4617" max="4617" width="8" style="2088" customWidth="1"/>
    <col min="4618" max="4618" width="8.7109375" style="2088" customWidth="1"/>
    <col min="4619" max="4619" width="13.42578125" style="2088" customWidth="1"/>
    <col min="4620" max="4620" width="10.42578125" style="2088" customWidth="1"/>
    <col min="4621" max="4621" width="9.140625" style="2088"/>
    <col min="4622" max="4622" width="14.5703125" style="2088" bestFit="1" customWidth="1"/>
    <col min="4623" max="4623" width="9.140625" style="2088"/>
    <col min="4624" max="4624" width="14.5703125" style="2088" bestFit="1" customWidth="1"/>
    <col min="4625" max="4864" width="9.140625" style="2088"/>
    <col min="4865" max="4865" width="11.28515625" style="2088" customWidth="1"/>
    <col min="4866" max="4867" width="9.140625" style="2088"/>
    <col min="4868" max="4868" width="9.85546875" style="2088" customWidth="1"/>
    <col min="4869" max="4870" width="9.140625" style="2088" customWidth="1"/>
    <col min="4871" max="4871" width="8.85546875" style="2088" customWidth="1"/>
    <col min="4872" max="4872" width="8.5703125" style="2088" customWidth="1"/>
    <col min="4873" max="4873" width="8" style="2088" customWidth="1"/>
    <col min="4874" max="4874" width="8.7109375" style="2088" customWidth="1"/>
    <col min="4875" max="4875" width="13.42578125" style="2088" customWidth="1"/>
    <col min="4876" max="4876" width="10.42578125" style="2088" customWidth="1"/>
    <col min="4877" max="4877" width="9.140625" style="2088"/>
    <col min="4878" max="4878" width="14.5703125" style="2088" bestFit="1" customWidth="1"/>
    <col min="4879" max="4879" width="9.140625" style="2088"/>
    <col min="4880" max="4880" width="14.5703125" style="2088" bestFit="1" customWidth="1"/>
    <col min="4881" max="5120" width="9.140625" style="2088"/>
    <col min="5121" max="5121" width="11.28515625" style="2088" customWidth="1"/>
    <col min="5122" max="5123" width="9.140625" style="2088"/>
    <col min="5124" max="5124" width="9.85546875" style="2088" customWidth="1"/>
    <col min="5125" max="5126" width="9.140625" style="2088" customWidth="1"/>
    <col min="5127" max="5127" width="8.85546875" style="2088" customWidth="1"/>
    <col min="5128" max="5128" width="8.5703125" style="2088" customWidth="1"/>
    <col min="5129" max="5129" width="8" style="2088" customWidth="1"/>
    <col min="5130" max="5130" width="8.7109375" style="2088" customWidth="1"/>
    <col min="5131" max="5131" width="13.42578125" style="2088" customWidth="1"/>
    <col min="5132" max="5132" width="10.42578125" style="2088" customWidth="1"/>
    <col min="5133" max="5133" width="9.140625" style="2088"/>
    <col min="5134" max="5134" width="14.5703125" style="2088" bestFit="1" customWidth="1"/>
    <col min="5135" max="5135" width="9.140625" style="2088"/>
    <col min="5136" max="5136" width="14.5703125" style="2088" bestFit="1" customWidth="1"/>
    <col min="5137" max="5376" width="9.140625" style="2088"/>
    <col min="5377" max="5377" width="11.28515625" style="2088" customWidth="1"/>
    <col min="5378" max="5379" width="9.140625" style="2088"/>
    <col min="5380" max="5380" width="9.85546875" style="2088" customWidth="1"/>
    <col min="5381" max="5382" width="9.140625" style="2088" customWidth="1"/>
    <col min="5383" max="5383" width="8.85546875" style="2088" customWidth="1"/>
    <col min="5384" max="5384" width="8.5703125" style="2088" customWidth="1"/>
    <col min="5385" max="5385" width="8" style="2088" customWidth="1"/>
    <col min="5386" max="5386" width="8.7109375" style="2088" customWidth="1"/>
    <col min="5387" max="5387" width="13.42578125" style="2088" customWidth="1"/>
    <col min="5388" max="5388" width="10.42578125" style="2088" customWidth="1"/>
    <col min="5389" max="5389" width="9.140625" style="2088"/>
    <col min="5390" max="5390" width="14.5703125" style="2088" bestFit="1" customWidth="1"/>
    <col min="5391" max="5391" width="9.140625" style="2088"/>
    <col min="5392" max="5392" width="14.5703125" style="2088" bestFit="1" customWidth="1"/>
    <col min="5393" max="5632" width="9.140625" style="2088"/>
    <col min="5633" max="5633" width="11.28515625" style="2088" customWidth="1"/>
    <col min="5634" max="5635" width="9.140625" style="2088"/>
    <col min="5636" max="5636" width="9.85546875" style="2088" customWidth="1"/>
    <col min="5637" max="5638" width="9.140625" style="2088" customWidth="1"/>
    <col min="5639" max="5639" width="8.85546875" style="2088" customWidth="1"/>
    <col min="5640" max="5640" width="8.5703125" style="2088" customWidth="1"/>
    <col min="5641" max="5641" width="8" style="2088" customWidth="1"/>
    <col min="5642" max="5642" width="8.7109375" style="2088" customWidth="1"/>
    <col min="5643" max="5643" width="13.42578125" style="2088" customWidth="1"/>
    <col min="5644" max="5644" width="10.42578125" style="2088" customWidth="1"/>
    <col min="5645" max="5645" width="9.140625" style="2088"/>
    <col min="5646" max="5646" width="14.5703125" style="2088" bestFit="1" customWidth="1"/>
    <col min="5647" max="5647" width="9.140625" style="2088"/>
    <col min="5648" max="5648" width="14.5703125" style="2088" bestFit="1" customWidth="1"/>
    <col min="5649" max="5888" width="9.140625" style="2088"/>
    <col min="5889" max="5889" width="11.28515625" style="2088" customWidth="1"/>
    <col min="5890" max="5891" width="9.140625" style="2088"/>
    <col min="5892" max="5892" width="9.85546875" style="2088" customWidth="1"/>
    <col min="5893" max="5894" width="9.140625" style="2088" customWidth="1"/>
    <col min="5895" max="5895" width="8.85546875" style="2088" customWidth="1"/>
    <col min="5896" max="5896" width="8.5703125" style="2088" customWidth="1"/>
    <col min="5897" max="5897" width="8" style="2088" customWidth="1"/>
    <col min="5898" max="5898" width="8.7109375" style="2088" customWidth="1"/>
    <col min="5899" max="5899" width="13.42578125" style="2088" customWidth="1"/>
    <col min="5900" max="5900" width="10.42578125" style="2088" customWidth="1"/>
    <col min="5901" max="5901" width="9.140625" style="2088"/>
    <col min="5902" max="5902" width="14.5703125" style="2088" bestFit="1" customWidth="1"/>
    <col min="5903" max="5903" width="9.140625" style="2088"/>
    <col min="5904" max="5904" width="14.5703125" style="2088" bestFit="1" customWidth="1"/>
    <col min="5905" max="6144" width="9.140625" style="2088"/>
    <col min="6145" max="6145" width="11.28515625" style="2088" customWidth="1"/>
    <col min="6146" max="6147" width="9.140625" style="2088"/>
    <col min="6148" max="6148" width="9.85546875" style="2088" customWidth="1"/>
    <col min="6149" max="6150" width="9.140625" style="2088" customWidth="1"/>
    <col min="6151" max="6151" width="8.85546875" style="2088" customWidth="1"/>
    <col min="6152" max="6152" width="8.5703125" style="2088" customWidth="1"/>
    <col min="6153" max="6153" width="8" style="2088" customWidth="1"/>
    <col min="6154" max="6154" width="8.7109375" style="2088" customWidth="1"/>
    <col min="6155" max="6155" width="13.42578125" style="2088" customWidth="1"/>
    <col min="6156" max="6156" width="10.42578125" style="2088" customWidth="1"/>
    <col min="6157" max="6157" width="9.140625" style="2088"/>
    <col min="6158" max="6158" width="14.5703125" style="2088" bestFit="1" customWidth="1"/>
    <col min="6159" max="6159" width="9.140625" style="2088"/>
    <col min="6160" max="6160" width="14.5703125" style="2088" bestFit="1" customWidth="1"/>
    <col min="6161" max="6400" width="9.140625" style="2088"/>
    <col min="6401" max="6401" width="11.28515625" style="2088" customWidth="1"/>
    <col min="6402" max="6403" width="9.140625" style="2088"/>
    <col min="6404" max="6404" width="9.85546875" style="2088" customWidth="1"/>
    <col min="6405" max="6406" width="9.140625" style="2088" customWidth="1"/>
    <col min="6407" max="6407" width="8.85546875" style="2088" customWidth="1"/>
    <col min="6408" max="6408" width="8.5703125" style="2088" customWidth="1"/>
    <col min="6409" max="6409" width="8" style="2088" customWidth="1"/>
    <col min="6410" max="6410" width="8.7109375" style="2088" customWidth="1"/>
    <col min="6411" max="6411" width="13.42578125" style="2088" customWidth="1"/>
    <col min="6412" max="6412" width="10.42578125" style="2088" customWidth="1"/>
    <col min="6413" max="6413" width="9.140625" style="2088"/>
    <col min="6414" max="6414" width="14.5703125" style="2088" bestFit="1" customWidth="1"/>
    <col min="6415" max="6415" width="9.140625" style="2088"/>
    <col min="6416" max="6416" width="14.5703125" style="2088" bestFit="1" customWidth="1"/>
    <col min="6417" max="6656" width="9.140625" style="2088"/>
    <col min="6657" max="6657" width="11.28515625" style="2088" customWidth="1"/>
    <col min="6658" max="6659" width="9.140625" style="2088"/>
    <col min="6660" max="6660" width="9.85546875" style="2088" customWidth="1"/>
    <col min="6661" max="6662" width="9.140625" style="2088" customWidth="1"/>
    <col min="6663" max="6663" width="8.85546875" style="2088" customWidth="1"/>
    <col min="6664" max="6664" width="8.5703125" style="2088" customWidth="1"/>
    <col min="6665" max="6665" width="8" style="2088" customWidth="1"/>
    <col min="6666" max="6666" width="8.7109375" style="2088" customWidth="1"/>
    <col min="6667" max="6667" width="13.42578125" style="2088" customWidth="1"/>
    <col min="6668" max="6668" width="10.42578125" style="2088" customWidth="1"/>
    <col min="6669" max="6669" width="9.140625" style="2088"/>
    <col min="6670" max="6670" width="14.5703125" style="2088" bestFit="1" customWidth="1"/>
    <col min="6671" max="6671" width="9.140625" style="2088"/>
    <col min="6672" max="6672" width="14.5703125" style="2088" bestFit="1" customWidth="1"/>
    <col min="6673" max="6912" width="9.140625" style="2088"/>
    <col min="6913" max="6913" width="11.28515625" style="2088" customWidth="1"/>
    <col min="6914" max="6915" width="9.140625" style="2088"/>
    <col min="6916" max="6916" width="9.85546875" style="2088" customWidth="1"/>
    <col min="6917" max="6918" width="9.140625" style="2088" customWidth="1"/>
    <col min="6919" max="6919" width="8.85546875" style="2088" customWidth="1"/>
    <col min="6920" max="6920" width="8.5703125" style="2088" customWidth="1"/>
    <col min="6921" max="6921" width="8" style="2088" customWidth="1"/>
    <col min="6922" max="6922" width="8.7109375" style="2088" customWidth="1"/>
    <col min="6923" max="6923" width="13.42578125" style="2088" customWidth="1"/>
    <col min="6924" max="6924" width="10.42578125" style="2088" customWidth="1"/>
    <col min="6925" max="6925" width="9.140625" style="2088"/>
    <col min="6926" max="6926" width="14.5703125" style="2088" bestFit="1" customWidth="1"/>
    <col min="6927" max="6927" width="9.140625" style="2088"/>
    <col min="6928" max="6928" width="14.5703125" style="2088" bestFit="1" customWidth="1"/>
    <col min="6929" max="7168" width="9.140625" style="2088"/>
    <col min="7169" max="7169" width="11.28515625" style="2088" customWidth="1"/>
    <col min="7170" max="7171" width="9.140625" style="2088"/>
    <col min="7172" max="7172" width="9.85546875" style="2088" customWidth="1"/>
    <col min="7173" max="7174" width="9.140625" style="2088" customWidth="1"/>
    <col min="7175" max="7175" width="8.85546875" style="2088" customWidth="1"/>
    <col min="7176" max="7176" width="8.5703125" style="2088" customWidth="1"/>
    <col min="7177" max="7177" width="8" style="2088" customWidth="1"/>
    <col min="7178" max="7178" width="8.7109375" style="2088" customWidth="1"/>
    <col min="7179" max="7179" width="13.42578125" style="2088" customWidth="1"/>
    <col min="7180" max="7180" width="10.42578125" style="2088" customWidth="1"/>
    <col min="7181" max="7181" width="9.140625" style="2088"/>
    <col min="7182" max="7182" width="14.5703125" style="2088" bestFit="1" customWidth="1"/>
    <col min="7183" max="7183" width="9.140625" style="2088"/>
    <col min="7184" max="7184" width="14.5703125" style="2088" bestFit="1" customWidth="1"/>
    <col min="7185" max="7424" width="9.140625" style="2088"/>
    <col min="7425" max="7425" width="11.28515625" style="2088" customWidth="1"/>
    <col min="7426" max="7427" width="9.140625" style="2088"/>
    <col min="7428" max="7428" width="9.85546875" style="2088" customWidth="1"/>
    <col min="7429" max="7430" width="9.140625" style="2088" customWidth="1"/>
    <col min="7431" max="7431" width="8.85546875" style="2088" customWidth="1"/>
    <col min="7432" max="7432" width="8.5703125" style="2088" customWidth="1"/>
    <col min="7433" max="7433" width="8" style="2088" customWidth="1"/>
    <col min="7434" max="7434" width="8.7109375" style="2088" customWidth="1"/>
    <col min="7435" max="7435" width="13.42578125" style="2088" customWidth="1"/>
    <col min="7436" max="7436" width="10.42578125" style="2088" customWidth="1"/>
    <col min="7437" max="7437" width="9.140625" style="2088"/>
    <col min="7438" max="7438" width="14.5703125" style="2088" bestFit="1" customWidth="1"/>
    <col min="7439" max="7439" width="9.140625" style="2088"/>
    <col min="7440" max="7440" width="14.5703125" style="2088" bestFit="1" customWidth="1"/>
    <col min="7441" max="7680" width="9.140625" style="2088"/>
    <col min="7681" max="7681" width="11.28515625" style="2088" customWidth="1"/>
    <col min="7682" max="7683" width="9.140625" style="2088"/>
    <col min="7684" max="7684" width="9.85546875" style="2088" customWidth="1"/>
    <col min="7685" max="7686" width="9.140625" style="2088" customWidth="1"/>
    <col min="7687" max="7687" width="8.85546875" style="2088" customWidth="1"/>
    <col min="7688" max="7688" width="8.5703125" style="2088" customWidth="1"/>
    <col min="7689" max="7689" width="8" style="2088" customWidth="1"/>
    <col min="7690" max="7690" width="8.7109375" style="2088" customWidth="1"/>
    <col min="7691" max="7691" width="13.42578125" style="2088" customWidth="1"/>
    <col min="7692" max="7692" width="10.42578125" style="2088" customWidth="1"/>
    <col min="7693" max="7693" width="9.140625" style="2088"/>
    <col min="7694" max="7694" width="14.5703125" style="2088" bestFit="1" customWidth="1"/>
    <col min="7695" max="7695" width="9.140625" style="2088"/>
    <col min="7696" max="7696" width="14.5703125" style="2088" bestFit="1" customWidth="1"/>
    <col min="7697" max="7936" width="9.140625" style="2088"/>
    <col min="7937" max="7937" width="11.28515625" style="2088" customWidth="1"/>
    <col min="7938" max="7939" width="9.140625" style="2088"/>
    <col min="7940" max="7940" width="9.85546875" style="2088" customWidth="1"/>
    <col min="7941" max="7942" width="9.140625" style="2088" customWidth="1"/>
    <col min="7943" max="7943" width="8.85546875" style="2088" customWidth="1"/>
    <col min="7944" max="7944" width="8.5703125" style="2088" customWidth="1"/>
    <col min="7945" max="7945" width="8" style="2088" customWidth="1"/>
    <col min="7946" max="7946" width="8.7109375" style="2088" customWidth="1"/>
    <col min="7947" max="7947" width="13.42578125" style="2088" customWidth="1"/>
    <col min="7948" max="7948" width="10.42578125" style="2088" customWidth="1"/>
    <col min="7949" max="7949" width="9.140625" style="2088"/>
    <col min="7950" max="7950" width="14.5703125" style="2088" bestFit="1" customWidth="1"/>
    <col min="7951" max="7951" width="9.140625" style="2088"/>
    <col min="7952" max="7952" width="14.5703125" style="2088" bestFit="1" customWidth="1"/>
    <col min="7953" max="8192" width="9.140625" style="2088"/>
    <col min="8193" max="8193" width="11.28515625" style="2088" customWidth="1"/>
    <col min="8194" max="8195" width="9.140625" style="2088"/>
    <col min="8196" max="8196" width="9.85546875" style="2088" customWidth="1"/>
    <col min="8197" max="8198" width="9.140625" style="2088" customWidth="1"/>
    <col min="8199" max="8199" width="8.85546875" style="2088" customWidth="1"/>
    <col min="8200" max="8200" width="8.5703125" style="2088" customWidth="1"/>
    <col min="8201" max="8201" width="8" style="2088" customWidth="1"/>
    <col min="8202" max="8202" width="8.7109375" style="2088" customWidth="1"/>
    <col min="8203" max="8203" width="13.42578125" style="2088" customWidth="1"/>
    <col min="8204" max="8204" width="10.42578125" style="2088" customWidth="1"/>
    <col min="8205" max="8205" width="9.140625" style="2088"/>
    <col min="8206" max="8206" width="14.5703125" style="2088" bestFit="1" customWidth="1"/>
    <col min="8207" max="8207" width="9.140625" style="2088"/>
    <col min="8208" max="8208" width="14.5703125" style="2088" bestFit="1" customWidth="1"/>
    <col min="8209" max="8448" width="9.140625" style="2088"/>
    <col min="8449" max="8449" width="11.28515625" style="2088" customWidth="1"/>
    <col min="8450" max="8451" width="9.140625" style="2088"/>
    <col min="8452" max="8452" width="9.85546875" style="2088" customWidth="1"/>
    <col min="8453" max="8454" width="9.140625" style="2088" customWidth="1"/>
    <col min="8455" max="8455" width="8.85546875" style="2088" customWidth="1"/>
    <col min="8456" max="8456" width="8.5703125" style="2088" customWidth="1"/>
    <col min="8457" max="8457" width="8" style="2088" customWidth="1"/>
    <col min="8458" max="8458" width="8.7109375" style="2088" customWidth="1"/>
    <col min="8459" max="8459" width="13.42578125" style="2088" customWidth="1"/>
    <col min="8460" max="8460" width="10.42578125" style="2088" customWidth="1"/>
    <col min="8461" max="8461" width="9.140625" style="2088"/>
    <col min="8462" max="8462" width="14.5703125" style="2088" bestFit="1" customWidth="1"/>
    <col min="8463" max="8463" width="9.140625" style="2088"/>
    <col min="8464" max="8464" width="14.5703125" style="2088" bestFit="1" customWidth="1"/>
    <col min="8465" max="8704" width="9.140625" style="2088"/>
    <col min="8705" max="8705" width="11.28515625" style="2088" customWidth="1"/>
    <col min="8706" max="8707" width="9.140625" style="2088"/>
    <col min="8708" max="8708" width="9.85546875" style="2088" customWidth="1"/>
    <col min="8709" max="8710" width="9.140625" style="2088" customWidth="1"/>
    <col min="8711" max="8711" width="8.85546875" style="2088" customWidth="1"/>
    <col min="8712" max="8712" width="8.5703125" style="2088" customWidth="1"/>
    <col min="8713" max="8713" width="8" style="2088" customWidth="1"/>
    <col min="8714" max="8714" width="8.7109375" style="2088" customWidth="1"/>
    <col min="8715" max="8715" width="13.42578125" style="2088" customWidth="1"/>
    <col min="8716" max="8716" width="10.42578125" style="2088" customWidth="1"/>
    <col min="8717" max="8717" width="9.140625" style="2088"/>
    <col min="8718" max="8718" width="14.5703125" style="2088" bestFit="1" customWidth="1"/>
    <col min="8719" max="8719" width="9.140625" style="2088"/>
    <col min="8720" max="8720" width="14.5703125" style="2088" bestFit="1" customWidth="1"/>
    <col min="8721" max="8960" width="9.140625" style="2088"/>
    <col min="8961" max="8961" width="11.28515625" style="2088" customWidth="1"/>
    <col min="8962" max="8963" width="9.140625" style="2088"/>
    <col min="8964" max="8964" width="9.85546875" style="2088" customWidth="1"/>
    <col min="8965" max="8966" width="9.140625" style="2088" customWidth="1"/>
    <col min="8967" max="8967" width="8.85546875" style="2088" customWidth="1"/>
    <col min="8968" max="8968" width="8.5703125" style="2088" customWidth="1"/>
    <col min="8969" max="8969" width="8" style="2088" customWidth="1"/>
    <col min="8970" max="8970" width="8.7109375" style="2088" customWidth="1"/>
    <col min="8971" max="8971" width="13.42578125" style="2088" customWidth="1"/>
    <col min="8972" max="8972" width="10.42578125" style="2088" customWidth="1"/>
    <col min="8973" max="8973" width="9.140625" style="2088"/>
    <col min="8974" max="8974" width="14.5703125" style="2088" bestFit="1" customWidth="1"/>
    <col min="8975" max="8975" width="9.140625" style="2088"/>
    <col min="8976" max="8976" width="14.5703125" style="2088" bestFit="1" customWidth="1"/>
    <col min="8977" max="9216" width="9.140625" style="2088"/>
    <col min="9217" max="9217" width="11.28515625" style="2088" customWidth="1"/>
    <col min="9218" max="9219" width="9.140625" style="2088"/>
    <col min="9220" max="9220" width="9.85546875" style="2088" customWidth="1"/>
    <col min="9221" max="9222" width="9.140625" style="2088" customWidth="1"/>
    <col min="9223" max="9223" width="8.85546875" style="2088" customWidth="1"/>
    <col min="9224" max="9224" width="8.5703125" style="2088" customWidth="1"/>
    <col min="9225" max="9225" width="8" style="2088" customWidth="1"/>
    <col min="9226" max="9226" width="8.7109375" style="2088" customWidth="1"/>
    <col min="9227" max="9227" width="13.42578125" style="2088" customWidth="1"/>
    <col min="9228" max="9228" width="10.42578125" style="2088" customWidth="1"/>
    <col min="9229" max="9229" width="9.140625" style="2088"/>
    <col min="9230" max="9230" width="14.5703125" style="2088" bestFit="1" customWidth="1"/>
    <col min="9231" max="9231" width="9.140625" style="2088"/>
    <col min="9232" max="9232" width="14.5703125" style="2088" bestFit="1" customWidth="1"/>
    <col min="9233" max="9472" width="9.140625" style="2088"/>
    <col min="9473" max="9473" width="11.28515625" style="2088" customWidth="1"/>
    <col min="9474" max="9475" width="9.140625" style="2088"/>
    <col min="9476" max="9476" width="9.85546875" style="2088" customWidth="1"/>
    <col min="9477" max="9478" width="9.140625" style="2088" customWidth="1"/>
    <col min="9479" max="9479" width="8.85546875" style="2088" customWidth="1"/>
    <col min="9480" max="9480" width="8.5703125" style="2088" customWidth="1"/>
    <col min="9481" max="9481" width="8" style="2088" customWidth="1"/>
    <col min="9482" max="9482" width="8.7109375" style="2088" customWidth="1"/>
    <col min="9483" max="9483" width="13.42578125" style="2088" customWidth="1"/>
    <col min="9484" max="9484" width="10.42578125" style="2088" customWidth="1"/>
    <col min="9485" max="9485" width="9.140625" style="2088"/>
    <col min="9486" max="9486" width="14.5703125" style="2088" bestFit="1" customWidth="1"/>
    <col min="9487" max="9487" width="9.140625" style="2088"/>
    <col min="9488" max="9488" width="14.5703125" style="2088" bestFit="1" customWidth="1"/>
    <col min="9489" max="9728" width="9.140625" style="2088"/>
    <col min="9729" max="9729" width="11.28515625" style="2088" customWidth="1"/>
    <col min="9730" max="9731" width="9.140625" style="2088"/>
    <col min="9732" max="9732" width="9.85546875" style="2088" customWidth="1"/>
    <col min="9733" max="9734" width="9.140625" style="2088" customWidth="1"/>
    <col min="9735" max="9735" width="8.85546875" style="2088" customWidth="1"/>
    <col min="9736" max="9736" width="8.5703125" style="2088" customWidth="1"/>
    <col min="9737" max="9737" width="8" style="2088" customWidth="1"/>
    <col min="9738" max="9738" width="8.7109375" style="2088" customWidth="1"/>
    <col min="9739" max="9739" width="13.42578125" style="2088" customWidth="1"/>
    <col min="9740" max="9740" width="10.42578125" style="2088" customWidth="1"/>
    <col min="9741" max="9741" width="9.140625" style="2088"/>
    <col min="9742" max="9742" width="14.5703125" style="2088" bestFit="1" customWidth="1"/>
    <col min="9743" max="9743" width="9.140625" style="2088"/>
    <col min="9744" max="9744" width="14.5703125" style="2088" bestFit="1" customWidth="1"/>
    <col min="9745" max="9984" width="9.140625" style="2088"/>
    <col min="9985" max="9985" width="11.28515625" style="2088" customWidth="1"/>
    <col min="9986" max="9987" width="9.140625" style="2088"/>
    <col min="9988" max="9988" width="9.85546875" style="2088" customWidth="1"/>
    <col min="9989" max="9990" width="9.140625" style="2088" customWidth="1"/>
    <col min="9991" max="9991" width="8.85546875" style="2088" customWidth="1"/>
    <col min="9992" max="9992" width="8.5703125" style="2088" customWidth="1"/>
    <col min="9993" max="9993" width="8" style="2088" customWidth="1"/>
    <col min="9994" max="9994" width="8.7109375" style="2088" customWidth="1"/>
    <col min="9995" max="9995" width="13.42578125" style="2088" customWidth="1"/>
    <col min="9996" max="9996" width="10.42578125" style="2088" customWidth="1"/>
    <col min="9997" max="9997" width="9.140625" style="2088"/>
    <col min="9998" max="9998" width="14.5703125" style="2088" bestFit="1" customWidth="1"/>
    <col min="9999" max="9999" width="9.140625" style="2088"/>
    <col min="10000" max="10000" width="14.5703125" style="2088" bestFit="1" customWidth="1"/>
    <col min="10001" max="10240" width="9.140625" style="2088"/>
    <col min="10241" max="10241" width="11.28515625" style="2088" customWidth="1"/>
    <col min="10242" max="10243" width="9.140625" style="2088"/>
    <col min="10244" max="10244" width="9.85546875" style="2088" customWidth="1"/>
    <col min="10245" max="10246" width="9.140625" style="2088" customWidth="1"/>
    <col min="10247" max="10247" width="8.85546875" style="2088" customWidth="1"/>
    <col min="10248" max="10248" width="8.5703125" style="2088" customWidth="1"/>
    <col min="10249" max="10249" width="8" style="2088" customWidth="1"/>
    <col min="10250" max="10250" width="8.7109375" style="2088" customWidth="1"/>
    <col min="10251" max="10251" width="13.42578125" style="2088" customWidth="1"/>
    <col min="10252" max="10252" width="10.42578125" style="2088" customWidth="1"/>
    <col min="10253" max="10253" width="9.140625" style="2088"/>
    <col min="10254" max="10254" width="14.5703125" style="2088" bestFit="1" customWidth="1"/>
    <col min="10255" max="10255" width="9.140625" style="2088"/>
    <col min="10256" max="10256" width="14.5703125" style="2088" bestFit="1" customWidth="1"/>
    <col min="10257" max="10496" width="9.140625" style="2088"/>
    <col min="10497" max="10497" width="11.28515625" style="2088" customWidth="1"/>
    <col min="10498" max="10499" width="9.140625" style="2088"/>
    <col min="10500" max="10500" width="9.85546875" style="2088" customWidth="1"/>
    <col min="10501" max="10502" width="9.140625" style="2088" customWidth="1"/>
    <col min="10503" max="10503" width="8.85546875" style="2088" customWidth="1"/>
    <col min="10504" max="10504" width="8.5703125" style="2088" customWidth="1"/>
    <col min="10505" max="10505" width="8" style="2088" customWidth="1"/>
    <col min="10506" max="10506" width="8.7109375" style="2088" customWidth="1"/>
    <col min="10507" max="10507" width="13.42578125" style="2088" customWidth="1"/>
    <col min="10508" max="10508" width="10.42578125" style="2088" customWidth="1"/>
    <col min="10509" max="10509" width="9.140625" style="2088"/>
    <col min="10510" max="10510" width="14.5703125" style="2088" bestFit="1" customWidth="1"/>
    <col min="10511" max="10511" width="9.140625" style="2088"/>
    <col min="10512" max="10512" width="14.5703125" style="2088" bestFit="1" customWidth="1"/>
    <col min="10513" max="10752" width="9.140625" style="2088"/>
    <col min="10753" max="10753" width="11.28515625" style="2088" customWidth="1"/>
    <col min="10754" max="10755" width="9.140625" style="2088"/>
    <col min="10756" max="10756" width="9.85546875" style="2088" customWidth="1"/>
    <col min="10757" max="10758" width="9.140625" style="2088" customWidth="1"/>
    <col min="10759" max="10759" width="8.85546875" style="2088" customWidth="1"/>
    <col min="10760" max="10760" width="8.5703125" style="2088" customWidth="1"/>
    <col min="10761" max="10761" width="8" style="2088" customWidth="1"/>
    <col min="10762" max="10762" width="8.7109375" style="2088" customWidth="1"/>
    <col min="10763" max="10763" width="13.42578125" style="2088" customWidth="1"/>
    <col min="10764" max="10764" width="10.42578125" style="2088" customWidth="1"/>
    <col min="10765" max="10765" width="9.140625" style="2088"/>
    <col min="10766" max="10766" width="14.5703125" style="2088" bestFit="1" customWidth="1"/>
    <col min="10767" max="10767" width="9.140625" style="2088"/>
    <col min="10768" max="10768" width="14.5703125" style="2088" bestFit="1" customWidth="1"/>
    <col min="10769" max="11008" width="9.140625" style="2088"/>
    <col min="11009" max="11009" width="11.28515625" style="2088" customWidth="1"/>
    <col min="11010" max="11011" width="9.140625" style="2088"/>
    <col min="11012" max="11012" width="9.85546875" style="2088" customWidth="1"/>
    <col min="11013" max="11014" width="9.140625" style="2088" customWidth="1"/>
    <col min="11015" max="11015" width="8.85546875" style="2088" customWidth="1"/>
    <col min="11016" max="11016" width="8.5703125" style="2088" customWidth="1"/>
    <col min="11017" max="11017" width="8" style="2088" customWidth="1"/>
    <col min="11018" max="11018" width="8.7109375" style="2088" customWidth="1"/>
    <col min="11019" max="11019" width="13.42578125" style="2088" customWidth="1"/>
    <col min="11020" max="11020" width="10.42578125" style="2088" customWidth="1"/>
    <col min="11021" max="11021" width="9.140625" style="2088"/>
    <col min="11022" max="11022" width="14.5703125" style="2088" bestFit="1" customWidth="1"/>
    <col min="11023" max="11023" width="9.140625" style="2088"/>
    <col min="11024" max="11024" width="14.5703125" style="2088" bestFit="1" customWidth="1"/>
    <col min="11025" max="11264" width="9.140625" style="2088"/>
    <col min="11265" max="11265" width="11.28515625" style="2088" customWidth="1"/>
    <col min="11266" max="11267" width="9.140625" style="2088"/>
    <col min="11268" max="11268" width="9.85546875" style="2088" customWidth="1"/>
    <col min="11269" max="11270" width="9.140625" style="2088" customWidth="1"/>
    <col min="11271" max="11271" width="8.85546875" style="2088" customWidth="1"/>
    <col min="11272" max="11272" width="8.5703125" style="2088" customWidth="1"/>
    <col min="11273" max="11273" width="8" style="2088" customWidth="1"/>
    <col min="11274" max="11274" width="8.7109375" style="2088" customWidth="1"/>
    <col min="11275" max="11275" width="13.42578125" style="2088" customWidth="1"/>
    <col min="11276" max="11276" width="10.42578125" style="2088" customWidth="1"/>
    <col min="11277" max="11277" width="9.140625" style="2088"/>
    <col min="11278" max="11278" width="14.5703125" style="2088" bestFit="1" customWidth="1"/>
    <col min="11279" max="11279" width="9.140625" style="2088"/>
    <col min="11280" max="11280" width="14.5703125" style="2088" bestFit="1" customWidth="1"/>
    <col min="11281" max="11520" width="9.140625" style="2088"/>
    <col min="11521" max="11521" width="11.28515625" style="2088" customWidth="1"/>
    <col min="11522" max="11523" width="9.140625" style="2088"/>
    <col min="11524" max="11524" width="9.85546875" style="2088" customWidth="1"/>
    <col min="11525" max="11526" width="9.140625" style="2088" customWidth="1"/>
    <col min="11527" max="11527" width="8.85546875" style="2088" customWidth="1"/>
    <col min="11528" max="11528" width="8.5703125" style="2088" customWidth="1"/>
    <col min="11529" max="11529" width="8" style="2088" customWidth="1"/>
    <col min="11530" max="11530" width="8.7109375" style="2088" customWidth="1"/>
    <col min="11531" max="11531" width="13.42578125" style="2088" customWidth="1"/>
    <col min="11532" max="11532" width="10.42578125" style="2088" customWidth="1"/>
    <col min="11533" max="11533" width="9.140625" style="2088"/>
    <col min="11534" max="11534" width="14.5703125" style="2088" bestFit="1" customWidth="1"/>
    <col min="11535" max="11535" width="9.140625" style="2088"/>
    <col min="11536" max="11536" width="14.5703125" style="2088" bestFit="1" customWidth="1"/>
    <col min="11537" max="11776" width="9.140625" style="2088"/>
    <col min="11777" max="11777" width="11.28515625" style="2088" customWidth="1"/>
    <col min="11778" max="11779" width="9.140625" style="2088"/>
    <col min="11780" max="11780" width="9.85546875" style="2088" customWidth="1"/>
    <col min="11781" max="11782" width="9.140625" style="2088" customWidth="1"/>
    <col min="11783" max="11783" width="8.85546875" style="2088" customWidth="1"/>
    <col min="11784" max="11784" width="8.5703125" style="2088" customWidth="1"/>
    <col min="11785" max="11785" width="8" style="2088" customWidth="1"/>
    <col min="11786" max="11786" width="8.7109375" style="2088" customWidth="1"/>
    <col min="11787" max="11787" width="13.42578125" style="2088" customWidth="1"/>
    <col min="11788" max="11788" width="10.42578125" style="2088" customWidth="1"/>
    <col min="11789" max="11789" width="9.140625" style="2088"/>
    <col min="11790" max="11790" width="14.5703125" style="2088" bestFit="1" customWidth="1"/>
    <col min="11791" max="11791" width="9.140625" style="2088"/>
    <col min="11792" max="11792" width="14.5703125" style="2088" bestFit="1" customWidth="1"/>
    <col min="11793" max="12032" width="9.140625" style="2088"/>
    <col min="12033" max="12033" width="11.28515625" style="2088" customWidth="1"/>
    <col min="12034" max="12035" width="9.140625" style="2088"/>
    <col min="12036" max="12036" width="9.85546875" style="2088" customWidth="1"/>
    <col min="12037" max="12038" width="9.140625" style="2088" customWidth="1"/>
    <col min="12039" max="12039" width="8.85546875" style="2088" customWidth="1"/>
    <col min="12040" max="12040" width="8.5703125" style="2088" customWidth="1"/>
    <col min="12041" max="12041" width="8" style="2088" customWidth="1"/>
    <col min="12042" max="12042" width="8.7109375" style="2088" customWidth="1"/>
    <col min="12043" max="12043" width="13.42578125" style="2088" customWidth="1"/>
    <col min="12044" max="12044" width="10.42578125" style="2088" customWidth="1"/>
    <col min="12045" max="12045" width="9.140625" style="2088"/>
    <col min="12046" max="12046" width="14.5703125" style="2088" bestFit="1" customWidth="1"/>
    <col min="12047" max="12047" width="9.140625" style="2088"/>
    <col min="12048" max="12048" width="14.5703125" style="2088" bestFit="1" customWidth="1"/>
    <col min="12049" max="12288" width="9.140625" style="2088"/>
    <col min="12289" max="12289" width="11.28515625" style="2088" customWidth="1"/>
    <col min="12290" max="12291" width="9.140625" style="2088"/>
    <col min="12292" max="12292" width="9.85546875" style="2088" customWidth="1"/>
    <col min="12293" max="12294" width="9.140625" style="2088" customWidth="1"/>
    <col min="12295" max="12295" width="8.85546875" style="2088" customWidth="1"/>
    <col min="12296" max="12296" width="8.5703125" style="2088" customWidth="1"/>
    <col min="12297" max="12297" width="8" style="2088" customWidth="1"/>
    <col min="12298" max="12298" width="8.7109375" style="2088" customWidth="1"/>
    <col min="12299" max="12299" width="13.42578125" style="2088" customWidth="1"/>
    <col min="12300" max="12300" width="10.42578125" style="2088" customWidth="1"/>
    <col min="12301" max="12301" width="9.140625" style="2088"/>
    <col min="12302" max="12302" width="14.5703125" style="2088" bestFit="1" customWidth="1"/>
    <col min="12303" max="12303" width="9.140625" style="2088"/>
    <col min="12304" max="12304" width="14.5703125" style="2088" bestFit="1" customWidth="1"/>
    <col min="12305" max="12544" width="9.140625" style="2088"/>
    <col min="12545" max="12545" width="11.28515625" style="2088" customWidth="1"/>
    <col min="12546" max="12547" width="9.140625" style="2088"/>
    <col min="12548" max="12548" width="9.85546875" style="2088" customWidth="1"/>
    <col min="12549" max="12550" width="9.140625" style="2088" customWidth="1"/>
    <col min="12551" max="12551" width="8.85546875" style="2088" customWidth="1"/>
    <col min="12552" max="12552" width="8.5703125" style="2088" customWidth="1"/>
    <col min="12553" max="12553" width="8" style="2088" customWidth="1"/>
    <col min="12554" max="12554" width="8.7109375" style="2088" customWidth="1"/>
    <col min="12555" max="12555" width="13.42578125" style="2088" customWidth="1"/>
    <col min="12556" max="12556" width="10.42578125" style="2088" customWidth="1"/>
    <col min="12557" max="12557" width="9.140625" style="2088"/>
    <col min="12558" max="12558" width="14.5703125" style="2088" bestFit="1" customWidth="1"/>
    <col min="12559" max="12559" width="9.140625" style="2088"/>
    <col min="12560" max="12560" width="14.5703125" style="2088" bestFit="1" customWidth="1"/>
    <col min="12561" max="12800" width="9.140625" style="2088"/>
    <col min="12801" max="12801" width="11.28515625" style="2088" customWidth="1"/>
    <col min="12802" max="12803" width="9.140625" style="2088"/>
    <col min="12804" max="12804" width="9.85546875" style="2088" customWidth="1"/>
    <col min="12805" max="12806" width="9.140625" style="2088" customWidth="1"/>
    <col min="12807" max="12807" width="8.85546875" style="2088" customWidth="1"/>
    <col min="12808" max="12808" width="8.5703125" style="2088" customWidth="1"/>
    <col min="12809" max="12809" width="8" style="2088" customWidth="1"/>
    <col min="12810" max="12810" width="8.7109375" style="2088" customWidth="1"/>
    <col min="12811" max="12811" width="13.42578125" style="2088" customWidth="1"/>
    <col min="12812" max="12812" width="10.42578125" style="2088" customWidth="1"/>
    <col min="12813" max="12813" width="9.140625" style="2088"/>
    <col min="12814" max="12814" width="14.5703125" style="2088" bestFit="1" customWidth="1"/>
    <col min="12815" max="12815" width="9.140625" style="2088"/>
    <col min="12816" max="12816" width="14.5703125" style="2088" bestFit="1" customWidth="1"/>
    <col min="12817" max="13056" width="9.140625" style="2088"/>
    <col min="13057" max="13057" width="11.28515625" style="2088" customWidth="1"/>
    <col min="13058" max="13059" width="9.140625" style="2088"/>
    <col min="13060" max="13060" width="9.85546875" style="2088" customWidth="1"/>
    <col min="13061" max="13062" width="9.140625" style="2088" customWidth="1"/>
    <col min="13063" max="13063" width="8.85546875" style="2088" customWidth="1"/>
    <col min="13064" max="13064" width="8.5703125" style="2088" customWidth="1"/>
    <col min="13065" max="13065" width="8" style="2088" customWidth="1"/>
    <col min="13066" max="13066" width="8.7109375" style="2088" customWidth="1"/>
    <col min="13067" max="13067" width="13.42578125" style="2088" customWidth="1"/>
    <col min="13068" max="13068" width="10.42578125" style="2088" customWidth="1"/>
    <col min="13069" max="13069" width="9.140625" style="2088"/>
    <col min="13070" max="13070" width="14.5703125" style="2088" bestFit="1" customWidth="1"/>
    <col min="13071" max="13071" width="9.140625" style="2088"/>
    <col min="13072" max="13072" width="14.5703125" style="2088" bestFit="1" customWidth="1"/>
    <col min="13073" max="13312" width="9.140625" style="2088"/>
    <col min="13313" max="13313" width="11.28515625" style="2088" customWidth="1"/>
    <col min="13314" max="13315" width="9.140625" style="2088"/>
    <col min="13316" max="13316" width="9.85546875" style="2088" customWidth="1"/>
    <col min="13317" max="13318" width="9.140625" style="2088" customWidth="1"/>
    <col min="13319" max="13319" width="8.85546875" style="2088" customWidth="1"/>
    <col min="13320" max="13320" width="8.5703125" style="2088" customWidth="1"/>
    <col min="13321" max="13321" width="8" style="2088" customWidth="1"/>
    <col min="13322" max="13322" width="8.7109375" style="2088" customWidth="1"/>
    <col min="13323" max="13323" width="13.42578125" style="2088" customWidth="1"/>
    <col min="13324" max="13324" width="10.42578125" style="2088" customWidth="1"/>
    <col min="13325" max="13325" width="9.140625" style="2088"/>
    <col min="13326" max="13326" width="14.5703125" style="2088" bestFit="1" customWidth="1"/>
    <col min="13327" max="13327" width="9.140625" style="2088"/>
    <col min="13328" max="13328" width="14.5703125" style="2088" bestFit="1" customWidth="1"/>
    <col min="13329" max="13568" width="9.140625" style="2088"/>
    <col min="13569" max="13569" width="11.28515625" style="2088" customWidth="1"/>
    <col min="13570" max="13571" width="9.140625" style="2088"/>
    <col min="13572" max="13572" width="9.85546875" style="2088" customWidth="1"/>
    <col min="13573" max="13574" width="9.140625" style="2088" customWidth="1"/>
    <col min="13575" max="13575" width="8.85546875" style="2088" customWidth="1"/>
    <col min="13576" max="13576" width="8.5703125" style="2088" customWidth="1"/>
    <col min="13577" max="13577" width="8" style="2088" customWidth="1"/>
    <col min="13578" max="13578" width="8.7109375" style="2088" customWidth="1"/>
    <col min="13579" max="13579" width="13.42578125" style="2088" customWidth="1"/>
    <col min="13580" max="13580" width="10.42578125" style="2088" customWidth="1"/>
    <col min="13581" max="13581" width="9.140625" style="2088"/>
    <col min="13582" max="13582" width="14.5703125" style="2088" bestFit="1" customWidth="1"/>
    <col min="13583" max="13583" width="9.140625" style="2088"/>
    <col min="13584" max="13584" width="14.5703125" style="2088" bestFit="1" customWidth="1"/>
    <col min="13585" max="13824" width="9.140625" style="2088"/>
    <col min="13825" max="13825" width="11.28515625" style="2088" customWidth="1"/>
    <col min="13826" max="13827" width="9.140625" style="2088"/>
    <col min="13828" max="13828" width="9.85546875" style="2088" customWidth="1"/>
    <col min="13829" max="13830" width="9.140625" style="2088" customWidth="1"/>
    <col min="13831" max="13831" width="8.85546875" style="2088" customWidth="1"/>
    <col min="13832" max="13832" width="8.5703125" style="2088" customWidth="1"/>
    <col min="13833" max="13833" width="8" style="2088" customWidth="1"/>
    <col min="13834" max="13834" width="8.7109375" style="2088" customWidth="1"/>
    <col min="13835" max="13835" width="13.42578125" style="2088" customWidth="1"/>
    <col min="13836" max="13836" width="10.42578125" style="2088" customWidth="1"/>
    <col min="13837" max="13837" width="9.140625" style="2088"/>
    <col min="13838" max="13838" width="14.5703125" style="2088" bestFit="1" customWidth="1"/>
    <col min="13839" max="13839" width="9.140625" style="2088"/>
    <col min="13840" max="13840" width="14.5703125" style="2088" bestFit="1" customWidth="1"/>
    <col min="13841" max="14080" width="9.140625" style="2088"/>
    <col min="14081" max="14081" width="11.28515625" style="2088" customWidth="1"/>
    <col min="14082" max="14083" width="9.140625" style="2088"/>
    <col min="14084" max="14084" width="9.85546875" style="2088" customWidth="1"/>
    <col min="14085" max="14086" width="9.140625" style="2088" customWidth="1"/>
    <col min="14087" max="14087" width="8.85546875" style="2088" customWidth="1"/>
    <col min="14088" max="14088" width="8.5703125" style="2088" customWidth="1"/>
    <col min="14089" max="14089" width="8" style="2088" customWidth="1"/>
    <col min="14090" max="14090" width="8.7109375" style="2088" customWidth="1"/>
    <col min="14091" max="14091" width="13.42578125" style="2088" customWidth="1"/>
    <col min="14092" max="14092" width="10.42578125" style="2088" customWidth="1"/>
    <col min="14093" max="14093" width="9.140625" style="2088"/>
    <col min="14094" max="14094" width="14.5703125" style="2088" bestFit="1" customWidth="1"/>
    <col min="14095" max="14095" width="9.140625" style="2088"/>
    <col min="14096" max="14096" width="14.5703125" style="2088" bestFit="1" customWidth="1"/>
    <col min="14097" max="14336" width="9.140625" style="2088"/>
    <col min="14337" max="14337" width="11.28515625" style="2088" customWidth="1"/>
    <col min="14338" max="14339" width="9.140625" style="2088"/>
    <col min="14340" max="14340" width="9.85546875" style="2088" customWidth="1"/>
    <col min="14341" max="14342" width="9.140625" style="2088" customWidth="1"/>
    <col min="14343" max="14343" width="8.85546875" style="2088" customWidth="1"/>
    <col min="14344" max="14344" width="8.5703125" style="2088" customWidth="1"/>
    <col min="14345" max="14345" width="8" style="2088" customWidth="1"/>
    <col min="14346" max="14346" width="8.7109375" style="2088" customWidth="1"/>
    <col min="14347" max="14347" width="13.42578125" style="2088" customWidth="1"/>
    <col min="14348" max="14348" width="10.42578125" style="2088" customWidth="1"/>
    <col min="14349" max="14349" width="9.140625" style="2088"/>
    <col min="14350" max="14350" width="14.5703125" style="2088" bestFit="1" customWidth="1"/>
    <col min="14351" max="14351" width="9.140625" style="2088"/>
    <col min="14352" max="14352" width="14.5703125" style="2088" bestFit="1" customWidth="1"/>
    <col min="14353" max="14592" width="9.140625" style="2088"/>
    <col min="14593" max="14593" width="11.28515625" style="2088" customWidth="1"/>
    <col min="14594" max="14595" width="9.140625" style="2088"/>
    <col min="14596" max="14596" width="9.85546875" style="2088" customWidth="1"/>
    <col min="14597" max="14598" width="9.140625" style="2088" customWidth="1"/>
    <col min="14599" max="14599" width="8.85546875" style="2088" customWidth="1"/>
    <col min="14600" max="14600" width="8.5703125" style="2088" customWidth="1"/>
    <col min="14601" max="14601" width="8" style="2088" customWidth="1"/>
    <col min="14602" max="14602" width="8.7109375" style="2088" customWidth="1"/>
    <col min="14603" max="14603" width="13.42578125" style="2088" customWidth="1"/>
    <col min="14604" max="14604" width="10.42578125" style="2088" customWidth="1"/>
    <col min="14605" max="14605" width="9.140625" style="2088"/>
    <col min="14606" max="14606" width="14.5703125" style="2088" bestFit="1" customWidth="1"/>
    <col min="14607" max="14607" width="9.140625" style="2088"/>
    <col min="14608" max="14608" width="14.5703125" style="2088" bestFit="1" customWidth="1"/>
    <col min="14609" max="14848" width="9.140625" style="2088"/>
    <col min="14849" max="14849" width="11.28515625" style="2088" customWidth="1"/>
    <col min="14850" max="14851" width="9.140625" style="2088"/>
    <col min="14852" max="14852" width="9.85546875" style="2088" customWidth="1"/>
    <col min="14853" max="14854" width="9.140625" style="2088" customWidth="1"/>
    <col min="14855" max="14855" width="8.85546875" style="2088" customWidth="1"/>
    <col min="14856" max="14856" width="8.5703125" style="2088" customWidth="1"/>
    <col min="14857" max="14857" width="8" style="2088" customWidth="1"/>
    <col min="14858" max="14858" width="8.7109375" style="2088" customWidth="1"/>
    <col min="14859" max="14859" width="13.42578125" style="2088" customWidth="1"/>
    <col min="14860" max="14860" width="10.42578125" style="2088" customWidth="1"/>
    <col min="14861" max="14861" width="9.140625" style="2088"/>
    <col min="14862" max="14862" width="14.5703125" style="2088" bestFit="1" customWidth="1"/>
    <col min="14863" max="14863" width="9.140625" style="2088"/>
    <col min="14864" max="14864" width="14.5703125" style="2088" bestFit="1" customWidth="1"/>
    <col min="14865" max="15104" width="9.140625" style="2088"/>
    <col min="15105" max="15105" width="11.28515625" style="2088" customWidth="1"/>
    <col min="15106" max="15107" width="9.140625" style="2088"/>
    <col min="15108" max="15108" width="9.85546875" style="2088" customWidth="1"/>
    <col min="15109" max="15110" width="9.140625" style="2088" customWidth="1"/>
    <col min="15111" max="15111" width="8.85546875" style="2088" customWidth="1"/>
    <col min="15112" max="15112" width="8.5703125" style="2088" customWidth="1"/>
    <col min="15113" max="15113" width="8" style="2088" customWidth="1"/>
    <col min="15114" max="15114" width="8.7109375" style="2088" customWidth="1"/>
    <col min="15115" max="15115" width="13.42578125" style="2088" customWidth="1"/>
    <col min="15116" max="15116" width="10.42578125" style="2088" customWidth="1"/>
    <col min="15117" max="15117" width="9.140625" style="2088"/>
    <col min="15118" max="15118" width="14.5703125" style="2088" bestFit="1" customWidth="1"/>
    <col min="15119" max="15119" width="9.140625" style="2088"/>
    <col min="15120" max="15120" width="14.5703125" style="2088" bestFit="1" customWidth="1"/>
    <col min="15121" max="15360" width="9.140625" style="2088"/>
    <col min="15361" max="15361" width="11.28515625" style="2088" customWidth="1"/>
    <col min="15362" max="15363" width="9.140625" style="2088"/>
    <col min="15364" max="15364" width="9.85546875" style="2088" customWidth="1"/>
    <col min="15365" max="15366" width="9.140625" style="2088" customWidth="1"/>
    <col min="15367" max="15367" width="8.85546875" style="2088" customWidth="1"/>
    <col min="15368" max="15368" width="8.5703125" style="2088" customWidth="1"/>
    <col min="15369" max="15369" width="8" style="2088" customWidth="1"/>
    <col min="15370" max="15370" width="8.7109375" style="2088" customWidth="1"/>
    <col min="15371" max="15371" width="13.42578125" style="2088" customWidth="1"/>
    <col min="15372" max="15372" width="10.42578125" style="2088" customWidth="1"/>
    <col min="15373" max="15373" width="9.140625" style="2088"/>
    <col min="15374" max="15374" width="14.5703125" style="2088" bestFit="1" customWidth="1"/>
    <col min="15375" max="15375" width="9.140625" style="2088"/>
    <col min="15376" max="15376" width="14.5703125" style="2088" bestFit="1" customWidth="1"/>
    <col min="15377" max="15616" width="9.140625" style="2088"/>
    <col min="15617" max="15617" width="11.28515625" style="2088" customWidth="1"/>
    <col min="15618" max="15619" width="9.140625" style="2088"/>
    <col min="15620" max="15620" width="9.85546875" style="2088" customWidth="1"/>
    <col min="15621" max="15622" width="9.140625" style="2088" customWidth="1"/>
    <col min="15623" max="15623" width="8.85546875" style="2088" customWidth="1"/>
    <col min="15624" max="15624" width="8.5703125" style="2088" customWidth="1"/>
    <col min="15625" max="15625" width="8" style="2088" customWidth="1"/>
    <col min="15626" max="15626" width="8.7109375" style="2088" customWidth="1"/>
    <col min="15627" max="15627" width="13.42578125" style="2088" customWidth="1"/>
    <col min="15628" max="15628" width="10.42578125" style="2088" customWidth="1"/>
    <col min="15629" max="15629" width="9.140625" style="2088"/>
    <col min="15630" max="15630" width="14.5703125" style="2088" bestFit="1" customWidth="1"/>
    <col min="15631" max="15631" width="9.140625" style="2088"/>
    <col min="15632" max="15632" width="14.5703125" style="2088" bestFit="1" customWidth="1"/>
    <col min="15633" max="15872" width="9.140625" style="2088"/>
    <col min="15873" max="15873" width="11.28515625" style="2088" customWidth="1"/>
    <col min="15874" max="15875" width="9.140625" style="2088"/>
    <col min="15876" max="15876" width="9.85546875" style="2088" customWidth="1"/>
    <col min="15877" max="15878" width="9.140625" style="2088" customWidth="1"/>
    <col min="15879" max="15879" width="8.85546875" style="2088" customWidth="1"/>
    <col min="15880" max="15880" width="8.5703125" style="2088" customWidth="1"/>
    <col min="15881" max="15881" width="8" style="2088" customWidth="1"/>
    <col min="15882" max="15882" width="8.7109375" style="2088" customWidth="1"/>
    <col min="15883" max="15883" width="13.42578125" style="2088" customWidth="1"/>
    <col min="15884" max="15884" width="10.42578125" style="2088" customWidth="1"/>
    <col min="15885" max="15885" width="9.140625" style="2088"/>
    <col min="15886" max="15886" width="14.5703125" style="2088" bestFit="1" customWidth="1"/>
    <col min="15887" max="15887" width="9.140625" style="2088"/>
    <col min="15888" max="15888" width="14.5703125" style="2088" bestFit="1" customWidth="1"/>
    <col min="15889" max="16128" width="9.140625" style="2088"/>
    <col min="16129" max="16129" width="11.28515625" style="2088" customWidth="1"/>
    <col min="16130" max="16131" width="9.140625" style="2088"/>
    <col min="16132" max="16132" width="9.85546875" style="2088" customWidth="1"/>
    <col min="16133" max="16134" width="9.140625" style="2088" customWidth="1"/>
    <col min="16135" max="16135" width="8.85546875" style="2088" customWidth="1"/>
    <col min="16136" max="16136" width="8.5703125" style="2088" customWidth="1"/>
    <col min="16137" max="16137" width="8" style="2088" customWidth="1"/>
    <col min="16138" max="16138" width="8.7109375" style="2088" customWidth="1"/>
    <col min="16139" max="16139" width="13.42578125" style="2088" customWidth="1"/>
    <col min="16140" max="16140" width="10.42578125" style="2088" customWidth="1"/>
    <col min="16141" max="16141" width="9.140625" style="2088"/>
    <col min="16142" max="16142" width="14.5703125" style="2088" bestFit="1" customWidth="1"/>
    <col min="16143" max="16143" width="9.140625" style="2088"/>
    <col min="16144" max="16144" width="14.5703125" style="2088" bestFit="1" customWidth="1"/>
    <col min="16145" max="16384" width="9.140625" style="2088"/>
  </cols>
  <sheetData>
    <row r="1" spans="1:10" ht="23.25" customHeight="1" x14ac:dyDescent="0.3">
      <c r="A1" s="2084" t="s">
        <v>3680</v>
      </c>
      <c r="B1" s="2085"/>
      <c r="C1" s="2085"/>
      <c r="D1" s="2085"/>
      <c r="E1" s="2085"/>
      <c r="F1" s="2086"/>
      <c r="G1" s="2086"/>
      <c r="H1" s="2086"/>
      <c r="I1" s="2087"/>
      <c r="J1" s="2087"/>
    </row>
    <row r="2" spans="1:10" s="2093" customFormat="1" ht="13.5" thickBot="1" x14ac:dyDescent="0.25">
      <c r="A2" s="2089"/>
      <c r="B2" s="2090"/>
      <c r="C2" s="2090"/>
      <c r="D2" s="2091"/>
      <c r="E2" s="2090"/>
      <c r="F2" s="2090"/>
      <c r="G2" s="2091" t="s">
        <v>1350</v>
      </c>
      <c r="H2" s="2090"/>
      <c r="I2" s="2092"/>
      <c r="J2" s="2090"/>
    </row>
    <row r="3" spans="1:10" s="2093" customFormat="1" ht="30" customHeight="1" thickTop="1" thickBot="1" x14ac:dyDescent="0.25">
      <c r="A3" s="2094" t="s">
        <v>620</v>
      </c>
      <c r="B3" s="3388" t="s">
        <v>3681</v>
      </c>
      <c r="C3" s="3389"/>
      <c r="D3" s="3390" t="s">
        <v>3682</v>
      </c>
      <c r="E3" s="3389"/>
      <c r="F3" s="3390" t="s">
        <v>3683</v>
      </c>
      <c r="G3" s="3389"/>
      <c r="H3" s="2095"/>
      <c r="I3" s="2095"/>
      <c r="J3" s="2095"/>
    </row>
    <row r="4" spans="1:10" s="2093" customFormat="1" ht="14.1" customHeight="1" thickTop="1" x14ac:dyDescent="0.2">
      <c r="A4" s="2096">
        <v>39264</v>
      </c>
      <c r="B4" s="3391">
        <v>7.1</v>
      </c>
      <c r="C4" s="3391"/>
      <c r="D4" s="3391">
        <v>5.0447389893233385</v>
      </c>
      <c r="E4" s="3391"/>
      <c r="F4" s="3391">
        <v>5.3791497041713932</v>
      </c>
      <c r="G4" s="3391"/>
      <c r="H4" s="2090"/>
      <c r="I4" s="2097"/>
      <c r="J4" s="2097"/>
    </row>
    <row r="5" spans="1:10" s="2093" customFormat="1" ht="14.1" hidden="1" customHeight="1" x14ac:dyDescent="0.2">
      <c r="A5" s="2096">
        <v>39295</v>
      </c>
      <c r="B5" s="3391">
        <v>6.8</v>
      </c>
      <c r="C5" s="3391"/>
      <c r="D5" s="3391">
        <v>3.660396223215745</v>
      </c>
      <c r="E5" s="3391"/>
      <c r="F5" s="3391">
        <v>4.6578413383237649</v>
      </c>
      <c r="G5" s="3391"/>
      <c r="H5" s="2090"/>
      <c r="I5" s="2097"/>
      <c r="J5" s="2097"/>
    </row>
    <row r="6" spans="1:10" s="2093" customFormat="1" ht="14.1" hidden="1" customHeight="1" x14ac:dyDescent="0.2">
      <c r="A6" s="2096">
        <v>39326</v>
      </c>
      <c r="B6" s="3391">
        <v>7.3</v>
      </c>
      <c r="C6" s="3391"/>
      <c r="D6" s="3391">
        <v>4.7259123460996921</v>
      </c>
      <c r="E6" s="3391"/>
      <c r="F6" s="3391">
        <v>5.0512072292763222</v>
      </c>
      <c r="G6" s="3391"/>
      <c r="H6" s="2090"/>
      <c r="I6" s="2097"/>
      <c r="J6" s="2097"/>
    </row>
    <row r="7" spans="1:10" s="2093" customFormat="1" ht="14.1" hidden="1" customHeight="1" x14ac:dyDescent="0.2">
      <c r="A7" s="2096">
        <v>39356</v>
      </c>
      <c r="B7" s="3391">
        <v>8.4</v>
      </c>
      <c r="C7" s="3391"/>
      <c r="D7" s="3391">
        <v>5.0358509954642861</v>
      </c>
      <c r="E7" s="3391"/>
      <c r="F7" s="3391">
        <v>5.5418515387933631</v>
      </c>
      <c r="G7" s="3391"/>
      <c r="H7" s="2090"/>
      <c r="I7" s="2097"/>
      <c r="J7" s="2097"/>
    </row>
    <row r="8" spans="1:10" s="2093" customFormat="1" ht="14.1" hidden="1" customHeight="1" x14ac:dyDescent="0.2">
      <c r="A8" s="2096">
        <v>39387</v>
      </c>
      <c r="B8" s="3391">
        <v>8.4</v>
      </c>
      <c r="C8" s="3391"/>
      <c r="D8" s="3391">
        <v>5.1075033046994012</v>
      </c>
      <c r="E8" s="3391"/>
      <c r="F8" s="3391">
        <v>5.6431344967298624</v>
      </c>
      <c r="G8" s="3391"/>
      <c r="H8" s="2090"/>
      <c r="I8" s="2097"/>
      <c r="J8" s="2097"/>
    </row>
    <row r="9" spans="1:10" s="2093" customFormat="1" ht="14.1" customHeight="1" x14ac:dyDescent="0.2">
      <c r="A9" s="2096">
        <v>39417</v>
      </c>
      <c r="B9" s="3391">
        <v>8.6</v>
      </c>
      <c r="C9" s="3391"/>
      <c r="D9" s="3391">
        <v>5.0604430819486623</v>
      </c>
      <c r="E9" s="3391"/>
      <c r="F9" s="3391">
        <v>5.591690193063914</v>
      </c>
      <c r="G9" s="3391"/>
      <c r="H9" s="2090"/>
      <c r="I9" s="2097"/>
      <c r="J9" s="2097"/>
    </row>
    <row r="10" spans="1:10" s="2093" customFormat="1" ht="14.1" hidden="1" customHeight="1" x14ac:dyDescent="0.2">
      <c r="A10" s="2096">
        <v>39448</v>
      </c>
      <c r="B10" s="3391">
        <v>9.9</v>
      </c>
      <c r="C10" s="3391"/>
      <c r="D10" s="3391">
        <v>8.0833099952848819</v>
      </c>
      <c r="E10" s="3391"/>
      <c r="F10" s="3391">
        <v>5.8939130096091974</v>
      </c>
      <c r="G10" s="3391"/>
      <c r="H10" s="2090"/>
      <c r="I10" s="2097"/>
      <c r="J10" s="2097"/>
    </row>
    <row r="11" spans="1:10" s="2093" customFormat="1" ht="14.1" hidden="1" customHeight="1" x14ac:dyDescent="0.2">
      <c r="A11" s="2096">
        <v>39479</v>
      </c>
      <c r="B11" s="3391">
        <v>10.1</v>
      </c>
      <c r="C11" s="3391"/>
      <c r="D11" s="3391">
        <v>8.1201457581817635</v>
      </c>
      <c r="E11" s="3391"/>
      <c r="F11" s="3391">
        <v>5.8769776464297818</v>
      </c>
      <c r="G11" s="3391"/>
      <c r="H11" s="2090"/>
      <c r="I11" s="2097"/>
      <c r="J11" s="2097"/>
    </row>
    <row r="12" spans="1:10" s="2093" customFormat="1" ht="14.1" hidden="1" customHeight="1" x14ac:dyDescent="0.2">
      <c r="A12" s="2096">
        <v>39509</v>
      </c>
      <c r="B12" s="3391">
        <v>9.3000000000000007</v>
      </c>
      <c r="C12" s="3391"/>
      <c r="D12" s="3391">
        <v>8.040251592514668</v>
      </c>
      <c r="E12" s="3391"/>
      <c r="F12" s="3391">
        <v>5.7638673007165631</v>
      </c>
      <c r="G12" s="3391"/>
      <c r="H12" s="2090"/>
      <c r="I12" s="2097"/>
      <c r="J12" s="2097"/>
    </row>
    <row r="13" spans="1:10" s="2093" customFormat="1" ht="14.1" hidden="1" customHeight="1" x14ac:dyDescent="0.2">
      <c r="A13" s="2096">
        <v>39539</v>
      </c>
      <c r="B13" s="3391">
        <v>9.3000000000000007</v>
      </c>
      <c r="C13" s="3391"/>
      <c r="D13" s="3391">
        <v>8.9361330582487177</v>
      </c>
      <c r="E13" s="3391"/>
      <c r="F13" s="3391">
        <v>5.4932220195048842</v>
      </c>
      <c r="G13" s="3391"/>
      <c r="H13" s="2090"/>
      <c r="I13" s="2097"/>
      <c r="J13" s="2097"/>
    </row>
    <row r="14" spans="1:10" s="2093" customFormat="1" ht="14.1" hidden="1" customHeight="1" x14ac:dyDescent="0.2">
      <c r="A14" s="2096">
        <v>39570</v>
      </c>
      <c r="B14" s="3391">
        <v>9.8000000000000007</v>
      </c>
      <c r="C14" s="3391"/>
      <c r="D14" s="3391">
        <v>9.6577736742990083</v>
      </c>
      <c r="E14" s="3391"/>
      <c r="F14" s="3391">
        <v>5.794506306308933</v>
      </c>
      <c r="G14" s="3391"/>
      <c r="H14" s="2090"/>
      <c r="I14" s="2097"/>
      <c r="J14" s="2097"/>
    </row>
    <row r="15" spans="1:10" s="2093" customFormat="1" ht="14.1" customHeight="1" x14ac:dyDescent="0.2">
      <c r="A15" s="2096">
        <v>39601</v>
      </c>
      <c r="B15" s="3391">
        <v>9.6999999999999993</v>
      </c>
      <c r="C15" s="3391"/>
      <c r="D15" s="3391">
        <v>9.5081961476281673</v>
      </c>
      <c r="E15" s="3391"/>
      <c r="F15" s="3391">
        <v>5.6213344566487633</v>
      </c>
      <c r="G15" s="3391"/>
      <c r="H15" s="2090"/>
      <c r="I15" s="2097"/>
      <c r="J15" s="2097"/>
    </row>
    <row r="16" spans="1:10" s="2093" customFormat="1" ht="14.1" hidden="1" customHeight="1" x14ac:dyDescent="0.2">
      <c r="A16" s="2096">
        <v>39632</v>
      </c>
      <c r="B16" s="3391">
        <v>11.5</v>
      </c>
      <c r="C16" s="3391"/>
      <c r="D16" s="3391">
        <v>9.7841687888659443</v>
      </c>
      <c r="E16" s="3391"/>
      <c r="F16" s="3391">
        <v>6.5123230240075047</v>
      </c>
      <c r="G16" s="3391"/>
      <c r="H16" s="2090"/>
      <c r="I16" s="2097"/>
      <c r="J16" s="2097"/>
    </row>
    <row r="17" spans="1:10" s="2093" customFormat="1" ht="14.1" hidden="1" customHeight="1" x14ac:dyDescent="0.2">
      <c r="A17" s="2096">
        <v>39663</v>
      </c>
      <c r="B17" s="3391">
        <v>11.7</v>
      </c>
      <c r="C17" s="3391"/>
      <c r="D17" s="3391">
        <v>10.993643685765676</v>
      </c>
      <c r="E17" s="3391"/>
      <c r="F17" s="3391">
        <v>6.8536562588299876</v>
      </c>
      <c r="G17" s="3391"/>
      <c r="H17" s="2090"/>
      <c r="I17" s="2097"/>
      <c r="J17" s="2097"/>
    </row>
    <row r="18" spans="1:10" s="2093" customFormat="1" ht="14.1" hidden="1" customHeight="1" x14ac:dyDescent="0.2">
      <c r="A18" s="2096">
        <v>39694</v>
      </c>
      <c r="B18" s="3391">
        <v>10.8</v>
      </c>
      <c r="C18" s="3391"/>
      <c r="D18" s="3391">
        <v>9.8195982173374219</v>
      </c>
      <c r="E18" s="3391"/>
      <c r="F18" s="3391">
        <v>6.4433775822698935</v>
      </c>
      <c r="G18" s="3391"/>
      <c r="H18" s="2090"/>
      <c r="I18" s="2097"/>
      <c r="J18" s="2097"/>
    </row>
    <row r="19" spans="1:10" s="2093" customFormat="1" ht="14.1" hidden="1" customHeight="1" x14ac:dyDescent="0.2">
      <c r="A19" s="2096">
        <v>39725</v>
      </c>
      <c r="B19" s="3391">
        <v>9.6999999999999993</v>
      </c>
      <c r="C19" s="3391"/>
      <c r="D19" s="3391">
        <v>8.9465899755739819</v>
      </c>
      <c r="E19" s="3391"/>
      <c r="F19" s="3391">
        <v>6.4005280366357997</v>
      </c>
      <c r="G19" s="3391"/>
      <c r="H19" s="2090"/>
      <c r="I19" s="2097"/>
      <c r="J19" s="2097"/>
    </row>
    <row r="20" spans="1:10" s="2093" customFormat="1" ht="14.1" hidden="1" customHeight="1" x14ac:dyDescent="0.2">
      <c r="A20" s="2096">
        <v>39757</v>
      </c>
      <c r="B20" s="3391">
        <v>8.2713754646840165</v>
      </c>
      <c r="C20" s="3391"/>
      <c r="D20" s="3391">
        <v>6.8990683520289142</v>
      </c>
      <c r="E20" s="3391"/>
      <c r="F20" s="3391">
        <v>6.3701621367625583</v>
      </c>
      <c r="G20" s="3391"/>
      <c r="H20" s="2090"/>
      <c r="I20" s="2097"/>
      <c r="J20" s="2097"/>
    </row>
    <row r="21" spans="1:10" s="2093" customFormat="1" ht="14.1" customHeight="1" x14ac:dyDescent="0.2">
      <c r="A21" s="2096">
        <v>39788</v>
      </c>
      <c r="B21" s="3391">
        <v>6.7467652495379005</v>
      </c>
      <c r="C21" s="3391"/>
      <c r="D21" s="3391">
        <v>5.9330079144542136</v>
      </c>
      <c r="E21" s="3391"/>
      <c r="F21" s="3391">
        <v>6.1671895591780546</v>
      </c>
      <c r="G21" s="3391"/>
      <c r="H21" s="2090"/>
      <c r="I21" s="2097"/>
      <c r="J21" s="2097"/>
    </row>
    <row r="22" spans="1:10" s="2093" customFormat="1" ht="14.1" hidden="1" customHeight="1" x14ac:dyDescent="0.2">
      <c r="A22" s="2096">
        <v>39819</v>
      </c>
      <c r="B22" s="3391">
        <v>5.2007299270073082</v>
      </c>
      <c r="C22" s="3391"/>
      <c r="D22" s="3391">
        <v>3.9884438505438213</v>
      </c>
      <c r="E22" s="3391"/>
      <c r="F22" s="3391">
        <v>5.0258446525900391</v>
      </c>
      <c r="G22" s="3391"/>
      <c r="H22" s="2090"/>
      <c r="I22" s="2097"/>
      <c r="J22" s="2097"/>
    </row>
    <row r="23" spans="1:10" s="2093" customFormat="1" ht="14.1" hidden="1" customHeight="1" x14ac:dyDescent="0.2">
      <c r="A23" s="2096">
        <v>39851</v>
      </c>
      <c r="B23" s="3391">
        <v>4.6070460704606964</v>
      </c>
      <c r="C23" s="3391"/>
      <c r="D23" s="3391">
        <v>4.2105221514626034</v>
      </c>
      <c r="E23" s="3391"/>
      <c r="F23" s="3391">
        <v>4.7818791575772623</v>
      </c>
      <c r="G23" s="3391"/>
      <c r="H23" s="2090"/>
      <c r="I23" s="2097"/>
      <c r="J23" s="2097"/>
    </row>
    <row r="24" spans="1:10" s="2093" customFormat="1" ht="14.1" hidden="1" customHeight="1" x14ac:dyDescent="0.2">
      <c r="A24" s="2096">
        <v>39880</v>
      </c>
      <c r="B24" s="3391">
        <v>4.8</v>
      </c>
      <c r="C24" s="3391"/>
      <c r="D24" s="3391">
        <v>4.0999999999999996</v>
      </c>
      <c r="E24" s="3391"/>
      <c r="F24" s="3391">
        <v>4.8</v>
      </c>
      <c r="G24" s="3391"/>
      <c r="H24" s="2090"/>
      <c r="I24" s="2097"/>
      <c r="J24" s="2097"/>
    </row>
    <row r="25" spans="1:10" s="2093" customFormat="1" ht="14.1" hidden="1" customHeight="1" x14ac:dyDescent="0.2">
      <c r="A25" s="2096">
        <v>39912</v>
      </c>
      <c r="B25" s="3391">
        <v>3.8</v>
      </c>
      <c r="C25" s="3391"/>
      <c r="D25" s="3391">
        <v>3.7</v>
      </c>
      <c r="E25" s="3391"/>
      <c r="F25" s="3391">
        <v>4.7</v>
      </c>
      <c r="G25" s="3391"/>
      <c r="H25" s="2090"/>
      <c r="I25" s="2097"/>
      <c r="J25" s="2097"/>
    </row>
    <row r="26" spans="1:10" s="2093" customFormat="1" ht="14.1" hidden="1" customHeight="1" x14ac:dyDescent="0.2">
      <c r="A26" s="2096">
        <v>39944</v>
      </c>
      <c r="B26" s="3391">
        <v>2.8</v>
      </c>
      <c r="C26" s="3391"/>
      <c r="D26" s="3391">
        <v>2.7</v>
      </c>
      <c r="E26" s="3391"/>
      <c r="F26" s="3391">
        <v>4.0999999999999996</v>
      </c>
      <c r="G26" s="3391"/>
      <c r="H26" s="2090"/>
      <c r="I26" s="2097"/>
      <c r="J26" s="2097"/>
    </row>
    <row r="27" spans="1:10" s="2093" customFormat="1" ht="14.1" customHeight="1" x14ac:dyDescent="0.2">
      <c r="A27" s="2096">
        <v>39976</v>
      </c>
      <c r="B27" s="3391">
        <v>3.3</v>
      </c>
      <c r="C27" s="3391"/>
      <c r="D27" s="3391">
        <v>3.6</v>
      </c>
      <c r="E27" s="3391"/>
      <c r="F27" s="3391">
        <v>4.5</v>
      </c>
      <c r="G27" s="3391"/>
      <c r="H27" s="2090"/>
      <c r="I27" s="2097"/>
      <c r="J27" s="2097"/>
    </row>
    <row r="28" spans="1:10" s="2093" customFormat="1" ht="14.1" hidden="1" customHeight="1" x14ac:dyDescent="0.2">
      <c r="A28" s="2096">
        <v>40006</v>
      </c>
      <c r="B28" s="3391">
        <v>1.9</v>
      </c>
      <c r="C28" s="3391"/>
      <c r="D28" s="3391">
        <v>1.6</v>
      </c>
      <c r="E28" s="3391"/>
      <c r="F28" s="3391">
        <v>3.9</v>
      </c>
      <c r="G28" s="3391"/>
      <c r="H28" s="2090"/>
      <c r="I28" s="2097"/>
      <c r="J28" s="2097"/>
    </row>
    <row r="29" spans="1:10" s="2093" customFormat="1" ht="14.1" hidden="1" customHeight="1" x14ac:dyDescent="0.2">
      <c r="A29" s="2096">
        <v>40038</v>
      </c>
      <c r="B29" s="3391">
        <v>1</v>
      </c>
      <c r="C29" s="3391"/>
      <c r="D29" s="3391">
        <v>0.7</v>
      </c>
      <c r="E29" s="3391"/>
      <c r="F29" s="3391">
        <v>3.5</v>
      </c>
      <c r="G29" s="3391"/>
      <c r="H29" s="2090"/>
      <c r="I29" s="2097"/>
      <c r="J29" s="2097"/>
    </row>
    <row r="30" spans="1:10" s="2093" customFormat="1" ht="14.1" hidden="1" customHeight="1" x14ac:dyDescent="0.2">
      <c r="A30" s="2096">
        <v>40070</v>
      </c>
      <c r="B30" s="3391">
        <v>0.9</v>
      </c>
      <c r="C30" s="3391"/>
      <c r="D30" s="3391">
        <v>1</v>
      </c>
      <c r="E30" s="3391"/>
      <c r="F30" s="3391">
        <v>3.3</v>
      </c>
      <c r="G30" s="3391"/>
      <c r="H30" s="2090"/>
      <c r="I30" s="2097"/>
      <c r="J30" s="2097"/>
    </row>
    <row r="31" spans="1:10" s="2093" customFormat="1" ht="14.1" hidden="1" customHeight="1" x14ac:dyDescent="0.2">
      <c r="A31" s="2096">
        <v>40102</v>
      </c>
      <c r="B31" s="3391">
        <v>0.1</v>
      </c>
      <c r="C31" s="3391"/>
      <c r="D31" s="3391">
        <v>0.2</v>
      </c>
      <c r="E31" s="3391"/>
      <c r="F31" s="3391">
        <v>2.7</v>
      </c>
      <c r="G31" s="3391"/>
      <c r="H31" s="2090"/>
      <c r="I31" s="2097"/>
      <c r="J31" s="2097"/>
    </row>
    <row r="32" spans="1:10" s="2093" customFormat="1" ht="14.1" hidden="1" customHeight="1" x14ac:dyDescent="0.2">
      <c r="A32" s="2096">
        <v>40134</v>
      </c>
      <c r="B32" s="3391">
        <v>0.7</v>
      </c>
      <c r="C32" s="3391"/>
      <c r="D32" s="3391">
        <v>1.2</v>
      </c>
      <c r="E32" s="3391"/>
      <c r="F32" s="3391">
        <v>2.2999999999999998</v>
      </c>
      <c r="G32" s="3391"/>
      <c r="H32" s="2090"/>
      <c r="I32" s="2097"/>
      <c r="J32" s="2097"/>
    </row>
    <row r="33" spans="1:10" s="2093" customFormat="1" ht="14.1" customHeight="1" x14ac:dyDescent="0.2">
      <c r="A33" s="2096">
        <v>40165</v>
      </c>
      <c r="B33" s="3391">
        <v>1.5</v>
      </c>
      <c r="C33" s="3391"/>
      <c r="D33" s="3391">
        <v>2.4</v>
      </c>
      <c r="E33" s="3391"/>
      <c r="F33" s="3391">
        <v>2.2000000000000002</v>
      </c>
      <c r="G33" s="3391"/>
      <c r="H33" s="2090"/>
      <c r="I33" s="2097"/>
      <c r="J33" s="2097"/>
    </row>
    <row r="34" spans="1:10" s="2093" customFormat="1" ht="14.1" hidden="1" customHeight="1" x14ac:dyDescent="0.2">
      <c r="A34" s="2096">
        <v>40197</v>
      </c>
      <c r="B34" s="3391">
        <v>2.5</v>
      </c>
      <c r="C34" s="3391"/>
      <c r="D34" s="3391">
        <v>3.3</v>
      </c>
      <c r="E34" s="3391"/>
      <c r="F34" s="3391">
        <v>2.6</v>
      </c>
      <c r="G34" s="3391"/>
      <c r="H34" s="2090"/>
      <c r="I34" s="2097"/>
      <c r="J34" s="2097"/>
    </row>
    <row r="35" spans="1:10" s="2093" customFormat="1" ht="14.1" hidden="1" customHeight="1" x14ac:dyDescent="0.2">
      <c r="A35" s="2096">
        <v>40229</v>
      </c>
      <c r="B35" s="3391">
        <v>2.4</v>
      </c>
      <c r="C35" s="3391"/>
      <c r="D35" s="3391">
        <v>3.2</v>
      </c>
      <c r="E35" s="3391"/>
      <c r="F35" s="3391">
        <v>2.2999999999999998</v>
      </c>
      <c r="G35" s="3391"/>
      <c r="H35" s="2090"/>
      <c r="I35" s="2097"/>
      <c r="J35" s="2097"/>
    </row>
    <row r="36" spans="1:10" s="2093" customFormat="1" ht="14.1" hidden="1" customHeight="1" x14ac:dyDescent="0.2">
      <c r="A36" s="2096">
        <v>40257</v>
      </c>
      <c r="B36" s="3391">
        <v>2.2999999999999998</v>
      </c>
      <c r="C36" s="3391"/>
      <c r="D36" s="3391">
        <v>3.3</v>
      </c>
      <c r="E36" s="3391"/>
      <c r="F36" s="3391">
        <v>2.2000000000000002</v>
      </c>
      <c r="G36" s="3391"/>
      <c r="H36" s="2090"/>
      <c r="I36" s="2097"/>
      <c r="J36" s="2097"/>
    </row>
    <row r="37" spans="1:10" s="2093" customFormat="1" ht="14.1" hidden="1" customHeight="1" x14ac:dyDescent="0.2">
      <c r="A37" s="2096">
        <v>40288</v>
      </c>
      <c r="B37" s="3391">
        <v>2.7</v>
      </c>
      <c r="C37" s="3391"/>
      <c r="D37" s="3391">
        <v>3.2</v>
      </c>
      <c r="E37" s="3391"/>
      <c r="F37" s="3391">
        <v>2.1</v>
      </c>
      <c r="G37" s="3391"/>
      <c r="H37" s="2090"/>
      <c r="I37" s="2097"/>
      <c r="J37" s="2097"/>
    </row>
    <row r="38" spans="1:10" s="2093" customFormat="1" ht="14.1" hidden="1" customHeight="1" x14ac:dyDescent="0.2">
      <c r="A38" s="2096">
        <v>40318</v>
      </c>
      <c r="B38" s="3391">
        <v>2.5</v>
      </c>
      <c r="C38" s="3391"/>
      <c r="D38" s="3391">
        <v>2.8</v>
      </c>
      <c r="E38" s="3391"/>
      <c r="F38" s="3391">
        <v>2.2000000000000002</v>
      </c>
      <c r="G38" s="3391"/>
      <c r="H38" s="2090"/>
      <c r="I38" s="2097"/>
      <c r="J38" s="2097"/>
    </row>
    <row r="39" spans="1:10" s="2093" customFormat="1" ht="14.1" customHeight="1" x14ac:dyDescent="0.2">
      <c r="A39" s="2096">
        <v>40349</v>
      </c>
      <c r="B39" s="3391">
        <v>2.4</v>
      </c>
      <c r="C39" s="3391"/>
      <c r="D39" s="3391">
        <v>3</v>
      </c>
      <c r="E39" s="3391"/>
      <c r="F39" s="3391">
        <v>2.4</v>
      </c>
      <c r="G39" s="3391"/>
      <c r="H39" s="2090"/>
      <c r="I39" s="2097"/>
      <c r="J39" s="2097"/>
    </row>
    <row r="40" spans="1:10" s="2093" customFormat="1" ht="14.1" hidden="1" customHeight="1" x14ac:dyDescent="0.2">
      <c r="A40" s="2096">
        <v>40379</v>
      </c>
      <c r="B40" s="3391">
        <v>2</v>
      </c>
      <c r="C40" s="3391"/>
      <c r="D40" s="3391">
        <v>1.7</v>
      </c>
      <c r="E40" s="3391"/>
      <c r="F40" s="3391">
        <v>2.7</v>
      </c>
      <c r="G40" s="3391"/>
      <c r="H40" s="2090"/>
      <c r="I40" s="2097"/>
      <c r="J40" s="2097"/>
    </row>
    <row r="41" spans="1:10" s="2093" customFormat="1" ht="14.1" hidden="1" customHeight="1" x14ac:dyDescent="0.2">
      <c r="A41" s="2096">
        <v>40410</v>
      </c>
      <c r="B41" s="3391">
        <v>2.6</v>
      </c>
      <c r="C41" s="3391"/>
      <c r="D41" s="3391">
        <v>3.2</v>
      </c>
      <c r="E41" s="3391"/>
      <c r="F41" s="3391">
        <v>3</v>
      </c>
      <c r="G41" s="3391"/>
      <c r="H41" s="2090"/>
      <c r="I41" s="2097"/>
      <c r="J41" s="2097"/>
    </row>
    <row r="42" spans="1:10" s="2093" customFormat="1" ht="14.1" hidden="1" customHeight="1" x14ac:dyDescent="0.2">
      <c r="A42" s="2096">
        <v>40441</v>
      </c>
      <c r="B42" s="3391">
        <v>2.5</v>
      </c>
      <c r="C42" s="3391"/>
      <c r="D42" s="3391">
        <v>1.9</v>
      </c>
      <c r="E42" s="3391"/>
      <c r="F42" s="3391">
        <v>3</v>
      </c>
      <c r="G42" s="3391"/>
      <c r="H42" s="2090"/>
      <c r="I42" s="2097"/>
      <c r="J42" s="2097"/>
    </row>
    <row r="43" spans="1:10" s="2093" customFormat="1" ht="14.1" hidden="1" customHeight="1" x14ac:dyDescent="0.2">
      <c r="A43" s="2096">
        <v>40471</v>
      </c>
      <c r="B43" s="3391">
        <v>3.2</v>
      </c>
      <c r="C43" s="3391"/>
      <c r="D43" s="3391">
        <v>3.3</v>
      </c>
      <c r="E43" s="3391"/>
      <c r="F43" s="3391">
        <v>3.3</v>
      </c>
      <c r="G43" s="3391"/>
      <c r="H43" s="2090"/>
      <c r="I43" s="2097"/>
      <c r="J43" s="2097"/>
    </row>
    <row r="44" spans="1:10" s="2100" customFormat="1" ht="14.1" hidden="1" customHeight="1" x14ac:dyDescent="0.2">
      <c r="A44" s="2096">
        <v>40502</v>
      </c>
      <c r="B44" s="3391">
        <v>3.9</v>
      </c>
      <c r="C44" s="3391"/>
      <c r="D44" s="3391">
        <v>3.7</v>
      </c>
      <c r="E44" s="3391"/>
      <c r="F44" s="3391">
        <v>3.1</v>
      </c>
      <c r="G44" s="3391"/>
      <c r="H44" s="2098"/>
      <c r="I44" s="2099"/>
      <c r="J44" s="2099"/>
    </row>
    <row r="45" spans="1:10" s="2100" customFormat="1" ht="14.1" customHeight="1" x14ac:dyDescent="0.2">
      <c r="A45" s="2096">
        <v>40532</v>
      </c>
      <c r="B45" s="3391">
        <v>6.1</v>
      </c>
      <c r="C45" s="3391"/>
      <c r="D45" s="3391">
        <v>5.0999999999999996</v>
      </c>
      <c r="E45" s="3391"/>
      <c r="F45" s="3391">
        <v>4.4000000000000004</v>
      </c>
      <c r="G45" s="3391"/>
      <c r="H45" s="2098"/>
      <c r="I45" s="2099"/>
      <c r="J45" s="2099"/>
    </row>
    <row r="46" spans="1:10" s="2100" customFormat="1" ht="14.1" hidden="1" customHeight="1" x14ac:dyDescent="0.2">
      <c r="A46" s="2096">
        <v>40563</v>
      </c>
      <c r="B46" s="3391">
        <v>6.4</v>
      </c>
      <c r="C46" s="3391"/>
      <c r="D46" s="3391">
        <v>6.2</v>
      </c>
      <c r="E46" s="3391"/>
      <c r="F46" s="3391">
        <v>4.8</v>
      </c>
      <c r="G46" s="3391"/>
      <c r="H46" s="2098"/>
      <c r="I46" s="2099"/>
      <c r="J46" s="2099"/>
    </row>
    <row r="47" spans="1:10" s="2100" customFormat="1" ht="14.1" hidden="1" customHeight="1" x14ac:dyDescent="0.2">
      <c r="A47" s="2096">
        <v>40594</v>
      </c>
      <c r="B47" s="3391">
        <v>6.8</v>
      </c>
      <c r="C47" s="3391"/>
      <c r="D47" s="3391">
        <v>6.4</v>
      </c>
      <c r="E47" s="3391"/>
      <c r="F47" s="3391">
        <v>5.0999999999999996</v>
      </c>
      <c r="G47" s="3391"/>
      <c r="H47" s="2098"/>
      <c r="I47" s="2099"/>
      <c r="J47" s="2099"/>
    </row>
    <row r="48" spans="1:10" s="2100" customFormat="1" ht="14.1" hidden="1" customHeight="1" x14ac:dyDescent="0.2">
      <c r="A48" s="2096">
        <v>40622</v>
      </c>
      <c r="B48" s="3391">
        <v>7.2</v>
      </c>
      <c r="C48" s="3391"/>
      <c r="D48" s="3391">
        <v>7</v>
      </c>
      <c r="E48" s="3391"/>
      <c r="F48" s="3391">
        <v>5.4</v>
      </c>
      <c r="G48" s="3391"/>
      <c r="H48" s="2098"/>
      <c r="I48" s="2099"/>
      <c r="J48" s="2099"/>
    </row>
    <row r="49" spans="1:10" s="2100" customFormat="1" ht="14.1" hidden="1" customHeight="1" x14ac:dyDescent="0.2">
      <c r="A49" s="2096">
        <v>40653</v>
      </c>
      <c r="B49" s="3391">
        <v>7</v>
      </c>
      <c r="C49" s="3391"/>
      <c r="D49" s="3391">
        <v>6.6</v>
      </c>
      <c r="E49" s="3391"/>
      <c r="F49" s="3391">
        <v>6</v>
      </c>
      <c r="G49" s="3391"/>
      <c r="H49" s="2098"/>
      <c r="I49" s="2099"/>
      <c r="J49" s="2099"/>
    </row>
    <row r="50" spans="1:10" s="2100" customFormat="1" ht="14.1" hidden="1" customHeight="1" x14ac:dyDescent="0.2">
      <c r="A50" s="2096">
        <v>40683</v>
      </c>
      <c r="B50" s="3391">
        <v>7.1</v>
      </c>
      <c r="C50" s="3391"/>
      <c r="D50" s="3391">
        <v>7</v>
      </c>
      <c r="E50" s="3391"/>
      <c r="F50" s="3391">
        <v>5.8</v>
      </c>
      <c r="G50" s="3391"/>
      <c r="H50" s="2098"/>
      <c r="I50" s="2099"/>
      <c r="J50" s="2099"/>
    </row>
    <row r="51" spans="1:10" s="2100" customFormat="1" ht="14.1" customHeight="1" x14ac:dyDescent="0.2">
      <c r="A51" s="2096">
        <v>40714</v>
      </c>
      <c r="B51" s="3391">
        <v>6.6</v>
      </c>
      <c r="C51" s="3391"/>
      <c r="D51" s="3391">
        <v>5.9</v>
      </c>
      <c r="E51" s="3391"/>
      <c r="F51" s="3391">
        <v>5.3</v>
      </c>
      <c r="G51" s="3391"/>
      <c r="H51" s="2098"/>
      <c r="I51" s="2099"/>
      <c r="J51" s="2099"/>
    </row>
    <row r="52" spans="1:10" s="2100" customFormat="1" ht="14.1" hidden="1" customHeight="1" x14ac:dyDescent="0.2">
      <c r="A52" s="2096">
        <v>40744</v>
      </c>
      <c r="B52" s="3391">
        <v>6.7</v>
      </c>
      <c r="C52" s="3391"/>
      <c r="D52" s="3391">
        <v>6.4</v>
      </c>
      <c r="E52" s="3391"/>
      <c r="F52" s="3391">
        <v>4.9000000000000004</v>
      </c>
      <c r="G52" s="3391"/>
      <c r="H52" s="2098"/>
      <c r="I52" s="2099"/>
      <c r="J52" s="2099"/>
    </row>
    <row r="53" spans="1:10" s="2100" customFormat="1" ht="14.1" hidden="1" customHeight="1" x14ac:dyDescent="0.2">
      <c r="A53" s="2096">
        <v>40775</v>
      </c>
      <c r="B53" s="3391">
        <v>6.5</v>
      </c>
      <c r="C53" s="3391"/>
      <c r="D53" s="3391">
        <v>5.7</v>
      </c>
      <c r="E53" s="3391"/>
      <c r="F53" s="3391">
        <v>4.8</v>
      </c>
      <c r="G53" s="3391"/>
      <c r="H53" s="2098"/>
      <c r="I53" s="2099"/>
      <c r="J53" s="2099"/>
    </row>
    <row r="54" spans="1:10" s="2100" customFormat="1" ht="14.1" hidden="1" customHeight="1" x14ac:dyDescent="0.2">
      <c r="A54" s="2096">
        <v>40806</v>
      </c>
      <c r="B54" s="3391">
        <v>6.3</v>
      </c>
      <c r="C54" s="3391"/>
      <c r="D54" s="3391">
        <v>5.9</v>
      </c>
      <c r="E54" s="3391"/>
      <c r="F54" s="3391">
        <v>4.0999999999999996</v>
      </c>
      <c r="G54" s="3391"/>
      <c r="H54" s="2098"/>
      <c r="I54" s="2099"/>
      <c r="J54" s="2099"/>
    </row>
    <row r="55" spans="1:10" s="2100" customFormat="1" ht="14.1" hidden="1" customHeight="1" x14ac:dyDescent="0.2">
      <c r="A55" s="2096">
        <v>40836</v>
      </c>
      <c r="B55" s="3391">
        <v>6</v>
      </c>
      <c r="C55" s="3391"/>
      <c r="D55" s="3391">
        <v>5.3</v>
      </c>
      <c r="E55" s="3391"/>
      <c r="F55" s="3391">
        <v>3.9</v>
      </c>
      <c r="G55" s="3391"/>
      <c r="H55" s="2098"/>
      <c r="I55" s="2099"/>
      <c r="J55" s="2099"/>
    </row>
    <row r="56" spans="1:10" s="2100" customFormat="1" ht="14.1" hidden="1" customHeight="1" x14ac:dyDescent="0.2">
      <c r="A56" s="2096">
        <v>40867</v>
      </c>
      <c r="B56" s="3391">
        <v>7</v>
      </c>
      <c r="C56" s="3391"/>
      <c r="D56" s="3391">
        <v>5.5</v>
      </c>
      <c r="E56" s="3391"/>
      <c r="F56" s="3391">
        <v>4.0999999999999996</v>
      </c>
      <c r="G56" s="3391"/>
      <c r="H56" s="2098"/>
      <c r="I56" s="2099"/>
      <c r="J56" s="2099"/>
    </row>
    <row r="57" spans="1:10" s="2100" customFormat="1" ht="14.1" customHeight="1" x14ac:dyDescent="0.2">
      <c r="A57" s="2096">
        <v>40897</v>
      </c>
      <c r="B57" s="3391">
        <v>4.8</v>
      </c>
      <c r="C57" s="3391"/>
      <c r="D57" s="3391">
        <v>3.8</v>
      </c>
      <c r="E57" s="3391"/>
      <c r="F57" s="3391">
        <v>3</v>
      </c>
      <c r="G57" s="3391"/>
      <c r="H57" s="2098"/>
      <c r="I57" s="2099"/>
      <c r="J57" s="2099"/>
    </row>
    <row r="58" spans="1:10" s="2100" customFormat="1" ht="14.1" hidden="1" customHeight="1" x14ac:dyDescent="0.2">
      <c r="A58" s="2096">
        <v>40928</v>
      </c>
      <c r="B58" s="3391">
        <v>4.8</v>
      </c>
      <c r="C58" s="3391"/>
      <c r="D58" s="3391">
        <v>4.2</v>
      </c>
      <c r="E58" s="3391"/>
      <c r="F58" s="3391">
        <v>3.4</v>
      </c>
      <c r="G58" s="3391"/>
      <c r="H58" s="2098"/>
      <c r="I58" s="2099"/>
      <c r="J58" s="2099"/>
    </row>
    <row r="59" spans="1:10" s="2100" customFormat="1" ht="14.1" hidden="1" customHeight="1" x14ac:dyDescent="0.2">
      <c r="A59" s="2096">
        <v>40959</v>
      </c>
      <c r="B59" s="3391">
        <v>4.0999999999999996</v>
      </c>
      <c r="C59" s="3391"/>
      <c r="D59" s="3391">
        <v>3.6</v>
      </c>
      <c r="E59" s="3391"/>
      <c r="F59" s="3391">
        <v>3.4</v>
      </c>
      <c r="G59" s="3391"/>
      <c r="H59" s="2098"/>
      <c r="I59" s="2099"/>
      <c r="J59" s="2099"/>
    </row>
    <row r="60" spans="1:10" s="2100" customFormat="1" ht="14.1" hidden="1" customHeight="1" x14ac:dyDescent="0.2">
      <c r="A60" s="2096">
        <v>40988</v>
      </c>
      <c r="B60" s="3391">
        <v>3.8</v>
      </c>
      <c r="C60" s="3391"/>
      <c r="D60" s="3391">
        <v>3.4</v>
      </c>
      <c r="E60" s="3391"/>
      <c r="F60" s="3391">
        <v>3.3</v>
      </c>
      <c r="G60" s="3391"/>
      <c r="H60" s="2098"/>
      <c r="I60" s="2099"/>
      <c r="J60" s="2099"/>
    </row>
    <row r="61" spans="1:10" s="2100" customFormat="1" ht="14.1" hidden="1" customHeight="1" x14ac:dyDescent="0.2">
      <c r="A61" s="2096">
        <v>41019</v>
      </c>
      <c r="B61" s="3391">
        <v>3.8</v>
      </c>
      <c r="C61" s="3391"/>
      <c r="D61" s="3391">
        <v>3.1</v>
      </c>
      <c r="E61" s="3391"/>
      <c r="F61" s="3391">
        <v>2.8</v>
      </c>
      <c r="G61" s="3391"/>
      <c r="H61" s="2098"/>
      <c r="I61" s="2099"/>
      <c r="J61" s="2099"/>
    </row>
    <row r="62" spans="1:10" s="2100" customFormat="1" ht="14.1" hidden="1" customHeight="1" x14ac:dyDescent="0.2">
      <c r="A62" s="2096">
        <v>41049</v>
      </c>
      <c r="B62" s="3391">
        <v>3.8</v>
      </c>
      <c r="C62" s="3391"/>
      <c r="D62" s="3391">
        <v>3.1</v>
      </c>
      <c r="E62" s="3391"/>
      <c r="F62" s="3391">
        <v>2.8</v>
      </c>
      <c r="G62" s="3391"/>
      <c r="H62" s="2098"/>
      <c r="I62" s="2099"/>
      <c r="J62" s="2099"/>
    </row>
    <row r="63" spans="1:10" s="2100" customFormat="1" ht="13.5" customHeight="1" x14ac:dyDescent="0.2">
      <c r="A63" s="2096">
        <v>41080</v>
      </c>
      <c r="B63" s="3391">
        <v>3.9</v>
      </c>
      <c r="C63" s="3391"/>
      <c r="D63" s="3391">
        <v>3.1</v>
      </c>
      <c r="E63" s="3391"/>
      <c r="F63" s="3391">
        <v>2.7</v>
      </c>
      <c r="G63" s="3391"/>
      <c r="H63" s="2098"/>
      <c r="I63" s="2099"/>
      <c r="J63" s="2099"/>
    </row>
    <row r="64" spans="1:10" s="2100" customFormat="1" ht="14.1" hidden="1" customHeight="1" x14ac:dyDescent="0.2">
      <c r="A64" s="2096">
        <v>41110</v>
      </c>
      <c r="B64" s="3391">
        <v>3.7</v>
      </c>
      <c r="C64" s="3391"/>
      <c r="D64" s="3391">
        <v>3</v>
      </c>
      <c r="E64" s="3391"/>
      <c r="F64" s="3391">
        <v>2.8</v>
      </c>
      <c r="G64" s="3391"/>
      <c r="H64" s="2098"/>
      <c r="I64" s="2099"/>
      <c r="J64" s="2099"/>
    </row>
    <row r="65" spans="1:12" s="2100" customFormat="1" ht="14.25" hidden="1" customHeight="1" x14ac:dyDescent="0.2">
      <c r="A65" s="2096">
        <v>41141</v>
      </c>
      <c r="B65" s="3391">
        <v>3.7</v>
      </c>
      <c r="C65" s="3391"/>
      <c r="D65" s="3391">
        <v>3</v>
      </c>
      <c r="E65" s="3391"/>
      <c r="F65" s="3391">
        <v>2.7</v>
      </c>
      <c r="G65" s="3391"/>
      <c r="H65" s="2098"/>
      <c r="I65" s="2099"/>
      <c r="J65" s="2099"/>
      <c r="K65" s="2101"/>
    </row>
    <row r="66" spans="1:12" s="2100" customFormat="1" ht="14.1" hidden="1" customHeight="1" x14ac:dyDescent="0.2">
      <c r="A66" s="2096">
        <v>41172</v>
      </c>
      <c r="B66" s="3391">
        <v>3.9</v>
      </c>
      <c r="C66" s="3391"/>
      <c r="D66" s="3391">
        <v>3.4</v>
      </c>
      <c r="E66" s="3391"/>
      <c r="F66" s="3391">
        <v>3.3</v>
      </c>
      <c r="G66" s="3391"/>
      <c r="H66" s="2098"/>
      <c r="I66" s="2099"/>
      <c r="J66" s="2099"/>
      <c r="K66" s="2101"/>
    </row>
    <row r="67" spans="1:12" s="2100" customFormat="1" ht="14.1" hidden="1" customHeight="1" x14ac:dyDescent="0.2">
      <c r="A67" s="2096">
        <v>41202</v>
      </c>
      <c r="B67" s="3391">
        <v>4.2</v>
      </c>
      <c r="C67" s="3391"/>
      <c r="D67" s="3391">
        <v>3.6</v>
      </c>
      <c r="E67" s="3391"/>
      <c r="F67" s="3391">
        <v>3.5</v>
      </c>
      <c r="G67" s="3391"/>
      <c r="H67" s="2098"/>
      <c r="I67" s="2099"/>
      <c r="J67" s="2099"/>
      <c r="K67" s="2101"/>
    </row>
    <row r="68" spans="1:12" s="2100" customFormat="1" ht="14.1" hidden="1" customHeight="1" x14ac:dyDescent="0.2">
      <c r="A68" s="2096">
        <v>41233</v>
      </c>
      <c r="B68" s="3391">
        <v>3.1</v>
      </c>
      <c r="C68" s="3391"/>
      <c r="D68" s="3391">
        <v>3.2</v>
      </c>
      <c r="E68" s="3391"/>
      <c r="F68" s="3391">
        <v>3</v>
      </c>
      <c r="G68" s="3391"/>
      <c r="H68" s="2098"/>
      <c r="I68" s="2099"/>
      <c r="J68" s="2099"/>
      <c r="K68" s="2101"/>
    </row>
    <row r="69" spans="1:12" s="2100" customFormat="1" ht="14.1" customHeight="1" x14ac:dyDescent="0.2">
      <c r="A69" s="2096">
        <v>41263</v>
      </c>
      <c r="B69" s="3391">
        <v>3.2</v>
      </c>
      <c r="C69" s="3391"/>
      <c r="D69" s="3391">
        <v>3.2</v>
      </c>
      <c r="E69" s="3391"/>
      <c r="F69" s="3391">
        <v>3</v>
      </c>
      <c r="G69" s="3391"/>
      <c r="H69" s="2098"/>
      <c r="I69" s="2099"/>
      <c r="J69" s="2099"/>
      <c r="K69" s="2101"/>
    </row>
    <row r="70" spans="1:12" s="2100" customFormat="1" ht="14.1" hidden="1" customHeight="1" x14ac:dyDescent="0.2">
      <c r="A70" s="2096">
        <v>41294</v>
      </c>
      <c r="B70" s="3391">
        <v>2.9</v>
      </c>
      <c r="C70" s="3391"/>
      <c r="D70" s="3391">
        <v>2.2000000000000002</v>
      </c>
      <c r="E70" s="3391"/>
      <c r="F70" s="3391">
        <v>2.6</v>
      </c>
      <c r="G70" s="3391"/>
      <c r="H70" s="2098"/>
      <c r="I70" s="2099"/>
      <c r="J70" s="2099"/>
      <c r="K70" s="2101"/>
    </row>
    <row r="71" spans="1:12" s="2100" customFormat="1" ht="14.1" hidden="1" customHeight="1" x14ac:dyDescent="0.2">
      <c r="A71" s="2096">
        <v>41325</v>
      </c>
      <c r="B71" s="3391">
        <v>3.6</v>
      </c>
      <c r="C71" s="3391"/>
      <c r="D71" s="3391">
        <v>2.2000000000000002</v>
      </c>
      <c r="E71" s="3391"/>
      <c r="F71" s="3391">
        <v>2.6</v>
      </c>
      <c r="G71" s="3391"/>
      <c r="H71" s="2098"/>
      <c r="I71" s="2099"/>
      <c r="J71" s="2099"/>
      <c r="K71" s="2101"/>
    </row>
    <row r="72" spans="1:12" s="2100" customFormat="1" ht="14.1" hidden="1" customHeight="1" x14ac:dyDescent="0.2">
      <c r="A72" s="2096">
        <v>41353</v>
      </c>
      <c r="B72" s="3391">
        <v>3.6</v>
      </c>
      <c r="C72" s="3391"/>
      <c r="D72" s="3391">
        <v>2.7</v>
      </c>
      <c r="E72" s="3391"/>
      <c r="F72" s="3391">
        <v>2.7</v>
      </c>
      <c r="G72" s="3391"/>
      <c r="H72" s="2098"/>
      <c r="I72" s="2099"/>
      <c r="J72" s="2099"/>
      <c r="K72" s="2101"/>
    </row>
    <row r="73" spans="1:12" s="2100" customFormat="1" ht="14.1" hidden="1" customHeight="1" x14ac:dyDescent="0.2">
      <c r="A73" s="2096">
        <v>41384</v>
      </c>
      <c r="B73" s="3391">
        <v>3.8</v>
      </c>
      <c r="C73" s="3391"/>
      <c r="D73" s="3391">
        <v>2.6</v>
      </c>
      <c r="E73" s="3391"/>
      <c r="F73" s="3391">
        <v>2.6</v>
      </c>
      <c r="G73" s="3391"/>
      <c r="H73" s="2098"/>
      <c r="I73" s="2099"/>
      <c r="J73" s="2099"/>
      <c r="K73" s="2101"/>
    </row>
    <row r="74" spans="1:12" s="2100" customFormat="1" ht="14.1" hidden="1" customHeight="1" x14ac:dyDescent="0.2">
      <c r="A74" s="2096">
        <v>41414</v>
      </c>
      <c r="B74" s="3391">
        <v>3.7</v>
      </c>
      <c r="C74" s="3391"/>
      <c r="D74" s="3391">
        <v>2.6</v>
      </c>
      <c r="E74" s="3391"/>
      <c r="F74" s="3391">
        <v>2.5</v>
      </c>
      <c r="G74" s="3391"/>
      <c r="H74" s="2098"/>
      <c r="I74" s="2099"/>
      <c r="J74" s="2099"/>
      <c r="K74" s="2101"/>
    </row>
    <row r="75" spans="1:12" s="2100" customFormat="1" ht="14.1" customHeight="1" x14ac:dyDescent="0.2">
      <c r="A75" s="2096">
        <v>41445</v>
      </c>
      <c r="B75" s="3391">
        <v>3.6</v>
      </c>
      <c r="C75" s="3391"/>
      <c r="D75" s="3391">
        <v>2.5</v>
      </c>
      <c r="E75" s="3391"/>
      <c r="F75" s="3391">
        <v>2.4</v>
      </c>
      <c r="G75" s="3391"/>
      <c r="H75" s="2098"/>
      <c r="I75" s="2099"/>
      <c r="J75" s="2099"/>
      <c r="K75" s="2101"/>
      <c r="L75" s="2101"/>
    </row>
    <row r="76" spans="1:12" s="2100" customFormat="1" ht="14.1" hidden="1" customHeight="1" x14ac:dyDescent="0.2">
      <c r="A76" s="2096">
        <v>41475</v>
      </c>
      <c r="B76" s="3392">
        <v>3.6</v>
      </c>
      <c r="C76" s="3393"/>
      <c r="D76" s="3392">
        <v>2.7</v>
      </c>
      <c r="E76" s="3393"/>
      <c r="F76" s="3392">
        <v>2.5</v>
      </c>
      <c r="G76" s="3393"/>
      <c r="H76" s="2098"/>
      <c r="I76" s="2099"/>
      <c r="J76" s="2099"/>
      <c r="K76" s="2101"/>
    </row>
    <row r="77" spans="1:12" s="2100" customFormat="1" ht="14.1" hidden="1" customHeight="1" x14ac:dyDescent="0.2">
      <c r="A77" s="2096">
        <v>41487</v>
      </c>
      <c r="B77" s="3391">
        <v>3.1</v>
      </c>
      <c r="C77" s="3391"/>
      <c r="D77" s="3391">
        <v>2.6</v>
      </c>
      <c r="E77" s="3391"/>
      <c r="F77" s="3391">
        <v>2.2999999999999998</v>
      </c>
      <c r="G77" s="3391"/>
      <c r="H77" s="2098"/>
      <c r="I77" s="2099"/>
      <c r="J77" s="2099"/>
      <c r="K77" s="2101"/>
    </row>
    <row r="78" spans="1:12" s="2100" customFormat="1" ht="14.1" hidden="1" customHeight="1" x14ac:dyDescent="0.2">
      <c r="A78" s="2096">
        <v>41518</v>
      </c>
      <c r="B78" s="3392">
        <v>3.3</v>
      </c>
      <c r="C78" s="3393"/>
      <c r="D78" s="3392">
        <v>2.6</v>
      </c>
      <c r="E78" s="3393"/>
      <c r="F78" s="3392">
        <v>2.2000000000000002</v>
      </c>
      <c r="G78" s="3393"/>
      <c r="H78" s="2098"/>
      <c r="I78" s="2099"/>
      <c r="J78" s="2099"/>
      <c r="K78" s="2101"/>
    </row>
    <row r="79" spans="1:12" s="2100" customFormat="1" ht="14.1" hidden="1" customHeight="1" x14ac:dyDescent="0.2">
      <c r="A79" s="2096">
        <v>41548</v>
      </c>
      <c r="B79" s="3391">
        <v>3.4</v>
      </c>
      <c r="C79" s="3391"/>
      <c r="D79" s="3391">
        <v>2.6</v>
      </c>
      <c r="E79" s="3391"/>
      <c r="F79" s="3391">
        <v>2.2999999999999998</v>
      </c>
      <c r="G79" s="3391"/>
      <c r="H79" s="2098"/>
      <c r="I79" s="2099"/>
      <c r="J79" s="2099"/>
      <c r="K79" s="2101"/>
    </row>
    <row r="80" spans="1:12" s="2100" customFormat="1" ht="14.1" hidden="1" customHeight="1" x14ac:dyDescent="0.2">
      <c r="A80" s="2096">
        <v>41579</v>
      </c>
      <c r="B80" s="3391">
        <v>3.9</v>
      </c>
      <c r="C80" s="3391"/>
      <c r="D80" s="3391">
        <v>3</v>
      </c>
      <c r="E80" s="3391"/>
      <c r="F80" s="3391">
        <v>2.9</v>
      </c>
      <c r="G80" s="3391"/>
      <c r="H80" s="2098"/>
      <c r="I80" s="2099"/>
      <c r="J80" s="2099"/>
      <c r="K80" s="2101"/>
    </row>
    <row r="81" spans="1:14" s="2100" customFormat="1" ht="14.1" customHeight="1" x14ac:dyDescent="0.2">
      <c r="A81" s="2096">
        <v>41609</v>
      </c>
      <c r="B81" s="3391">
        <v>4</v>
      </c>
      <c r="C81" s="3391"/>
      <c r="D81" s="3391">
        <v>3.3</v>
      </c>
      <c r="E81" s="3391"/>
      <c r="F81" s="3391">
        <v>3.2</v>
      </c>
      <c r="G81" s="3391"/>
      <c r="H81" s="2098"/>
      <c r="I81" s="2099"/>
      <c r="J81" s="2099"/>
      <c r="K81" s="2101"/>
    </row>
    <row r="82" spans="1:14" s="2100" customFormat="1" ht="14.1" hidden="1" customHeight="1" x14ac:dyDescent="0.2">
      <c r="A82" s="2096">
        <v>41640</v>
      </c>
      <c r="B82" s="3391">
        <v>5.0999999999999996</v>
      </c>
      <c r="C82" s="3391"/>
      <c r="D82" s="3391">
        <v>3.6</v>
      </c>
      <c r="E82" s="3391"/>
      <c r="F82" s="3391">
        <v>3.4</v>
      </c>
      <c r="G82" s="3391"/>
      <c r="H82" s="2098"/>
      <c r="I82" s="2099"/>
      <c r="J82" s="2099"/>
      <c r="K82" s="2101"/>
      <c r="N82" s="2100" t="s">
        <v>25</v>
      </c>
    </row>
    <row r="83" spans="1:14" s="2100" customFormat="1" ht="14.1" hidden="1" customHeight="1" x14ac:dyDescent="0.2">
      <c r="A83" s="2096">
        <v>41671</v>
      </c>
      <c r="B83" s="3391">
        <v>5.6</v>
      </c>
      <c r="C83" s="3391"/>
      <c r="D83" s="3391">
        <v>3.5</v>
      </c>
      <c r="E83" s="3391"/>
      <c r="F83" s="3391">
        <v>3.2</v>
      </c>
      <c r="G83" s="3391"/>
      <c r="H83" s="2098"/>
      <c r="I83" s="2099"/>
      <c r="J83" s="2099"/>
      <c r="K83" s="2101"/>
    </row>
    <row r="84" spans="1:14" s="2100" customFormat="1" ht="14.1" hidden="1" customHeight="1" x14ac:dyDescent="0.2">
      <c r="A84" s="2096">
        <v>41699</v>
      </c>
      <c r="B84" s="3391">
        <v>4.5</v>
      </c>
      <c r="C84" s="3391"/>
      <c r="D84" s="3391">
        <v>2.7</v>
      </c>
      <c r="E84" s="3391"/>
      <c r="F84" s="3391">
        <v>3.1</v>
      </c>
      <c r="G84" s="3391"/>
      <c r="H84" s="2098"/>
      <c r="I84" s="2099"/>
      <c r="J84" s="2099"/>
      <c r="K84" s="2101"/>
    </row>
    <row r="85" spans="1:14" s="2100" customFormat="1" ht="14.1" hidden="1" customHeight="1" x14ac:dyDescent="0.2">
      <c r="A85" s="2096">
        <v>41730</v>
      </c>
      <c r="B85" s="3391">
        <v>4.2</v>
      </c>
      <c r="C85" s="3391"/>
      <c r="D85" s="3391">
        <v>2.8</v>
      </c>
      <c r="E85" s="3391"/>
      <c r="F85" s="3391">
        <v>3.3</v>
      </c>
      <c r="G85" s="3391"/>
      <c r="H85" s="2098"/>
      <c r="I85" s="2099"/>
      <c r="J85" s="2099"/>
      <c r="K85" s="2101"/>
    </row>
    <row r="86" spans="1:14" s="2100" customFormat="1" ht="14.1" hidden="1" customHeight="1" x14ac:dyDescent="0.2">
      <c r="A86" s="2096">
        <v>41760</v>
      </c>
      <c r="B86" s="3391">
        <v>3.4</v>
      </c>
      <c r="C86" s="3391"/>
      <c r="D86" s="3391">
        <v>2.9</v>
      </c>
      <c r="E86" s="3391"/>
      <c r="F86" s="3391">
        <v>3.4</v>
      </c>
      <c r="G86" s="3391"/>
      <c r="H86" s="2098"/>
      <c r="I86" s="2099"/>
      <c r="J86" s="2099"/>
      <c r="K86" s="2101"/>
    </row>
    <row r="87" spans="1:14" s="2100" customFormat="1" ht="14.1" customHeight="1" x14ac:dyDescent="0.2">
      <c r="A87" s="2096">
        <v>41791</v>
      </c>
      <c r="B87" s="3391">
        <v>3.3</v>
      </c>
      <c r="C87" s="3391"/>
      <c r="D87" s="3391">
        <v>2.7</v>
      </c>
      <c r="E87" s="3391"/>
      <c r="F87" s="3391">
        <v>3.2</v>
      </c>
      <c r="G87" s="3391"/>
      <c r="H87" s="2098"/>
      <c r="I87" s="2099"/>
      <c r="J87" s="2099"/>
      <c r="K87" s="2101"/>
    </row>
    <row r="88" spans="1:14" s="2100" customFormat="1" ht="14.1" hidden="1" customHeight="1" x14ac:dyDescent="0.2">
      <c r="A88" s="2096">
        <v>41821</v>
      </c>
      <c r="B88" s="3391">
        <v>3.1</v>
      </c>
      <c r="C88" s="3391"/>
      <c r="D88" s="3391">
        <v>2.7</v>
      </c>
      <c r="E88" s="3391"/>
      <c r="F88" s="3391">
        <v>3.2</v>
      </c>
      <c r="G88" s="3391"/>
      <c r="H88" s="2098"/>
      <c r="I88" s="2099"/>
      <c r="J88" s="2099"/>
      <c r="K88" s="2101"/>
    </row>
    <row r="89" spans="1:14" s="2100" customFormat="1" ht="14.1" hidden="1" customHeight="1" x14ac:dyDescent="0.2">
      <c r="A89" s="2096">
        <v>41852</v>
      </c>
      <c r="B89" s="3391">
        <v>3.8</v>
      </c>
      <c r="C89" s="3391"/>
      <c r="D89" s="3391">
        <v>2.7</v>
      </c>
      <c r="E89" s="3391"/>
      <c r="F89" s="3391">
        <v>3.5</v>
      </c>
      <c r="G89" s="3391"/>
      <c r="H89" s="2098"/>
      <c r="I89" s="2099"/>
      <c r="J89" s="2099"/>
      <c r="K89" s="2101"/>
    </row>
    <row r="90" spans="1:14" s="2100" customFormat="1" ht="14.1" hidden="1" customHeight="1" x14ac:dyDescent="0.2">
      <c r="A90" s="2096">
        <v>41883</v>
      </c>
      <c r="B90" s="3391">
        <v>2.9</v>
      </c>
      <c r="C90" s="3391"/>
      <c r="D90" s="3391">
        <v>2.2999999999999998</v>
      </c>
      <c r="E90" s="3391"/>
      <c r="F90" s="3391">
        <v>3.3</v>
      </c>
      <c r="G90" s="3391"/>
      <c r="H90" s="2098"/>
      <c r="I90" s="2099"/>
      <c r="J90" s="2099"/>
      <c r="K90" s="2101"/>
    </row>
    <row r="91" spans="1:14" s="2100" customFormat="1" ht="14.1" hidden="1" customHeight="1" x14ac:dyDescent="0.2">
      <c r="A91" s="2096">
        <v>41913</v>
      </c>
      <c r="B91" s="3391">
        <v>1.9</v>
      </c>
      <c r="C91" s="3391"/>
      <c r="D91" s="3391">
        <v>2.1</v>
      </c>
      <c r="E91" s="3391"/>
      <c r="F91" s="3391">
        <v>3</v>
      </c>
      <c r="G91" s="3391"/>
      <c r="H91" s="2098"/>
      <c r="I91" s="2099"/>
      <c r="J91" s="2099"/>
      <c r="K91" s="2101"/>
    </row>
    <row r="92" spans="1:14" s="2100" customFormat="1" ht="14.1" hidden="1" customHeight="1" x14ac:dyDescent="0.2">
      <c r="A92" s="2096">
        <v>41944</v>
      </c>
      <c r="B92" s="3391">
        <v>0.9</v>
      </c>
      <c r="C92" s="3391"/>
      <c r="D92" s="3391">
        <v>1.7</v>
      </c>
      <c r="E92" s="3391"/>
      <c r="F92" s="3391">
        <v>2.6</v>
      </c>
      <c r="G92" s="3391"/>
      <c r="H92" s="2098"/>
      <c r="I92" s="2099"/>
      <c r="J92" s="2099"/>
      <c r="K92" s="2101"/>
    </row>
    <row r="93" spans="1:14" s="2100" customFormat="1" ht="14.1" customHeight="1" x14ac:dyDescent="0.2">
      <c r="A93" s="2096">
        <v>41974</v>
      </c>
      <c r="B93" s="3391">
        <v>0.2</v>
      </c>
      <c r="C93" s="3391"/>
      <c r="D93" s="3391">
        <v>0.8</v>
      </c>
      <c r="E93" s="3391"/>
      <c r="F93" s="3391">
        <v>2.1</v>
      </c>
      <c r="G93" s="3391"/>
      <c r="H93" s="2098"/>
      <c r="I93" s="2099"/>
      <c r="J93" s="2099"/>
      <c r="K93" s="2101"/>
    </row>
    <row r="94" spans="1:14" s="2100" customFormat="1" ht="14.1" hidden="1" customHeight="1" x14ac:dyDescent="0.2">
      <c r="A94" s="2096">
        <v>42005</v>
      </c>
      <c r="B94" s="3391">
        <v>0.7</v>
      </c>
      <c r="C94" s="3391"/>
      <c r="D94" s="3391">
        <v>-0.4</v>
      </c>
      <c r="E94" s="3391"/>
      <c r="F94" s="3391">
        <v>0.8</v>
      </c>
      <c r="G94" s="3391"/>
      <c r="H94" s="2098"/>
      <c r="I94" s="2099"/>
      <c r="J94" s="2099"/>
      <c r="K94" s="2101"/>
    </row>
    <row r="95" spans="1:14" s="2100" customFormat="1" ht="14.1" hidden="1" customHeight="1" x14ac:dyDescent="0.2">
      <c r="A95" s="2096">
        <v>42036</v>
      </c>
      <c r="B95" s="3391">
        <v>2</v>
      </c>
      <c r="C95" s="3391"/>
      <c r="D95" s="3391">
        <v>0.2</v>
      </c>
      <c r="E95" s="3391"/>
      <c r="F95" s="3391">
        <v>1.6</v>
      </c>
      <c r="G95" s="3391"/>
      <c r="H95" s="2098"/>
      <c r="I95" s="2099"/>
      <c r="J95" s="2099"/>
      <c r="K95" s="2101"/>
    </row>
    <row r="96" spans="1:14" s="2100" customFormat="1" ht="14.1" hidden="1" customHeight="1" x14ac:dyDescent="0.2">
      <c r="A96" s="2096">
        <v>42064</v>
      </c>
      <c r="B96" s="3391">
        <v>2.2000000000000002</v>
      </c>
      <c r="C96" s="3391"/>
      <c r="D96" s="3391">
        <v>0.3</v>
      </c>
      <c r="E96" s="3391"/>
      <c r="F96" s="3391">
        <v>1.6</v>
      </c>
      <c r="G96" s="3391"/>
      <c r="H96" s="2098"/>
      <c r="I96" s="2099"/>
      <c r="J96" s="2099"/>
      <c r="K96" s="2101"/>
    </row>
    <row r="97" spans="1:11" s="2100" customFormat="1" ht="14.1" hidden="1" customHeight="1" x14ac:dyDescent="0.2">
      <c r="A97" s="2096">
        <v>42095</v>
      </c>
      <c r="B97" s="3391">
        <v>2.1</v>
      </c>
      <c r="C97" s="3391"/>
      <c r="D97" s="3391">
        <v>0.3</v>
      </c>
      <c r="E97" s="3391"/>
      <c r="F97" s="3391">
        <v>1.6</v>
      </c>
      <c r="G97" s="3391"/>
      <c r="H97" s="2098"/>
      <c r="I97" s="2099"/>
      <c r="J97" s="2099"/>
      <c r="K97" s="2101"/>
    </row>
    <row r="98" spans="1:11" s="2100" customFormat="1" ht="13.5" hidden="1" customHeight="1" x14ac:dyDescent="0.2">
      <c r="A98" s="2096">
        <v>42125</v>
      </c>
      <c r="B98" s="3391">
        <v>0.5</v>
      </c>
      <c r="C98" s="3391"/>
      <c r="D98" s="3391">
        <v>0.5</v>
      </c>
      <c r="E98" s="3391"/>
      <c r="F98" s="3391">
        <v>1.9</v>
      </c>
      <c r="G98" s="3391"/>
      <c r="H98" s="2098"/>
      <c r="I98" s="2099"/>
      <c r="J98" s="2099"/>
      <c r="K98" s="2101"/>
    </row>
    <row r="99" spans="1:11" s="2100" customFormat="1" ht="13.5" customHeight="1" x14ac:dyDescent="0.2">
      <c r="A99" s="2096">
        <v>42156</v>
      </c>
      <c r="B99" s="3391">
        <v>0.4</v>
      </c>
      <c r="C99" s="3391"/>
      <c r="D99" s="3391">
        <v>0.6</v>
      </c>
      <c r="E99" s="3391"/>
      <c r="F99" s="3391">
        <v>2.1</v>
      </c>
      <c r="G99" s="3391"/>
      <c r="H99" s="2098"/>
      <c r="I99" s="2099"/>
      <c r="J99" s="2099"/>
      <c r="K99" s="2101"/>
    </row>
    <row r="100" spans="1:11" s="2100" customFormat="1" ht="13.5" customHeight="1" x14ac:dyDescent="0.2">
      <c r="A100" s="2096">
        <v>42186</v>
      </c>
      <c r="B100" s="3391">
        <v>0.6</v>
      </c>
      <c r="C100" s="3391"/>
      <c r="D100" s="3391">
        <v>0.2</v>
      </c>
      <c r="E100" s="3391"/>
      <c r="F100" s="3391">
        <v>1.6</v>
      </c>
      <c r="G100" s="3391"/>
      <c r="H100" s="2098"/>
      <c r="I100" s="2099"/>
      <c r="J100" s="2099"/>
      <c r="K100" s="2101"/>
    </row>
    <row r="101" spans="1:11" s="2100" customFormat="1" ht="15.75" customHeight="1" x14ac:dyDescent="0.2">
      <c r="A101" s="2096">
        <v>42217</v>
      </c>
      <c r="B101" s="3391">
        <v>1.1000000000000001</v>
      </c>
      <c r="C101" s="3391"/>
      <c r="D101" s="3391">
        <v>0.4</v>
      </c>
      <c r="E101" s="3391"/>
      <c r="F101" s="3391">
        <v>1.7</v>
      </c>
      <c r="G101" s="3391"/>
      <c r="H101" s="2098"/>
      <c r="I101" s="2099"/>
      <c r="J101" s="2099"/>
      <c r="K101" s="2101"/>
    </row>
    <row r="102" spans="1:11" s="2100" customFormat="1" ht="15.75" customHeight="1" x14ac:dyDescent="0.2">
      <c r="A102" s="2096">
        <v>42248</v>
      </c>
      <c r="B102" s="3391">
        <v>2</v>
      </c>
      <c r="C102" s="3391"/>
      <c r="D102" s="3391">
        <v>0.9</v>
      </c>
      <c r="E102" s="3391"/>
      <c r="F102" s="3391">
        <v>2</v>
      </c>
      <c r="G102" s="3391"/>
      <c r="H102" s="2098"/>
      <c r="I102" s="2099"/>
      <c r="J102" s="2099"/>
      <c r="K102" s="2101"/>
    </row>
    <row r="103" spans="1:11" s="2100" customFormat="1" ht="15.75" customHeight="1" x14ac:dyDescent="0.2">
      <c r="A103" s="2096">
        <v>42278</v>
      </c>
      <c r="B103" s="3391">
        <v>1.5</v>
      </c>
      <c r="C103" s="3391"/>
      <c r="D103" s="3391">
        <v>0.7</v>
      </c>
      <c r="E103" s="3391"/>
      <c r="F103" s="3391">
        <v>1.8</v>
      </c>
      <c r="G103" s="3391"/>
      <c r="H103" s="2098"/>
      <c r="I103" s="2099"/>
      <c r="J103" s="2099"/>
      <c r="K103" s="2101"/>
    </row>
    <row r="104" spans="1:11" s="2100" customFormat="1" ht="15.75" customHeight="1" x14ac:dyDescent="0.2">
      <c r="A104" s="2096">
        <v>42309</v>
      </c>
      <c r="B104" s="3391">
        <v>1</v>
      </c>
      <c r="C104" s="3391"/>
      <c r="D104" s="3391">
        <v>0.5</v>
      </c>
      <c r="E104" s="3391"/>
      <c r="F104" s="3391">
        <v>2</v>
      </c>
      <c r="G104" s="3391"/>
      <c r="H104" s="2098"/>
      <c r="I104" s="2099"/>
      <c r="J104" s="2099"/>
      <c r="K104" s="2101"/>
    </row>
    <row r="105" spans="1:11" s="2100" customFormat="1" ht="15.75" customHeight="1" x14ac:dyDescent="0.2">
      <c r="A105" s="2096">
        <v>42339</v>
      </c>
      <c r="B105" s="3391">
        <v>1.3</v>
      </c>
      <c r="C105" s="3391"/>
      <c r="D105" s="3391">
        <v>1.1000000000000001</v>
      </c>
      <c r="E105" s="3391"/>
      <c r="F105" s="3391">
        <v>2.2999999999999998</v>
      </c>
      <c r="G105" s="3391"/>
      <c r="H105" s="2098"/>
      <c r="I105" s="2099"/>
      <c r="J105" s="2099"/>
      <c r="K105" s="2101"/>
    </row>
    <row r="106" spans="1:11" s="2100" customFormat="1" ht="15.75" customHeight="1" x14ac:dyDescent="0.2">
      <c r="A106" s="2096">
        <v>42370</v>
      </c>
      <c r="B106" s="3391">
        <v>0.4</v>
      </c>
      <c r="C106" s="3391"/>
      <c r="D106" s="3391">
        <v>1.9</v>
      </c>
      <c r="E106" s="3391"/>
      <c r="F106" s="3391">
        <v>3.5</v>
      </c>
      <c r="G106" s="3391"/>
      <c r="H106" s="2098"/>
      <c r="I106" s="2099"/>
      <c r="J106" s="2099"/>
      <c r="K106" s="2101"/>
    </row>
    <row r="107" spans="1:11" s="2100" customFormat="1" ht="15.75" customHeight="1" x14ac:dyDescent="0.2">
      <c r="A107" s="2096">
        <v>42401</v>
      </c>
      <c r="B107" s="3391">
        <v>-0.5</v>
      </c>
      <c r="C107" s="3391"/>
      <c r="D107" s="3391">
        <v>0.9</v>
      </c>
      <c r="E107" s="3391"/>
      <c r="F107" s="3391">
        <v>2.8</v>
      </c>
      <c r="G107" s="3391"/>
      <c r="H107" s="2098"/>
      <c r="I107" s="2099"/>
      <c r="J107" s="2099"/>
      <c r="K107" s="2101"/>
    </row>
    <row r="108" spans="1:11" s="2100" customFormat="1" ht="15.75" customHeight="1" x14ac:dyDescent="0.2">
      <c r="A108" s="2096">
        <v>42430</v>
      </c>
      <c r="B108" s="3391">
        <v>0.9</v>
      </c>
      <c r="C108" s="3391"/>
      <c r="D108" s="3391">
        <v>0.6</v>
      </c>
      <c r="E108" s="3391"/>
      <c r="F108" s="3391">
        <v>2.5</v>
      </c>
      <c r="G108" s="3391"/>
      <c r="H108" s="2098"/>
      <c r="I108" s="2099"/>
      <c r="J108" s="2099"/>
      <c r="K108" s="2101"/>
    </row>
    <row r="109" spans="1:11" s="2100" customFormat="1" ht="15.75" customHeight="1" x14ac:dyDescent="0.2">
      <c r="A109" s="2096">
        <v>42461</v>
      </c>
      <c r="B109" s="3391">
        <v>0.2</v>
      </c>
      <c r="C109" s="3391"/>
      <c r="D109" s="3391">
        <v>0.7</v>
      </c>
      <c r="E109" s="3391"/>
      <c r="F109" s="3391">
        <v>2.6</v>
      </c>
      <c r="G109" s="3391"/>
      <c r="H109" s="2098"/>
      <c r="I109" s="2099"/>
      <c r="J109" s="2099"/>
      <c r="K109" s="2101"/>
    </row>
    <row r="110" spans="1:11" s="2100" customFormat="1" ht="15.75" customHeight="1" x14ac:dyDescent="0.2">
      <c r="A110" s="2096">
        <v>42491</v>
      </c>
      <c r="B110" s="3391">
        <v>0.8</v>
      </c>
      <c r="C110" s="3391"/>
      <c r="D110" s="3391">
        <v>-0.1</v>
      </c>
      <c r="E110" s="3391"/>
      <c r="F110" s="3391">
        <v>1.7</v>
      </c>
      <c r="G110" s="3391"/>
      <c r="H110" s="2098"/>
      <c r="I110" s="2099"/>
      <c r="J110" s="2099"/>
      <c r="K110" s="2101"/>
    </row>
    <row r="111" spans="1:11" s="2100" customFormat="1" ht="3.75" customHeight="1" thickBot="1" x14ac:dyDescent="0.25">
      <c r="A111" s="2102"/>
      <c r="B111" s="3394"/>
      <c r="C111" s="3394"/>
      <c r="D111" s="3394"/>
      <c r="E111" s="3394"/>
      <c r="F111" s="3394"/>
      <c r="G111" s="3394"/>
      <c r="H111" s="2098"/>
      <c r="I111" s="2099"/>
      <c r="J111" s="2099"/>
      <c r="K111" s="2101"/>
    </row>
    <row r="112" spans="1:11" ht="14.1" customHeight="1" x14ac:dyDescent="0.25">
      <c r="A112" s="2103" t="s">
        <v>3684</v>
      </c>
      <c r="B112" s="2104"/>
      <c r="C112" s="2104"/>
      <c r="D112" s="2104"/>
      <c r="E112" s="2104"/>
      <c r="F112" s="2104"/>
      <c r="G112" s="2104"/>
      <c r="H112" s="2104"/>
      <c r="I112" s="2105"/>
      <c r="J112" s="2105"/>
      <c r="K112" s="2105"/>
    </row>
    <row r="113" spans="1:12" ht="14.1" customHeight="1" x14ac:dyDescent="0.25">
      <c r="A113" s="2103" t="s">
        <v>3685</v>
      </c>
      <c r="B113" s="2104"/>
      <c r="C113" s="2104"/>
      <c r="D113" s="2104"/>
      <c r="E113" s="2104"/>
      <c r="F113" s="2104"/>
      <c r="G113" s="2103"/>
      <c r="H113" s="2103"/>
      <c r="I113" s="2103"/>
      <c r="J113" s="2103"/>
      <c r="K113" s="2105"/>
    </row>
    <row r="114" spans="1:12" ht="14.1" customHeight="1" x14ac:dyDescent="0.25">
      <c r="A114" s="2103" t="s">
        <v>3686</v>
      </c>
      <c r="B114" s="2105"/>
      <c r="C114" s="2104"/>
      <c r="D114" s="2104"/>
      <c r="E114" s="2104"/>
      <c r="F114" s="2104"/>
      <c r="G114" s="2103"/>
      <c r="H114" s="2103"/>
      <c r="I114" s="2103"/>
      <c r="J114" s="2103"/>
      <c r="K114" s="2105"/>
    </row>
    <row r="115" spans="1:12" ht="14.1" customHeight="1" x14ac:dyDescent="0.25">
      <c r="A115" s="2103" t="s">
        <v>3687</v>
      </c>
      <c r="B115" s="2105"/>
      <c r="C115" s="2104"/>
      <c r="D115" s="2104"/>
      <c r="E115" s="2104"/>
      <c r="F115" s="2104"/>
      <c r="G115" s="2103"/>
      <c r="H115" s="2103"/>
      <c r="I115" s="2103"/>
      <c r="J115" s="2103"/>
      <c r="K115" s="2105"/>
    </row>
    <row r="116" spans="1:12" ht="14.1" customHeight="1" x14ac:dyDescent="0.25">
      <c r="A116" s="2103" t="s">
        <v>3688</v>
      </c>
      <c r="B116" s="2105"/>
      <c r="C116" s="2104"/>
      <c r="D116" s="2104"/>
      <c r="E116" s="2104"/>
      <c r="F116" s="2104"/>
      <c r="G116" s="2103"/>
      <c r="H116" s="2103"/>
      <c r="I116" s="2103"/>
      <c r="J116" s="2103"/>
      <c r="K116" s="2105"/>
    </row>
    <row r="117" spans="1:12" ht="14.1" customHeight="1" x14ac:dyDescent="0.25">
      <c r="A117" s="2103" t="s">
        <v>3689</v>
      </c>
      <c r="B117" s="2105"/>
      <c r="C117" s="2104"/>
      <c r="D117" s="2104"/>
      <c r="E117" s="2104"/>
      <c r="F117" s="2104"/>
      <c r="G117" s="2103"/>
      <c r="H117" s="2103"/>
      <c r="I117" s="2103"/>
      <c r="J117" s="2103"/>
      <c r="K117" s="2105"/>
    </row>
    <row r="118" spans="1:12" ht="14.1" customHeight="1" x14ac:dyDescent="0.25">
      <c r="A118" s="2103" t="s">
        <v>3690</v>
      </c>
      <c r="B118" s="2104"/>
      <c r="C118" s="2104"/>
      <c r="D118" s="2104"/>
      <c r="E118" s="2104"/>
      <c r="F118" s="2104"/>
      <c r="G118" s="2103"/>
      <c r="H118" s="2103"/>
      <c r="I118" s="2103"/>
      <c r="J118" s="2103"/>
      <c r="K118" s="2105"/>
    </row>
    <row r="119" spans="1:12" ht="14.1" customHeight="1" x14ac:dyDescent="0.25">
      <c r="A119" s="2103" t="s">
        <v>179</v>
      </c>
      <c r="B119" s="2105"/>
      <c r="C119" s="2105"/>
      <c r="D119" s="2105"/>
      <c r="E119" s="2105"/>
      <c r="F119" s="2105"/>
      <c r="G119" s="2105"/>
      <c r="H119" s="2105"/>
      <c r="I119" s="2105"/>
      <c r="J119" s="2105"/>
      <c r="K119" s="2105"/>
    </row>
    <row r="120" spans="1:12" ht="12" customHeight="1" x14ac:dyDescent="0.2"/>
    <row r="121" spans="1:12" ht="21.75" customHeight="1" x14ac:dyDescent="0.2">
      <c r="A121" s="2106" t="s">
        <v>3691</v>
      </c>
      <c r="B121" s="2107"/>
      <c r="C121" s="2107"/>
      <c r="D121" s="2107"/>
      <c r="E121" s="2107"/>
      <c r="F121" s="2107"/>
      <c r="G121" s="2107"/>
      <c r="H121" s="2107"/>
      <c r="I121" s="2107"/>
      <c r="J121" s="2107"/>
      <c r="K121" s="2107"/>
      <c r="L121" s="2107"/>
    </row>
    <row r="122" spans="1:12" ht="14.1" customHeight="1" thickBot="1" x14ac:dyDescent="0.25">
      <c r="A122" s="2108"/>
      <c r="B122" s="2109"/>
      <c r="C122" s="2109"/>
      <c r="D122" s="2109"/>
      <c r="E122" s="2109"/>
      <c r="F122" s="2109"/>
      <c r="G122" s="3395"/>
      <c r="H122" s="3395"/>
      <c r="I122" s="2087"/>
      <c r="J122" s="2087"/>
      <c r="K122" s="2087"/>
      <c r="L122" s="2087"/>
    </row>
    <row r="123" spans="1:12" s="2093" customFormat="1" ht="14.1" customHeight="1" thickTop="1" thickBot="1" x14ac:dyDescent="0.25">
      <c r="A123" s="3396" t="s">
        <v>3692</v>
      </c>
      <c r="B123" s="3398" t="s">
        <v>3693</v>
      </c>
      <c r="C123" s="3399"/>
      <c r="D123" s="3399"/>
      <c r="E123" s="3400" t="s">
        <v>3694</v>
      </c>
      <c r="F123" s="3399"/>
      <c r="G123" s="3401"/>
      <c r="H123" s="3399" t="s">
        <v>3695</v>
      </c>
      <c r="I123" s="3399"/>
      <c r="J123" s="3402"/>
    </row>
    <row r="124" spans="1:12" s="2093" customFormat="1" ht="18" customHeight="1" thickBot="1" x14ac:dyDescent="0.25">
      <c r="A124" s="3397"/>
      <c r="B124" s="2110" t="s">
        <v>3696</v>
      </c>
      <c r="C124" s="2111" t="s">
        <v>3697</v>
      </c>
      <c r="D124" s="2112" t="s">
        <v>829</v>
      </c>
      <c r="E124" s="2110" t="s">
        <v>3696</v>
      </c>
      <c r="F124" s="2111" t="s">
        <v>3697</v>
      </c>
      <c r="G124" s="2110" t="s">
        <v>829</v>
      </c>
      <c r="H124" s="2111" t="s">
        <v>3696</v>
      </c>
      <c r="I124" s="2110" t="s">
        <v>3697</v>
      </c>
      <c r="J124" s="2113" t="s">
        <v>829</v>
      </c>
    </row>
    <row r="125" spans="1:12" s="2093" customFormat="1" ht="14.1" hidden="1" customHeight="1" thickTop="1" x14ac:dyDescent="0.2">
      <c r="A125" s="2114"/>
      <c r="B125" s="2115"/>
      <c r="C125" s="2116"/>
      <c r="D125" s="2117"/>
      <c r="E125" s="2118"/>
      <c r="F125" s="2118"/>
      <c r="G125" s="2119"/>
      <c r="H125" s="2120"/>
      <c r="I125" s="2115"/>
      <c r="J125" s="2121"/>
    </row>
    <row r="126" spans="1:12" s="2093" customFormat="1" ht="14.1" customHeight="1" thickTop="1" x14ac:dyDescent="0.25">
      <c r="A126" s="2122" t="s">
        <v>3636</v>
      </c>
      <c r="B126" s="2123">
        <v>107.42695652173911</v>
      </c>
      <c r="C126" s="2124">
        <v>108.2</v>
      </c>
      <c r="D126" s="2124">
        <v>56.738695652173917</v>
      </c>
      <c r="E126" s="2125">
        <v>104.69863636363638</v>
      </c>
      <c r="F126" s="2125">
        <v>104.6</v>
      </c>
      <c r="G126" s="2124">
        <v>51.212173913043472</v>
      </c>
      <c r="H126" s="2126">
        <v>1285.609090909091</v>
      </c>
      <c r="I126" s="2126">
        <v>1311.1</v>
      </c>
      <c r="J126" s="2127">
        <v>1129.6260869565217</v>
      </c>
    </row>
    <row r="127" spans="1:12" s="2093" customFormat="1" ht="14.1" customHeight="1" x14ac:dyDescent="0.25">
      <c r="A127" s="2122" t="s">
        <v>3637</v>
      </c>
      <c r="B127" s="2123">
        <v>110.44909090909094</v>
      </c>
      <c r="C127" s="2124">
        <v>103.58380952380951</v>
      </c>
      <c r="D127" s="2124">
        <v>48.193809523809527</v>
      </c>
      <c r="E127" s="2125">
        <v>106.4804761904762</v>
      </c>
      <c r="F127" s="2125">
        <v>96.046666666666681</v>
      </c>
      <c r="G127" s="2124">
        <v>42.897619047619052</v>
      </c>
      <c r="H127" s="2126">
        <v>1351.4231818181815</v>
      </c>
      <c r="I127" s="2126">
        <v>1295.0571428571429</v>
      </c>
      <c r="J127" s="2127">
        <v>1118.7333333333333</v>
      </c>
    </row>
    <row r="128" spans="1:12" s="2093" customFormat="1" ht="14.1" customHeight="1" x14ac:dyDescent="0.25">
      <c r="A128" s="2122" t="s">
        <v>3638</v>
      </c>
      <c r="B128" s="2123">
        <v>111.13523809523811</v>
      </c>
      <c r="C128" s="2124">
        <v>98.61636363636363</v>
      </c>
      <c r="D128" s="2124">
        <v>48.540000000000006</v>
      </c>
      <c r="E128" s="2125">
        <v>106.18571428571428</v>
      </c>
      <c r="F128" s="2125">
        <v>93.137727272727261</v>
      </c>
      <c r="G128" s="2124">
        <v>45.515909090909084</v>
      </c>
      <c r="H128" s="2126">
        <v>1348.2142857142858</v>
      </c>
      <c r="I128" s="2126">
        <v>1237.4909090909089</v>
      </c>
      <c r="J128" s="2128">
        <v>1123.6681818181817</v>
      </c>
    </row>
    <row r="129" spans="1:16" s="2093" customFormat="1" ht="14.1" customHeight="1" x14ac:dyDescent="0.25">
      <c r="A129" s="2122" t="s">
        <v>3639</v>
      </c>
      <c r="B129" s="2123">
        <v>109.44000000000001</v>
      </c>
      <c r="C129" s="2124">
        <v>88.108260869565228</v>
      </c>
      <c r="D129" s="2124">
        <v>49.3</v>
      </c>
      <c r="E129" s="2125">
        <v>100.57434782608694</v>
      </c>
      <c r="F129" s="2125">
        <v>84.324347826086949</v>
      </c>
      <c r="G129" s="2124">
        <v>46.3</v>
      </c>
      <c r="H129" s="2126">
        <v>1317</v>
      </c>
      <c r="I129" s="2126">
        <v>1223.1173913043474</v>
      </c>
      <c r="J129" s="2128">
        <v>1159.8</v>
      </c>
    </row>
    <row r="130" spans="1:16" s="2093" customFormat="1" ht="14.1" customHeight="1" x14ac:dyDescent="0.25">
      <c r="A130" s="2122" t="s">
        <v>3640</v>
      </c>
      <c r="B130" s="2123">
        <v>107.93666666666667</v>
      </c>
      <c r="C130" s="2124">
        <v>79.639499999999984</v>
      </c>
      <c r="D130" s="2124">
        <v>45.973333333333329</v>
      </c>
      <c r="E130" s="2125">
        <v>93.976499999999987</v>
      </c>
      <c r="F130" s="2125">
        <v>75.717500000000001</v>
      </c>
      <c r="G130" s="2124">
        <v>43.000476190476185</v>
      </c>
      <c r="H130" s="2126">
        <v>1275.1899999999998</v>
      </c>
      <c r="I130" s="2126">
        <v>1177.2</v>
      </c>
      <c r="J130" s="2128">
        <v>1083.3190476190475</v>
      </c>
      <c r="L130" s="2129"/>
    </row>
    <row r="131" spans="1:16" s="2093" customFormat="1" ht="14.1" customHeight="1" x14ac:dyDescent="0.25">
      <c r="A131" s="2122" t="s">
        <v>3641</v>
      </c>
      <c r="B131" s="2123">
        <v>110.7</v>
      </c>
      <c r="C131" s="2124">
        <v>63.27</v>
      </c>
      <c r="D131" s="2124">
        <v>38.948181818181816</v>
      </c>
      <c r="E131" s="2125">
        <v>97.9</v>
      </c>
      <c r="F131" s="2125">
        <v>59.31</v>
      </c>
      <c r="G131" s="2124">
        <v>37.401818181818179</v>
      </c>
      <c r="H131" s="2126">
        <v>1224.9000000000001</v>
      </c>
      <c r="I131" s="2126">
        <v>1200.17</v>
      </c>
      <c r="J131" s="2128">
        <v>1069.7136363636364</v>
      </c>
    </row>
    <row r="132" spans="1:16" s="2093" customFormat="1" ht="14.1" customHeight="1" x14ac:dyDescent="0.25">
      <c r="A132" s="2122" t="s">
        <v>3630</v>
      </c>
      <c r="B132" s="2123">
        <v>107.12363636363635</v>
      </c>
      <c r="C132" s="2124">
        <v>49.8</v>
      </c>
      <c r="D132" s="2124">
        <v>31.920499999999997</v>
      </c>
      <c r="E132" s="2125">
        <v>94.855714285714285</v>
      </c>
      <c r="F132" s="2125">
        <v>47.4</v>
      </c>
      <c r="G132" s="2124">
        <v>31.748000000000001</v>
      </c>
      <c r="H132" s="2126">
        <v>1244.0738095238096</v>
      </c>
      <c r="I132" s="2126">
        <v>1254.0999999999999</v>
      </c>
      <c r="J132" s="2128">
        <v>1097.3200000000002</v>
      </c>
      <c r="K132" s="2130"/>
    </row>
    <row r="133" spans="1:16" s="2093" customFormat="1" ht="14.1" customHeight="1" x14ac:dyDescent="0.25">
      <c r="A133" s="2122" t="s">
        <v>3631</v>
      </c>
      <c r="B133" s="2123">
        <v>108.82449999999999</v>
      </c>
      <c r="C133" s="2124">
        <v>58.906499999999994</v>
      </c>
      <c r="D133" s="2124">
        <v>33.650500000000001</v>
      </c>
      <c r="E133" s="2125">
        <v>100.66631578947367</v>
      </c>
      <c r="F133" s="2125">
        <v>50.754736842105252</v>
      </c>
      <c r="G133" s="2124">
        <v>30.736499999999999</v>
      </c>
      <c r="H133" s="2126">
        <v>1300.9652631578947</v>
      </c>
      <c r="I133" s="2126">
        <v>1224.9105263157894</v>
      </c>
      <c r="J133" s="2128">
        <v>1201.9000000000001</v>
      </c>
    </row>
    <row r="134" spans="1:16" s="2093" customFormat="1" ht="14.1" customHeight="1" x14ac:dyDescent="0.25">
      <c r="A134" s="2122" t="s">
        <v>3632</v>
      </c>
      <c r="B134" s="2123">
        <v>107.7</v>
      </c>
      <c r="C134" s="2124">
        <v>56.809545454545443</v>
      </c>
      <c r="D134" s="2124">
        <v>39.816956521739129</v>
      </c>
      <c r="E134" s="2125">
        <v>100.5</v>
      </c>
      <c r="F134" s="2125">
        <v>47.832727272727283</v>
      </c>
      <c r="G134" s="2124">
        <v>38.025652173913052</v>
      </c>
      <c r="H134" s="2126">
        <v>1336.4</v>
      </c>
      <c r="I134" s="2126">
        <v>1177.5999999999999</v>
      </c>
      <c r="J134" s="2128">
        <v>1243.8608695652176</v>
      </c>
      <c r="L134" s="2130"/>
    </row>
    <row r="135" spans="1:16" s="2093" customFormat="1" ht="14.1" customHeight="1" x14ac:dyDescent="0.25">
      <c r="A135" s="2122" t="s">
        <v>3633</v>
      </c>
      <c r="B135" s="2123">
        <v>108.2</v>
      </c>
      <c r="C135" s="2124">
        <v>60.990909090909099</v>
      </c>
      <c r="D135" s="2124">
        <v>43.303333333333327</v>
      </c>
      <c r="E135" s="2125">
        <v>102.14</v>
      </c>
      <c r="F135" s="2125">
        <v>54.494545454545452</v>
      </c>
      <c r="G135" s="2124">
        <v>41.19857142857142</v>
      </c>
      <c r="H135" s="2126">
        <v>1298.19</v>
      </c>
      <c r="I135" s="2126">
        <v>1199.8500000000001</v>
      </c>
      <c r="J135" s="2128">
        <v>1241.7100000000003</v>
      </c>
      <c r="K135" s="2130"/>
    </row>
    <row r="136" spans="1:16" s="2093" customFormat="1" ht="14.1" customHeight="1" x14ac:dyDescent="0.25">
      <c r="A136" s="2122" t="s">
        <v>3634</v>
      </c>
      <c r="B136" s="2123">
        <v>109.17772727272724</v>
      </c>
      <c r="C136" s="2124">
        <v>65.613809523809508</v>
      </c>
      <c r="D136" s="2124">
        <v>47.655909090909091</v>
      </c>
      <c r="E136" s="2125">
        <v>101.78952380952379</v>
      </c>
      <c r="F136" s="2125">
        <v>59.423333333333339</v>
      </c>
      <c r="G136" s="2124">
        <v>46.941818181818185</v>
      </c>
      <c r="H136" s="2126">
        <v>1287.5380952380951</v>
      </c>
      <c r="I136" s="2126">
        <v>1198.4904761904761</v>
      </c>
      <c r="J136" s="2128">
        <v>1257.3545454545454</v>
      </c>
      <c r="N136" s="2130"/>
    </row>
    <row r="137" spans="1:16" s="2093" customFormat="1" ht="14.1" customHeight="1" x14ac:dyDescent="0.25">
      <c r="A137" s="2122" t="s">
        <v>3635</v>
      </c>
      <c r="B137" s="2123">
        <v>111.92190476190477</v>
      </c>
      <c r="C137" s="2124">
        <v>63.81363636363637</v>
      </c>
      <c r="D137" s="2124"/>
      <c r="E137" s="2125">
        <v>105.14666666666666</v>
      </c>
      <c r="F137" s="2125">
        <v>59.860454545454559</v>
      </c>
      <c r="G137" s="2124"/>
      <c r="H137" s="2126">
        <v>1282.1761904761906</v>
      </c>
      <c r="I137" s="2126">
        <v>1180.7818181818182</v>
      </c>
      <c r="J137" s="2128"/>
    </row>
    <row r="138" spans="1:16" s="2093" customFormat="1" ht="14.1" customHeight="1" x14ac:dyDescent="0.25">
      <c r="A138" s="2122"/>
      <c r="B138" s="2123"/>
      <c r="C138" s="2124"/>
      <c r="D138" s="2131"/>
      <c r="E138" s="2132"/>
      <c r="F138" s="2132"/>
      <c r="G138" s="2133"/>
      <c r="H138" s="2132"/>
      <c r="I138" s="2132"/>
      <c r="J138" s="2134"/>
    </row>
    <row r="139" spans="1:16" s="2093" customFormat="1" ht="14.1" customHeight="1" thickBot="1" x14ac:dyDescent="0.25">
      <c r="A139" s="2135" t="s">
        <v>1273</v>
      </c>
      <c r="B139" s="2136">
        <f t="shared" ref="B139:J139" si="0">AVERAGE(B126:B137)</f>
        <v>109.1696433825836</v>
      </c>
      <c r="C139" s="2136">
        <f t="shared" si="0"/>
        <v>74.779361205219899</v>
      </c>
      <c r="D139" s="2136">
        <f t="shared" si="0"/>
        <v>44.003747206680025</v>
      </c>
      <c r="E139" s="2136">
        <f t="shared" si="0"/>
        <v>101.24282460144103</v>
      </c>
      <c r="F139" s="2136">
        <f t="shared" si="0"/>
        <v>69.408503267803894</v>
      </c>
      <c r="G139" s="2136">
        <f t="shared" si="0"/>
        <v>41.361685291651689</v>
      </c>
      <c r="H139" s="2137">
        <f t="shared" si="0"/>
        <v>1295.9733264031292</v>
      </c>
      <c r="I139" s="2137">
        <f t="shared" si="0"/>
        <v>1223.3223553283735</v>
      </c>
      <c r="J139" s="2138">
        <f t="shared" si="0"/>
        <v>1157.0005182827715</v>
      </c>
    </row>
    <row r="140" spans="1:16" ht="16.5" thickTop="1" x14ac:dyDescent="0.2">
      <c r="A140" s="2139" t="s">
        <v>3698</v>
      </c>
      <c r="B140" s="2097"/>
      <c r="C140" s="2097"/>
      <c r="D140" s="2097"/>
      <c r="E140" s="2097"/>
      <c r="F140" s="2097"/>
      <c r="G140" s="2097"/>
      <c r="H140" s="2097"/>
      <c r="I140" s="2097"/>
      <c r="J140" s="2097"/>
      <c r="K140" s="2140"/>
      <c r="L140" s="2140"/>
    </row>
    <row r="141" spans="1:16" x14ac:dyDescent="0.2">
      <c r="A141" s="2141" t="s">
        <v>3699</v>
      </c>
      <c r="B141" s="2097"/>
      <c r="C141" s="2097"/>
      <c r="D141" s="2097"/>
      <c r="E141" s="2097"/>
      <c r="F141" s="2097"/>
      <c r="G141" s="2097"/>
      <c r="H141" s="2097"/>
      <c r="I141" s="2097"/>
      <c r="J141" s="2097"/>
      <c r="K141" s="2140"/>
      <c r="L141" s="2140"/>
      <c r="N141" s="2142"/>
    </row>
    <row r="142" spans="1:16" x14ac:dyDescent="0.2">
      <c r="A142" s="2141" t="s">
        <v>3700</v>
      </c>
      <c r="B142" s="2097"/>
      <c r="C142" s="2097"/>
      <c r="D142" s="2097"/>
      <c r="E142" s="2097"/>
      <c r="F142" s="2097"/>
      <c r="G142" s="2097"/>
      <c r="H142" s="2097"/>
      <c r="I142" s="2097"/>
      <c r="J142" s="2097"/>
      <c r="K142" s="2140"/>
      <c r="L142" s="2140"/>
      <c r="N142" s="2142"/>
    </row>
    <row r="143" spans="1:16" x14ac:dyDescent="0.25">
      <c r="A143" s="2103" t="s">
        <v>3701</v>
      </c>
      <c r="B143" s="2093"/>
      <c r="C143" s="2093"/>
      <c r="D143" s="2093"/>
      <c r="E143" s="2093"/>
      <c r="F143" s="2093"/>
      <c r="G143" s="2093"/>
      <c r="H143" s="2093"/>
      <c r="I143" s="2093"/>
      <c r="J143" s="2093"/>
    </row>
    <row r="144" spans="1:16" x14ac:dyDescent="0.2">
      <c r="A144" s="2093"/>
      <c r="B144" s="2093"/>
      <c r="C144" s="2093"/>
      <c r="D144" s="2093"/>
      <c r="E144" s="2093"/>
      <c r="F144" s="2093"/>
      <c r="G144" s="2093"/>
      <c r="H144" s="2093"/>
      <c r="I144" s="2093"/>
      <c r="J144" s="2093"/>
      <c r="L144" s="2142"/>
      <c r="N144" s="2142"/>
      <c r="P144" s="2142"/>
    </row>
    <row r="145" spans="1:7" ht="19.5" customHeight="1" x14ac:dyDescent="0.2">
      <c r="A145" s="2106" t="s">
        <v>3702</v>
      </c>
    </row>
    <row r="146" spans="1:7" ht="16.5" thickBot="1" x14ac:dyDescent="0.25">
      <c r="G146" s="2091"/>
    </row>
    <row r="147" spans="1:7" ht="17.25" thickTop="1" thickBot="1" x14ac:dyDescent="0.25">
      <c r="A147" s="2094" t="s">
        <v>620</v>
      </c>
      <c r="B147" s="2143" t="s">
        <v>3703</v>
      </c>
      <c r="C147" s="2143" t="s">
        <v>3704</v>
      </c>
      <c r="D147" s="2143" t="s">
        <v>3705</v>
      </c>
      <c r="E147" s="2143" t="s">
        <v>3706</v>
      </c>
      <c r="F147" s="2143" t="s">
        <v>3707</v>
      </c>
      <c r="G147" s="2144" t="s">
        <v>3708</v>
      </c>
    </row>
    <row r="148" spans="1:7" ht="16.5" hidden="1" thickTop="1" x14ac:dyDescent="0.2">
      <c r="A148" s="2145">
        <v>41153</v>
      </c>
      <c r="B148" s="2146">
        <v>215.85322259670608</v>
      </c>
      <c r="C148" s="2147">
        <v>174.90655980872501</v>
      </c>
      <c r="D148" s="2147">
        <v>187.70300633182845</v>
      </c>
      <c r="E148" s="2147">
        <v>262.98507280047954</v>
      </c>
      <c r="F148" s="2147">
        <v>224.71435582404604</v>
      </c>
      <c r="G148" s="2148">
        <v>283.69357666134431</v>
      </c>
    </row>
    <row r="149" spans="1:7" ht="16.5" hidden="1" thickTop="1" x14ac:dyDescent="0.2">
      <c r="A149" s="2149">
        <v>41395</v>
      </c>
      <c r="B149" s="2150">
        <v>214.61604099181937</v>
      </c>
      <c r="C149" s="2125">
        <v>179.99759855665999</v>
      </c>
      <c r="D149" s="2125">
        <v>253.47616210255549</v>
      </c>
      <c r="E149" s="2125">
        <v>234.83983597563295</v>
      </c>
      <c r="F149" s="2125">
        <v>194.30426681492548</v>
      </c>
      <c r="G149" s="2125">
        <v>250.07275562862236</v>
      </c>
    </row>
    <row r="150" spans="1:7" ht="16.5" thickTop="1" x14ac:dyDescent="0.2">
      <c r="A150" s="2149">
        <v>42125</v>
      </c>
      <c r="B150" s="2150">
        <v>167.20469215054626</v>
      </c>
      <c r="C150" s="2125">
        <v>172.61408730263349</v>
      </c>
      <c r="D150" s="2125">
        <v>167.45161987662422</v>
      </c>
      <c r="E150" s="2125">
        <v>160.75453441221558</v>
      </c>
      <c r="F150" s="2125">
        <v>154.11697989313939</v>
      </c>
      <c r="G150" s="2125">
        <v>189.29933536726361</v>
      </c>
    </row>
    <row r="151" spans="1:7" x14ac:dyDescent="0.2">
      <c r="A151" s="2149">
        <v>42156</v>
      </c>
      <c r="B151" s="2150">
        <v>164.94022559929329</v>
      </c>
      <c r="C151" s="2125">
        <v>169.46570709632672</v>
      </c>
      <c r="D151" s="2125">
        <v>160.54226083090936</v>
      </c>
      <c r="E151" s="2125">
        <v>163.15247363729802</v>
      </c>
      <c r="F151" s="2125">
        <v>156.17252268704561</v>
      </c>
      <c r="G151" s="2125">
        <v>176.81182298921323</v>
      </c>
    </row>
    <row r="152" spans="1:7" x14ac:dyDescent="0.2">
      <c r="A152" s="2149">
        <v>42186</v>
      </c>
      <c r="B152" s="2150">
        <v>164.15447098321042</v>
      </c>
      <c r="C152" s="2125">
        <v>172.7224714141654</v>
      </c>
      <c r="D152" s="2125">
        <v>149.06105623183851</v>
      </c>
      <c r="E152" s="2125">
        <v>166.49247949782321</v>
      </c>
      <c r="F152" s="2125">
        <v>147.61085368611899</v>
      </c>
      <c r="G152" s="2125">
        <v>181.22373335418553</v>
      </c>
    </row>
    <row r="153" spans="1:7" x14ac:dyDescent="0.2">
      <c r="A153" s="2149">
        <v>42217</v>
      </c>
      <c r="B153" s="2150">
        <v>154.99609378241317</v>
      </c>
      <c r="C153" s="2125">
        <v>170.76386985291938</v>
      </c>
      <c r="D153" s="2125">
        <v>135.50114420582236</v>
      </c>
      <c r="E153" s="2125">
        <v>155.06148393563254</v>
      </c>
      <c r="F153" s="2125">
        <v>134.87428765506246</v>
      </c>
      <c r="G153" s="2125">
        <v>163.15529565369386</v>
      </c>
    </row>
    <row r="154" spans="1:7" x14ac:dyDescent="0.2">
      <c r="A154" s="2149">
        <v>42248</v>
      </c>
      <c r="B154" s="2150">
        <v>155.26624885880415</v>
      </c>
      <c r="C154" s="2125">
        <v>167.5699761609622</v>
      </c>
      <c r="D154" s="2125">
        <v>142.25038232196653</v>
      </c>
      <c r="E154" s="2125">
        <v>154.77334107418164</v>
      </c>
      <c r="F154" s="2125">
        <v>134.24441801211378</v>
      </c>
      <c r="G154" s="2125">
        <v>168.35842581121483</v>
      </c>
    </row>
    <row r="155" spans="1:7" x14ac:dyDescent="0.2">
      <c r="A155" s="2149">
        <v>42278</v>
      </c>
      <c r="B155" s="2150">
        <v>158.18670341410572</v>
      </c>
      <c r="C155" s="2125">
        <v>158.03439597926712</v>
      </c>
      <c r="D155" s="2125">
        <v>155.64798879455682</v>
      </c>
      <c r="E155" s="2125">
        <v>157.33363926460027</v>
      </c>
      <c r="F155" s="2125">
        <v>142.62176798973471</v>
      </c>
      <c r="G155" s="2125">
        <v>197.362037057637</v>
      </c>
    </row>
    <row r="156" spans="1:7" x14ac:dyDescent="0.2">
      <c r="A156" s="2149">
        <v>42309</v>
      </c>
      <c r="B156" s="2150">
        <v>155.22957166968177</v>
      </c>
      <c r="C156" s="2125">
        <v>154.55927475820542</v>
      </c>
      <c r="D156" s="2125">
        <v>151.07913490698667</v>
      </c>
      <c r="E156" s="2125">
        <v>153.57982017916959</v>
      </c>
      <c r="F156" s="2125">
        <v>138.22830792620533</v>
      </c>
      <c r="G156" s="2125">
        <v>206.46966488708293</v>
      </c>
    </row>
    <row r="157" spans="1:7" x14ac:dyDescent="0.2">
      <c r="A157" s="2149">
        <v>42339</v>
      </c>
      <c r="B157" s="2150">
        <v>153.36928955745969</v>
      </c>
      <c r="C157" s="2125">
        <v>149.98494956855362</v>
      </c>
      <c r="D157" s="2125">
        <v>149.50074789613728</v>
      </c>
      <c r="E157" s="2125">
        <v>151.62068329990882</v>
      </c>
      <c r="F157" s="2125">
        <v>141.49519373641024</v>
      </c>
      <c r="G157" s="2125">
        <v>207.81129844836107</v>
      </c>
    </row>
    <row r="158" spans="1:7" x14ac:dyDescent="0.2">
      <c r="A158" s="2149">
        <v>42370</v>
      </c>
      <c r="B158" s="2150">
        <v>149.33622765665595</v>
      </c>
      <c r="C158" s="2125">
        <v>145.22828079452356</v>
      </c>
      <c r="D158" s="2125">
        <v>145.09225663055955</v>
      </c>
      <c r="E158" s="2125">
        <v>149.10451717987607</v>
      </c>
      <c r="F158" s="2125">
        <v>139.10921736964278</v>
      </c>
      <c r="G158" s="2125">
        <v>199.37448739955425</v>
      </c>
    </row>
    <row r="159" spans="1:7" x14ac:dyDescent="0.2">
      <c r="A159" s="2149">
        <v>42401</v>
      </c>
      <c r="B159" s="2150">
        <v>149.69713384662762</v>
      </c>
      <c r="C159" s="2125">
        <v>146.70080133313584</v>
      </c>
      <c r="D159" s="2125">
        <v>142.00235434301641</v>
      </c>
      <c r="E159" s="2125">
        <v>148.22677409671459</v>
      </c>
      <c r="F159" s="2125">
        <v>150.29065072695582</v>
      </c>
      <c r="G159" s="2125">
        <v>187.08862743430728</v>
      </c>
    </row>
    <row r="160" spans="1:7" x14ac:dyDescent="0.2">
      <c r="A160" s="2149">
        <v>42430</v>
      </c>
      <c r="B160" s="2150">
        <v>150.77157967710772</v>
      </c>
      <c r="C160" s="2125">
        <v>145.82637980322576</v>
      </c>
      <c r="D160" s="2125">
        <v>130.29497287580472</v>
      </c>
      <c r="E160" s="2125">
        <v>147.55620028871786</v>
      </c>
      <c r="F160" s="2125">
        <v>159.8132026019822</v>
      </c>
      <c r="G160" s="2125">
        <v>219.06683000812239</v>
      </c>
    </row>
    <row r="161" spans="1:11" x14ac:dyDescent="0.2">
      <c r="A161" s="2149">
        <v>42461</v>
      </c>
      <c r="B161" s="2150">
        <v>152.53266745304165</v>
      </c>
      <c r="C161" s="2125">
        <v>148.78818540877199</v>
      </c>
      <c r="D161" s="2125">
        <v>127.4305004933797</v>
      </c>
      <c r="E161" s="2125">
        <v>149.8080595363827</v>
      </c>
      <c r="F161" s="2125">
        <v>166.39537534000615</v>
      </c>
      <c r="G161" s="2125">
        <v>215.28187532659345</v>
      </c>
    </row>
    <row r="162" spans="1:11" ht="16.5" thickBot="1" x14ac:dyDescent="0.25">
      <c r="A162" s="2151">
        <v>42491</v>
      </c>
      <c r="B162" s="2152">
        <v>155.75919626522912</v>
      </c>
      <c r="C162" s="2153">
        <v>151.83799700892956</v>
      </c>
      <c r="D162" s="2153">
        <v>127.98568432817612</v>
      </c>
      <c r="E162" s="2153">
        <v>152.27760087537243</v>
      </c>
      <c r="F162" s="2153">
        <v>163.33072431071682</v>
      </c>
      <c r="G162" s="2153">
        <v>240.40701910111446</v>
      </c>
    </row>
    <row r="163" spans="1:11" ht="16.5" thickTop="1" x14ac:dyDescent="0.2">
      <c r="A163" s="2154" t="s">
        <v>3709</v>
      </c>
      <c r="B163" s="2154"/>
      <c r="C163" s="2154"/>
      <c r="D163" s="2154"/>
      <c r="E163" s="2154"/>
      <c r="F163" s="2154"/>
      <c r="G163" s="2154"/>
      <c r="H163" s="2154"/>
      <c r="I163" s="2154"/>
      <c r="J163" s="2154"/>
      <c r="K163" s="2155"/>
    </row>
    <row r="164" spans="1:11" x14ac:dyDescent="0.2">
      <c r="A164" s="2156" t="s">
        <v>3710</v>
      </c>
      <c r="B164" s="2154"/>
      <c r="C164" s="2154"/>
      <c r="D164" s="2154"/>
      <c r="E164" s="2154"/>
      <c r="F164" s="2154"/>
      <c r="G164" s="2154"/>
      <c r="H164" s="2154"/>
      <c r="I164" s="2154"/>
      <c r="J164" s="2154"/>
      <c r="K164" s="2155"/>
    </row>
    <row r="165" spans="1:11" x14ac:dyDescent="0.2">
      <c r="A165" s="2156" t="s">
        <v>3711</v>
      </c>
      <c r="B165" s="2154"/>
      <c r="C165" s="2154"/>
      <c r="D165" s="2154"/>
      <c r="E165" s="2154"/>
      <c r="F165" s="2154"/>
      <c r="G165" s="2154"/>
      <c r="H165" s="2154"/>
      <c r="I165" s="2154"/>
      <c r="J165" s="2154"/>
      <c r="K165" s="2155"/>
    </row>
    <row r="166" spans="1:11" x14ac:dyDescent="0.25">
      <c r="A166" s="2103" t="s">
        <v>3712</v>
      </c>
      <c r="B166" s="2155"/>
      <c r="C166" s="2155"/>
      <c r="D166" s="2155"/>
      <c r="E166" s="2155"/>
      <c r="F166" s="2155"/>
      <c r="G166" s="2155"/>
      <c r="H166" s="2155"/>
      <c r="I166" s="2155"/>
      <c r="J166" s="2155"/>
      <c r="K166" s="2155"/>
    </row>
    <row r="170" spans="1:11" x14ac:dyDescent="0.2">
      <c r="F170" s="2157"/>
    </row>
    <row r="171" spans="1:11" x14ac:dyDescent="0.2">
      <c r="F171" s="2157"/>
    </row>
    <row r="172" spans="1:11" x14ac:dyDescent="0.2">
      <c r="F172" s="2157"/>
    </row>
  </sheetData>
  <mergeCells count="332">
    <mergeCell ref="B111:C111"/>
    <mergeCell ref="D111:E111"/>
    <mergeCell ref="F111:G111"/>
    <mergeCell ref="G122:H122"/>
    <mergeCell ref="A123:A124"/>
    <mergeCell ref="B123:D123"/>
    <mergeCell ref="E123:G123"/>
    <mergeCell ref="H123:J123"/>
    <mergeCell ref="B109:C109"/>
    <mergeCell ref="D109:E109"/>
    <mergeCell ref="F109:G109"/>
    <mergeCell ref="B110:C110"/>
    <mergeCell ref="D110:E110"/>
    <mergeCell ref="F110:G110"/>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V251"/>
  <sheetViews>
    <sheetView topLeftCell="A75" zoomScaleNormal="100" workbookViewId="0">
      <selection activeCell="K88" sqref="K88"/>
    </sheetView>
  </sheetViews>
  <sheetFormatPr defaultRowHeight="12.75" x14ac:dyDescent="0.2"/>
  <cols>
    <col min="1" max="1" width="13.28515625" style="2230" customWidth="1"/>
    <col min="2" max="4" width="11.28515625" style="2230" customWidth="1"/>
    <col min="5" max="5" width="11.5703125" style="2230" bestFit="1" customWidth="1"/>
    <col min="6" max="6" width="11.140625" style="2230" customWidth="1"/>
    <col min="7" max="7" width="12.42578125" style="2230" customWidth="1"/>
    <col min="8" max="8" width="13.85546875" style="2230" customWidth="1"/>
    <col min="9" max="9" width="13.42578125" style="2230" customWidth="1"/>
    <col min="10" max="10" width="15.7109375" style="2230" customWidth="1"/>
    <col min="11" max="11" width="17.7109375" style="2159" bestFit="1" customWidth="1"/>
    <col min="12" max="48" width="9.140625" style="2159"/>
    <col min="49" max="249" width="9.140625" style="2230"/>
    <col min="250" max="250" width="13.28515625" style="2230" customWidth="1"/>
    <col min="251" max="251" width="10.5703125" style="2230" customWidth="1"/>
    <col min="252" max="252" width="12.140625" style="2230" customWidth="1"/>
    <col min="253" max="253" width="8.140625" style="2230" bestFit="1" customWidth="1"/>
    <col min="254" max="254" width="11.5703125" style="2230" bestFit="1" customWidth="1"/>
    <col min="255" max="255" width="11.140625" style="2230" customWidth="1"/>
    <col min="256" max="256" width="12.5703125" style="2230" customWidth="1"/>
    <col min="257" max="257" width="13.85546875" style="2230" customWidth="1"/>
    <col min="258" max="258" width="13.42578125" style="2230" customWidth="1"/>
    <col min="259" max="259" width="11" style="2230" customWidth="1"/>
    <col min="260" max="260" width="17.7109375" style="2230" bestFit="1" customWidth="1"/>
    <col min="261" max="262" width="9.140625" style="2230"/>
    <col min="263" max="263" width="10.140625" style="2230" customWidth="1"/>
    <col min="264" max="505" width="9.140625" style="2230"/>
    <col min="506" max="506" width="13.28515625" style="2230" customWidth="1"/>
    <col min="507" max="507" width="10.5703125" style="2230" customWidth="1"/>
    <col min="508" max="508" width="12.140625" style="2230" customWidth="1"/>
    <col min="509" max="509" width="8.140625" style="2230" bestFit="1" customWidth="1"/>
    <col min="510" max="510" width="11.5703125" style="2230" bestFit="1" customWidth="1"/>
    <col min="511" max="511" width="11.140625" style="2230" customWidth="1"/>
    <col min="512" max="512" width="12.5703125" style="2230" customWidth="1"/>
    <col min="513" max="513" width="13.85546875" style="2230" customWidth="1"/>
    <col min="514" max="514" width="13.42578125" style="2230" customWidth="1"/>
    <col min="515" max="515" width="11" style="2230" customWidth="1"/>
    <col min="516" max="516" width="17.7109375" style="2230" bestFit="1" customWidth="1"/>
    <col min="517" max="518" width="9.140625" style="2230"/>
    <col min="519" max="519" width="10.140625" style="2230" customWidth="1"/>
    <col min="520" max="761" width="9.140625" style="2230"/>
    <col min="762" max="762" width="13.28515625" style="2230" customWidth="1"/>
    <col min="763" max="763" width="10.5703125" style="2230" customWidth="1"/>
    <col min="764" max="764" width="12.140625" style="2230" customWidth="1"/>
    <col min="765" max="765" width="8.140625" style="2230" bestFit="1" customWidth="1"/>
    <col min="766" max="766" width="11.5703125" style="2230" bestFit="1" customWidth="1"/>
    <col min="767" max="767" width="11.140625" style="2230" customWidth="1"/>
    <col min="768" max="768" width="12.5703125" style="2230" customWidth="1"/>
    <col min="769" max="769" width="13.85546875" style="2230" customWidth="1"/>
    <col min="770" max="770" width="13.42578125" style="2230" customWidth="1"/>
    <col min="771" max="771" width="11" style="2230" customWidth="1"/>
    <col min="772" max="772" width="17.7109375" style="2230" bestFit="1" customWidth="1"/>
    <col min="773" max="774" width="9.140625" style="2230"/>
    <col min="775" max="775" width="10.140625" style="2230" customWidth="1"/>
    <col min="776" max="1017" width="9.140625" style="2230"/>
    <col min="1018" max="1018" width="13.28515625" style="2230" customWidth="1"/>
    <col min="1019" max="1019" width="10.5703125" style="2230" customWidth="1"/>
    <col min="1020" max="1020" width="12.140625" style="2230" customWidth="1"/>
    <col min="1021" max="1021" width="8.140625" style="2230" bestFit="1" customWidth="1"/>
    <col min="1022" max="1022" width="11.5703125" style="2230" bestFit="1" customWidth="1"/>
    <col min="1023" max="1023" width="11.140625" style="2230" customWidth="1"/>
    <col min="1024" max="1024" width="12.5703125" style="2230" customWidth="1"/>
    <col min="1025" max="1025" width="13.85546875" style="2230" customWidth="1"/>
    <col min="1026" max="1026" width="13.42578125" style="2230" customWidth="1"/>
    <col min="1027" max="1027" width="11" style="2230" customWidth="1"/>
    <col min="1028" max="1028" width="17.7109375" style="2230" bestFit="1" customWidth="1"/>
    <col min="1029" max="1030" width="9.140625" style="2230"/>
    <col min="1031" max="1031" width="10.140625" style="2230" customWidth="1"/>
    <col min="1032" max="1273" width="9.140625" style="2230"/>
    <col min="1274" max="1274" width="13.28515625" style="2230" customWidth="1"/>
    <col min="1275" max="1275" width="10.5703125" style="2230" customWidth="1"/>
    <col min="1276" max="1276" width="12.140625" style="2230" customWidth="1"/>
    <col min="1277" max="1277" width="8.140625" style="2230" bestFit="1" customWidth="1"/>
    <col min="1278" max="1278" width="11.5703125" style="2230" bestFit="1" customWidth="1"/>
    <col min="1279" max="1279" width="11.140625" style="2230" customWidth="1"/>
    <col min="1280" max="1280" width="12.5703125" style="2230" customWidth="1"/>
    <col min="1281" max="1281" width="13.85546875" style="2230" customWidth="1"/>
    <col min="1282" max="1282" width="13.42578125" style="2230" customWidth="1"/>
    <col min="1283" max="1283" width="11" style="2230" customWidth="1"/>
    <col min="1284" max="1284" width="17.7109375" style="2230" bestFit="1" customWidth="1"/>
    <col min="1285" max="1286" width="9.140625" style="2230"/>
    <col min="1287" max="1287" width="10.140625" style="2230" customWidth="1"/>
    <col min="1288" max="1529" width="9.140625" style="2230"/>
    <col min="1530" max="1530" width="13.28515625" style="2230" customWidth="1"/>
    <col min="1531" max="1531" width="10.5703125" style="2230" customWidth="1"/>
    <col min="1532" max="1532" width="12.140625" style="2230" customWidth="1"/>
    <col min="1533" max="1533" width="8.140625" style="2230" bestFit="1" customWidth="1"/>
    <col min="1534" max="1534" width="11.5703125" style="2230" bestFit="1" customWidth="1"/>
    <col min="1535" max="1535" width="11.140625" style="2230" customWidth="1"/>
    <col min="1536" max="1536" width="12.5703125" style="2230" customWidth="1"/>
    <col min="1537" max="1537" width="13.85546875" style="2230" customWidth="1"/>
    <col min="1538" max="1538" width="13.42578125" style="2230" customWidth="1"/>
    <col min="1539" max="1539" width="11" style="2230" customWidth="1"/>
    <col min="1540" max="1540" width="17.7109375" style="2230" bestFit="1" customWidth="1"/>
    <col min="1541" max="1542" width="9.140625" style="2230"/>
    <col min="1543" max="1543" width="10.140625" style="2230" customWidth="1"/>
    <col min="1544" max="1785" width="9.140625" style="2230"/>
    <col min="1786" max="1786" width="13.28515625" style="2230" customWidth="1"/>
    <col min="1787" max="1787" width="10.5703125" style="2230" customWidth="1"/>
    <col min="1788" max="1788" width="12.140625" style="2230" customWidth="1"/>
    <col min="1789" max="1789" width="8.140625" style="2230" bestFit="1" customWidth="1"/>
    <col min="1790" max="1790" width="11.5703125" style="2230" bestFit="1" customWidth="1"/>
    <col min="1791" max="1791" width="11.140625" style="2230" customWidth="1"/>
    <col min="1792" max="1792" width="12.5703125" style="2230" customWidth="1"/>
    <col min="1793" max="1793" width="13.85546875" style="2230" customWidth="1"/>
    <col min="1794" max="1794" width="13.42578125" style="2230" customWidth="1"/>
    <col min="1795" max="1795" width="11" style="2230" customWidth="1"/>
    <col min="1796" max="1796" width="17.7109375" style="2230" bestFit="1" customWidth="1"/>
    <col min="1797" max="1798" width="9.140625" style="2230"/>
    <col min="1799" max="1799" width="10.140625" style="2230" customWidth="1"/>
    <col min="1800" max="2041" width="9.140625" style="2230"/>
    <col min="2042" max="2042" width="13.28515625" style="2230" customWidth="1"/>
    <col min="2043" max="2043" width="10.5703125" style="2230" customWidth="1"/>
    <col min="2044" max="2044" width="12.140625" style="2230" customWidth="1"/>
    <col min="2045" max="2045" width="8.140625" style="2230" bestFit="1" customWidth="1"/>
    <col min="2046" max="2046" width="11.5703125" style="2230" bestFit="1" customWidth="1"/>
    <col min="2047" max="2047" width="11.140625" style="2230" customWidth="1"/>
    <col min="2048" max="2048" width="12.5703125" style="2230" customWidth="1"/>
    <col min="2049" max="2049" width="13.85546875" style="2230" customWidth="1"/>
    <col min="2050" max="2050" width="13.42578125" style="2230" customWidth="1"/>
    <col min="2051" max="2051" width="11" style="2230" customWidth="1"/>
    <col min="2052" max="2052" width="17.7109375" style="2230" bestFit="1" customWidth="1"/>
    <col min="2053" max="2054" width="9.140625" style="2230"/>
    <col min="2055" max="2055" width="10.140625" style="2230" customWidth="1"/>
    <col min="2056" max="2297" width="9.140625" style="2230"/>
    <col min="2298" max="2298" width="13.28515625" style="2230" customWidth="1"/>
    <col min="2299" max="2299" width="10.5703125" style="2230" customWidth="1"/>
    <col min="2300" max="2300" width="12.140625" style="2230" customWidth="1"/>
    <col min="2301" max="2301" width="8.140625" style="2230" bestFit="1" customWidth="1"/>
    <col min="2302" max="2302" width="11.5703125" style="2230" bestFit="1" customWidth="1"/>
    <col min="2303" max="2303" width="11.140625" style="2230" customWidth="1"/>
    <col min="2304" max="2304" width="12.5703125" style="2230" customWidth="1"/>
    <col min="2305" max="2305" width="13.85546875" style="2230" customWidth="1"/>
    <col min="2306" max="2306" width="13.42578125" style="2230" customWidth="1"/>
    <col min="2307" max="2307" width="11" style="2230" customWidth="1"/>
    <col min="2308" max="2308" width="17.7109375" style="2230" bestFit="1" customWidth="1"/>
    <col min="2309" max="2310" width="9.140625" style="2230"/>
    <col min="2311" max="2311" width="10.140625" style="2230" customWidth="1"/>
    <col min="2312" max="2553" width="9.140625" style="2230"/>
    <col min="2554" max="2554" width="13.28515625" style="2230" customWidth="1"/>
    <col min="2555" max="2555" width="10.5703125" style="2230" customWidth="1"/>
    <col min="2556" max="2556" width="12.140625" style="2230" customWidth="1"/>
    <col min="2557" max="2557" width="8.140625" style="2230" bestFit="1" customWidth="1"/>
    <col min="2558" max="2558" width="11.5703125" style="2230" bestFit="1" customWidth="1"/>
    <col min="2559" max="2559" width="11.140625" style="2230" customWidth="1"/>
    <col min="2560" max="2560" width="12.5703125" style="2230" customWidth="1"/>
    <col min="2561" max="2561" width="13.85546875" style="2230" customWidth="1"/>
    <col min="2562" max="2562" width="13.42578125" style="2230" customWidth="1"/>
    <col min="2563" max="2563" width="11" style="2230" customWidth="1"/>
    <col min="2564" max="2564" width="17.7109375" style="2230" bestFit="1" customWidth="1"/>
    <col min="2565" max="2566" width="9.140625" style="2230"/>
    <col min="2567" max="2567" width="10.140625" style="2230" customWidth="1"/>
    <col min="2568" max="2809" width="9.140625" style="2230"/>
    <col min="2810" max="2810" width="13.28515625" style="2230" customWidth="1"/>
    <col min="2811" max="2811" width="10.5703125" style="2230" customWidth="1"/>
    <col min="2812" max="2812" width="12.140625" style="2230" customWidth="1"/>
    <col min="2813" max="2813" width="8.140625" style="2230" bestFit="1" customWidth="1"/>
    <col min="2814" max="2814" width="11.5703125" style="2230" bestFit="1" customWidth="1"/>
    <col min="2815" max="2815" width="11.140625" style="2230" customWidth="1"/>
    <col min="2816" max="2816" width="12.5703125" style="2230" customWidth="1"/>
    <col min="2817" max="2817" width="13.85546875" style="2230" customWidth="1"/>
    <col min="2818" max="2818" width="13.42578125" style="2230" customWidth="1"/>
    <col min="2819" max="2819" width="11" style="2230" customWidth="1"/>
    <col min="2820" max="2820" width="17.7109375" style="2230" bestFit="1" customWidth="1"/>
    <col min="2821" max="2822" width="9.140625" style="2230"/>
    <col min="2823" max="2823" width="10.140625" style="2230" customWidth="1"/>
    <col min="2824" max="3065" width="9.140625" style="2230"/>
    <col min="3066" max="3066" width="13.28515625" style="2230" customWidth="1"/>
    <col min="3067" max="3067" width="10.5703125" style="2230" customWidth="1"/>
    <col min="3068" max="3068" width="12.140625" style="2230" customWidth="1"/>
    <col min="3069" max="3069" width="8.140625" style="2230" bestFit="1" customWidth="1"/>
    <col min="3070" max="3070" width="11.5703125" style="2230" bestFit="1" customWidth="1"/>
    <col min="3071" max="3071" width="11.140625" style="2230" customWidth="1"/>
    <col min="3072" max="3072" width="12.5703125" style="2230" customWidth="1"/>
    <col min="3073" max="3073" width="13.85546875" style="2230" customWidth="1"/>
    <col min="3074" max="3074" width="13.42578125" style="2230" customWidth="1"/>
    <col min="3075" max="3075" width="11" style="2230" customWidth="1"/>
    <col min="3076" max="3076" width="17.7109375" style="2230" bestFit="1" customWidth="1"/>
    <col min="3077" max="3078" width="9.140625" style="2230"/>
    <col min="3079" max="3079" width="10.140625" style="2230" customWidth="1"/>
    <col min="3080" max="3321" width="9.140625" style="2230"/>
    <col min="3322" max="3322" width="13.28515625" style="2230" customWidth="1"/>
    <col min="3323" max="3323" width="10.5703125" style="2230" customWidth="1"/>
    <col min="3324" max="3324" width="12.140625" style="2230" customWidth="1"/>
    <col min="3325" max="3325" width="8.140625" style="2230" bestFit="1" customWidth="1"/>
    <col min="3326" max="3326" width="11.5703125" style="2230" bestFit="1" customWidth="1"/>
    <col min="3327" max="3327" width="11.140625" style="2230" customWidth="1"/>
    <col min="3328" max="3328" width="12.5703125" style="2230" customWidth="1"/>
    <col min="3329" max="3329" width="13.85546875" style="2230" customWidth="1"/>
    <col min="3330" max="3330" width="13.42578125" style="2230" customWidth="1"/>
    <col min="3331" max="3331" width="11" style="2230" customWidth="1"/>
    <col min="3332" max="3332" width="17.7109375" style="2230" bestFit="1" customWidth="1"/>
    <col min="3333" max="3334" width="9.140625" style="2230"/>
    <col min="3335" max="3335" width="10.140625" style="2230" customWidth="1"/>
    <col min="3336" max="3577" width="9.140625" style="2230"/>
    <col min="3578" max="3578" width="13.28515625" style="2230" customWidth="1"/>
    <col min="3579" max="3579" width="10.5703125" style="2230" customWidth="1"/>
    <col min="3580" max="3580" width="12.140625" style="2230" customWidth="1"/>
    <col min="3581" max="3581" width="8.140625" style="2230" bestFit="1" customWidth="1"/>
    <col min="3582" max="3582" width="11.5703125" style="2230" bestFit="1" customWidth="1"/>
    <col min="3583" max="3583" width="11.140625" style="2230" customWidth="1"/>
    <col min="3584" max="3584" width="12.5703125" style="2230" customWidth="1"/>
    <col min="3585" max="3585" width="13.85546875" style="2230" customWidth="1"/>
    <col min="3586" max="3586" width="13.42578125" style="2230" customWidth="1"/>
    <col min="3587" max="3587" width="11" style="2230" customWidth="1"/>
    <col min="3588" max="3588" width="17.7109375" style="2230" bestFit="1" customWidth="1"/>
    <col min="3589" max="3590" width="9.140625" style="2230"/>
    <col min="3591" max="3591" width="10.140625" style="2230" customWidth="1"/>
    <col min="3592" max="3833" width="9.140625" style="2230"/>
    <col min="3834" max="3834" width="13.28515625" style="2230" customWidth="1"/>
    <col min="3835" max="3835" width="10.5703125" style="2230" customWidth="1"/>
    <col min="3836" max="3836" width="12.140625" style="2230" customWidth="1"/>
    <col min="3837" max="3837" width="8.140625" style="2230" bestFit="1" customWidth="1"/>
    <col min="3838" max="3838" width="11.5703125" style="2230" bestFit="1" customWidth="1"/>
    <col min="3839" max="3839" width="11.140625" style="2230" customWidth="1"/>
    <col min="3840" max="3840" width="12.5703125" style="2230" customWidth="1"/>
    <col min="3841" max="3841" width="13.85546875" style="2230" customWidth="1"/>
    <col min="3842" max="3842" width="13.42578125" style="2230" customWidth="1"/>
    <col min="3843" max="3843" width="11" style="2230" customWidth="1"/>
    <col min="3844" max="3844" width="17.7109375" style="2230" bestFit="1" customWidth="1"/>
    <col min="3845" max="3846" width="9.140625" style="2230"/>
    <col min="3847" max="3847" width="10.140625" style="2230" customWidth="1"/>
    <col min="3848" max="4089" width="9.140625" style="2230"/>
    <col min="4090" max="4090" width="13.28515625" style="2230" customWidth="1"/>
    <col min="4091" max="4091" width="10.5703125" style="2230" customWidth="1"/>
    <col min="4092" max="4092" width="12.140625" style="2230" customWidth="1"/>
    <col min="4093" max="4093" width="8.140625" style="2230" bestFit="1" customWidth="1"/>
    <col min="4094" max="4094" width="11.5703125" style="2230" bestFit="1" customWidth="1"/>
    <col min="4095" max="4095" width="11.140625" style="2230" customWidth="1"/>
    <col min="4096" max="4096" width="12.5703125" style="2230" customWidth="1"/>
    <col min="4097" max="4097" width="13.85546875" style="2230" customWidth="1"/>
    <col min="4098" max="4098" width="13.42578125" style="2230" customWidth="1"/>
    <col min="4099" max="4099" width="11" style="2230" customWidth="1"/>
    <col min="4100" max="4100" width="17.7109375" style="2230" bestFit="1" customWidth="1"/>
    <col min="4101" max="4102" width="9.140625" style="2230"/>
    <col min="4103" max="4103" width="10.140625" style="2230" customWidth="1"/>
    <col min="4104" max="4345" width="9.140625" style="2230"/>
    <col min="4346" max="4346" width="13.28515625" style="2230" customWidth="1"/>
    <col min="4347" max="4347" width="10.5703125" style="2230" customWidth="1"/>
    <col min="4348" max="4348" width="12.140625" style="2230" customWidth="1"/>
    <col min="4349" max="4349" width="8.140625" style="2230" bestFit="1" customWidth="1"/>
    <col min="4350" max="4350" width="11.5703125" style="2230" bestFit="1" customWidth="1"/>
    <col min="4351" max="4351" width="11.140625" style="2230" customWidth="1"/>
    <col min="4352" max="4352" width="12.5703125" style="2230" customWidth="1"/>
    <col min="4353" max="4353" width="13.85546875" style="2230" customWidth="1"/>
    <col min="4354" max="4354" width="13.42578125" style="2230" customWidth="1"/>
    <col min="4355" max="4355" width="11" style="2230" customWidth="1"/>
    <col min="4356" max="4356" width="17.7109375" style="2230" bestFit="1" customWidth="1"/>
    <col min="4357" max="4358" width="9.140625" style="2230"/>
    <col min="4359" max="4359" width="10.140625" style="2230" customWidth="1"/>
    <col min="4360" max="4601" width="9.140625" style="2230"/>
    <col min="4602" max="4602" width="13.28515625" style="2230" customWidth="1"/>
    <col min="4603" max="4603" width="10.5703125" style="2230" customWidth="1"/>
    <col min="4604" max="4604" width="12.140625" style="2230" customWidth="1"/>
    <col min="4605" max="4605" width="8.140625" style="2230" bestFit="1" customWidth="1"/>
    <col min="4606" max="4606" width="11.5703125" style="2230" bestFit="1" customWidth="1"/>
    <col min="4607" max="4607" width="11.140625" style="2230" customWidth="1"/>
    <col min="4608" max="4608" width="12.5703125" style="2230" customWidth="1"/>
    <col min="4609" max="4609" width="13.85546875" style="2230" customWidth="1"/>
    <col min="4610" max="4610" width="13.42578125" style="2230" customWidth="1"/>
    <col min="4611" max="4611" width="11" style="2230" customWidth="1"/>
    <col min="4612" max="4612" width="17.7109375" style="2230" bestFit="1" customWidth="1"/>
    <col min="4613" max="4614" width="9.140625" style="2230"/>
    <col min="4615" max="4615" width="10.140625" style="2230" customWidth="1"/>
    <col min="4616" max="4857" width="9.140625" style="2230"/>
    <col min="4858" max="4858" width="13.28515625" style="2230" customWidth="1"/>
    <col min="4859" max="4859" width="10.5703125" style="2230" customWidth="1"/>
    <col min="4860" max="4860" width="12.140625" style="2230" customWidth="1"/>
    <col min="4861" max="4861" width="8.140625" style="2230" bestFit="1" customWidth="1"/>
    <col min="4862" max="4862" width="11.5703125" style="2230" bestFit="1" customWidth="1"/>
    <col min="4863" max="4863" width="11.140625" style="2230" customWidth="1"/>
    <col min="4864" max="4864" width="12.5703125" style="2230" customWidth="1"/>
    <col min="4865" max="4865" width="13.85546875" style="2230" customWidth="1"/>
    <col min="4866" max="4866" width="13.42578125" style="2230" customWidth="1"/>
    <col min="4867" max="4867" width="11" style="2230" customWidth="1"/>
    <col min="4868" max="4868" width="17.7109375" style="2230" bestFit="1" customWidth="1"/>
    <col min="4869" max="4870" width="9.140625" style="2230"/>
    <col min="4871" max="4871" width="10.140625" style="2230" customWidth="1"/>
    <col min="4872" max="5113" width="9.140625" style="2230"/>
    <col min="5114" max="5114" width="13.28515625" style="2230" customWidth="1"/>
    <col min="5115" max="5115" width="10.5703125" style="2230" customWidth="1"/>
    <col min="5116" max="5116" width="12.140625" style="2230" customWidth="1"/>
    <col min="5117" max="5117" width="8.140625" style="2230" bestFit="1" customWidth="1"/>
    <col min="5118" max="5118" width="11.5703125" style="2230" bestFit="1" customWidth="1"/>
    <col min="5119" max="5119" width="11.140625" style="2230" customWidth="1"/>
    <col min="5120" max="5120" width="12.5703125" style="2230" customWidth="1"/>
    <col min="5121" max="5121" width="13.85546875" style="2230" customWidth="1"/>
    <col min="5122" max="5122" width="13.42578125" style="2230" customWidth="1"/>
    <col min="5123" max="5123" width="11" style="2230" customWidth="1"/>
    <col min="5124" max="5124" width="17.7109375" style="2230" bestFit="1" customWidth="1"/>
    <col min="5125" max="5126" width="9.140625" style="2230"/>
    <col min="5127" max="5127" width="10.140625" style="2230" customWidth="1"/>
    <col min="5128" max="5369" width="9.140625" style="2230"/>
    <col min="5370" max="5370" width="13.28515625" style="2230" customWidth="1"/>
    <col min="5371" max="5371" width="10.5703125" style="2230" customWidth="1"/>
    <col min="5372" max="5372" width="12.140625" style="2230" customWidth="1"/>
    <col min="5373" max="5373" width="8.140625" style="2230" bestFit="1" customWidth="1"/>
    <col min="5374" max="5374" width="11.5703125" style="2230" bestFit="1" customWidth="1"/>
    <col min="5375" max="5375" width="11.140625" style="2230" customWidth="1"/>
    <col min="5376" max="5376" width="12.5703125" style="2230" customWidth="1"/>
    <col min="5377" max="5377" width="13.85546875" style="2230" customWidth="1"/>
    <col min="5378" max="5378" width="13.42578125" style="2230" customWidth="1"/>
    <col min="5379" max="5379" width="11" style="2230" customWidth="1"/>
    <col min="5380" max="5380" width="17.7109375" style="2230" bestFit="1" customWidth="1"/>
    <col min="5381" max="5382" width="9.140625" style="2230"/>
    <col min="5383" max="5383" width="10.140625" style="2230" customWidth="1"/>
    <col min="5384" max="5625" width="9.140625" style="2230"/>
    <col min="5626" max="5626" width="13.28515625" style="2230" customWidth="1"/>
    <col min="5627" max="5627" width="10.5703125" style="2230" customWidth="1"/>
    <col min="5628" max="5628" width="12.140625" style="2230" customWidth="1"/>
    <col min="5629" max="5629" width="8.140625" style="2230" bestFit="1" customWidth="1"/>
    <col min="5630" max="5630" width="11.5703125" style="2230" bestFit="1" customWidth="1"/>
    <col min="5631" max="5631" width="11.140625" style="2230" customWidth="1"/>
    <col min="5632" max="5632" width="12.5703125" style="2230" customWidth="1"/>
    <col min="5633" max="5633" width="13.85546875" style="2230" customWidth="1"/>
    <col min="5634" max="5634" width="13.42578125" style="2230" customWidth="1"/>
    <col min="5635" max="5635" width="11" style="2230" customWidth="1"/>
    <col min="5636" max="5636" width="17.7109375" style="2230" bestFit="1" customWidth="1"/>
    <col min="5637" max="5638" width="9.140625" style="2230"/>
    <col min="5639" max="5639" width="10.140625" style="2230" customWidth="1"/>
    <col min="5640" max="5881" width="9.140625" style="2230"/>
    <col min="5882" max="5882" width="13.28515625" style="2230" customWidth="1"/>
    <col min="5883" max="5883" width="10.5703125" style="2230" customWidth="1"/>
    <col min="5884" max="5884" width="12.140625" style="2230" customWidth="1"/>
    <col min="5885" max="5885" width="8.140625" style="2230" bestFit="1" customWidth="1"/>
    <col min="5886" max="5886" width="11.5703125" style="2230" bestFit="1" customWidth="1"/>
    <col min="5887" max="5887" width="11.140625" style="2230" customWidth="1"/>
    <col min="5888" max="5888" width="12.5703125" style="2230" customWidth="1"/>
    <col min="5889" max="5889" width="13.85546875" style="2230" customWidth="1"/>
    <col min="5890" max="5890" width="13.42578125" style="2230" customWidth="1"/>
    <col min="5891" max="5891" width="11" style="2230" customWidth="1"/>
    <col min="5892" max="5892" width="17.7109375" style="2230" bestFit="1" customWidth="1"/>
    <col min="5893" max="5894" width="9.140625" style="2230"/>
    <col min="5895" max="5895" width="10.140625" style="2230" customWidth="1"/>
    <col min="5896" max="6137" width="9.140625" style="2230"/>
    <col min="6138" max="6138" width="13.28515625" style="2230" customWidth="1"/>
    <col min="6139" max="6139" width="10.5703125" style="2230" customWidth="1"/>
    <col min="6140" max="6140" width="12.140625" style="2230" customWidth="1"/>
    <col min="6141" max="6141" width="8.140625" style="2230" bestFit="1" customWidth="1"/>
    <col min="6142" max="6142" width="11.5703125" style="2230" bestFit="1" customWidth="1"/>
    <col min="6143" max="6143" width="11.140625" style="2230" customWidth="1"/>
    <col min="6144" max="6144" width="12.5703125" style="2230" customWidth="1"/>
    <col min="6145" max="6145" width="13.85546875" style="2230" customWidth="1"/>
    <col min="6146" max="6146" width="13.42578125" style="2230" customWidth="1"/>
    <col min="6147" max="6147" width="11" style="2230" customWidth="1"/>
    <col min="6148" max="6148" width="17.7109375" style="2230" bestFit="1" customWidth="1"/>
    <col min="6149" max="6150" width="9.140625" style="2230"/>
    <col min="6151" max="6151" width="10.140625" style="2230" customWidth="1"/>
    <col min="6152" max="6393" width="9.140625" style="2230"/>
    <col min="6394" max="6394" width="13.28515625" style="2230" customWidth="1"/>
    <col min="6395" max="6395" width="10.5703125" style="2230" customWidth="1"/>
    <col min="6396" max="6396" width="12.140625" style="2230" customWidth="1"/>
    <col min="6397" max="6397" width="8.140625" style="2230" bestFit="1" customWidth="1"/>
    <col min="6398" max="6398" width="11.5703125" style="2230" bestFit="1" customWidth="1"/>
    <col min="6399" max="6399" width="11.140625" style="2230" customWidth="1"/>
    <col min="6400" max="6400" width="12.5703125" style="2230" customWidth="1"/>
    <col min="6401" max="6401" width="13.85546875" style="2230" customWidth="1"/>
    <col min="6402" max="6402" width="13.42578125" style="2230" customWidth="1"/>
    <col min="6403" max="6403" width="11" style="2230" customWidth="1"/>
    <col min="6404" max="6404" width="17.7109375" style="2230" bestFit="1" customWidth="1"/>
    <col min="6405" max="6406" width="9.140625" style="2230"/>
    <col min="6407" max="6407" width="10.140625" style="2230" customWidth="1"/>
    <col min="6408" max="6649" width="9.140625" style="2230"/>
    <col min="6650" max="6650" width="13.28515625" style="2230" customWidth="1"/>
    <col min="6651" max="6651" width="10.5703125" style="2230" customWidth="1"/>
    <col min="6652" max="6652" width="12.140625" style="2230" customWidth="1"/>
    <col min="6653" max="6653" width="8.140625" style="2230" bestFit="1" customWidth="1"/>
    <col min="6654" max="6654" width="11.5703125" style="2230" bestFit="1" customWidth="1"/>
    <col min="6655" max="6655" width="11.140625" style="2230" customWidth="1"/>
    <col min="6656" max="6656" width="12.5703125" style="2230" customWidth="1"/>
    <col min="6657" max="6657" width="13.85546875" style="2230" customWidth="1"/>
    <col min="6658" max="6658" width="13.42578125" style="2230" customWidth="1"/>
    <col min="6659" max="6659" width="11" style="2230" customWidth="1"/>
    <col min="6660" max="6660" width="17.7109375" style="2230" bestFit="1" customWidth="1"/>
    <col min="6661" max="6662" width="9.140625" style="2230"/>
    <col min="6663" max="6663" width="10.140625" style="2230" customWidth="1"/>
    <col min="6664" max="6905" width="9.140625" style="2230"/>
    <col min="6906" max="6906" width="13.28515625" style="2230" customWidth="1"/>
    <col min="6907" max="6907" width="10.5703125" style="2230" customWidth="1"/>
    <col min="6908" max="6908" width="12.140625" style="2230" customWidth="1"/>
    <col min="6909" max="6909" width="8.140625" style="2230" bestFit="1" customWidth="1"/>
    <col min="6910" max="6910" width="11.5703125" style="2230" bestFit="1" customWidth="1"/>
    <col min="6911" max="6911" width="11.140625" style="2230" customWidth="1"/>
    <col min="6912" max="6912" width="12.5703125" style="2230" customWidth="1"/>
    <col min="6913" max="6913" width="13.85546875" style="2230" customWidth="1"/>
    <col min="6914" max="6914" width="13.42578125" style="2230" customWidth="1"/>
    <col min="6915" max="6915" width="11" style="2230" customWidth="1"/>
    <col min="6916" max="6916" width="17.7109375" style="2230" bestFit="1" customWidth="1"/>
    <col min="6917" max="6918" width="9.140625" style="2230"/>
    <col min="6919" max="6919" width="10.140625" style="2230" customWidth="1"/>
    <col min="6920" max="7161" width="9.140625" style="2230"/>
    <col min="7162" max="7162" width="13.28515625" style="2230" customWidth="1"/>
    <col min="7163" max="7163" width="10.5703125" style="2230" customWidth="1"/>
    <col min="7164" max="7164" width="12.140625" style="2230" customWidth="1"/>
    <col min="7165" max="7165" width="8.140625" style="2230" bestFit="1" customWidth="1"/>
    <col min="7166" max="7166" width="11.5703125" style="2230" bestFit="1" customWidth="1"/>
    <col min="7167" max="7167" width="11.140625" style="2230" customWidth="1"/>
    <col min="7168" max="7168" width="12.5703125" style="2230" customWidth="1"/>
    <col min="7169" max="7169" width="13.85546875" style="2230" customWidth="1"/>
    <col min="7170" max="7170" width="13.42578125" style="2230" customWidth="1"/>
    <col min="7171" max="7171" width="11" style="2230" customWidth="1"/>
    <col min="7172" max="7172" width="17.7109375" style="2230" bestFit="1" customWidth="1"/>
    <col min="7173" max="7174" width="9.140625" style="2230"/>
    <col min="7175" max="7175" width="10.140625" style="2230" customWidth="1"/>
    <col min="7176" max="7417" width="9.140625" style="2230"/>
    <col min="7418" max="7418" width="13.28515625" style="2230" customWidth="1"/>
    <col min="7419" max="7419" width="10.5703125" style="2230" customWidth="1"/>
    <col min="7420" max="7420" width="12.140625" style="2230" customWidth="1"/>
    <col min="7421" max="7421" width="8.140625" style="2230" bestFit="1" customWidth="1"/>
    <col min="7422" max="7422" width="11.5703125" style="2230" bestFit="1" customWidth="1"/>
    <col min="7423" max="7423" width="11.140625" style="2230" customWidth="1"/>
    <col min="7424" max="7424" width="12.5703125" style="2230" customWidth="1"/>
    <col min="7425" max="7425" width="13.85546875" style="2230" customWidth="1"/>
    <col min="7426" max="7426" width="13.42578125" style="2230" customWidth="1"/>
    <col min="7427" max="7427" width="11" style="2230" customWidth="1"/>
    <col min="7428" max="7428" width="17.7109375" style="2230" bestFit="1" customWidth="1"/>
    <col min="7429" max="7430" width="9.140625" style="2230"/>
    <col min="7431" max="7431" width="10.140625" style="2230" customWidth="1"/>
    <col min="7432" max="7673" width="9.140625" style="2230"/>
    <col min="7674" max="7674" width="13.28515625" style="2230" customWidth="1"/>
    <col min="7675" max="7675" width="10.5703125" style="2230" customWidth="1"/>
    <col min="7676" max="7676" width="12.140625" style="2230" customWidth="1"/>
    <col min="7677" max="7677" width="8.140625" style="2230" bestFit="1" customWidth="1"/>
    <col min="7678" max="7678" width="11.5703125" style="2230" bestFit="1" customWidth="1"/>
    <col min="7679" max="7679" width="11.140625" style="2230" customWidth="1"/>
    <col min="7680" max="7680" width="12.5703125" style="2230" customWidth="1"/>
    <col min="7681" max="7681" width="13.85546875" style="2230" customWidth="1"/>
    <col min="7682" max="7682" width="13.42578125" style="2230" customWidth="1"/>
    <col min="7683" max="7683" width="11" style="2230" customWidth="1"/>
    <col min="7684" max="7684" width="17.7109375" style="2230" bestFit="1" customWidth="1"/>
    <col min="7685" max="7686" width="9.140625" style="2230"/>
    <col min="7687" max="7687" width="10.140625" style="2230" customWidth="1"/>
    <col min="7688" max="7929" width="9.140625" style="2230"/>
    <col min="7930" max="7930" width="13.28515625" style="2230" customWidth="1"/>
    <col min="7931" max="7931" width="10.5703125" style="2230" customWidth="1"/>
    <col min="7932" max="7932" width="12.140625" style="2230" customWidth="1"/>
    <col min="7933" max="7933" width="8.140625" style="2230" bestFit="1" customWidth="1"/>
    <col min="7934" max="7934" width="11.5703125" style="2230" bestFit="1" customWidth="1"/>
    <col min="7935" max="7935" width="11.140625" style="2230" customWidth="1"/>
    <col min="7936" max="7936" width="12.5703125" style="2230" customWidth="1"/>
    <col min="7937" max="7937" width="13.85546875" style="2230" customWidth="1"/>
    <col min="7938" max="7938" width="13.42578125" style="2230" customWidth="1"/>
    <col min="7939" max="7939" width="11" style="2230" customWidth="1"/>
    <col min="7940" max="7940" width="17.7109375" style="2230" bestFit="1" customWidth="1"/>
    <col min="7941" max="7942" width="9.140625" style="2230"/>
    <col min="7943" max="7943" width="10.140625" style="2230" customWidth="1"/>
    <col min="7944" max="8185" width="9.140625" style="2230"/>
    <col min="8186" max="8186" width="13.28515625" style="2230" customWidth="1"/>
    <col min="8187" max="8187" width="10.5703125" style="2230" customWidth="1"/>
    <col min="8188" max="8188" width="12.140625" style="2230" customWidth="1"/>
    <col min="8189" max="8189" width="8.140625" style="2230" bestFit="1" customWidth="1"/>
    <col min="8190" max="8190" width="11.5703125" style="2230" bestFit="1" customWidth="1"/>
    <col min="8191" max="8191" width="11.140625" style="2230" customWidth="1"/>
    <col min="8192" max="8192" width="12.5703125" style="2230" customWidth="1"/>
    <col min="8193" max="8193" width="13.85546875" style="2230" customWidth="1"/>
    <col min="8194" max="8194" width="13.42578125" style="2230" customWidth="1"/>
    <col min="8195" max="8195" width="11" style="2230" customWidth="1"/>
    <col min="8196" max="8196" width="17.7109375" style="2230" bestFit="1" customWidth="1"/>
    <col min="8197" max="8198" width="9.140625" style="2230"/>
    <col min="8199" max="8199" width="10.140625" style="2230" customWidth="1"/>
    <col min="8200" max="8441" width="9.140625" style="2230"/>
    <col min="8442" max="8442" width="13.28515625" style="2230" customWidth="1"/>
    <col min="8443" max="8443" width="10.5703125" style="2230" customWidth="1"/>
    <col min="8444" max="8444" width="12.140625" style="2230" customWidth="1"/>
    <col min="8445" max="8445" width="8.140625" style="2230" bestFit="1" customWidth="1"/>
    <col min="8446" max="8446" width="11.5703125" style="2230" bestFit="1" customWidth="1"/>
    <col min="8447" max="8447" width="11.140625" style="2230" customWidth="1"/>
    <col min="8448" max="8448" width="12.5703125" style="2230" customWidth="1"/>
    <col min="8449" max="8449" width="13.85546875" style="2230" customWidth="1"/>
    <col min="8450" max="8450" width="13.42578125" style="2230" customWidth="1"/>
    <col min="8451" max="8451" width="11" style="2230" customWidth="1"/>
    <col min="8452" max="8452" width="17.7109375" style="2230" bestFit="1" customWidth="1"/>
    <col min="8453" max="8454" width="9.140625" style="2230"/>
    <col min="8455" max="8455" width="10.140625" style="2230" customWidth="1"/>
    <col min="8456" max="8697" width="9.140625" style="2230"/>
    <col min="8698" max="8698" width="13.28515625" style="2230" customWidth="1"/>
    <col min="8699" max="8699" width="10.5703125" style="2230" customWidth="1"/>
    <col min="8700" max="8700" width="12.140625" style="2230" customWidth="1"/>
    <col min="8701" max="8701" width="8.140625" style="2230" bestFit="1" customWidth="1"/>
    <col min="8702" max="8702" width="11.5703125" style="2230" bestFit="1" customWidth="1"/>
    <col min="8703" max="8703" width="11.140625" style="2230" customWidth="1"/>
    <col min="8704" max="8704" width="12.5703125" style="2230" customWidth="1"/>
    <col min="8705" max="8705" width="13.85546875" style="2230" customWidth="1"/>
    <col min="8706" max="8706" width="13.42578125" style="2230" customWidth="1"/>
    <col min="8707" max="8707" width="11" style="2230" customWidth="1"/>
    <col min="8708" max="8708" width="17.7109375" style="2230" bestFit="1" customWidth="1"/>
    <col min="8709" max="8710" width="9.140625" style="2230"/>
    <col min="8711" max="8711" width="10.140625" style="2230" customWidth="1"/>
    <col min="8712" max="8953" width="9.140625" style="2230"/>
    <col min="8954" max="8954" width="13.28515625" style="2230" customWidth="1"/>
    <col min="8955" max="8955" width="10.5703125" style="2230" customWidth="1"/>
    <col min="8956" max="8956" width="12.140625" style="2230" customWidth="1"/>
    <col min="8957" max="8957" width="8.140625" style="2230" bestFit="1" customWidth="1"/>
    <col min="8958" max="8958" width="11.5703125" style="2230" bestFit="1" customWidth="1"/>
    <col min="8959" max="8959" width="11.140625" style="2230" customWidth="1"/>
    <col min="8960" max="8960" width="12.5703125" style="2230" customWidth="1"/>
    <col min="8961" max="8961" width="13.85546875" style="2230" customWidth="1"/>
    <col min="8962" max="8962" width="13.42578125" style="2230" customWidth="1"/>
    <col min="8963" max="8963" width="11" style="2230" customWidth="1"/>
    <col min="8964" max="8964" width="17.7109375" style="2230" bestFit="1" customWidth="1"/>
    <col min="8965" max="8966" width="9.140625" style="2230"/>
    <col min="8967" max="8967" width="10.140625" style="2230" customWidth="1"/>
    <col min="8968" max="9209" width="9.140625" style="2230"/>
    <col min="9210" max="9210" width="13.28515625" style="2230" customWidth="1"/>
    <col min="9211" max="9211" width="10.5703125" style="2230" customWidth="1"/>
    <col min="9212" max="9212" width="12.140625" style="2230" customWidth="1"/>
    <col min="9213" max="9213" width="8.140625" style="2230" bestFit="1" customWidth="1"/>
    <col min="9214" max="9214" width="11.5703125" style="2230" bestFit="1" customWidth="1"/>
    <col min="9215" max="9215" width="11.140625" style="2230" customWidth="1"/>
    <col min="9216" max="9216" width="12.5703125" style="2230" customWidth="1"/>
    <col min="9217" max="9217" width="13.85546875" style="2230" customWidth="1"/>
    <col min="9218" max="9218" width="13.42578125" style="2230" customWidth="1"/>
    <col min="9219" max="9219" width="11" style="2230" customWidth="1"/>
    <col min="9220" max="9220" width="17.7109375" style="2230" bestFit="1" customWidth="1"/>
    <col min="9221" max="9222" width="9.140625" style="2230"/>
    <col min="9223" max="9223" width="10.140625" style="2230" customWidth="1"/>
    <col min="9224" max="9465" width="9.140625" style="2230"/>
    <col min="9466" max="9466" width="13.28515625" style="2230" customWidth="1"/>
    <col min="9467" max="9467" width="10.5703125" style="2230" customWidth="1"/>
    <col min="9468" max="9468" width="12.140625" style="2230" customWidth="1"/>
    <col min="9469" max="9469" width="8.140625" style="2230" bestFit="1" customWidth="1"/>
    <col min="9470" max="9470" width="11.5703125" style="2230" bestFit="1" customWidth="1"/>
    <col min="9471" max="9471" width="11.140625" style="2230" customWidth="1"/>
    <col min="9472" max="9472" width="12.5703125" style="2230" customWidth="1"/>
    <col min="9473" max="9473" width="13.85546875" style="2230" customWidth="1"/>
    <col min="9474" max="9474" width="13.42578125" style="2230" customWidth="1"/>
    <col min="9475" max="9475" width="11" style="2230" customWidth="1"/>
    <col min="9476" max="9476" width="17.7109375" style="2230" bestFit="1" customWidth="1"/>
    <col min="9477" max="9478" width="9.140625" style="2230"/>
    <col min="9479" max="9479" width="10.140625" style="2230" customWidth="1"/>
    <col min="9480" max="9721" width="9.140625" style="2230"/>
    <col min="9722" max="9722" width="13.28515625" style="2230" customWidth="1"/>
    <col min="9723" max="9723" width="10.5703125" style="2230" customWidth="1"/>
    <col min="9724" max="9724" width="12.140625" style="2230" customWidth="1"/>
    <col min="9725" max="9725" width="8.140625" style="2230" bestFit="1" customWidth="1"/>
    <col min="9726" max="9726" width="11.5703125" style="2230" bestFit="1" customWidth="1"/>
    <col min="9727" max="9727" width="11.140625" style="2230" customWidth="1"/>
    <col min="9728" max="9728" width="12.5703125" style="2230" customWidth="1"/>
    <col min="9729" max="9729" width="13.85546875" style="2230" customWidth="1"/>
    <col min="9730" max="9730" width="13.42578125" style="2230" customWidth="1"/>
    <col min="9731" max="9731" width="11" style="2230" customWidth="1"/>
    <col min="9732" max="9732" width="17.7109375" style="2230" bestFit="1" customWidth="1"/>
    <col min="9733" max="9734" width="9.140625" style="2230"/>
    <col min="9735" max="9735" width="10.140625" style="2230" customWidth="1"/>
    <col min="9736" max="9977" width="9.140625" style="2230"/>
    <col min="9978" max="9978" width="13.28515625" style="2230" customWidth="1"/>
    <col min="9979" max="9979" width="10.5703125" style="2230" customWidth="1"/>
    <col min="9980" max="9980" width="12.140625" style="2230" customWidth="1"/>
    <col min="9981" max="9981" width="8.140625" style="2230" bestFit="1" customWidth="1"/>
    <col min="9982" max="9982" width="11.5703125" style="2230" bestFit="1" customWidth="1"/>
    <col min="9983" max="9983" width="11.140625" style="2230" customWidth="1"/>
    <col min="9984" max="9984" width="12.5703125" style="2230" customWidth="1"/>
    <col min="9985" max="9985" width="13.85546875" style="2230" customWidth="1"/>
    <col min="9986" max="9986" width="13.42578125" style="2230" customWidth="1"/>
    <col min="9987" max="9987" width="11" style="2230" customWidth="1"/>
    <col min="9988" max="9988" width="17.7109375" style="2230" bestFit="1" customWidth="1"/>
    <col min="9989" max="9990" width="9.140625" style="2230"/>
    <col min="9991" max="9991" width="10.140625" style="2230" customWidth="1"/>
    <col min="9992" max="10233" width="9.140625" style="2230"/>
    <col min="10234" max="10234" width="13.28515625" style="2230" customWidth="1"/>
    <col min="10235" max="10235" width="10.5703125" style="2230" customWidth="1"/>
    <col min="10236" max="10236" width="12.140625" style="2230" customWidth="1"/>
    <col min="10237" max="10237" width="8.140625" style="2230" bestFit="1" customWidth="1"/>
    <col min="10238" max="10238" width="11.5703125" style="2230" bestFit="1" customWidth="1"/>
    <col min="10239" max="10239" width="11.140625" style="2230" customWidth="1"/>
    <col min="10240" max="10240" width="12.5703125" style="2230" customWidth="1"/>
    <col min="10241" max="10241" width="13.85546875" style="2230" customWidth="1"/>
    <col min="10242" max="10242" width="13.42578125" style="2230" customWidth="1"/>
    <col min="10243" max="10243" width="11" style="2230" customWidth="1"/>
    <col min="10244" max="10244" width="17.7109375" style="2230" bestFit="1" customWidth="1"/>
    <col min="10245" max="10246" width="9.140625" style="2230"/>
    <col min="10247" max="10247" width="10.140625" style="2230" customWidth="1"/>
    <col min="10248" max="10489" width="9.140625" style="2230"/>
    <col min="10490" max="10490" width="13.28515625" style="2230" customWidth="1"/>
    <col min="10491" max="10491" width="10.5703125" style="2230" customWidth="1"/>
    <col min="10492" max="10492" width="12.140625" style="2230" customWidth="1"/>
    <col min="10493" max="10493" width="8.140625" style="2230" bestFit="1" customWidth="1"/>
    <col min="10494" max="10494" width="11.5703125" style="2230" bestFit="1" customWidth="1"/>
    <col min="10495" max="10495" width="11.140625" style="2230" customWidth="1"/>
    <col min="10496" max="10496" width="12.5703125" style="2230" customWidth="1"/>
    <col min="10497" max="10497" width="13.85546875" style="2230" customWidth="1"/>
    <col min="10498" max="10498" width="13.42578125" style="2230" customWidth="1"/>
    <col min="10499" max="10499" width="11" style="2230" customWidth="1"/>
    <col min="10500" max="10500" width="17.7109375" style="2230" bestFit="1" customWidth="1"/>
    <col min="10501" max="10502" width="9.140625" style="2230"/>
    <col min="10503" max="10503" width="10.140625" style="2230" customWidth="1"/>
    <col min="10504" max="10745" width="9.140625" style="2230"/>
    <col min="10746" max="10746" width="13.28515625" style="2230" customWidth="1"/>
    <col min="10747" max="10747" width="10.5703125" style="2230" customWidth="1"/>
    <col min="10748" max="10748" width="12.140625" style="2230" customWidth="1"/>
    <col min="10749" max="10749" width="8.140625" style="2230" bestFit="1" customWidth="1"/>
    <col min="10750" max="10750" width="11.5703125" style="2230" bestFit="1" customWidth="1"/>
    <col min="10751" max="10751" width="11.140625" style="2230" customWidth="1"/>
    <col min="10752" max="10752" width="12.5703125" style="2230" customWidth="1"/>
    <col min="10753" max="10753" width="13.85546875" style="2230" customWidth="1"/>
    <col min="10754" max="10754" width="13.42578125" style="2230" customWidth="1"/>
    <col min="10755" max="10755" width="11" style="2230" customWidth="1"/>
    <col min="10756" max="10756" width="17.7109375" style="2230" bestFit="1" customWidth="1"/>
    <col min="10757" max="10758" width="9.140625" style="2230"/>
    <col min="10759" max="10759" width="10.140625" style="2230" customWidth="1"/>
    <col min="10760" max="11001" width="9.140625" style="2230"/>
    <col min="11002" max="11002" width="13.28515625" style="2230" customWidth="1"/>
    <col min="11003" max="11003" width="10.5703125" style="2230" customWidth="1"/>
    <col min="11004" max="11004" width="12.140625" style="2230" customWidth="1"/>
    <col min="11005" max="11005" width="8.140625" style="2230" bestFit="1" customWidth="1"/>
    <col min="11006" max="11006" width="11.5703125" style="2230" bestFit="1" customWidth="1"/>
    <col min="11007" max="11007" width="11.140625" style="2230" customWidth="1"/>
    <col min="11008" max="11008" width="12.5703125" style="2230" customWidth="1"/>
    <col min="11009" max="11009" width="13.85546875" style="2230" customWidth="1"/>
    <col min="11010" max="11010" width="13.42578125" style="2230" customWidth="1"/>
    <col min="11011" max="11011" width="11" style="2230" customWidth="1"/>
    <col min="11012" max="11012" width="17.7109375" style="2230" bestFit="1" customWidth="1"/>
    <col min="11013" max="11014" width="9.140625" style="2230"/>
    <col min="11015" max="11015" width="10.140625" style="2230" customWidth="1"/>
    <col min="11016" max="11257" width="9.140625" style="2230"/>
    <col min="11258" max="11258" width="13.28515625" style="2230" customWidth="1"/>
    <col min="11259" max="11259" width="10.5703125" style="2230" customWidth="1"/>
    <col min="11260" max="11260" width="12.140625" style="2230" customWidth="1"/>
    <col min="11261" max="11261" width="8.140625" style="2230" bestFit="1" customWidth="1"/>
    <col min="11262" max="11262" width="11.5703125" style="2230" bestFit="1" customWidth="1"/>
    <col min="11263" max="11263" width="11.140625" style="2230" customWidth="1"/>
    <col min="11264" max="11264" width="12.5703125" style="2230" customWidth="1"/>
    <col min="11265" max="11265" width="13.85546875" style="2230" customWidth="1"/>
    <col min="11266" max="11266" width="13.42578125" style="2230" customWidth="1"/>
    <col min="11267" max="11267" width="11" style="2230" customWidth="1"/>
    <col min="11268" max="11268" width="17.7109375" style="2230" bestFit="1" customWidth="1"/>
    <col min="11269" max="11270" width="9.140625" style="2230"/>
    <col min="11271" max="11271" width="10.140625" style="2230" customWidth="1"/>
    <col min="11272" max="11513" width="9.140625" style="2230"/>
    <col min="11514" max="11514" width="13.28515625" style="2230" customWidth="1"/>
    <col min="11515" max="11515" width="10.5703125" style="2230" customWidth="1"/>
    <col min="11516" max="11516" width="12.140625" style="2230" customWidth="1"/>
    <col min="11517" max="11517" width="8.140625" style="2230" bestFit="1" customWidth="1"/>
    <col min="11518" max="11518" width="11.5703125" style="2230" bestFit="1" customWidth="1"/>
    <col min="11519" max="11519" width="11.140625" style="2230" customWidth="1"/>
    <col min="11520" max="11520" width="12.5703125" style="2230" customWidth="1"/>
    <col min="11521" max="11521" width="13.85546875" style="2230" customWidth="1"/>
    <col min="11522" max="11522" width="13.42578125" style="2230" customWidth="1"/>
    <col min="11523" max="11523" width="11" style="2230" customWidth="1"/>
    <col min="11524" max="11524" width="17.7109375" style="2230" bestFit="1" customWidth="1"/>
    <col min="11525" max="11526" width="9.140625" style="2230"/>
    <col min="11527" max="11527" width="10.140625" style="2230" customWidth="1"/>
    <col min="11528" max="11769" width="9.140625" style="2230"/>
    <col min="11770" max="11770" width="13.28515625" style="2230" customWidth="1"/>
    <col min="11771" max="11771" width="10.5703125" style="2230" customWidth="1"/>
    <col min="11772" max="11772" width="12.140625" style="2230" customWidth="1"/>
    <col min="11773" max="11773" width="8.140625" style="2230" bestFit="1" customWidth="1"/>
    <col min="11774" max="11774" width="11.5703125" style="2230" bestFit="1" customWidth="1"/>
    <col min="11775" max="11775" width="11.140625" style="2230" customWidth="1"/>
    <col min="11776" max="11776" width="12.5703125" style="2230" customWidth="1"/>
    <col min="11777" max="11777" width="13.85546875" style="2230" customWidth="1"/>
    <col min="11778" max="11778" width="13.42578125" style="2230" customWidth="1"/>
    <col min="11779" max="11779" width="11" style="2230" customWidth="1"/>
    <col min="11780" max="11780" width="17.7109375" style="2230" bestFit="1" customWidth="1"/>
    <col min="11781" max="11782" width="9.140625" style="2230"/>
    <col min="11783" max="11783" width="10.140625" style="2230" customWidth="1"/>
    <col min="11784" max="12025" width="9.140625" style="2230"/>
    <col min="12026" max="12026" width="13.28515625" style="2230" customWidth="1"/>
    <col min="12027" max="12027" width="10.5703125" style="2230" customWidth="1"/>
    <col min="12028" max="12028" width="12.140625" style="2230" customWidth="1"/>
    <col min="12029" max="12029" width="8.140625" style="2230" bestFit="1" customWidth="1"/>
    <col min="12030" max="12030" width="11.5703125" style="2230" bestFit="1" customWidth="1"/>
    <col min="12031" max="12031" width="11.140625" style="2230" customWidth="1"/>
    <col min="12032" max="12032" width="12.5703125" style="2230" customWidth="1"/>
    <col min="12033" max="12033" width="13.85546875" style="2230" customWidth="1"/>
    <col min="12034" max="12034" width="13.42578125" style="2230" customWidth="1"/>
    <col min="12035" max="12035" width="11" style="2230" customWidth="1"/>
    <col min="12036" max="12036" width="17.7109375" style="2230" bestFit="1" customWidth="1"/>
    <col min="12037" max="12038" width="9.140625" style="2230"/>
    <col min="12039" max="12039" width="10.140625" style="2230" customWidth="1"/>
    <col min="12040" max="12281" width="9.140625" style="2230"/>
    <col min="12282" max="12282" width="13.28515625" style="2230" customWidth="1"/>
    <col min="12283" max="12283" width="10.5703125" style="2230" customWidth="1"/>
    <col min="12284" max="12284" width="12.140625" style="2230" customWidth="1"/>
    <col min="12285" max="12285" width="8.140625" style="2230" bestFit="1" customWidth="1"/>
    <col min="12286" max="12286" width="11.5703125" style="2230" bestFit="1" customWidth="1"/>
    <col min="12287" max="12287" width="11.140625" style="2230" customWidth="1"/>
    <col min="12288" max="12288" width="12.5703125" style="2230" customWidth="1"/>
    <col min="12289" max="12289" width="13.85546875" style="2230" customWidth="1"/>
    <col min="12290" max="12290" width="13.42578125" style="2230" customWidth="1"/>
    <col min="12291" max="12291" width="11" style="2230" customWidth="1"/>
    <col min="12292" max="12292" width="17.7109375" style="2230" bestFit="1" customWidth="1"/>
    <col min="12293" max="12294" width="9.140625" style="2230"/>
    <col min="12295" max="12295" width="10.140625" style="2230" customWidth="1"/>
    <col min="12296" max="12537" width="9.140625" style="2230"/>
    <col min="12538" max="12538" width="13.28515625" style="2230" customWidth="1"/>
    <col min="12539" max="12539" width="10.5703125" style="2230" customWidth="1"/>
    <col min="12540" max="12540" width="12.140625" style="2230" customWidth="1"/>
    <col min="12541" max="12541" width="8.140625" style="2230" bestFit="1" customWidth="1"/>
    <col min="12542" max="12542" width="11.5703125" style="2230" bestFit="1" customWidth="1"/>
    <col min="12543" max="12543" width="11.140625" style="2230" customWidth="1"/>
    <col min="12544" max="12544" width="12.5703125" style="2230" customWidth="1"/>
    <col min="12545" max="12545" width="13.85546875" style="2230" customWidth="1"/>
    <col min="12546" max="12546" width="13.42578125" style="2230" customWidth="1"/>
    <col min="12547" max="12547" width="11" style="2230" customWidth="1"/>
    <col min="12548" max="12548" width="17.7109375" style="2230" bestFit="1" customWidth="1"/>
    <col min="12549" max="12550" width="9.140625" style="2230"/>
    <col min="12551" max="12551" width="10.140625" style="2230" customWidth="1"/>
    <col min="12552" max="12793" width="9.140625" style="2230"/>
    <col min="12794" max="12794" width="13.28515625" style="2230" customWidth="1"/>
    <col min="12795" max="12795" width="10.5703125" style="2230" customWidth="1"/>
    <col min="12796" max="12796" width="12.140625" style="2230" customWidth="1"/>
    <col min="12797" max="12797" width="8.140625" style="2230" bestFit="1" customWidth="1"/>
    <col min="12798" max="12798" width="11.5703125" style="2230" bestFit="1" customWidth="1"/>
    <col min="12799" max="12799" width="11.140625" style="2230" customWidth="1"/>
    <col min="12800" max="12800" width="12.5703125" style="2230" customWidth="1"/>
    <col min="12801" max="12801" width="13.85546875" style="2230" customWidth="1"/>
    <col min="12802" max="12802" width="13.42578125" style="2230" customWidth="1"/>
    <col min="12803" max="12803" width="11" style="2230" customWidth="1"/>
    <col min="12804" max="12804" width="17.7109375" style="2230" bestFit="1" customWidth="1"/>
    <col min="12805" max="12806" width="9.140625" style="2230"/>
    <col min="12807" max="12807" width="10.140625" style="2230" customWidth="1"/>
    <col min="12808" max="13049" width="9.140625" style="2230"/>
    <col min="13050" max="13050" width="13.28515625" style="2230" customWidth="1"/>
    <col min="13051" max="13051" width="10.5703125" style="2230" customWidth="1"/>
    <col min="13052" max="13052" width="12.140625" style="2230" customWidth="1"/>
    <col min="13053" max="13053" width="8.140625" style="2230" bestFit="1" customWidth="1"/>
    <col min="13054" max="13054" width="11.5703125" style="2230" bestFit="1" customWidth="1"/>
    <col min="13055" max="13055" width="11.140625" style="2230" customWidth="1"/>
    <col min="13056" max="13056" width="12.5703125" style="2230" customWidth="1"/>
    <col min="13057" max="13057" width="13.85546875" style="2230" customWidth="1"/>
    <col min="13058" max="13058" width="13.42578125" style="2230" customWidth="1"/>
    <col min="13059" max="13059" width="11" style="2230" customWidth="1"/>
    <col min="13060" max="13060" width="17.7109375" style="2230" bestFit="1" customWidth="1"/>
    <col min="13061" max="13062" width="9.140625" style="2230"/>
    <col min="13063" max="13063" width="10.140625" style="2230" customWidth="1"/>
    <col min="13064" max="13305" width="9.140625" style="2230"/>
    <col min="13306" max="13306" width="13.28515625" style="2230" customWidth="1"/>
    <col min="13307" max="13307" width="10.5703125" style="2230" customWidth="1"/>
    <col min="13308" max="13308" width="12.140625" style="2230" customWidth="1"/>
    <col min="13309" max="13309" width="8.140625" style="2230" bestFit="1" customWidth="1"/>
    <col min="13310" max="13310" width="11.5703125" style="2230" bestFit="1" customWidth="1"/>
    <col min="13311" max="13311" width="11.140625" style="2230" customWidth="1"/>
    <col min="13312" max="13312" width="12.5703125" style="2230" customWidth="1"/>
    <col min="13313" max="13313" width="13.85546875" style="2230" customWidth="1"/>
    <col min="13314" max="13314" width="13.42578125" style="2230" customWidth="1"/>
    <col min="13315" max="13315" width="11" style="2230" customWidth="1"/>
    <col min="13316" max="13316" width="17.7109375" style="2230" bestFit="1" customWidth="1"/>
    <col min="13317" max="13318" width="9.140625" style="2230"/>
    <col min="13319" max="13319" width="10.140625" style="2230" customWidth="1"/>
    <col min="13320" max="13561" width="9.140625" style="2230"/>
    <col min="13562" max="13562" width="13.28515625" style="2230" customWidth="1"/>
    <col min="13563" max="13563" width="10.5703125" style="2230" customWidth="1"/>
    <col min="13564" max="13564" width="12.140625" style="2230" customWidth="1"/>
    <col min="13565" max="13565" width="8.140625" style="2230" bestFit="1" customWidth="1"/>
    <col min="13566" max="13566" width="11.5703125" style="2230" bestFit="1" customWidth="1"/>
    <col min="13567" max="13567" width="11.140625" style="2230" customWidth="1"/>
    <col min="13568" max="13568" width="12.5703125" style="2230" customWidth="1"/>
    <col min="13569" max="13569" width="13.85546875" style="2230" customWidth="1"/>
    <col min="13570" max="13570" width="13.42578125" style="2230" customWidth="1"/>
    <col min="13571" max="13571" width="11" style="2230" customWidth="1"/>
    <col min="13572" max="13572" width="17.7109375" style="2230" bestFit="1" customWidth="1"/>
    <col min="13573" max="13574" width="9.140625" style="2230"/>
    <col min="13575" max="13575" width="10.140625" style="2230" customWidth="1"/>
    <col min="13576" max="13817" width="9.140625" style="2230"/>
    <col min="13818" max="13818" width="13.28515625" style="2230" customWidth="1"/>
    <col min="13819" max="13819" width="10.5703125" style="2230" customWidth="1"/>
    <col min="13820" max="13820" width="12.140625" style="2230" customWidth="1"/>
    <col min="13821" max="13821" width="8.140625" style="2230" bestFit="1" customWidth="1"/>
    <col min="13822" max="13822" width="11.5703125" style="2230" bestFit="1" customWidth="1"/>
    <col min="13823" max="13823" width="11.140625" style="2230" customWidth="1"/>
    <col min="13824" max="13824" width="12.5703125" style="2230" customWidth="1"/>
    <col min="13825" max="13825" width="13.85546875" style="2230" customWidth="1"/>
    <col min="13826" max="13826" width="13.42578125" style="2230" customWidth="1"/>
    <col min="13827" max="13827" width="11" style="2230" customWidth="1"/>
    <col min="13828" max="13828" width="17.7109375" style="2230" bestFit="1" customWidth="1"/>
    <col min="13829" max="13830" width="9.140625" style="2230"/>
    <col min="13831" max="13831" width="10.140625" style="2230" customWidth="1"/>
    <col min="13832" max="14073" width="9.140625" style="2230"/>
    <col min="14074" max="14074" width="13.28515625" style="2230" customWidth="1"/>
    <col min="14075" max="14075" width="10.5703125" style="2230" customWidth="1"/>
    <col min="14076" max="14076" width="12.140625" style="2230" customWidth="1"/>
    <col min="14077" max="14077" width="8.140625" style="2230" bestFit="1" customWidth="1"/>
    <col min="14078" max="14078" width="11.5703125" style="2230" bestFit="1" customWidth="1"/>
    <col min="14079" max="14079" width="11.140625" style="2230" customWidth="1"/>
    <col min="14080" max="14080" width="12.5703125" style="2230" customWidth="1"/>
    <col min="14081" max="14081" width="13.85546875" style="2230" customWidth="1"/>
    <col min="14082" max="14082" width="13.42578125" style="2230" customWidth="1"/>
    <col min="14083" max="14083" width="11" style="2230" customWidth="1"/>
    <col min="14084" max="14084" width="17.7109375" style="2230" bestFit="1" customWidth="1"/>
    <col min="14085" max="14086" width="9.140625" style="2230"/>
    <col min="14087" max="14087" width="10.140625" style="2230" customWidth="1"/>
    <col min="14088" max="14329" width="9.140625" style="2230"/>
    <col min="14330" max="14330" width="13.28515625" style="2230" customWidth="1"/>
    <col min="14331" max="14331" width="10.5703125" style="2230" customWidth="1"/>
    <col min="14332" max="14332" width="12.140625" style="2230" customWidth="1"/>
    <col min="14333" max="14333" width="8.140625" style="2230" bestFit="1" customWidth="1"/>
    <col min="14334" max="14334" width="11.5703125" style="2230" bestFit="1" customWidth="1"/>
    <col min="14335" max="14335" width="11.140625" style="2230" customWidth="1"/>
    <col min="14336" max="14336" width="12.5703125" style="2230" customWidth="1"/>
    <col min="14337" max="14337" width="13.85546875" style="2230" customWidth="1"/>
    <col min="14338" max="14338" width="13.42578125" style="2230" customWidth="1"/>
    <col min="14339" max="14339" width="11" style="2230" customWidth="1"/>
    <col min="14340" max="14340" width="17.7109375" style="2230" bestFit="1" customWidth="1"/>
    <col min="14341" max="14342" width="9.140625" style="2230"/>
    <col min="14343" max="14343" width="10.140625" style="2230" customWidth="1"/>
    <col min="14344" max="14585" width="9.140625" style="2230"/>
    <col min="14586" max="14586" width="13.28515625" style="2230" customWidth="1"/>
    <col min="14587" max="14587" width="10.5703125" style="2230" customWidth="1"/>
    <col min="14588" max="14588" width="12.140625" style="2230" customWidth="1"/>
    <col min="14589" max="14589" width="8.140625" style="2230" bestFit="1" customWidth="1"/>
    <col min="14590" max="14590" width="11.5703125" style="2230" bestFit="1" customWidth="1"/>
    <col min="14591" max="14591" width="11.140625" style="2230" customWidth="1"/>
    <col min="14592" max="14592" width="12.5703125" style="2230" customWidth="1"/>
    <col min="14593" max="14593" width="13.85546875" style="2230" customWidth="1"/>
    <col min="14594" max="14594" width="13.42578125" style="2230" customWidth="1"/>
    <col min="14595" max="14595" width="11" style="2230" customWidth="1"/>
    <col min="14596" max="14596" width="17.7109375" style="2230" bestFit="1" customWidth="1"/>
    <col min="14597" max="14598" width="9.140625" style="2230"/>
    <col min="14599" max="14599" width="10.140625" style="2230" customWidth="1"/>
    <col min="14600" max="14841" width="9.140625" style="2230"/>
    <col min="14842" max="14842" width="13.28515625" style="2230" customWidth="1"/>
    <col min="14843" max="14843" width="10.5703125" style="2230" customWidth="1"/>
    <col min="14844" max="14844" width="12.140625" style="2230" customWidth="1"/>
    <col min="14845" max="14845" width="8.140625" style="2230" bestFit="1" customWidth="1"/>
    <col min="14846" max="14846" width="11.5703125" style="2230" bestFit="1" customWidth="1"/>
    <col min="14847" max="14847" width="11.140625" style="2230" customWidth="1"/>
    <col min="14848" max="14848" width="12.5703125" style="2230" customWidth="1"/>
    <col min="14849" max="14849" width="13.85546875" style="2230" customWidth="1"/>
    <col min="14850" max="14850" width="13.42578125" style="2230" customWidth="1"/>
    <col min="14851" max="14851" width="11" style="2230" customWidth="1"/>
    <col min="14852" max="14852" width="17.7109375" style="2230" bestFit="1" customWidth="1"/>
    <col min="14853" max="14854" width="9.140625" style="2230"/>
    <col min="14855" max="14855" width="10.140625" style="2230" customWidth="1"/>
    <col min="14856" max="15097" width="9.140625" style="2230"/>
    <col min="15098" max="15098" width="13.28515625" style="2230" customWidth="1"/>
    <col min="15099" max="15099" width="10.5703125" style="2230" customWidth="1"/>
    <col min="15100" max="15100" width="12.140625" style="2230" customWidth="1"/>
    <col min="15101" max="15101" width="8.140625" style="2230" bestFit="1" customWidth="1"/>
    <col min="15102" max="15102" width="11.5703125" style="2230" bestFit="1" customWidth="1"/>
    <col min="15103" max="15103" width="11.140625" style="2230" customWidth="1"/>
    <col min="15104" max="15104" width="12.5703125" style="2230" customWidth="1"/>
    <col min="15105" max="15105" width="13.85546875" style="2230" customWidth="1"/>
    <col min="15106" max="15106" width="13.42578125" style="2230" customWidth="1"/>
    <col min="15107" max="15107" width="11" style="2230" customWidth="1"/>
    <col min="15108" max="15108" width="17.7109375" style="2230" bestFit="1" customWidth="1"/>
    <col min="15109" max="15110" width="9.140625" style="2230"/>
    <col min="15111" max="15111" width="10.140625" style="2230" customWidth="1"/>
    <col min="15112" max="15353" width="9.140625" style="2230"/>
    <col min="15354" max="15354" width="13.28515625" style="2230" customWidth="1"/>
    <col min="15355" max="15355" width="10.5703125" style="2230" customWidth="1"/>
    <col min="15356" max="15356" width="12.140625" style="2230" customWidth="1"/>
    <col min="15357" max="15357" width="8.140625" style="2230" bestFit="1" customWidth="1"/>
    <col min="15358" max="15358" width="11.5703125" style="2230" bestFit="1" customWidth="1"/>
    <col min="15359" max="15359" width="11.140625" style="2230" customWidth="1"/>
    <col min="15360" max="15360" width="12.5703125" style="2230" customWidth="1"/>
    <col min="15361" max="15361" width="13.85546875" style="2230" customWidth="1"/>
    <col min="15362" max="15362" width="13.42578125" style="2230" customWidth="1"/>
    <col min="15363" max="15363" width="11" style="2230" customWidth="1"/>
    <col min="15364" max="15364" width="17.7109375" style="2230" bestFit="1" customWidth="1"/>
    <col min="15365" max="15366" width="9.140625" style="2230"/>
    <col min="15367" max="15367" width="10.140625" style="2230" customWidth="1"/>
    <col min="15368" max="15609" width="9.140625" style="2230"/>
    <col min="15610" max="15610" width="13.28515625" style="2230" customWidth="1"/>
    <col min="15611" max="15611" width="10.5703125" style="2230" customWidth="1"/>
    <col min="15612" max="15612" width="12.140625" style="2230" customWidth="1"/>
    <col min="15613" max="15613" width="8.140625" style="2230" bestFit="1" customWidth="1"/>
    <col min="15614" max="15614" width="11.5703125" style="2230" bestFit="1" customWidth="1"/>
    <col min="15615" max="15615" width="11.140625" style="2230" customWidth="1"/>
    <col min="15616" max="15616" width="12.5703125" style="2230" customWidth="1"/>
    <col min="15617" max="15617" width="13.85546875" style="2230" customWidth="1"/>
    <col min="15618" max="15618" width="13.42578125" style="2230" customWidth="1"/>
    <col min="15619" max="15619" width="11" style="2230" customWidth="1"/>
    <col min="15620" max="15620" width="17.7109375" style="2230" bestFit="1" customWidth="1"/>
    <col min="15621" max="15622" width="9.140625" style="2230"/>
    <col min="15623" max="15623" width="10.140625" style="2230" customWidth="1"/>
    <col min="15624" max="15865" width="9.140625" style="2230"/>
    <col min="15866" max="15866" width="13.28515625" style="2230" customWidth="1"/>
    <col min="15867" max="15867" width="10.5703125" style="2230" customWidth="1"/>
    <col min="15868" max="15868" width="12.140625" style="2230" customWidth="1"/>
    <col min="15869" max="15869" width="8.140625" style="2230" bestFit="1" customWidth="1"/>
    <col min="15870" max="15870" width="11.5703125" style="2230" bestFit="1" customWidth="1"/>
    <col min="15871" max="15871" width="11.140625" style="2230" customWidth="1"/>
    <col min="15872" max="15872" width="12.5703125" style="2230" customWidth="1"/>
    <col min="15873" max="15873" width="13.85546875" style="2230" customWidth="1"/>
    <col min="15874" max="15874" width="13.42578125" style="2230" customWidth="1"/>
    <col min="15875" max="15875" width="11" style="2230" customWidth="1"/>
    <col min="15876" max="15876" width="17.7109375" style="2230" bestFit="1" customWidth="1"/>
    <col min="15877" max="15878" width="9.140625" style="2230"/>
    <col min="15879" max="15879" width="10.140625" style="2230" customWidth="1"/>
    <col min="15880" max="16121" width="9.140625" style="2230"/>
    <col min="16122" max="16122" width="13.28515625" style="2230" customWidth="1"/>
    <col min="16123" max="16123" width="10.5703125" style="2230" customWidth="1"/>
    <col min="16124" max="16124" width="12.140625" style="2230" customWidth="1"/>
    <col min="16125" max="16125" width="8.140625" style="2230" bestFit="1" customWidth="1"/>
    <col min="16126" max="16126" width="11.5703125" style="2230" bestFit="1" customWidth="1"/>
    <col min="16127" max="16127" width="11.140625" style="2230" customWidth="1"/>
    <col min="16128" max="16128" width="12.5703125" style="2230" customWidth="1"/>
    <col min="16129" max="16129" width="13.85546875" style="2230" customWidth="1"/>
    <col min="16130" max="16130" width="13.42578125" style="2230" customWidth="1"/>
    <col min="16131" max="16131" width="11" style="2230" customWidth="1"/>
    <col min="16132" max="16132" width="17.7109375" style="2230" bestFit="1" customWidth="1"/>
    <col min="16133" max="16134" width="9.140625" style="2230"/>
    <col min="16135" max="16135" width="10.140625" style="2230" customWidth="1"/>
    <col min="16136" max="16384" width="9.140625" style="2230"/>
  </cols>
  <sheetData>
    <row r="1" spans="1:48" s="2159" customFormat="1" ht="21" customHeight="1" x14ac:dyDescent="0.25">
      <c r="A1" s="2158" t="s">
        <v>3713</v>
      </c>
    </row>
    <row r="2" spans="1:48" s="2159" customFormat="1" ht="19.5" customHeight="1" thickBot="1" x14ac:dyDescent="0.25"/>
    <row r="3" spans="1:48" s="2162" customFormat="1" ht="13.5" customHeight="1" thickTop="1" x14ac:dyDescent="0.2">
      <c r="A3" s="2160"/>
      <c r="B3" s="3420" t="s">
        <v>3714</v>
      </c>
      <c r="C3" s="3421"/>
      <c r="D3" s="3421"/>
      <c r="E3" s="3422"/>
      <c r="F3" s="3403" t="s">
        <v>3715</v>
      </c>
      <c r="G3" s="3403" t="s">
        <v>3716</v>
      </c>
      <c r="H3" s="3403" t="s">
        <v>3717</v>
      </c>
      <c r="I3" s="3403" t="s">
        <v>3718</v>
      </c>
      <c r="J3" s="3406" t="s">
        <v>3719</v>
      </c>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row>
    <row r="4" spans="1:48" s="2162" customFormat="1" ht="13.5" customHeight="1" x14ac:dyDescent="0.2">
      <c r="A4" s="2163"/>
      <c r="B4" s="3409" t="s">
        <v>3720</v>
      </c>
      <c r="C4" s="3410"/>
      <c r="D4" s="3410"/>
      <c r="E4" s="3411"/>
      <c r="F4" s="3404"/>
      <c r="G4" s="3404"/>
      <c r="H4" s="3404"/>
      <c r="I4" s="3404"/>
      <c r="J4" s="3407"/>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row>
    <row r="5" spans="1:48" s="2162" customFormat="1" ht="16.5" customHeight="1" thickBot="1" x14ac:dyDescent="0.25">
      <c r="A5" s="2163"/>
      <c r="B5" s="3412" t="s">
        <v>3721</v>
      </c>
      <c r="C5" s="3413"/>
      <c r="D5" s="3413"/>
      <c r="E5" s="3414"/>
      <c r="F5" s="3404"/>
      <c r="G5" s="3404"/>
      <c r="H5" s="3404"/>
      <c r="I5" s="3404"/>
      <c r="J5" s="3407"/>
      <c r="K5" s="2161"/>
      <c r="L5" s="2161"/>
      <c r="M5" s="2161"/>
      <c r="N5" s="2161"/>
      <c r="O5" s="2161"/>
      <c r="P5" s="2161"/>
      <c r="Q5" s="2161"/>
      <c r="R5" s="2161"/>
      <c r="S5" s="2161"/>
      <c r="T5" s="2161"/>
      <c r="U5" s="2161"/>
      <c r="V5" s="2161"/>
      <c r="W5" s="2161"/>
      <c r="X5" s="2161"/>
      <c r="Y5" s="2161"/>
      <c r="Z5" s="2161"/>
      <c r="AA5" s="2161"/>
      <c r="AB5" s="2161"/>
      <c r="AC5" s="2161"/>
      <c r="AD5" s="2161"/>
      <c r="AE5" s="2161"/>
      <c r="AF5" s="2161"/>
      <c r="AG5" s="2161"/>
      <c r="AH5" s="2161"/>
      <c r="AI5" s="2161"/>
      <c r="AJ5" s="2161"/>
      <c r="AK5" s="2161"/>
      <c r="AL5" s="2161"/>
      <c r="AM5" s="2161"/>
      <c r="AN5" s="2161"/>
      <c r="AO5" s="2161"/>
      <c r="AP5" s="2161"/>
      <c r="AQ5" s="2161"/>
      <c r="AR5" s="2161"/>
      <c r="AS5" s="2161"/>
      <c r="AT5" s="2161"/>
      <c r="AU5" s="2161"/>
      <c r="AV5" s="2161"/>
    </row>
    <row r="6" spans="1:48" s="2162" customFormat="1" ht="38.25" customHeight="1" thickTop="1" thickBot="1" x14ac:dyDescent="0.25">
      <c r="A6" s="2164"/>
      <c r="B6" s="2165" t="s">
        <v>3722</v>
      </c>
      <c r="C6" s="2166" t="s">
        <v>3723</v>
      </c>
      <c r="D6" s="2166" t="s">
        <v>245</v>
      </c>
      <c r="E6" s="2167" t="s">
        <v>246</v>
      </c>
      <c r="F6" s="3405"/>
      <c r="G6" s="3405"/>
      <c r="H6" s="3405"/>
      <c r="I6" s="3405"/>
      <c r="J6" s="3408"/>
      <c r="K6" s="2161"/>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c r="AT6" s="2161"/>
      <c r="AU6" s="2161"/>
      <c r="AV6" s="2161"/>
    </row>
    <row r="7" spans="1:48" s="2162" customFormat="1" ht="24" customHeight="1" thickTop="1" thickBot="1" x14ac:dyDescent="0.25">
      <c r="A7" s="2168"/>
      <c r="B7" s="3415" t="s">
        <v>73</v>
      </c>
      <c r="C7" s="3416"/>
      <c r="D7" s="3416"/>
      <c r="E7" s="3416"/>
      <c r="F7" s="3416"/>
      <c r="G7" s="3416"/>
      <c r="H7" s="3417"/>
      <c r="I7" s="2169" t="s">
        <v>3724</v>
      </c>
      <c r="J7" s="2169" t="s">
        <v>3725</v>
      </c>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2161"/>
      <c r="AU7" s="2161"/>
      <c r="AV7" s="2161"/>
    </row>
    <row r="8" spans="1:48" s="2162" customFormat="1" ht="15" hidden="1" customHeight="1" thickTop="1" x14ac:dyDescent="0.2">
      <c r="A8" s="2170" t="s">
        <v>3726</v>
      </c>
      <c r="B8" s="2171">
        <v>1548</v>
      </c>
      <c r="C8" s="2172">
        <v>937</v>
      </c>
      <c r="D8" s="2172">
        <v>57988</v>
      </c>
      <c r="E8" s="2173">
        <v>60473</v>
      </c>
      <c r="F8" s="2174">
        <v>659</v>
      </c>
      <c r="G8" s="2175">
        <v>0.1</v>
      </c>
      <c r="H8" s="2176">
        <f>E8+F8+G8</f>
        <v>61132.1</v>
      </c>
      <c r="I8" s="2177">
        <f>H8/32.3722</f>
        <v>1888.413515300165</v>
      </c>
      <c r="J8" s="2177"/>
      <c r="K8" s="2178"/>
      <c r="L8" s="2161"/>
      <c r="M8" s="2161"/>
      <c r="N8" s="2161"/>
      <c r="O8" s="2161"/>
      <c r="P8" s="2161"/>
      <c r="Q8" s="2161"/>
      <c r="R8" s="2161"/>
      <c r="S8" s="2161"/>
      <c r="T8" s="2161"/>
      <c r="U8" s="2161"/>
      <c r="V8" s="2161"/>
      <c r="W8" s="2161"/>
      <c r="X8" s="2161"/>
      <c r="Y8" s="2161"/>
      <c r="Z8" s="2161"/>
      <c r="AA8" s="2161"/>
      <c r="AB8" s="2161"/>
      <c r="AC8" s="2161"/>
      <c r="AD8" s="2161"/>
      <c r="AE8" s="2161"/>
      <c r="AF8" s="2161"/>
      <c r="AG8" s="2161"/>
      <c r="AH8" s="2161"/>
      <c r="AI8" s="2161"/>
      <c r="AJ8" s="2161"/>
      <c r="AK8" s="2161"/>
      <c r="AL8" s="2161"/>
      <c r="AM8" s="2161"/>
      <c r="AN8" s="2161"/>
      <c r="AO8" s="2161"/>
      <c r="AP8" s="2161"/>
      <c r="AQ8" s="2161"/>
      <c r="AR8" s="2161"/>
      <c r="AS8" s="2161"/>
      <c r="AT8" s="2161"/>
      <c r="AU8" s="2161"/>
      <c r="AV8" s="2161"/>
    </row>
    <row r="9" spans="1:48" s="2162" customFormat="1" ht="15.75" hidden="1" customHeight="1" x14ac:dyDescent="0.2">
      <c r="A9" s="2170" t="s">
        <v>3727</v>
      </c>
      <c r="B9" s="2171">
        <v>1467</v>
      </c>
      <c r="C9" s="2172">
        <v>932</v>
      </c>
      <c r="D9" s="2172">
        <v>60945</v>
      </c>
      <c r="E9" s="2179">
        <v>63344</v>
      </c>
      <c r="F9" s="2180">
        <v>651</v>
      </c>
      <c r="G9" s="2181">
        <v>0</v>
      </c>
      <c r="H9" s="2177">
        <f>E9+F9+G9</f>
        <v>63995</v>
      </c>
      <c r="I9" s="2176">
        <f>H9/31.8576</f>
        <v>2008.7828336095624</v>
      </c>
      <c r="J9" s="2176"/>
      <c r="K9" s="2178"/>
      <c r="L9" s="2161"/>
      <c r="M9" s="2161"/>
      <c r="N9" s="2161"/>
      <c r="O9" s="2161"/>
      <c r="P9" s="2161"/>
      <c r="Q9" s="2161"/>
      <c r="R9" s="2161"/>
      <c r="S9" s="2161"/>
      <c r="T9" s="2161"/>
      <c r="U9" s="2161"/>
      <c r="V9" s="2161"/>
      <c r="W9" s="2161"/>
      <c r="X9" s="2161"/>
      <c r="Y9" s="2161"/>
      <c r="Z9" s="2161"/>
      <c r="AA9" s="2161"/>
      <c r="AB9" s="2161"/>
      <c r="AC9" s="2161"/>
      <c r="AD9" s="2161"/>
      <c r="AE9" s="2161"/>
      <c r="AF9" s="2161"/>
      <c r="AG9" s="2161"/>
      <c r="AH9" s="2161"/>
      <c r="AI9" s="2161"/>
      <c r="AJ9" s="2161"/>
      <c r="AK9" s="2161"/>
      <c r="AL9" s="2161"/>
      <c r="AM9" s="2161"/>
      <c r="AN9" s="2161"/>
      <c r="AO9" s="2161"/>
      <c r="AP9" s="2161"/>
      <c r="AQ9" s="2161"/>
      <c r="AR9" s="2161"/>
      <c r="AS9" s="2161"/>
      <c r="AT9" s="2161"/>
      <c r="AU9" s="2161"/>
      <c r="AV9" s="2161"/>
    </row>
    <row r="10" spans="1:48" s="2162" customFormat="1" ht="15.75" hidden="1" customHeight="1" x14ac:dyDescent="0.2">
      <c r="A10" s="2170" t="s">
        <v>3728</v>
      </c>
      <c r="B10" s="2180">
        <v>1482</v>
      </c>
      <c r="C10" s="2172">
        <v>4656</v>
      </c>
      <c r="D10" s="2172">
        <v>60862</v>
      </c>
      <c r="E10" s="2182" t="s">
        <v>3729</v>
      </c>
      <c r="F10" s="2180">
        <v>651</v>
      </c>
      <c r="G10" s="2181">
        <v>0.1</v>
      </c>
      <c r="H10" s="2177">
        <v>67651.100000000006</v>
      </c>
      <c r="I10" s="2176">
        <f>H10/31.6102</f>
        <v>2140.1667816084682</v>
      </c>
      <c r="J10" s="2176"/>
      <c r="K10" s="2178"/>
      <c r="L10" s="2161"/>
      <c r="M10" s="2161"/>
      <c r="N10" s="2161"/>
      <c r="O10" s="2161"/>
      <c r="P10" s="2161"/>
      <c r="Q10" s="2161"/>
      <c r="R10" s="2161"/>
      <c r="S10" s="2161"/>
      <c r="T10" s="2161"/>
      <c r="U10" s="2161"/>
      <c r="V10" s="2161"/>
      <c r="W10" s="2161"/>
      <c r="X10" s="2161"/>
      <c r="Y10" s="2161"/>
      <c r="Z10" s="2161"/>
      <c r="AA10" s="2161"/>
      <c r="AB10" s="2161"/>
      <c r="AC10" s="2161"/>
      <c r="AD10" s="2161"/>
      <c r="AE10" s="2161"/>
      <c r="AF10" s="2161"/>
      <c r="AG10" s="2161"/>
      <c r="AH10" s="2161"/>
      <c r="AI10" s="2161"/>
      <c r="AJ10" s="2161"/>
      <c r="AK10" s="2161"/>
      <c r="AL10" s="2161"/>
      <c r="AM10" s="2161"/>
      <c r="AN10" s="2161"/>
      <c r="AO10" s="2161"/>
      <c r="AP10" s="2161"/>
      <c r="AQ10" s="2161"/>
      <c r="AR10" s="2161"/>
      <c r="AS10" s="2161"/>
      <c r="AT10" s="2161"/>
      <c r="AU10" s="2161"/>
      <c r="AV10" s="2161"/>
    </row>
    <row r="11" spans="1:48" s="2162" customFormat="1" ht="15.75" hidden="1" customHeight="1" x14ac:dyDescent="0.2">
      <c r="A11" s="2170" t="s">
        <v>3730</v>
      </c>
      <c r="B11" s="2183">
        <v>1500</v>
      </c>
      <c r="C11" s="2172">
        <v>4813</v>
      </c>
      <c r="D11" s="2172">
        <v>59242</v>
      </c>
      <c r="E11" s="2183">
        <v>65555</v>
      </c>
      <c r="F11" s="2180">
        <v>636</v>
      </c>
      <c r="G11" s="2181">
        <v>0.2</v>
      </c>
      <c r="H11" s="2177">
        <v>66191.199999999997</v>
      </c>
      <c r="I11" s="2176">
        <v>2167.8435277009944</v>
      </c>
      <c r="J11" s="2176"/>
      <c r="K11" s="2178"/>
      <c r="L11" s="2161"/>
      <c r="M11" s="2161"/>
      <c r="N11" s="2161"/>
      <c r="O11" s="2161"/>
      <c r="P11" s="2161"/>
      <c r="Q11" s="2161"/>
      <c r="R11" s="2161"/>
      <c r="S11" s="2161"/>
      <c r="T11" s="2161"/>
      <c r="U11" s="2161"/>
      <c r="V11" s="2161"/>
      <c r="W11" s="2161"/>
      <c r="X11" s="2161"/>
      <c r="Y11" s="2161"/>
      <c r="Z11" s="2161"/>
      <c r="AA11" s="2161"/>
      <c r="AB11" s="2161"/>
      <c r="AC11" s="2161"/>
      <c r="AD11" s="2161"/>
      <c r="AE11" s="2161"/>
      <c r="AF11" s="2161"/>
      <c r="AG11" s="2161"/>
      <c r="AH11" s="2161"/>
      <c r="AI11" s="2161"/>
      <c r="AJ11" s="2161"/>
      <c r="AK11" s="2161"/>
      <c r="AL11" s="2161"/>
      <c r="AM11" s="2161"/>
      <c r="AN11" s="2161"/>
      <c r="AO11" s="2161"/>
      <c r="AP11" s="2161"/>
      <c r="AQ11" s="2161"/>
      <c r="AR11" s="2161"/>
      <c r="AS11" s="2161"/>
      <c r="AT11" s="2161"/>
      <c r="AU11" s="2161"/>
      <c r="AV11" s="2161"/>
    </row>
    <row r="12" spans="1:48" s="2162" customFormat="1" ht="15.75" hidden="1" customHeight="1" x14ac:dyDescent="0.2">
      <c r="A12" s="2170" t="s">
        <v>3731</v>
      </c>
      <c r="B12" s="2183">
        <v>1555</v>
      </c>
      <c r="C12" s="2172">
        <v>4802</v>
      </c>
      <c r="D12" s="2172">
        <v>60038</v>
      </c>
      <c r="E12" s="2183">
        <v>66395</v>
      </c>
      <c r="F12" s="2180">
        <v>633</v>
      </c>
      <c r="G12" s="2181">
        <v>0.1</v>
      </c>
      <c r="H12" s="2177">
        <f>E12+F12+G12</f>
        <v>67028.100000000006</v>
      </c>
      <c r="I12" s="2176">
        <f>H12/30.2723</f>
        <v>2214.172692527492</v>
      </c>
      <c r="J12" s="2176"/>
      <c r="K12" s="2178"/>
      <c r="L12" s="2161"/>
      <c r="M12" s="2161"/>
      <c r="N12" s="2161"/>
      <c r="O12" s="2161"/>
      <c r="P12" s="2161"/>
      <c r="Q12" s="2161"/>
      <c r="R12" s="2161"/>
      <c r="S12" s="2161"/>
      <c r="T12" s="2161"/>
      <c r="U12" s="2161"/>
      <c r="V12" s="2161"/>
      <c r="W12" s="2161"/>
      <c r="X12" s="2161"/>
      <c r="Y12" s="2161"/>
      <c r="Z12" s="2161"/>
      <c r="AA12" s="2161"/>
      <c r="AB12" s="2161"/>
      <c r="AC12" s="2161"/>
      <c r="AD12" s="2161"/>
      <c r="AE12" s="2161"/>
      <c r="AF12" s="2161"/>
      <c r="AG12" s="2161"/>
      <c r="AH12" s="2161"/>
      <c r="AI12" s="2161"/>
      <c r="AJ12" s="2161"/>
      <c r="AK12" s="2161"/>
      <c r="AL12" s="2161"/>
      <c r="AM12" s="2161"/>
      <c r="AN12" s="2161"/>
      <c r="AO12" s="2161"/>
      <c r="AP12" s="2161"/>
      <c r="AQ12" s="2161"/>
      <c r="AR12" s="2161"/>
      <c r="AS12" s="2161"/>
      <c r="AT12" s="2161"/>
      <c r="AU12" s="2161"/>
      <c r="AV12" s="2161"/>
    </row>
    <row r="13" spans="1:48" s="2162" customFormat="1" ht="15.75" hidden="1" customHeight="1" x14ac:dyDescent="0.2">
      <c r="A13" s="2184" t="s">
        <v>3732</v>
      </c>
      <c r="B13" s="2185">
        <v>3867</v>
      </c>
      <c r="C13" s="2172">
        <v>4677</v>
      </c>
      <c r="D13" s="2172">
        <v>58869</v>
      </c>
      <c r="E13" s="2186">
        <v>67413</v>
      </c>
      <c r="F13" s="2187">
        <v>807</v>
      </c>
      <c r="G13" s="2188">
        <v>0.2</v>
      </c>
      <c r="H13" s="2177">
        <f>E13+F13+G13</f>
        <v>68220.2</v>
      </c>
      <c r="I13" s="2176">
        <f>H13/30.7998</f>
        <v>2214.9559412723456</v>
      </c>
      <c r="J13" s="2176"/>
      <c r="K13" s="2178"/>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c r="AQ13" s="2161"/>
      <c r="AR13" s="2161"/>
      <c r="AS13" s="2161"/>
      <c r="AT13" s="2161"/>
      <c r="AU13" s="2161"/>
      <c r="AV13" s="2161"/>
    </row>
    <row r="14" spans="1:48" s="2162" customFormat="1" ht="15.75" hidden="1" customHeight="1" x14ac:dyDescent="0.2">
      <c r="A14" s="2184" t="s">
        <v>3733</v>
      </c>
      <c r="B14" s="2185">
        <v>4097</v>
      </c>
      <c r="C14" s="2172">
        <v>4651</v>
      </c>
      <c r="D14" s="2172">
        <v>59179</v>
      </c>
      <c r="E14" s="2189">
        <v>67927</v>
      </c>
      <c r="F14" s="2187">
        <v>804</v>
      </c>
      <c r="G14" s="2188">
        <v>0.2</v>
      </c>
      <c r="H14" s="2177">
        <v>68731.199999999997</v>
      </c>
      <c r="I14" s="2176">
        <f>H14/30.8466</f>
        <v>2228.161288440217</v>
      </c>
      <c r="J14" s="2176"/>
      <c r="K14" s="2178"/>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1"/>
      <c r="AK14" s="2161"/>
      <c r="AL14" s="2161"/>
      <c r="AM14" s="2161"/>
      <c r="AN14" s="2161"/>
      <c r="AO14" s="2161"/>
      <c r="AP14" s="2161"/>
      <c r="AQ14" s="2161"/>
      <c r="AR14" s="2161"/>
      <c r="AS14" s="2161"/>
      <c r="AT14" s="2161"/>
      <c r="AU14" s="2161"/>
      <c r="AV14" s="2161"/>
    </row>
    <row r="15" spans="1:48" s="2162" customFormat="1" ht="15.75" hidden="1" customHeight="1" x14ac:dyDescent="0.2">
      <c r="A15" s="2184" t="s">
        <v>3734</v>
      </c>
      <c r="B15" s="2185">
        <v>4614</v>
      </c>
      <c r="C15" s="2172">
        <v>4942</v>
      </c>
      <c r="D15" s="2172">
        <v>61027</v>
      </c>
      <c r="E15" s="2189">
        <v>70583</v>
      </c>
      <c r="F15" s="2187">
        <v>862</v>
      </c>
      <c r="G15" s="2188">
        <v>0.1</v>
      </c>
      <c r="H15" s="2177">
        <v>71445.100000000006</v>
      </c>
      <c r="I15" s="2176">
        <f>H15/33.5965</f>
        <v>2126.5637789650709</v>
      </c>
      <c r="J15" s="2176"/>
      <c r="K15" s="2178"/>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c r="AL15" s="2161"/>
      <c r="AM15" s="2161"/>
      <c r="AN15" s="2161"/>
      <c r="AO15" s="2161"/>
      <c r="AP15" s="2161"/>
      <c r="AQ15" s="2161"/>
      <c r="AR15" s="2161"/>
      <c r="AS15" s="2161"/>
      <c r="AT15" s="2161"/>
      <c r="AU15" s="2161"/>
      <c r="AV15" s="2161"/>
    </row>
    <row r="16" spans="1:48" s="2162" customFormat="1" ht="15.75" hidden="1" customHeight="1" x14ac:dyDescent="0.2">
      <c r="A16" s="2190">
        <v>40369</v>
      </c>
      <c r="B16" s="2185">
        <v>3994</v>
      </c>
      <c r="C16" s="2172">
        <v>4583</v>
      </c>
      <c r="D16" s="2172">
        <v>60698</v>
      </c>
      <c r="E16" s="2189">
        <v>69275</v>
      </c>
      <c r="F16" s="2187">
        <v>1011</v>
      </c>
      <c r="G16" s="2188">
        <v>0.1</v>
      </c>
      <c r="H16" s="2177">
        <v>70286.100000000006</v>
      </c>
      <c r="I16" s="2176">
        <f>H16/30.1817</f>
        <v>2328.765443961076</v>
      </c>
      <c r="J16" s="2176"/>
      <c r="K16" s="2178"/>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1"/>
      <c r="AK16" s="2161"/>
      <c r="AL16" s="2161"/>
      <c r="AM16" s="2161"/>
      <c r="AN16" s="2161"/>
      <c r="AO16" s="2161"/>
      <c r="AP16" s="2161"/>
      <c r="AQ16" s="2161"/>
      <c r="AR16" s="2161"/>
      <c r="AS16" s="2161"/>
      <c r="AT16" s="2161"/>
      <c r="AU16" s="2161"/>
      <c r="AV16" s="2161"/>
    </row>
    <row r="17" spans="1:48" s="2162" customFormat="1" ht="15.75" hidden="1" customHeight="1" x14ac:dyDescent="0.2">
      <c r="A17" s="2190">
        <v>40400</v>
      </c>
      <c r="B17" s="2185">
        <v>4317</v>
      </c>
      <c r="C17" s="2172">
        <v>4648</v>
      </c>
      <c r="D17" s="2172">
        <v>61259</v>
      </c>
      <c r="E17" s="2189">
        <v>70224</v>
      </c>
      <c r="F17" s="2187">
        <v>1027</v>
      </c>
      <c r="G17" s="2188">
        <v>0.2</v>
      </c>
      <c r="H17" s="2177">
        <v>71251.199999999997</v>
      </c>
      <c r="I17" s="2176">
        <f>H17/30.8685</f>
        <v>2308.2171145342336</v>
      </c>
      <c r="J17" s="2176"/>
      <c r="K17" s="2178"/>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c r="AS17" s="2161"/>
      <c r="AT17" s="2161"/>
      <c r="AU17" s="2161"/>
      <c r="AV17" s="2161"/>
    </row>
    <row r="18" spans="1:48" s="2162" customFormat="1" ht="15.75" hidden="1" customHeight="1" x14ac:dyDescent="0.2">
      <c r="A18" s="2190">
        <v>40431</v>
      </c>
      <c r="B18" s="2185">
        <v>4472</v>
      </c>
      <c r="C18" s="2172">
        <v>4665</v>
      </c>
      <c r="D18" s="2172">
        <v>64159</v>
      </c>
      <c r="E18" s="2189">
        <v>73296</v>
      </c>
      <c r="F18" s="2187">
        <v>1033</v>
      </c>
      <c r="G18" s="2188">
        <v>0.2</v>
      </c>
      <c r="H18" s="2177">
        <f t="shared" ref="H18:H36" si="0">E18+F18+G18</f>
        <v>74329.2</v>
      </c>
      <c r="I18" s="2176">
        <f>H18/30.1123</f>
        <v>2468.3999561640921</v>
      </c>
      <c r="J18" s="2176"/>
      <c r="K18" s="2161"/>
      <c r="L18" s="2161"/>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c r="AS18" s="2161"/>
      <c r="AT18" s="2161"/>
      <c r="AU18" s="2161"/>
      <c r="AV18" s="2161"/>
    </row>
    <row r="19" spans="1:48" s="2162" customFormat="1" ht="15.75" hidden="1" customHeight="1" x14ac:dyDescent="0.2">
      <c r="A19" s="2190">
        <v>40461</v>
      </c>
      <c r="B19" s="2185">
        <v>4517</v>
      </c>
      <c r="C19" s="2172">
        <v>4672</v>
      </c>
      <c r="D19" s="2172">
        <f>E19-C19-B19</f>
        <v>63543</v>
      </c>
      <c r="E19" s="2189">
        <v>72732</v>
      </c>
      <c r="F19" s="2187">
        <v>1034</v>
      </c>
      <c r="G19" s="2188">
        <v>0.1</v>
      </c>
      <c r="H19" s="2177">
        <f t="shared" si="0"/>
        <v>73766.100000000006</v>
      </c>
      <c r="I19" s="2176">
        <f>H19/29.8251</f>
        <v>2473.2892764818898</v>
      </c>
      <c r="J19" s="2176"/>
      <c r="K19" s="2161"/>
      <c r="L19" s="2161"/>
      <c r="M19" s="2161"/>
      <c r="N19" s="2161"/>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c r="AS19" s="2161"/>
      <c r="AT19" s="2161"/>
      <c r="AU19" s="2161"/>
      <c r="AV19" s="2161"/>
    </row>
    <row r="20" spans="1:48" s="2162" customFormat="1" ht="18.75" hidden="1" customHeight="1" x14ac:dyDescent="0.2">
      <c r="A20" s="2191">
        <v>40492</v>
      </c>
      <c r="B20" s="2185">
        <v>4594</v>
      </c>
      <c r="C20" s="2172">
        <v>4636</v>
      </c>
      <c r="D20" s="2172">
        <f>E20-C20-B20</f>
        <v>65831</v>
      </c>
      <c r="E20" s="2189">
        <v>75061</v>
      </c>
      <c r="F20" s="2180">
        <v>1024</v>
      </c>
      <c r="G20" s="2188">
        <v>0.1</v>
      </c>
      <c r="H20" s="2177">
        <f t="shared" si="0"/>
        <v>76085.100000000006</v>
      </c>
      <c r="I20" s="2176">
        <f>H20/30.4308</f>
        <v>2500.2661776883947</v>
      </c>
      <c r="J20" s="2176"/>
      <c r="K20" s="2161"/>
      <c r="L20" s="2161"/>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c r="AS20" s="2161"/>
      <c r="AT20" s="2161"/>
      <c r="AU20" s="2161"/>
      <c r="AV20" s="2161"/>
    </row>
    <row r="21" spans="1:48" s="2162" customFormat="1" ht="18.75" hidden="1" customHeight="1" x14ac:dyDescent="0.2">
      <c r="A21" s="2191">
        <v>40522</v>
      </c>
      <c r="B21" s="2192">
        <v>4850</v>
      </c>
      <c r="C21" s="2172">
        <v>4675</v>
      </c>
      <c r="D21" s="2172">
        <v>68506</v>
      </c>
      <c r="E21" s="2193">
        <v>78031</v>
      </c>
      <c r="F21" s="2171">
        <v>1033</v>
      </c>
      <c r="G21" s="2175">
        <v>0.1</v>
      </c>
      <c r="H21" s="2177">
        <f t="shared" si="0"/>
        <v>79064.100000000006</v>
      </c>
      <c r="I21" s="2177">
        <f>H21/30.3908</f>
        <v>2601.5800834463066</v>
      </c>
      <c r="J21" s="2177"/>
      <c r="K21" s="2161"/>
      <c r="L21" s="2161"/>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c r="AS21" s="2161"/>
      <c r="AT21" s="2161"/>
      <c r="AU21" s="2161"/>
      <c r="AV21" s="2161"/>
    </row>
    <row r="22" spans="1:48" s="2162" customFormat="1" ht="18.75" hidden="1" customHeight="1" x14ac:dyDescent="0.2">
      <c r="A22" s="2191">
        <v>40554</v>
      </c>
      <c r="B22" s="2192">
        <v>4453</v>
      </c>
      <c r="C22" s="2172">
        <v>4604</v>
      </c>
      <c r="D22" s="2172">
        <v>65545</v>
      </c>
      <c r="E22" s="2193">
        <f>B22+C22+D22</f>
        <v>74602</v>
      </c>
      <c r="F22" s="2171">
        <v>1200</v>
      </c>
      <c r="G22" s="2175">
        <v>0.2</v>
      </c>
      <c r="H22" s="2177">
        <f t="shared" si="0"/>
        <v>75802.2</v>
      </c>
      <c r="I22" s="2177">
        <f>H22/29.4799</f>
        <v>2571.3180845253883</v>
      </c>
      <c r="J22" s="2177">
        <v>4.2705464788732392</v>
      </c>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c r="AS22" s="2161"/>
      <c r="AT22" s="2161"/>
      <c r="AU22" s="2161"/>
      <c r="AV22" s="2161"/>
    </row>
    <row r="23" spans="1:48" s="2162" customFormat="1" ht="24" hidden="1" customHeight="1" x14ac:dyDescent="0.2">
      <c r="A23" s="2191">
        <v>40585</v>
      </c>
      <c r="B23" s="2192">
        <v>4676</v>
      </c>
      <c r="C23" s="2172">
        <v>4583</v>
      </c>
      <c r="D23" s="2172">
        <v>65321</v>
      </c>
      <c r="E23" s="2193">
        <f t="shared" ref="E23:E33" si="1">B23+C23+D23</f>
        <v>74580</v>
      </c>
      <c r="F23" s="2171">
        <v>1199</v>
      </c>
      <c r="G23" s="2175">
        <v>0.1</v>
      </c>
      <c r="H23" s="2177">
        <f t="shared" si="0"/>
        <v>75779.100000000006</v>
      </c>
      <c r="I23" s="2177">
        <f>H23/29.2492</f>
        <v>2590.8093212805825</v>
      </c>
      <c r="J23" s="2177">
        <v>4.2692450704225351</v>
      </c>
      <c r="K23" s="2161"/>
      <c r="L23" s="2161"/>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c r="AS23" s="2161"/>
      <c r="AT23" s="2161"/>
      <c r="AU23" s="2161"/>
      <c r="AV23" s="2161"/>
    </row>
    <row r="24" spans="1:48" s="2162" customFormat="1" ht="24" hidden="1" customHeight="1" x14ac:dyDescent="0.2">
      <c r="A24" s="2191">
        <v>40613</v>
      </c>
      <c r="B24" s="2185">
        <v>4586</v>
      </c>
      <c r="C24" s="2183">
        <v>4475</v>
      </c>
      <c r="D24" s="2172">
        <v>67264</v>
      </c>
      <c r="E24" s="2193">
        <f t="shared" si="1"/>
        <v>76325</v>
      </c>
      <c r="F24" s="2183">
        <v>1172</v>
      </c>
      <c r="G24" s="2175">
        <v>0.1</v>
      </c>
      <c r="H24" s="2194">
        <f t="shared" si="0"/>
        <v>77497.100000000006</v>
      </c>
      <c r="I24" s="2177">
        <f>H24/28.3805</f>
        <v>2730.646042176847</v>
      </c>
      <c r="J24" s="2177">
        <v>4.3660338028169017</v>
      </c>
      <c r="K24" s="2161"/>
      <c r="L24" s="2161"/>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c r="AS24" s="2161"/>
      <c r="AT24" s="2161"/>
      <c r="AU24" s="2161"/>
      <c r="AV24" s="2161"/>
    </row>
    <row r="25" spans="1:48" s="2162" customFormat="1" ht="24" hidden="1" customHeight="1" x14ac:dyDescent="0.2">
      <c r="A25" s="2191">
        <v>40644</v>
      </c>
      <c r="B25" s="2192">
        <v>4758</v>
      </c>
      <c r="C25" s="2172">
        <v>4429</v>
      </c>
      <c r="D25" s="2172">
        <v>66475</v>
      </c>
      <c r="E25" s="2193">
        <f t="shared" si="1"/>
        <v>75662</v>
      </c>
      <c r="F25" s="2171">
        <v>1159</v>
      </c>
      <c r="G25" s="2175">
        <v>0.2</v>
      </c>
      <c r="H25" s="2177">
        <f t="shared" si="0"/>
        <v>76821.2</v>
      </c>
      <c r="I25" s="2177">
        <f>H25/27.3973</f>
        <v>2803.9697342438849</v>
      </c>
      <c r="J25" s="2177">
        <v>4.3279549295774649</v>
      </c>
      <c r="K25" s="2161"/>
      <c r="L25" s="2161"/>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c r="AS25" s="2161"/>
      <c r="AT25" s="2161"/>
      <c r="AU25" s="2161"/>
      <c r="AV25" s="2161"/>
    </row>
    <row r="26" spans="1:48" s="2162" customFormat="1" ht="24" hidden="1" customHeight="1" x14ac:dyDescent="0.2">
      <c r="A26" s="2191">
        <v>40674</v>
      </c>
      <c r="B26" s="2192">
        <v>4890</v>
      </c>
      <c r="C26" s="2172">
        <v>4466</v>
      </c>
      <c r="D26" s="2172">
        <v>67861</v>
      </c>
      <c r="E26" s="2193">
        <f t="shared" si="1"/>
        <v>77217</v>
      </c>
      <c r="F26" s="2171">
        <v>1236</v>
      </c>
      <c r="G26" s="2175">
        <v>0.1</v>
      </c>
      <c r="H26" s="2177">
        <f t="shared" si="0"/>
        <v>78453.100000000006</v>
      </c>
      <c r="I26" s="2177">
        <f>H26/28.0719</f>
        <v>2794.7199868908056</v>
      </c>
      <c r="J26" s="2177">
        <v>4.4198929577464794</v>
      </c>
      <c r="K26" s="2161"/>
      <c r="L26" s="2161"/>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c r="AS26" s="2161"/>
      <c r="AT26" s="2161"/>
      <c r="AU26" s="2161"/>
      <c r="AV26" s="2161"/>
    </row>
    <row r="27" spans="1:48" s="2162" customFormat="1" ht="24" hidden="1" customHeight="1" x14ac:dyDescent="0.2">
      <c r="A27" s="2191">
        <v>40695</v>
      </c>
      <c r="B27" s="2192">
        <v>4861</v>
      </c>
      <c r="C27" s="2172">
        <v>4541</v>
      </c>
      <c r="D27" s="2172">
        <v>70852</v>
      </c>
      <c r="E27" s="2193">
        <f t="shared" si="1"/>
        <v>80254</v>
      </c>
      <c r="F27" s="2171">
        <v>1253</v>
      </c>
      <c r="G27" s="2175">
        <v>0.1</v>
      </c>
      <c r="H27" s="2177">
        <f t="shared" si="0"/>
        <v>81507.100000000006</v>
      </c>
      <c r="I27" s="2177">
        <f>H27/28.4684</f>
        <v>2863.0727403015276</v>
      </c>
      <c r="J27" s="2177">
        <v>4.5919492957746479</v>
      </c>
      <c r="K27" s="2161"/>
      <c r="L27" s="2161"/>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c r="AS27" s="2161"/>
      <c r="AT27" s="2161"/>
      <c r="AU27" s="2161"/>
      <c r="AV27" s="2161"/>
    </row>
    <row r="28" spans="1:48" s="2162" customFormat="1" ht="24" hidden="1" customHeight="1" x14ac:dyDescent="0.2">
      <c r="A28" s="2191">
        <v>40725</v>
      </c>
      <c r="B28" s="2192">
        <v>5075</v>
      </c>
      <c r="C28" s="2172">
        <v>4442</v>
      </c>
      <c r="D28" s="2172">
        <v>69531</v>
      </c>
      <c r="E28" s="2193">
        <f t="shared" si="1"/>
        <v>79048</v>
      </c>
      <c r="F28" s="2171">
        <v>1268</v>
      </c>
      <c r="G28" s="2175">
        <v>0.1</v>
      </c>
      <c r="H28" s="2177">
        <f t="shared" si="0"/>
        <v>80316.100000000006</v>
      </c>
      <c r="I28" s="2177">
        <f>H28/27.781</f>
        <v>2891.0442388682918</v>
      </c>
      <c r="J28" s="2177">
        <v>4.5248507042253525</v>
      </c>
      <c r="K28" s="2161"/>
      <c r="L28" s="2161"/>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c r="AS28" s="2161"/>
      <c r="AT28" s="2161"/>
      <c r="AU28" s="2161"/>
      <c r="AV28" s="2161"/>
    </row>
    <row r="29" spans="1:48" s="2162" customFormat="1" ht="0.75" hidden="1" customHeight="1" x14ac:dyDescent="0.2">
      <c r="A29" s="2191">
        <v>40756</v>
      </c>
      <c r="B29" s="2192">
        <v>5668</v>
      </c>
      <c r="C29" s="2172">
        <v>4497</v>
      </c>
      <c r="D29" s="2172">
        <v>69331</v>
      </c>
      <c r="E29" s="2193">
        <f t="shared" si="1"/>
        <v>79496</v>
      </c>
      <c r="F29" s="2171">
        <v>1282</v>
      </c>
      <c r="G29" s="2175">
        <v>0.2</v>
      </c>
      <c r="H29" s="2177">
        <f t="shared" si="0"/>
        <v>80778.2</v>
      </c>
      <c r="I29" s="2177">
        <f>H29/27.919</f>
        <v>2893.3056341559509</v>
      </c>
      <c r="J29" s="2177">
        <v>4.5508845070422534</v>
      </c>
      <c r="K29" s="2161"/>
      <c r="L29" s="2161"/>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row>
    <row r="30" spans="1:48" s="2162" customFormat="1" ht="24" hidden="1" customHeight="1" x14ac:dyDescent="0.2">
      <c r="A30" s="2191">
        <v>40787</v>
      </c>
      <c r="B30" s="2195">
        <v>5942</v>
      </c>
      <c r="C30" s="2172">
        <v>4544</v>
      </c>
      <c r="D30" s="2172">
        <v>68208</v>
      </c>
      <c r="E30" s="2193">
        <f t="shared" si="1"/>
        <v>78694</v>
      </c>
      <c r="F30" s="2171">
        <v>1366</v>
      </c>
      <c r="G30" s="2175">
        <v>0.1</v>
      </c>
      <c r="H30" s="2177">
        <f t="shared" si="0"/>
        <v>80060.100000000006</v>
      </c>
      <c r="I30" s="2176">
        <f>H30/29.0268</f>
        <v>2758.1441977758486</v>
      </c>
      <c r="J30" s="2177">
        <v>4.5104281690140846</v>
      </c>
      <c r="K30" s="2161"/>
      <c r="L30" s="2161"/>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c r="AS30" s="2161"/>
      <c r="AT30" s="2161"/>
      <c r="AU30" s="2161"/>
      <c r="AV30" s="2161"/>
    </row>
    <row r="31" spans="1:48" s="2162" customFormat="1" ht="24" hidden="1" customHeight="1" x14ac:dyDescent="0.2">
      <c r="A31" s="2191">
        <v>40817</v>
      </c>
      <c r="B31" s="2195">
        <v>6206</v>
      </c>
      <c r="C31" s="2172">
        <v>4588</v>
      </c>
      <c r="D31" s="2172">
        <v>70437</v>
      </c>
      <c r="E31" s="2193">
        <f t="shared" si="1"/>
        <v>81231</v>
      </c>
      <c r="F31" s="2171">
        <v>1375</v>
      </c>
      <c r="G31" s="2175">
        <v>0.1</v>
      </c>
      <c r="H31" s="2177">
        <f t="shared" si="0"/>
        <v>82606.100000000006</v>
      </c>
      <c r="I31" s="2176">
        <f>H31/28.7684</f>
        <v>2871.4179446893122</v>
      </c>
      <c r="J31" s="2177">
        <v>4.6538647887323945</v>
      </c>
      <c r="K31" s="2161"/>
      <c r="L31" s="2161"/>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c r="AS31" s="2161"/>
      <c r="AT31" s="2161"/>
      <c r="AU31" s="2161"/>
      <c r="AV31" s="2161"/>
    </row>
    <row r="32" spans="1:48" s="2162" customFormat="1" ht="24" hidden="1" customHeight="1" x14ac:dyDescent="0.2">
      <c r="A32" s="2191">
        <v>40848</v>
      </c>
      <c r="B32" s="2195">
        <v>6299</v>
      </c>
      <c r="C32" s="2172">
        <v>4548</v>
      </c>
      <c r="D32" s="2172">
        <v>66783</v>
      </c>
      <c r="E32" s="2193">
        <f t="shared" si="1"/>
        <v>77630</v>
      </c>
      <c r="F32" s="2171">
        <v>1369</v>
      </c>
      <c r="G32" s="2175">
        <v>0.2</v>
      </c>
      <c r="H32" s="2177">
        <f t="shared" si="0"/>
        <v>78999.199999999997</v>
      </c>
      <c r="I32" s="2176">
        <f>H32/29.2762</f>
        <v>2698.4103128138213</v>
      </c>
      <c r="J32" s="2177">
        <v>4.4506591549295775</v>
      </c>
      <c r="K32" s="2161"/>
      <c r="L32" s="2161"/>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c r="AS32" s="2161"/>
      <c r="AT32" s="2161"/>
      <c r="AU32" s="2161"/>
      <c r="AV32" s="2161"/>
    </row>
    <row r="33" spans="1:48" s="2162" customFormat="1" ht="24" hidden="1" customHeight="1" x14ac:dyDescent="0.2">
      <c r="A33" s="2191">
        <v>40878</v>
      </c>
      <c r="B33" s="2195">
        <v>5748</v>
      </c>
      <c r="C33" s="2172">
        <v>4484</v>
      </c>
      <c r="D33" s="2172">
        <v>69822</v>
      </c>
      <c r="E33" s="2193">
        <f t="shared" si="1"/>
        <v>80054</v>
      </c>
      <c r="F33" s="2171">
        <v>1420</v>
      </c>
      <c r="G33" s="2175">
        <v>0.2</v>
      </c>
      <c r="H33" s="2177">
        <f t="shared" si="0"/>
        <v>81474.2</v>
      </c>
      <c r="I33" s="2176">
        <f>H33/29.3262</f>
        <v>2778.205154435283</v>
      </c>
      <c r="J33" s="2177">
        <v>4.590095774647887</v>
      </c>
      <c r="K33" s="2161"/>
      <c r="L33" s="2161"/>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c r="AS33" s="2161"/>
      <c r="AT33" s="2161"/>
      <c r="AU33" s="2161"/>
      <c r="AV33" s="2161"/>
    </row>
    <row r="34" spans="1:48" s="2162" customFormat="1" ht="24" hidden="1" customHeight="1" x14ac:dyDescent="0.2">
      <c r="A34" s="2191">
        <v>40909</v>
      </c>
      <c r="B34" s="2195">
        <v>6382</v>
      </c>
      <c r="C34" s="2172">
        <v>4503</v>
      </c>
      <c r="D34" s="2172">
        <v>69112</v>
      </c>
      <c r="E34" s="2193">
        <v>79997</v>
      </c>
      <c r="F34" s="2171">
        <v>1425</v>
      </c>
      <c r="G34" s="2175">
        <v>0.2</v>
      </c>
      <c r="H34" s="2177">
        <f t="shared" si="0"/>
        <v>81422.2</v>
      </c>
      <c r="I34" s="2176">
        <f>H34/29.1257</f>
        <v>2795.5448281071358</v>
      </c>
      <c r="J34" s="2177">
        <v>4.3</v>
      </c>
      <c r="K34" s="2161"/>
      <c r="L34" s="2161"/>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c r="AS34" s="2161"/>
      <c r="AT34" s="2161"/>
      <c r="AU34" s="2161"/>
      <c r="AV34" s="2161"/>
    </row>
    <row r="35" spans="1:48" s="2162" customFormat="1" ht="24" hidden="1" customHeight="1" x14ac:dyDescent="0.2">
      <c r="A35" s="2191">
        <v>40940</v>
      </c>
      <c r="B35" s="2195">
        <v>6458</v>
      </c>
      <c r="C35" s="2172">
        <v>4467</v>
      </c>
      <c r="D35" s="2172">
        <v>68981</v>
      </c>
      <c r="E35" s="2193">
        <v>79906</v>
      </c>
      <c r="F35" s="2171">
        <v>1443</v>
      </c>
      <c r="G35" s="2175">
        <v>0.2</v>
      </c>
      <c r="H35" s="2177">
        <f t="shared" si="0"/>
        <v>81349.2</v>
      </c>
      <c r="I35" s="2176">
        <f>H35/28.7562</f>
        <v>2828.9273269764431</v>
      </c>
      <c r="J35" s="2177">
        <v>4.3</v>
      </c>
      <c r="K35" s="2161"/>
      <c r="L35" s="2161"/>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c r="AS35" s="2161"/>
      <c r="AT35" s="2161"/>
      <c r="AU35" s="2161"/>
      <c r="AV35" s="2161"/>
    </row>
    <row r="36" spans="1:48" s="2162" customFormat="1" ht="24" hidden="1" customHeight="1" x14ac:dyDescent="0.2">
      <c r="A36" s="2191">
        <v>40969</v>
      </c>
      <c r="B36" s="2195">
        <v>6040</v>
      </c>
      <c r="C36" s="2172">
        <v>4459</v>
      </c>
      <c r="D36" s="2172">
        <v>68870</v>
      </c>
      <c r="E36" s="2193">
        <v>79369</v>
      </c>
      <c r="F36" s="2171">
        <v>1452</v>
      </c>
      <c r="G36" s="2175">
        <v>0.1</v>
      </c>
      <c r="H36" s="2177">
        <f t="shared" si="0"/>
        <v>80821.100000000006</v>
      </c>
      <c r="I36" s="2176">
        <v>2798.2</v>
      </c>
      <c r="J36" s="2177">
        <v>4.3</v>
      </c>
      <c r="K36" s="2161"/>
      <c r="L36" s="2161"/>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c r="AS36" s="2161"/>
      <c r="AT36" s="2161"/>
      <c r="AU36" s="2161"/>
      <c r="AV36" s="2161"/>
    </row>
    <row r="37" spans="1:48" s="2162" customFormat="1" ht="24" hidden="1" customHeight="1" x14ac:dyDescent="0.2">
      <c r="A37" s="2191">
        <v>41000</v>
      </c>
      <c r="B37" s="2195">
        <v>6079</v>
      </c>
      <c r="C37" s="2172">
        <v>4495</v>
      </c>
      <c r="D37" s="2172">
        <v>68421</v>
      </c>
      <c r="E37" s="2196">
        <v>78995</v>
      </c>
      <c r="F37" s="2171">
        <v>1462</v>
      </c>
      <c r="G37" s="2175">
        <v>0.1</v>
      </c>
      <c r="H37" s="2177">
        <v>80457.100000000006</v>
      </c>
      <c r="I37" s="2176">
        <v>2771.4</v>
      </c>
      <c r="J37" s="2177">
        <v>4.3</v>
      </c>
      <c r="K37" s="2161"/>
      <c r="L37" s="2161"/>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c r="AS37" s="2161"/>
      <c r="AT37" s="2161"/>
      <c r="AU37" s="2161"/>
      <c r="AV37" s="2161"/>
    </row>
    <row r="38" spans="1:48" s="2162" customFormat="1" ht="24" hidden="1" customHeight="1" x14ac:dyDescent="0.2">
      <c r="A38" s="2191">
        <v>41030</v>
      </c>
      <c r="B38" s="2195">
        <v>5875</v>
      </c>
      <c r="C38" s="2172">
        <v>4503</v>
      </c>
      <c r="D38" s="2172">
        <v>67703</v>
      </c>
      <c r="E38" s="2196">
        <v>78081</v>
      </c>
      <c r="F38" s="2171">
        <v>1463</v>
      </c>
      <c r="G38" s="2175">
        <v>0.2</v>
      </c>
      <c r="H38" s="2177">
        <f t="shared" ref="H38:H58" si="2">E38+F38+G38</f>
        <v>79544.2</v>
      </c>
      <c r="I38" s="2176">
        <v>2667.5</v>
      </c>
      <c r="J38" s="2177">
        <v>4.2</v>
      </c>
      <c r="K38" s="2161"/>
      <c r="L38" s="2161"/>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c r="AS38" s="2161"/>
      <c r="AT38" s="2161"/>
      <c r="AU38" s="2161"/>
      <c r="AV38" s="2161"/>
    </row>
    <row r="39" spans="1:48" s="2162" customFormat="1" ht="1.5" hidden="1" customHeight="1" x14ac:dyDescent="0.2">
      <c r="A39" s="2191">
        <v>41061</v>
      </c>
      <c r="B39" s="2195">
        <v>6118</v>
      </c>
      <c r="C39" s="2172">
        <v>4676</v>
      </c>
      <c r="D39" s="2172">
        <v>74295</v>
      </c>
      <c r="E39" s="2196">
        <v>85089</v>
      </c>
      <c r="F39" s="2171">
        <v>1582</v>
      </c>
      <c r="G39" s="2175">
        <v>0.1</v>
      </c>
      <c r="H39" s="2177">
        <f t="shared" si="2"/>
        <v>86671.1</v>
      </c>
      <c r="I39" s="2176">
        <v>2798</v>
      </c>
      <c r="J39" s="2177">
        <v>4.5999999999999996</v>
      </c>
      <c r="K39" s="2161"/>
      <c r="L39" s="2161"/>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c r="AS39" s="2161"/>
      <c r="AT39" s="2161"/>
      <c r="AU39" s="2161"/>
      <c r="AV39" s="2161"/>
    </row>
    <row r="40" spans="1:48" s="2162" customFormat="1" ht="24" hidden="1" customHeight="1" x14ac:dyDescent="0.2">
      <c r="A40" s="2191">
        <v>41091</v>
      </c>
      <c r="B40" s="2195">
        <v>6305</v>
      </c>
      <c r="C40" s="2172">
        <v>4654</v>
      </c>
      <c r="D40" s="2172">
        <v>75348</v>
      </c>
      <c r="E40" s="2196">
        <v>86307</v>
      </c>
      <c r="F40" s="2171">
        <v>1568</v>
      </c>
      <c r="G40" s="2175">
        <v>0.2</v>
      </c>
      <c r="H40" s="2177">
        <f t="shared" si="2"/>
        <v>87875.199999999997</v>
      </c>
      <c r="I40" s="2176">
        <v>2845.4</v>
      </c>
      <c r="J40" s="2177">
        <v>4.7</v>
      </c>
      <c r="K40" s="2161"/>
      <c r="L40" s="2161"/>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c r="AS40" s="2161"/>
      <c r="AT40" s="2161"/>
      <c r="AU40" s="2161"/>
      <c r="AV40" s="2161"/>
    </row>
    <row r="41" spans="1:48" s="2162" customFormat="1" ht="24" hidden="1" customHeight="1" x14ac:dyDescent="0.2">
      <c r="A41" s="2191">
        <v>41122</v>
      </c>
      <c r="B41" s="2195">
        <v>6361</v>
      </c>
      <c r="C41" s="2172">
        <v>4631</v>
      </c>
      <c r="D41" s="2172">
        <v>75754</v>
      </c>
      <c r="E41" s="2196">
        <v>86746</v>
      </c>
      <c r="F41" s="2171">
        <v>1561</v>
      </c>
      <c r="G41" s="2175">
        <v>0.2</v>
      </c>
      <c r="H41" s="2177">
        <f t="shared" si="2"/>
        <v>88307.199999999997</v>
      </c>
      <c r="I41" s="2176">
        <v>2897.9</v>
      </c>
      <c r="J41" s="2177">
        <v>4.7</v>
      </c>
      <c r="K41" s="2161"/>
      <c r="L41" s="2161"/>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c r="AS41" s="2161"/>
      <c r="AT41" s="2161"/>
      <c r="AU41" s="2161"/>
      <c r="AV41" s="2161"/>
    </row>
    <row r="42" spans="1:48" s="2162" customFormat="1" ht="24" hidden="1" customHeight="1" x14ac:dyDescent="0.2">
      <c r="A42" s="2191" t="s">
        <v>3735</v>
      </c>
      <c r="B42" s="2195">
        <v>6817</v>
      </c>
      <c r="C42" s="2172">
        <v>4685</v>
      </c>
      <c r="D42" s="2172">
        <v>76297</v>
      </c>
      <c r="E42" s="2196">
        <v>87799</v>
      </c>
      <c r="F42" s="2171">
        <v>1580</v>
      </c>
      <c r="G42" s="2175">
        <v>0.2</v>
      </c>
      <c r="H42" s="2177">
        <f t="shared" si="2"/>
        <v>89379.199999999997</v>
      </c>
      <c r="I42" s="2176">
        <v>2935.9</v>
      </c>
      <c r="J42" s="2177">
        <v>4.7</v>
      </c>
      <c r="K42" s="2161"/>
      <c r="L42" s="2161"/>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c r="AS42" s="2161"/>
      <c r="AT42" s="2161"/>
      <c r="AU42" s="2161"/>
      <c r="AV42" s="2161"/>
    </row>
    <row r="43" spans="1:48" s="2162" customFormat="1" ht="24" hidden="1" customHeight="1" x14ac:dyDescent="0.2">
      <c r="A43" s="2191">
        <v>41183</v>
      </c>
      <c r="B43" s="2195">
        <v>6689</v>
      </c>
      <c r="C43" s="2172">
        <v>4761</v>
      </c>
      <c r="D43" s="2172">
        <v>76522</v>
      </c>
      <c r="E43" s="2196">
        <v>87972</v>
      </c>
      <c r="F43" s="2171">
        <v>1606</v>
      </c>
      <c r="G43" s="2175">
        <v>0.1</v>
      </c>
      <c r="H43" s="2177">
        <f t="shared" si="2"/>
        <v>89578.1</v>
      </c>
      <c r="I43" s="2176">
        <v>2891.8</v>
      </c>
      <c r="J43" s="2177">
        <v>4.7</v>
      </c>
      <c r="K43" s="2161"/>
      <c r="L43" s="2161"/>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c r="AS43" s="2161"/>
      <c r="AT43" s="2161"/>
      <c r="AU43" s="2161"/>
      <c r="AV43" s="2161"/>
    </row>
    <row r="44" spans="1:48" s="2162" customFormat="1" ht="24" hidden="1" customHeight="1" x14ac:dyDescent="0.2">
      <c r="A44" s="2191">
        <v>41214</v>
      </c>
      <c r="B44" s="2195">
        <v>6694</v>
      </c>
      <c r="C44" s="2172">
        <v>4714</v>
      </c>
      <c r="D44" s="2172">
        <v>78955</v>
      </c>
      <c r="E44" s="2196">
        <v>90363</v>
      </c>
      <c r="F44" s="2171">
        <v>1588</v>
      </c>
      <c r="G44" s="2175">
        <v>0.2</v>
      </c>
      <c r="H44" s="2177">
        <f t="shared" si="2"/>
        <v>91951.2</v>
      </c>
      <c r="I44" s="2176">
        <v>2990.7</v>
      </c>
      <c r="J44" s="2177">
        <v>4.9000000000000004</v>
      </c>
      <c r="K44" s="2161"/>
      <c r="L44" s="2161"/>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c r="AS44" s="2161"/>
      <c r="AT44" s="2161"/>
      <c r="AU44" s="2161"/>
      <c r="AV44" s="2161"/>
    </row>
    <row r="45" spans="1:48" s="2162" customFormat="1" ht="24" hidden="1" customHeight="1" x14ac:dyDescent="0.2">
      <c r="A45" s="2191" t="s">
        <v>3736</v>
      </c>
      <c r="B45" s="2195">
        <v>6399</v>
      </c>
      <c r="C45" s="2172">
        <v>4688</v>
      </c>
      <c r="D45" s="2172">
        <v>80322</v>
      </c>
      <c r="E45" s="2196">
        <v>91409</v>
      </c>
      <c r="F45" s="2171">
        <v>1579</v>
      </c>
      <c r="G45" s="2175">
        <v>0.2</v>
      </c>
      <c r="H45" s="2177">
        <f t="shared" si="2"/>
        <v>92988.2</v>
      </c>
      <c r="I45" s="2176">
        <v>3046.3</v>
      </c>
      <c r="J45" s="2177">
        <v>4.9000000000000004</v>
      </c>
      <c r="K45" s="2161"/>
      <c r="L45" s="2161"/>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c r="AS45" s="2161"/>
      <c r="AT45" s="2161"/>
      <c r="AU45" s="2161"/>
      <c r="AV45" s="2161"/>
    </row>
    <row r="46" spans="1:48" s="2162" customFormat="1" ht="24" hidden="1" customHeight="1" x14ac:dyDescent="0.2">
      <c r="A46" s="2191" t="s">
        <v>3737</v>
      </c>
      <c r="B46" s="2195">
        <v>6410</v>
      </c>
      <c r="C46" s="2172">
        <v>4681</v>
      </c>
      <c r="D46" s="2172">
        <v>82858</v>
      </c>
      <c r="E46" s="2196">
        <v>93949</v>
      </c>
      <c r="F46" s="2171">
        <v>1577</v>
      </c>
      <c r="G46" s="2175">
        <v>0.1</v>
      </c>
      <c r="H46" s="2177">
        <f t="shared" si="2"/>
        <v>95526.1</v>
      </c>
      <c r="I46" s="2176">
        <v>3142.2</v>
      </c>
      <c r="J46" s="2177">
        <v>5.0999999999999996</v>
      </c>
      <c r="K46" s="2161"/>
      <c r="L46" s="2161"/>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c r="AS46" s="2161"/>
      <c r="AT46" s="2161"/>
      <c r="AU46" s="2161"/>
      <c r="AV46" s="2161"/>
    </row>
    <row r="47" spans="1:48" s="2162" customFormat="1" ht="24" hidden="1" customHeight="1" x14ac:dyDescent="0.2">
      <c r="A47" s="2197" t="s">
        <v>3738</v>
      </c>
      <c r="B47" s="2195">
        <v>6195</v>
      </c>
      <c r="C47" s="2172">
        <v>4664</v>
      </c>
      <c r="D47" s="2172">
        <v>82523</v>
      </c>
      <c r="E47" s="2193">
        <v>93382</v>
      </c>
      <c r="F47" s="2183">
        <v>1571</v>
      </c>
      <c r="G47" s="2175">
        <v>0.1</v>
      </c>
      <c r="H47" s="2177">
        <f t="shared" si="2"/>
        <v>94953.1</v>
      </c>
      <c r="I47" s="2177">
        <v>3081</v>
      </c>
      <c r="J47" s="2177">
        <v>4.7300945240793553</v>
      </c>
      <c r="K47" s="2198"/>
      <c r="L47" s="2161"/>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c r="AS47" s="2161"/>
      <c r="AT47" s="2161"/>
      <c r="AU47" s="2161"/>
      <c r="AV47" s="2161"/>
    </row>
    <row r="48" spans="1:48" s="2162" customFormat="1" ht="24" hidden="1" customHeight="1" x14ac:dyDescent="0.2">
      <c r="A48" s="2199" t="s">
        <v>3739</v>
      </c>
      <c r="B48" s="2200">
        <v>5542</v>
      </c>
      <c r="C48" s="2201">
        <v>4651</v>
      </c>
      <c r="D48" s="2201">
        <v>93693</v>
      </c>
      <c r="E48" s="2202">
        <v>103886</v>
      </c>
      <c r="F48" s="2203">
        <v>1568</v>
      </c>
      <c r="G48" s="2204">
        <v>0.1</v>
      </c>
      <c r="H48" s="2177">
        <f t="shared" si="2"/>
        <v>105454.1</v>
      </c>
      <c r="I48" s="2205">
        <v>3391.5</v>
      </c>
      <c r="J48" s="2177">
        <v>5.253202485771574</v>
      </c>
      <c r="K48" s="2198"/>
      <c r="L48" s="2161"/>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c r="AS48" s="2161"/>
      <c r="AT48" s="2161"/>
      <c r="AU48" s="2161"/>
      <c r="AV48" s="2161"/>
    </row>
    <row r="49" spans="1:48" s="2162" customFormat="1" ht="24" hidden="1" customHeight="1" x14ac:dyDescent="0.2">
      <c r="A49" s="2199" t="s">
        <v>3740</v>
      </c>
      <c r="B49" s="2200">
        <v>4699</v>
      </c>
      <c r="C49" s="2201">
        <v>4662</v>
      </c>
      <c r="D49" s="2201">
        <v>94063</v>
      </c>
      <c r="E49" s="2206">
        <v>103424</v>
      </c>
      <c r="F49" s="2203">
        <v>1616</v>
      </c>
      <c r="G49" s="2204">
        <v>0.1</v>
      </c>
      <c r="H49" s="2177">
        <f t="shared" si="2"/>
        <v>105040.1</v>
      </c>
      <c r="I49" s="2207">
        <v>3386.9</v>
      </c>
      <c r="J49" s="2176">
        <v>5.2325790502758514</v>
      </c>
      <c r="K49" s="2198"/>
      <c r="L49" s="2161"/>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c r="AS49" s="2161"/>
      <c r="AT49" s="2161"/>
      <c r="AU49" s="2161"/>
      <c r="AV49" s="2161"/>
    </row>
    <row r="50" spans="1:48" s="2162" customFormat="1" ht="24" hidden="1" customHeight="1" x14ac:dyDescent="0.2">
      <c r="A50" s="2199" t="s">
        <v>3741</v>
      </c>
      <c r="B50" s="2200">
        <v>5165</v>
      </c>
      <c r="C50" s="2201">
        <v>4662</v>
      </c>
      <c r="D50" s="2201">
        <v>90668</v>
      </c>
      <c r="E50" s="2206">
        <v>100495</v>
      </c>
      <c r="F50" s="2203">
        <v>1619</v>
      </c>
      <c r="G50" s="2204">
        <v>0.1</v>
      </c>
      <c r="H50" s="2177">
        <f t="shared" si="2"/>
        <v>102114.1</v>
      </c>
      <c r="I50" s="2207">
        <v>3316.3</v>
      </c>
      <c r="J50" s="2176">
        <v>5.0868201800814479</v>
      </c>
      <c r="K50" s="2198"/>
      <c r="L50" s="2161"/>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c r="AS50" s="2161"/>
      <c r="AT50" s="2161"/>
      <c r="AU50" s="2161"/>
      <c r="AV50" s="2161"/>
    </row>
    <row r="51" spans="1:48" s="2162" customFormat="1" ht="24" hidden="1" customHeight="1" x14ac:dyDescent="0.2">
      <c r="A51" s="2199" t="s">
        <v>3742</v>
      </c>
      <c r="B51" s="2200">
        <v>5407</v>
      </c>
      <c r="C51" s="2201">
        <v>4667</v>
      </c>
      <c r="D51" s="2201">
        <v>89022</v>
      </c>
      <c r="E51" s="2206">
        <v>99096</v>
      </c>
      <c r="F51" s="2203">
        <v>1620</v>
      </c>
      <c r="G51" s="2204">
        <v>0.1</v>
      </c>
      <c r="H51" s="2177">
        <f t="shared" si="2"/>
        <v>100716.1</v>
      </c>
      <c r="I51" s="2207">
        <v>3271.5</v>
      </c>
      <c r="J51" s="2177">
        <v>5.0171787239871986</v>
      </c>
      <c r="K51" s="2198"/>
      <c r="L51" s="2161"/>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c r="AS51" s="2161"/>
      <c r="AT51" s="2161"/>
      <c r="AU51" s="2161"/>
      <c r="AV51" s="2161"/>
    </row>
    <row r="52" spans="1:48" s="2162" customFormat="1" ht="24" hidden="1" customHeight="1" x14ac:dyDescent="0.2">
      <c r="A52" s="2199" t="s">
        <v>3743</v>
      </c>
      <c r="B52" s="2200">
        <v>5140</v>
      </c>
      <c r="C52" s="2201">
        <v>4667</v>
      </c>
      <c r="D52" s="2201">
        <v>90922</v>
      </c>
      <c r="E52" s="2206">
        <v>100729</v>
      </c>
      <c r="F52" s="2203">
        <v>1717</v>
      </c>
      <c r="G52" s="2204">
        <v>0.1</v>
      </c>
      <c r="H52" s="2177">
        <f t="shared" si="2"/>
        <v>102446.1</v>
      </c>
      <c r="I52" s="2207">
        <f>H52/30.4674</f>
        <v>3362.4825223025268</v>
      </c>
      <c r="J52" s="2177">
        <v>5.1033587805272926</v>
      </c>
      <c r="K52" s="2198"/>
      <c r="L52" s="2161"/>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c r="AS52" s="2161"/>
      <c r="AT52" s="2161"/>
      <c r="AU52" s="2161"/>
      <c r="AV52" s="2161"/>
    </row>
    <row r="53" spans="1:48" s="2162" customFormat="1" ht="24" hidden="1" customHeight="1" x14ac:dyDescent="0.2">
      <c r="A53" s="2199" t="s">
        <v>3744</v>
      </c>
      <c r="B53" s="2200">
        <v>5043</v>
      </c>
      <c r="C53" s="2201">
        <v>4671</v>
      </c>
      <c r="D53" s="2201">
        <v>90302</v>
      </c>
      <c r="E53" s="2206">
        <v>100016</v>
      </c>
      <c r="F53" s="2203">
        <v>1698</v>
      </c>
      <c r="G53" s="2204">
        <v>0.1</v>
      </c>
      <c r="H53" s="2177">
        <f t="shared" si="2"/>
        <v>101714.1</v>
      </c>
      <c r="I53" s="2207">
        <f>H53/30.0499</f>
        <v>3384.8398829946191</v>
      </c>
      <c r="J53" s="2177">
        <v>5.0668941554478995</v>
      </c>
      <c r="K53" s="2198"/>
      <c r="L53" s="2161"/>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c r="AS53" s="2161"/>
      <c r="AT53" s="2161"/>
      <c r="AU53" s="2161"/>
      <c r="AV53" s="2161"/>
    </row>
    <row r="54" spans="1:48" s="2162" customFormat="1" ht="24" hidden="1" customHeight="1" x14ac:dyDescent="0.2">
      <c r="A54" s="2199" t="s">
        <v>3745</v>
      </c>
      <c r="B54" s="2200">
        <v>4757</v>
      </c>
      <c r="C54" s="2201">
        <v>4650</v>
      </c>
      <c r="D54" s="2201">
        <v>89619</v>
      </c>
      <c r="E54" s="2206">
        <v>99026</v>
      </c>
      <c r="F54" s="2203">
        <v>1761</v>
      </c>
      <c r="G54" s="2204">
        <v>0.1</v>
      </c>
      <c r="H54" s="2177">
        <f t="shared" si="2"/>
        <v>100787.1</v>
      </c>
      <c r="I54" s="2207">
        <f>H54/30.2987</f>
        <v>3326.4496496549359</v>
      </c>
      <c r="J54" s="2177">
        <v>5.020715593359653</v>
      </c>
      <c r="K54" s="2198"/>
      <c r="L54" s="2161"/>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c r="AS54" s="2161"/>
      <c r="AT54" s="2161"/>
      <c r="AU54" s="2161"/>
      <c r="AV54" s="2161"/>
    </row>
    <row r="55" spans="1:48" s="2162" customFormat="1" ht="24" hidden="1" customHeight="1" x14ac:dyDescent="0.2">
      <c r="A55" s="2199" t="s">
        <v>3746</v>
      </c>
      <c r="B55" s="2200">
        <v>4536</v>
      </c>
      <c r="C55" s="2201">
        <v>4630</v>
      </c>
      <c r="D55" s="2201">
        <v>94092</v>
      </c>
      <c r="E55" s="2206">
        <v>103258</v>
      </c>
      <c r="F55" s="2203">
        <v>1751</v>
      </c>
      <c r="G55" s="2204">
        <v>0.1</v>
      </c>
      <c r="H55" s="2177">
        <f t="shared" si="2"/>
        <v>105009.1</v>
      </c>
      <c r="I55" s="2207">
        <f>H55/30.0792</f>
        <v>3491.0868640123408</v>
      </c>
      <c r="J55" s="2177">
        <v>5.2310347833667512</v>
      </c>
      <c r="K55" s="2198"/>
      <c r="L55" s="2161"/>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c r="AS55" s="2161"/>
      <c r="AT55" s="2161"/>
      <c r="AU55" s="2161"/>
      <c r="AV55" s="2161"/>
    </row>
    <row r="56" spans="1:48" s="2162" customFormat="1" ht="24" hidden="1" customHeight="1" x14ac:dyDescent="0.2">
      <c r="A56" s="2199" t="s">
        <v>3747</v>
      </c>
      <c r="B56" s="2200">
        <v>4776</v>
      </c>
      <c r="C56" s="2201">
        <v>4648</v>
      </c>
      <c r="D56" s="2201">
        <v>93308</v>
      </c>
      <c r="E56" s="2206">
        <v>102732</v>
      </c>
      <c r="F56" s="2203">
        <v>1751</v>
      </c>
      <c r="G56" s="2204">
        <v>0.1</v>
      </c>
      <c r="H56" s="2177">
        <f t="shared" si="2"/>
        <v>104483.1</v>
      </c>
      <c r="I56" s="2207">
        <v>3459.3</v>
      </c>
      <c r="J56" s="2177">
        <v>5.2048320609736356</v>
      </c>
      <c r="K56" s="2208"/>
      <c r="L56" s="2198"/>
      <c r="M56" s="2209"/>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c r="AS56" s="2161"/>
      <c r="AT56" s="2161"/>
      <c r="AU56" s="2161"/>
      <c r="AV56" s="2161"/>
    </row>
    <row r="57" spans="1:48" s="2162" customFormat="1" ht="24" hidden="1" customHeight="1" x14ac:dyDescent="0.2">
      <c r="A57" s="2199" t="s">
        <v>3748</v>
      </c>
      <c r="B57" s="2210">
        <v>5036</v>
      </c>
      <c r="C57" s="2211">
        <v>4637</v>
      </c>
      <c r="D57" s="2211">
        <v>98772</v>
      </c>
      <c r="E57" s="2212">
        <v>108445</v>
      </c>
      <c r="F57" s="2213">
        <v>1761</v>
      </c>
      <c r="G57" s="2214">
        <v>0.1</v>
      </c>
      <c r="H57" s="2215">
        <f t="shared" si="2"/>
        <v>110206.1</v>
      </c>
      <c r="I57" s="2216">
        <v>3662.5</v>
      </c>
      <c r="J57" s="2215">
        <v>5.4866438484037587</v>
      </c>
      <c r="K57" s="2208"/>
      <c r="L57" s="2198"/>
      <c r="M57" s="2209"/>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c r="AS57" s="2161"/>
      <c r="AT57" s="2161"/>
      <c r="AU57" s="2161"/>
      <c r="AV57" s="2161"/>
    </row>
    <row r="58" spans="1:48" s="2162" customFormat="1" ht="24" hidden="1" customHeight="1" x14ac:dyDescent="0.2">
      <c r="A58" s="2199" t="s">
        <v>3749</v>
      </c>
      <c r="B58" s="2210">
        <v>4900</v>
      </c>
      <c r="C58" s="2211">
        <v>4648</v>
      </c>
      <c r="D58" s="2211">
        <v>100713</v>
      </c>
      <c r="E58" s="2212">
        <v>110261</v>
      </c>
      <c r="F58" s="2213">
        <v>1757</v>
      </c>
      <c r="G58" s="2214">
        <v>0.1</v>
      </c>
      <c r="H58" s="2215">
        <f t="shared" si="2"/>
        <v>112018.1</v>
      </c>
      <c r="I58" s="2216">
        <v>3722.9</v>
      </c>
      <c r="J58" s="2215">
        <v>5.5768548136162801</v>
      </c>
      <c r="K58" s="2208"/>
      <c r="L58" s="2198"/>
      <c r="M58" s="2209"/>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c r="AS58" s="2161"/>
      <c r="AT58" s="2161"/>
      <c r="AU58" s="2161"/>
      <c r="AV58" s="2161"/>
    </row>
    <row r="59" spans="1:48" s="2162" customFormat="1" ht="24" hidden="1" customHeight="1" x14ac:dyDescent="0.2">
      <c r="A59" s="2199" t="s">
        <v>3750</v>
      </c>
      <c r="B59" s="2210">
        <v>4867</v>
      </c>
      <c r="C59" s="2211">
        <v>4648</v>
      </c>
      <c r="D59" s="2211">
        <v>105183</v>
      </c>
      <c r="E59" s="2212">
        <v>114698</v>
      </c>
      <c r="F59" s="2213">
        <v>1782</v>
      </c>
      <c r="G59" s="2214">
        <v>0.1</v>
      </c>
      <c r="H59" s="2215">
        <f>E59+F59+G59</f>
        <v>116480.1</v>
      </c>
      <c r="I59" s="2216">
        <v>3885.8</v>
      </c>
      <c r="J59" s="2215">
        <v>5.7989968261870679</v>
      </c>
      <c r="K59" s="2208"/>
      <c r="L59" s="2198"/>
      <c r="M59" s="2209"/>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c r="AS59" s="2161"/>
      <c r="AT59" s="2161"/>
      <c r="AU59" s="2161"/>
      <c r="AV59" s="2161"/>
    </row>
    <row r="60" spans="1:48" s="2162" customFormat="1" ht="24" hidden="1" customHeight="1" x14ac:dyDescent="0.2">
      <c r="A60" s="2199" t="s">
        <v>3751</v>
      </c>
      <c r="B60" s="2210">
        <v>4773</v>
      </c>
      <c r="C60" s="2211">
        <v>4666</v>
      </c>
      <c r="D60" s="2211">
        <v>107597</v>
      </c>
      <c r="E60" s="2212">
        <v>117036</v>
      </c>
      <c r="F60" s="2213">
        <v>1788</v>
      </c>
      <c r="G60" s="2214">
        <v>0</v>
      </c>
      <c r="H60" s="2215">
        <f>E60+F60+G60</f>
        <v>118824</v>
      </c>
      <c r="I60" s="2216">
        <v>3927.7</v>
      </c>
      <c r="J60" s="2215">
        <v>5.9233558903802299</v>
      </c>
      <c r="K60" s="2208"/>
      <c r="L60" s="2198"/>
      <c r="M60" s="2209"/>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c r="AS60" s="2161"/>
      <c r="AT60" s="2161"/>
      <c r="AU60" s="2161"/>
      <c r="AV60" s="2161"/>
    </row>
    <row r="61" spans="1:48" s="2162" customFormat="1" ht="24" hidden="1" customHeight="1" x14ac:dyDescent="0.2">
      <c r="A61" s="2199" t="s">
        <v>3752</v>
      </c>
      <c r="B61" s="2210">
        <v>5001</v>
      </c>
      <c r="C61" s="2211">
        <v>4669</v>
      </c>
      <c r="D61" s="2211">
        <v>109961</v>
      </c>
      <c r="E61" s="2212">
        <v>119631</v>
      </c>
      <c r="F61" s="2213">
        <v>1793</v>
      </c>
      <c r="G61" s="2214">
        <v>0.1</v>
      </c>
      <c r="H61" s="2215">
        <v>121424.1</v>
      </c>
      <c r="I61" s="2216">
        <v>4015.5</v>
      </c>
      <c r="J61" s="2215">
        <v>6.0529704265898987</v>
      </c>
      <c r="K61" s="2208"/>
      <c r="L61" s="2198"/>
      <c r="M61" s="2209"/>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c r="AS61" s="2161"/>
      <c r="AT61" s="2161"/>
      <c r="AU61" s="2161"/>
      <c r="AV61" s="2161"/>
    </row>
    <row r="62" spans="1:48" s="2162" customFormat="1" ht="24" hidden="1" customHeight="1" x14ac:dyDescent="0.2">
      <c r="A62" s="2199" t="s">
        <v>3753</v>
      </c>
      <c r="B62" s="2210">
        <v>4960</v>
      </c>
      <c r="C62" s="2211">
        <v>4668</v>
      </c>
      <c r="D62" s="2211">
        <v>111415</v>
      </c>
      <c r="E62" s="2212">
        <v>121043</v>
      </c>
      <c r="F62" s="2213">
        <v>1789</v>
      </c>
      <c r="G62" s="2214">
        <v>0.1</v>
      </c>
      <c r="H62" s="2215">
        <v>122832.1</v>
      </c>
      <c r="I62" s="2216">
        <v>4033.5</v>
      </c>
      <c r="J62" s="2215">
        <v>6.1231589835620195</v>
      </c>
      <c r="K62" s="2208"/>
      <c r="L62" s="2198"/>
      <c r="M62" s="2209"/>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c r="AS62" s="2161"/>
      <c r="AT62" s="2161"/>
      <c r="AU62" s="2161"/>
      <c r="AV62" s="2161"/>
    </row>
    <row r="63" spans="1:48" s="2162" customFormat="1" ht="24" hidden="1" customHeight="1" x14ac:dyDescent="0.2">
      <c r="A63" s="2199" t="s">
        <v>3754</v>
      </c>
      <c r="B63" s="2210">
        <v>4999</v>
      </c>
      <c r="C63" s="2211">
        <v>4684</v>
      </c>
      <c r="D63" s="2211">
        <v>113535</v>
      </c>
      <c r="E63" s="2212">
        <v>123218</v>
      </c>
      <c r="F63" s="2213">
        <v>1802</v>
      </c>
      <c r="G63" s="2214">
        <v>0</v>
      </c>
      <c r="H63" s="2215">
        <v>125020</v>
      </c>
      <c r="I63" s="2216">
        <v>4051.9</v>
      </c>
      <c r="J63" s="2215">
        <v>6.2322254209194803</v>
      </c>
      <c r="K63" s="2208"/>
      <c r="L63" s="2198"/>
      <c r="M63" s="2209"/>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c r="AS63" s="2161"/>
      <c r="AT63" s="2161"/>
      <c r="AU63" s="2161"/>
      <c r="AV63" s="2161"/>
    </row>
    <row r="64" spans="1:48" s="2162" customFormat="1" ht="24" hidden="1" customHeight="1" x14ac:dyDescent="0.2">
      <c r="A64" s="2199" t="s">
        <v>3755</v>
      </c>
      <c r="B64" s="2210">
        <v>7235</v>
      </c>
      <c r="C64" s="2211">
        <v>4660</v>
      </c>
      <c r="D64" s="2211">
        <v>108822</v>
      </c>
      <c r="E64" s="2212">
        <v>120717</v>
      </c>
      <c r="F64" s="2213">
        <v>1787</v>
      </c>
      <c r="G64" s="2214">
        <v>0.1</v>
      </c>
      <c r="H64" s="2215">
        <v>122504.1</v>
      </c>
      <c r="I64" s="2216">
        <v>3910.1337699769233</v>
      </c>
      <c r="J64" s="2215">
        <v>6.1067551593596328</v>
      </c>
      <c r="K64" s="2208"/>
      <c r="L64" s="2198"/>
      <c r="M64" s="2209"/>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c r="AS64" s="2161"/>
      <c r="AT64" s="2161"/>
      <c r="AU64" s="2161"/>
      <c r="AV64" s="2161"/>
    </row>
    <row r="65" spans="1:48" s="2162" customFormat="1" ht="24" hidden="1" customHeight="1" x14ac:dyDescent="0.2">
      <c r="A65" s="2199" t="s">
        <v>3756</v>
      </c>
      <c r="B65" s="2210">
        <v>8173</v>
      </c>
      <c r="C65" s="2211">
        <v>4638</v>
      </c>
      <c r="D65" s="2211">
        <v>106738</v>
      </c>
      <c r="E65" s="2212">
        <v>119549</v>
      </c>
      <c r="F65" s="2213">
        <v>1782</v>
      </c>
      <c r="G65" s="2214">
        <v>0</v>
      </c>
      <c r="H65" s="2215">
        <v>121331</v>
      </c>
      <c r="I65" s="2216">
        <v>3872.8</v>
      </c>
      <c r="J65" s="2215">
        <v>6.0483076714138742</v>
      </c>
      <c r="K65" s="2208"/>
      <c r="L65" s="2198"/>
      <c r="M65" s="2209"/>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c r="AS65" s="2161"/>
      <c r="AT65" s="2161"/>
      <c r="AU65" s="2161"/>
      <c r="AV65" s="2161"/>
    </row>
    <row r="66" spans="1:48" s="2162" customFormat="1" ht="24" hidden="1" customHeight="1" x14ac:dyDescent="0.2">
      <c r="A66" s="2199" t="s">
        <v>3757</v>
      </c>
      <c r="B66" s="2210">
        <v>9464</v>
      </c>
      <c r="C66" s="2211">
        <v>4608</v>
      </c>
      <c r="D66" s="2211">
        <v>103608</v>
      </c>
      <c r="E66" s="2212">
        <v>117680</v>
      </c>
      <c r="F66" s="2213">
        <v>1777</v>
      </c>
      <c r="G66" s="2214">
        <v>0.1</v>
      </c>
      <c r="H66" s="2215">
        <v>119457.1</v>
      </c>
      <c r="I66" s="2216">
        <v>3795.9</v>
      </c>
      <c r="J66" s="2215">
        <v>5.9548999637834941</v>
      </c>
      <c r="K66" s="2208"/>
      <c r="L66" s="2198"/>
      <c r="M66" s="2209"/>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c r="AS66" s="2161"/>
      <c r="AT66" s="2161"/>
      <c r="AU66" s="2161"/>
      <c r="AV66" s="2161"/>
    </row>
    <row r="67" spans="1:48" s="2162" customFormat="1" ht="24" hidden="1" customHeight="1" x14ac:dyDescent="0.2">
      <c r="A67" s="2199" t="s">
        <v>3758</v>
      </c>
      <c r="B67" s="2213">
        <v>9657</v>
      </c>
      <c r="C67" s="2211">
        <v>4596</v>
      </c>
      <c r="D67" s="2211">
        <v>108323</v>
      </c>
      <c r="E67" s="2217">
        <v>122576</v>
      </c>
      <c r="F67" s="2213">
        <v>1768</v>
      </c>
      <c r="G67" s="2214">
        <v>0.2</v>
      </c>
      <c r="H67" s="2215">
        <v>124344.2</v>
      </c>
      <c r="I67" s="2216">
        <v>3919.0528269893248</v>
      </c>
      <c r="J67" s="2215">
        <v>6.1985456250213709</v>
      </c>
      <c r="K67" s="2208"/>
      <c r="L67" s="2198"/>
      <c r="M67" s="2209"/>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c r="AS67" s="2161"/>
      <c r="AT67" s="2161"/>
      <c r="AU67" s="2161"/>
      <c r="AV67" s="2161"/>
    </row>
    <row r="68" spans="1:48" s="2162" customFormat="1" ht="24" hidden="1" customHeight="1" thickTop="1" x14ac:dyDescent="0.2">
      <c r="A68" s="2199" t="s">
        <v>3759</v>
      </c>
      <c r="B68" s="2213">
        <v>11787</v>
      </c>
      <c r="C68" s="2211">
        <v>4600</v>
      </c>
      <c r="D68" s="2211">
        <v>103500</v>
      </c>
      <c r="E68" s="2217">
        <v>119887</v>
      </c>
      <c r="F68" s="2213">
        <v>1775</v>
      </c>
      <c r="G68" s="2214">
        <v>0.1</v>
      </c>
      <c r="H68" s="2215">
        <f t="shared" ref="H68:H69" si="3">E68+F68+G68</f>
        <v>121662.1</v>
      </c>
      <c r="I68" s="2216">
        <v>3727.0159573327451</v>
      </c>
      <c r="J68" s="2215">
        <v>6.1528890162594099</v>
      </c>
      <c r="K68" s="2208"/>
      <c r="L68" s="2198"/>
      <c r="M68" s="2209"/>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c r="AS68" s="2161"/>
      <c r="AT68" s="2161"/>
      <c r="AU68" s="2161"/>
      <c r="AV68" s="2161"/>
    </row>
    <row r="69" spans="1:48" s="2162" customFormat="1" ht="24" hidden="1" customHeight="1" thickTop="1" x14ac:dyDescent="0.2">
      <c r="A69" s="2199" t="s">
        <v>3760</v>
      </c>
      <c r="B69" s="2213">
        <v>11461</v>
      </c>
      <c r="C69" s="2211">
        <v>4704</v>
      </c>
      <c r="D69" s="2211">
        <v>109650</v>
      </c>
      <c r="E69" s="2217">
        <v>125815</v>
      </c>
      <c r="F69" s="2213">
        <v>1805</v>
      </c>
      <c r="G69" s="2214">
        <v>0.1</v>
      </c>
      <c r="H69" s="2215">
        <f t="shared" si="3"/>
        <v>127620.1</v>
      </c>
      <c r="I69" s="2216">
        <v>3837.2983179885618</v>
      </c>
      <c r="J69" s="2215">
        <v>6.4542064582472882</v>
      </c>
      <c r="K69" s="2208"/>
      <c r="L69" s="2198"/>
      <c r="M69" s="2209"/>
      <c r="N69" s="2161"/>
      <c r="O69" s="2161"/>
      <c r="P69" s="2161"/>
      <c r="Q69" s="2161"/>
      <c r="R69" s="2161"/>
      <c r="S69" s="2161"/>
      <c r="T69" s="2161"/>
      <c r="U69" s="2161"/>
      <c r="V69" s="2161"/>
      <c r="W69" s="2161"/>
      <c r="X69" s="2161"/>
      <c r="Y69" s="2161"/>
      <c r="Z69" s="2161"/>
      <c r="AA69" s="2161"/>
      <c r="AB69" s="2161"/>
      <c r="AC69" s="2161"/>
      <c r="AD69" s="2161"/>
      <c r="AE69" s="2161"/>
      <c r="AF69" s="2161"/>
      <c r="AG69" s="2161"/>
      <c r="AH69" s="2161"/>
      <c r="AI69" s="2161"/>
      <c r="AJ69" s="2161"/>
      <c r="AK69" s="2161"/>
      <c r="AL69" s="2161"/>
      <c r="AM69" s="2161"/>
      <c r="AN69" s="2161"/>
      <c r="AO69" s="2161"/>
      <c r="AP69" s="2161"/>
      <c r="AQ69" s="2161"/>
      <c r="AR69" s="2161"/>
      <c r="AS69" s="2161"/>
      <c r="AT69" s="2161"/>
      <c r="AU69" s="2161"/>
      <c r="AV69" s="2161"/>
    </row>
    <row r="70" spans="1:48" s="2162" customFormat="1" ht="24" hidden="1" customHeight="1" x14ac:dyDescent="0.2">
      <c r="A70" s="2199" t="s">
        <v>3761</v>
      </c>
      <c r="B70" s="2213">
        <v>12284</v>
      </c>
      <c r="C70" s="2211">
        <v>5036</v>
      </c>
      <c r="D70" s="2211">
        <v>121458</v>
      </c>
      <c r="E70" s="2217">
        <v>138778</v>
      </c>
      <c r="F70" s="2213">
        <v>1611</v>
      </c>
      <c r="G70" s="2214">
        <v>0.1</v>
      </c>
      <c r="H70" s="2215">
        <v>140389.1</v>
      </c>
      <c r="I70" s="2216">
        <v>3856.5</v>
      </c>
      <c r="J70" s="2215">
        <v>7.0999806134576326</v>
      </c>
      <c r="K70" s="2208"/>
      <c r="L70" s="2198"/>
      <c r="M70" s="2209"/>
      <c r="N70" s="2161"/>
      <c r="O70" s="2161"/>
      <c r="P70" s="2161"/>
      <c r="Q70" s="2161"/>
      <c r="R70" s="2161"/>
      <c r="S70" s="2161"/>
      <c r="T70" s="2161"/>
      <c r="U70" s="2161"/>
      <c r="V70" s="2161"/>
      <c r="W70" s="2161"/>
      <c r="X70" s="2161"/>
      <c r="Y70" s="2161"/>
      <c r="Z70" s="2161"/>
      <c r="AA70" s="2161"/>
      <c r="AB70" s="2161"/>
      <c r="AC70" s="2161"/>
      <c r="AD70" s="2161"/>
      <c r="AE70" s="2161"/>
      <c r="AF70" s="2161"/>
      <c r="AG70" s="2161"/>
      <c r="AH70" s="2161"/>
      <c r="AI70" s="2161"/>
      <c r="AJ70" s="2161"/>
      <c r="AK70" s="2161"/>
      <c r="AL70" s="2161"/>
      <c r="AM70" s="2161"/>
      <c r="AN70" s="2161"/>
      <c r="AO70" s="2161"/>
      <c r="AP70" s="2161"/>
      <c r="AQ70" s="2161"/>
      <c r="AR70" s="2161"/>
      <c r="AS70" s="2161"/>
      <c r="AT70" s="2161"/>
      <c r="AU70" s="2161"/>
      <c r="AV70" s="2161"/>
    </row>
    <row r="71" spans="1:48" s="2162" customFormat="1" ht="24" hidden="1" customHeight="1" thickTop="1" x14ac:dyDescent="0.2">
      <c r="A71" s="2199" t="s">
        <v>3762</v>
      </c>
      <c r="B71" s="2213">
        <v>12183</v>
      </c>
      <c r="C71" s="2211">
        <v>4946</v>
      </c>
      <c r="D71" s="2211">
        <v>120126</v>
      </c>
      <c r="E71" s="2217">
        <v>137255</v>
      </c>
      <c r="F71" s="2213">
        <v>1597</v>
      </c>
      <c r="G71" s="2214">
        <v>0.3</v>
      </c>
      <c r="H71" s="2215">
        <v>138852.29999999999</v>
      </c>
      <c r="I71" s="2216">
        <v>3921.8</v>
      </c>
      <c r="J71" s="2215">
        <v>7.0222591222110768</v>
      </c>
      <c r="K71" s="2208"/>
      <c r="L71" s="2198"/>
      <c r="M71" s="2209"/>
      <c r="N71" s="2161"/>
      <c r="O71" s="2161"/>
      <c r="P71" s="2161"/>
      <c r="Q71" s="2161"/>
      <c r="R71" s="2161"/>
      <c r="S71" s="2161"/>
      <c r="T71" s="2161"/>
      <c r="U71" s="2161"/>
      <c r="V71" s="2161"/>
      <c r="W71" s="2161"/>
      <c r="X71" s="2161"/>
      <c r="Y71" s="2161"/>
      <c r="Z71" s="2161"/>
      <c r="AA71" s="2161"/>
      <c r="AB71" s="2161"/>
      <c r="AC71" s="2161"/>
      <c r="AD71" s="2161"/>
      <c r="AE71" s="2161"/>
      <c r="AF71" s="2161"/>
      <c r="AG71" s="2161"/>
      <c r="AH71" s="2161"/>
      <c r="AI71" s="2161"/>
      <c r="AJ71" s="2161"/>
      <c r="AK71" s="2161"/>
      <c r="AL71" s="2161"/>
      <c r="AM71" s="2161"/>
      <c r="AN71" s="2161"/>
      <c r="AO71" s="2161"/>
      <c r="AP71" s="2161"/>
      <c r="AQ71" s="2161"/>
      <c r="AR71" s="2161"/>
      <c r="AS71" s="2161"/>
      <c r="AT71" s="2161"/>
      <c r="AU71" s="2161"/>
      <c r="AV71" s="2161"/>
    </row>
    <row r="72" spans="1:48" s="2162" customFormat="1" ht="24" customHeight="1" thickTop="1" x14ac:dyDescent="0.2">
      <c r="A72" s="2199" t="s">
        <v>3763</v>
      </c>
      <c r="B72" s="2213">
        <v>12004</v>
      </c>
      <c r="C72" s="2211">
        <v>4914</v>
      </c>
      <c r="D72" s="2211">
        <v>120956</v>
      </c>
      <c r="E72" s="2217">
        <v>137874</v>
      </c>
      <c r="F72" s="2213">
        <v>1581</v>
      </c>
      <c r="G72" s="2214">
        <v>0.2</v>
      </c>
      <c r="H72" s="2215">
        <v>139455.20000000001</v>
      </c>
      <c r="I72" s="2216">
        <v>3943.5</v>
      </c>
      <c r="J72" s="2215">
        <v>7.0527499388902477</v>
      </c>
      <c r="K72" s="2208"/>
      <c r="L72" s="2198"/>
      <c r="M72" s="2209"/>
      <c r="N72" s="2161"/>
      <c r="O72" s="2161"/>
      <c r="P72" s="2161"/>
      <c r="Q72" s="2161"/>
      <c r="R72" s="2161"/>
      <c r="S72" s="2161"/>
      <c r="T72" s="2161"/>
      <c r="U72" s="2161"/>
      <c r="V72" s="2161"/>
      <c r="W72" s="2161"/>
      <c r="X72" s="2161"/>
      <c r="Y72" s="2161"/>
      <c r="Z72" s="2161"/>
      <c r="AA72" s="2161"/>
      <c r="AB72" s="2161"/>
      <c r="AC72" s="2161"/>
      <c r="AD72" s="2161"/>
      <c r="AE72" s="2161"/>
      <c r="AF72" s="2161"/>
      <c r="AG72" s="2161"/>
      <c r="AH72" s="2161"/>
      <c r="AI72" s="2161"/>
      <c r="AJ72" s="2161"/>
      <c r="AK72" s="2161"/>
      <c r="AL72" s="2161"/>
      <c r="AM72" s="2161"/>
      <c r="AN72" s="2161"/>
      <c r="AO72" s="2161"/>
      <c r="AP72" s="2161"/>
      <c r="AQ72" s="2161"/>
      <c r="AR72" s="2161"/>
      <c r="AS72" s="2161"/>
      <c r="AT72" s="2161"/>
      <c r="AU72" s="2161"/>
      <c r="AV72" s="2161"/>
    </row>
    <row r="73" spans="1:48" s="2162" customFormat="1" ht="24" customHeight="1" x14ac:dyDescent="0.2">
      <c r="A73" s="2199" t="s">
        <v>3764</v>
      </c>
      <c r="B73" s="2213">
        <v>11821</v>
      </c>
      <c r="C73" s="2211">
        <v>4934</v>
      </c>
      <c r="D73" s="2211">
        <v>121549</v>
      </c>
      <c r="E73" s="2217">
        <v>138304</v>
      </c>
      <c r="F73" s="2213">
        <v>1590</v>
      </c>
      <c r="G73" s="2214">
        <v>0.1</v>
      </c>
      <c r="H73" s="2215">
        <v>139894.1</v>
      </c>
      <c r="I73" s="2216">
        <v>3979.5</v>
      </c>
      <c r="J73" s="2215">
        <v>7.0749466870084881</v>
      </c>
      <c r="K73" s="2208"/>
      <c r="L73" s="2198"/>
      <c r="M73" s="2209"/>
      <c r="N73" s="2161"/>
      <c r="O73" s="2161"/>
      <c r="P73" s="2161"/>
      <c r="Q73" s="2161"/>
      <c r="R73" s="2161"/>
      <c r="S73" s="2161"/>
      <c r="T73" s="2161"/>
      <c r="U73" s="2161"/>
      <c r="V73" s="2161"/>
      <c r="W73" s="2161"/>
      <c r="X73" s="2161"/>
      <c r="Y73" s="2161"/>
      <c r="Z73" s="2161"/>
      <c r="AA73" s="2161"/>
      <c r="AB73" s="2161"/>
      <c r="AC73" s="2161"/>
      <c r="AD73" s="2161"/>
      <c r="AE73" s="2161"/>
      <c r="AF73" s="2161"/>
      <c r="AG73" s="2161"/>
      <c r="AH73" s="2161"/>
      <c r="AI73" s="2161"/>
      <c r="AJ73" s="2161"/>
      <c r="AK73" s="2161"/>
      <c r="AL73" s="2161"/>
      <c r="AM73" s="2161"/>
      <c r="AN73" s="2161"/>
      <c r="AO73" s="2161"/>
      <c r="AP73" s="2161"/>
      <c r="AQ73" s="2161"/>
      <c r="AR73" s="2161"/>
      <c r="AS73" s="2161"/>
      <c r="AT73" s="2161"/>
      <c r="AU73" s="2161"/>
      <c r="AV73" s="2161"/>
    </row>
    <row r="74" spans="1:48" s="2162" customFormat="1" ht="24" customHeight="1" x14ac:dyDescent="0.2">
      <c r="A74" s="2199" t="s">
        <v>3765</v>
      </c>
      <c r="B74" s="2213">
        <v>10952</v>
      </c>
      <c r="C74" s="2211">
        <v>4936</v>
      </c>
      <c r="D74" s="2211">
        <v>125854</v>
      </c>
      <c r="E74" s="2217">
        <v>141742</v>
      </c>
      <c r="F74" s="2213">
        <v>1589</v>
      </c>
      <c r="G74" s="2214">
        <v>0.2</v>
      </c>
      <c r="H74" s="2215">
        <v>143331.20000000001</v>
      </c>
      <c r="I74" s="2216">
        <v>4048.6</v>
      </c>
      <c r="J74" s="2215">
        <v>7.2487731690253625</v>
      </c>
      <c r="K74" s="2208"/>
      <c r="L74" s="2198"/>
      <c r="M74" s="2209"/>
      <c r="N74" s="2161"/>
      <c r="O74" s="2161"/>
      <c r="P74" s="2161"/>
      <c r="Q74" s="2161"/>
      <c r="R74" s="2161"/>
      <c r="S74" s="2161"/>
      <c r="T74" s="2161"/>
      <c r="U74" s="2161"/>
      <c r="V74" s="2161"/>
      <c r="W74" s="2161"/>
      <c r="X74" s="2161"/>
      <c r="Y74" s="2161"/>
      <c r="Z74" s="2161"/>
      <c r="AA74" s="2161"/>
      <c r="AB74" s="2161"/>
      <c r="AC74" s="2161"/>
      <c r="AD74" s="2161"/>
      <c r="AE74" s="2161"/>
      <c r="AF74" s="2161"/>
      <c r="AG74" s="2161"/>
      <c r="AH74" s="2161"/>
      <c r="AI74" s="2161"/>
      <c r="AJ74" s="2161"/>
      <c r="AK74" s="2161"/>
      <c r="AL74" s="2161"/>
      <c r="AM74" s="2161"/>
      <c r="AN74" s="2161"/>
      <c r="AO74" s="2161"/>
      <c r="AP74" s="2161"/>
      <c r="AQ74" s="2161"/>
      <c r="AR74" s="2161"/>
      <c r="AS74" s="2161"/>
      <c r="AT74" s="2161"/>
      <c r="AU74" s="2161"/>
      <c r="AV74" s="2161"/>
    </row>
    <row r="75" spans="1:48" s="2162" customFormat="1" ht="24" customHeight="1" x14ac:dyDescent="0.2">
      <c r="A75" s="2199" t="s">
        <v>3766</v>
      </c>
      <c r="B75" s="2213">
        <v>11360</v>
      </c>
      <c r="C75" s="2211">
        <v>4949</v>
      </c>
      <c r="D75" s="2211">
        <v>125637</v>
      </c>
      <c r="E75" s="2217">
        <v>141946</v>
      </c>
      <c r="F75" s="2213">
        <v>1587</v>
      </c>
      <c r="G75" s="2214">
        <v>0.2</v>
      </c>
      <c r="H75" s="2215">
        <v>143533.20000000001</v>
      </c>
      <c r="I75" s="2216">
        <v>4085.1</v>
      </c>
      <c r="J75" s="2215">
        <v>7.258989033960165</v>
      </c>
      <c r="K75" s="2208"/>
      <c r="L75" s="2198"/>
      <c r="M75" s="2209"/>
      <c r="N75" s="2161"/>
      <c r="O75" s="2161"/>
      <c r="P75" s="2161"/>
      <c r="Q75" s="2161"/>
      <c r="R75" s="2161"/>
      <c r="S75" s="2161"/>
      <c r="T75" s="2161"/>
      <c r="U75" s="2161"/>
      <c r="V75" s="2161"/>
      <c r="W75" s="2161"/>
      <c r="X75" s="2161"/>
      <c r="Y75" s="2161"/>
      <c r="Z75" s="2161"/>
      <c r="AA75" s="2161"/>
      <c r="AB75" s="2161"/>
      <c r="AC75" s="2161"/>
      <c r="AD75" s="2161"/>
      <c r="AE75" s="2161"/>
      <c r="AF75" s="2161"/>
      <c r="AG75" s="2161"/>
      <c r="AH75" s="2161"/>
      <c r="AI75" s="2161"/>
      <c r="AJ75" s="2161"/>
      <c r="AK75" s="2161"/>
      <c r="AL75" s="2161"/>
      <c r="AM75" s="2161"/>
      <c r="AN75" s="2161"/>
      <c r="AO75" s="2161"/>
      <c r="AP75" s="2161"/>
      <c r="AQ75" s="2161"/>
      <c r="AR75" s="2161"/>
      <c r="AS75" s="2161"/>
      <c r="AT75" s="2161"/>
      <c r="AU75" s="2161"/>
      <c r="AV75" s="2161"/>
    </row>
    <row r="76" spans="1:48" s="2162" customFormat="1" ht="24" customHeight="1" x14ac:dyDescent="0.2">
      <c r="A76" s="2199" t="s">
        <v>3767</v>
      </c>
      <c r="B76" s="2213">
        <v>11417</v>
      </c>
      <c r="C76" s="2211">
        <v>4991</v>
      </c>
      <c r="D76" s="2211">
        <v>127691</v>
      </c>
      <c r="E76" s="2217">
        <v>144099</v>
      </c>
      <c r="F76" s="2213">
        <v>1605</v>
      </c>
      <c r="G76" s="2214">
        <v>0.2</v>
      </c>
      <c r="H76" s="2215">
        <v>145704.20000000001</v>
      </c>
      <c r="I76" s="2216">
        <v>4101.2</v>
      </c>
      <c r="J76" s="2215">
        <v>7.3687842952148968</v>
      </c>
      <c r="K76" s="2208"/>
      <c r="L76" s="2198"/>
      <c r="M76" s="2209"/>
      <c r="N76" s="2161"/>
      <c r="O76" s="2161"/>
      <c r="P76" s="2161"/>
      <c r="Q76" s="2161"/>
      <c r="R76" s="2161"/>
      <c r="S76" s="2161"/>
      <c r="T76" s="2161"/>
      <c r="U76" s="2161"/>
      <c r="V76" s="2161"/>
      <c r="W76" s="2161"/>
      <c r="X76" s="2161"/>
      <c r="Y76" s="2161"/>
      <c r="Z76" s="2161"/>
      <c r="AA76" s="2161"/>
      <c r="AB76" s="2161"/>
      <c r="AC76" s="2161"/>
      <c r="AD76" s="2161"/>
      <c r="AE76" s="2161"/>
      <c r="AF76" s="2161"/>
      <c r="AG76" s="2161"/>
      <c r="AH76" s="2161"/>
      <c r="AI76" s="2161"/>
      <c r="AJ76" s="2161"/>
      <c r="AK76" s="2161"/>
      <c r="AL76" s="2161"/>
      <c r="AM76" s="2161"/>
      <c r="AN76" s="2161"/>
      <c r="AO76" s="2161"/>
      <c r="AP76" s="2161"/>
      <c r="AQ76" s="2161"/>
      <c r="AR76" s="2161"/>
      <c r="AS76" s="2161"/>
      <c r="AT76" s="2161"/>
      <c r="AU76" s="2161"/>
      <c r="AV76" s="2161"/>
    </row>
    <row r="77" spans="1:48" s="2162" customFormat="1" ht="24" customHeight="1" x14ac:dyDescent="0.2">
      <c r="A77" s="2199" t="s">
        <v>3768</v>
      </c>
      <c r="B77" s="2213">
        <v>11766</v>
      </c>
      <c r="C77" s="2211">
        <v>4996</v>
      </c>
      <c r="D77" s="2211">
        <v>131340</v>
      </c>
      <c r="E77" s="2217">
        <v>148102</v>
      </c>
      <c r="F77" s="2213">
        <v>1612</v>
      </c>
      <c r="G77" s="2214">
        <v>0.1</v>
      </c>
      <c r="H77" s="2215">
        <v>149714.1</v>
      </c>
      <c r="I77" s="2216">
        <v>4175.3</v>
      </c>
      <c r="J77" s="2215">
        <v>7.5715793288884772</v>
      </c>
      <c r="K77" s="2208"/>
      <c r="L77" s="2198"/>
      <c r="M77" s="2209"/>
      <c r="N77" s="2161"/>
      <c r="O77" s="2161"/>
      <c r="P77" s="2161"/>
      <c r="Q77" s="2161"/>
      <c r="R77" s="2161"/>
      <c r="S77" s="2161"/>
      <c r="T77" s="2161"/>
      <c r="U77" s="2161"/>
      <c r="V77" s="2161"/>
      <c r="W77" s="2161"/>
      <c r="X77" s="2161"/>
      <c r="Y77" s="2161"/>
      <c r="Z77" s="2161"/>
      <c r="AA77" s="2161"/>
      <c r="AB77" s="2161"/>
      <c r="AC77" s="2161"/>
      <c r="AD77" s="2161"/>
      <c r="AE77" s="2161"/>
      <c r="AF77" s="2161"/>
      <c r="AG77" s="2161"/>
      <c r="AH77" s="2161"/>
      <c r="AI77" s="2161"/>
      <c r="AJ77" s="2161"/>
      <c r="AK77" s="2161"/>
      <c r="AL77" s="2161"/>
      <c r="AM77" s="2161"/>
      <c r="AN77" s="2161"/>
      <c r="AO77" s="2161"/>
      <c r="AP77" s="2161"/>
      <c r="AQ77" s="2161"/>
      <c r="AR77" s="2161"/>
      <c r="AS77" s="2161"/>
      <c r="AT77" s="2161"/>
      <c r="AU77" s="2161"/>
      <c r="AV77" s="2161"/>
    </row>
    <row r="78" spans="1:48" s="2162" customFormat="1" ht="24" customHeight="1" x14ac:dyDescent="0.2">
      <c r="A78" s="2199" t="s">
        <v>3769</v>
      </c>
      <c r="B78" s="2213">
        <v>10932</v>
      </c>
      <c r="C78" s="2211">
        <v>4973</v>
      </c>
      <c r="D78" s="2211">
        <v>134123</v>
      </c>
      <c r="E78" s="2217">
        <v>150028</v>
      </c>
      <c r="F78" s="2213">
        <v>1599</v>
      </c>
      <c r="G78" s="2214">
        <v>0.1</v>
      </c>
      <c r="H78" s="2215">
        <v>151627.1</v>
      </c>
      <c r="I78" s="2216">
        <v>4187.3</v>
      </c>
      <c r="J78" s="2215">
        <v>7.6683266042363813</v>
      </c>
      <c r="K78" s="2208"/>
      <c r="L78" s="2198"/>
      <c r="M78" s="2209"/>
      <c r="N78" s="2161"/>
      <c r="O78" s="2161"/>
      <c r="P78" s="2161"/>
      <c r="Q78" s="2161"/>
      <c r="R78" s="2161"/>
      <c r="S78" s="2161"/>
      <c r="T78" s="2161"/>
      <c r="U78" s="2161"/>
      <c r="V78" s="2161"/>
      <c r="W78" s="2161"/>
      <c r="X78" s="2161"/>
      <c r="Y78" s="2161"/>
      <c r="Z78" s="2161"/>
      <c r="AA78" s="2161"/>
      <c r="AB78" s="2161"/>
      <c r="AC78" s="2161"/>
      <c r="AD78" s="2161"/>
      <c r="AE78" s="2161"/>
      <c r="AF78" s="2161"/>
      <c r="AG78" s="2161"/>
      <c r="AH78" s="2161"/>
      <c r="AI78" s="2161"/>
      <c r="AJ78" s="2161"/>
      <c r="AK78" s="2161"/>
      <c r="AL78" s="2161"/>
      <c r="AM78" s="2161"/>
      <c r="AN78" s="2161"/>
      <c r="AO78" s="2161"/>
      <c r="AP78" s="2161"/>
      <c r="AQ78" s="2161"/>
      <c r="AR78" s="2161"/>
      <c r="AS78" s="2161"/>
      <c r="AT78" s="2161"/>
      <c r="AU78" s="2161"/>
      <c r="AV78" s="2161"/>
    </row>
    <row r="79" spans="1:48" s="2162" customFormat="1" ht="24" customHeight="1" x14ac:dyDescent="0.2">
      <c r="A79" s="2199" t="s">
        <v>3770</v>
      </c>
      <c r="B79" s="2213">
        <v>10887</v>
      </c>
      <c r="C79" s="2211">
        <v>4978</v>
      </c>
      <c r="D79" s="2211">
        <v>135437</v>
      </c>
      <c r="E79" s="2217">
        <v>151302</v>
      </c>
      <c r="F79" s="2213">
        <v>1600</v>
      </c>
      <c r="G79" s="2214">
        <v>0.1</v>
      </c>
      <c r="H79" s="2215">
        <v>152902.1</v>
      </c>
      <c r="I79" s="2216">
        <v>4260.4524543937232</v>
      </c>
      <c r="J79" s="2215">
        <v>7.7328079299387209</v>
      </c>
      <c r="K79" s="2208"/>
      <c r="L79" s="2198"/>
      <c r="M79" s="2209"/>
      <c r="N79" s="2161"/>
      <c r="O79" s="2161"/>
      <c r="P79" s="2161"/>
      <c r="Q79" s="2161"/>
      <c r="R79" s="2161"/>
      <c r="S79" s="2161"/>
      <c r="T79" s="2161"/>
      <c r="U79" s="2161"/>
      <c r="V79" s="2161"/>
      <c r="W79" s="2161"/>
      <c r="X79" s="2161"/>
      <c r="Y79" s="2161"/>
      <c r="Z79" s="2161"/>
      <c r="AA79" s="2161"/>
      <c r="AB79" s="2161"/>
      <c r="AC79" s="2161"/>
      <c r="AD79" s="2161"/>
      <c r="AE79" s="2161"/>
      <c r="AF79" s="2161"/>
      <c r="AG79" s="2161"/>
      <c r="AH79" s="2161"/>
      <c r="AI79" s="2161"/>
      <c r="AJ79" s="2161"/>
      <c r="AK79" s="2161"/>
      <c r="AL79" s="2161"/>
      <c r="AM79" s="2161"/>
      <c r="AN79" s="2161"/>
      <c r="AO79" s="2161"/>
      <c r="AP79" s="2161"/>
      <c r="AQ79" s="2161"/>
      <c r="AR79" s="2161"/>
      <c r="AS79" s="2161"/>
      <c r="AT79" s="2161"/>
      <c r="AU79" s="2161"/>
      <c r="AV79" s="2161"/>
    </row>
    <row r="80" spans="1:48" s="2162" customFormat="1" ht="24" customHeight="1" x14ac:dyDescent="0.2">
      <c r="A80" s="2199" t="s">
        <v>3771</v>
      </c>
      <c r="B80" s="2213">
        <v>11445</v>
      </c>
      <c r="C80" s="2211">
        <v>4978</v>
      </c>
      <c r="D80" s="2211">
        <v>136942</v>
      </c>
      <c r="E80" s="2217">
        <v>153365</v>
      </c>
      <c r="F80" s="2213">
        <v>1604</v>
      </c>
      <c r="G80" s="2214">
        <v>0.1</v>
      </c>
      <c r="H80" s="2215">
        <v>154969.1</v>
      </c>
      <c r="I80" s="2216">
        <v>4303.6000000000004</v>
      </c>
      <c r="J80" s="2215">
        <v>7.8</v>
      </c>
      <c r="K80" s="2208"/>
      <c r="L80" s="2198"/>
      <c r="M80" s="2209"/>
      <c r="N80" s="2161"/>
      <c r="O80" s="2161"/>
      <c r="P80" s="2161"/>
      <c r="Q80" s="2161"/>
      <c r="R80" s="2161"/>
      <c r="S80" s="2161"/>
      <c r="T80" s="2161"/>
      <c r="U80" s="2161"/>
      <c r="V80" s="2161"/>
      <c r="W80" s="2161"/>
      <c r="X80" s="2161"/>
      <c r="Y80" s="2161"/>
      <c r="Z80" s="2161"/>
      <c r="AA80" s="2161"/>
      <c r="AB80" s="2161"/>
      <c r="AC80" s="2161"/>
      <c r="AD80" s="2161"/>
      <c r="AE80" s="2161"/>
      <c r="AF80" s="2161"/>
      <c r="AG80" s="2161"/>
      <c r="AH80" s="2161"/>
      <c r="AI80" s="2161"/>
      <c r="AJ80" s="2161"/>
      <c r="AK80" s="2161"/>
      <c r="AL80" s="2161"/>
      <c r="AM80" s="2161"/>
      <c r="AN80" s="2161"/>
      <c r="AO80" s="2161"/>
      <c r="AP80" s="2161"/>
      <c r="AQ80" s="2161"/>
      <c r="AR80" s="2161"/>
      <c r="AS80" s="2161"/>
      <c r="AT80" s="2161"/>
      <c r="AU80" s="2161"/>
      <c r="AV80" s="2161"/>
    </row>
    <row r="81" spans="1:48" s="2162" customFormat="1" ht="24" customHeight="1" x14ac:dyDescent="0.2">
      <c r="A81" s="2199" t="s">
        <v>3772</v>
      </c>
      <c r="B81" s="2213">
        <v>14002</v>
      </c>
      <c r="C81" s="2211">
        <v>4462</v>
      </c>
      <c r="D81" s="2211">
        <v>137586</v>
      </c>
      <c r="E81" s="2217">
        <v>156050</v>
      </c>
      <c r="F81" s="2213">
        <v>2095</v>
      </c>
      <c r="G81" s="2214">
        <v>0.1</v>
      </c>
      <c r="H81" s="2215">
        <v>158145.1</v>
      </c>
      <c r="I81" s="2216">
        <v>4422.6494770401032</v>
      </c>
      <c r="J81" s="2215">
        <v>7.9726329453215232</v>
      </c>
      <c r="K81" s="2208"/>
      <c r="L81" s="2198"/>
      <c r="M81" s="2209"/>
      <c r="N81" s="2161"/>
      <c r="O81" s="2161"/>
      <c r="P81" s="2161"/>
      <c r="Q81" s="2161"/>
      <c r="R81" s="2161"/>
      <c r="S81" s="2161"/>
      <c r="T81" s="2161"/>
      <c r="U81" s="2161"/>
      <c r="V81" s="2161"/>
      <c r="W81" s="2161"/>
      <c r="X81" s="2161"/>
      <c r="Y81" s="2161"/>
      <c r="Z81" s="2161"/>
      <c r="AA81" s="2161"/>
      <c r="AB81" s="2161"/>
      <c r="AC81" s="2161"/>
      <c r="AD81" s="2161"/>
      <c r="AE81" s="2161"/>
      <c r="AF81" s="2161"/>
      <c r="AG81" s="2161"/>
      <c r="AH81" s="2161"/>
      <c r="AI81" s="2161"/>
      <c r="AJ81" s="2161"/>
      <c r="AK81" s="2161"/>
      <c r="AL81" s="2161"/>
      <c r="AM81" s="2161"/>
      <c r="AN81" s="2161"/>
      <c r="AO81" s="2161"/>
      <c r="AP81" s="2161"/>
      <c r="AQ81" s="2161"/>
      <c r="AR81" s="2161"/>
      <c r="AS81" s="2161"/>
      <c r="AT81" s="2161"/>
      <c r="AU81" s="2161"/>
      <c r="AV81" s="2161"/>
    </row>
    <row r="82" spans="1:48" s="2162" customFormat="1" ht="24" customHeight="1" x14ac:dyDescent="0.2">
      <c r="A82" s="2199" t="s">
        <v>1441</v>
      </c>
      <c r="B82" s="2213">
        <v>13829</v>
      </c>
      <c r="C82" s="2211">
        <v>4473</v>
      </c>
      <c r="D82" s="2211">
        <v>138758</v>
      </c>
      <c r="E82" s="2217">
        <v>157060</v>
      </c>
      <c r="F82" s="2213">
        <v>2115</v>
      </c>
      <c r="G82" s="2214">
        <v>0.1</v>
      </c>
      <c r="H82" s="2215">
        <v>159175.1</v>
      </c>
      <c r="I82" s="2216">
        <v>4497.7931369667922</v>
      </c>
      <c r="J82" s="2215">
        <v>8.0500560523942397</v>
      </c>
      <c r="K82" s="2208"/>
      <c r="L82" s="2198"/>
      <c r="M82" s="2209"/>
      <c r="N82" s="2161"/>
      <c r="O82" s="2161"/>
      <c r="P82" s="2161"/>
      <c r="Q82" s="2161"/>
      <c r="R82" s="2161"/>
      <c r="S82" s="2161"/>
      <c r="T82" s="2161"/>
      <c r="U82" s="2161"/>
      <c r="V82" s="2161"/>
      <c r="W82" s="2161"/>
      <c r="X82" s="2161"/>
      <c r="Y82" s="2161"/>
      <c r="Z82" s="2161"/>
      <c r="AA82" s="2161"/>
      <c r="AB82" s="2161"/>
      <c r="AC82" s="2161"/>
      <c r="AD82" s="2161"/>
      <c r="AE82" s="2161"/>
      <c r="AF82" s="2161"/>
      <c r="AG82" s="2161"/>
      <c r="AH82" s="2161"/>
      <c r="AI82" s="2161"/>
      <c r="AJ82" s="2161"/>
      <c r="AK82" s="2161"/>
      <c r="AL82" s="2161"/>
      <c r="AM82" s="2161"/>
      <c r="AN82" s="2161"/>
      <c r="AO82" s="2161"/>
      <c r="AP82" s="2161"/>
      <c r="AQ82" s="2161"/>
      <c r="AR82" s="2161"/>
      <c r="AS82" s="2161"/>
      <c r="AT82" s="2161"/>
      <c r="AU82" s="2161"/>
      <c r="AV82" s="2161"/>
    </row>
    <row r="83" spans="1:48" s="2162" customFormat="1" ht="24" customHeight="1" x14ac:dyDescent="0.2">
      <c r="A83" s="2199" t="s">
        <v>3773</v>
      </c>
      <c r="B83" s="2213">
        <v>14168</v>
      </c>
      <c r="C83" s="2211">
        <v>4444</v>
      </c>
      <c r="D83" s="2211">
        <v>137793</v>
      </c>
      <c r="E83" s="2217">
        <v>156405</v>
      </c>
      <c r="F83" s="2213">
        <v>2046</v>
      </c>
      <c r="G83" s="2214">
        <v>0.2</v>
      </c>
      <c r="H83" s="2215">
        <v>158451.20000000001</v>
      </c>
      <c r="I83" s="2216">
        <v>4529</v>
      </c>
      <c r="J83" s="2215">
        <v>8.0163790996215418</v>
      </c>
      <c r="K83" s="2208"/>
      <c r="L83" s="2198"/>
      <c r="M83" s="2209"/>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1"/>
      <c r="AI83" s="2161"/>
      <c r="AJ83" s="2161"/>
      <c r="AK83" s="2161"/>
      <c r="AL83" s="2161"/>
      <c r="AM83" s="2161"/>
      <c r="AN83" s="2161"/>
      <c r="AO83" s="2161"/>
      <c r="AP83" s="2161"/>
      <c r="AQ83" s="2161"/>
      <c r="AR83" s="2161"/>
      <c r="AS83" s="2161"/>
      <c r="AT83" s="2161"/>
      <c r="AU83" s="2161"/>
      <c r="AV83" s="2161"/>
    </row>
    <row r="84" spans="1:48" s="2162" customFormat="1" ht="24" customHeight="1" thickBot="1" x14ac:dyDescent="0.25">
      <c r="A84" s="2218" t="s">
        <v>3774</v>
      </c>
      <c r="B84" s="2219">
        <v>13626</v>
      </c>
      <c r="C84" s="2220">
        <v>4475</v>
      </c>
      <c r="D84" s="2220">
        <v>141540</v>
      </c>
      <c r="E84" s="2221">
        <v>159641</v>
      </c>
      <c r="F84" s="2219">
        <v>2050</v>
      </c>
      <c r="G84" s="2222">
        <v>0.1</v>
      </c>
      <c r="H84" s="2223">
        <v>161691.1</v>
      </c>
      <c r="I84" s="2224">
        <v>4565.1000000000004</v>
      </c>
      <c r="J84" s="2223">
        <v>8.1999999999999993</v>
      </c>
      <c r="K84" s="2208"/>
      <c r="L84" s="2198"/>
      <c r="M84" s="2209"/>
      <c r="N84" s="2161"/>
      <c r="O84" s="2161"/>
      <c r="P84" s="2161"/>
      <c r="Q84" s="2161"/>
      <c r="R84" s="2161"/>
      <c r="S84" s="2161"/>
      <c r="T84" s="2161"/>
      <c r="U84" s="2161"/>
      <c r="V84" s="2161"/>
      <c r="W84" s="2161"/>
      <c r="X84" s="2161"/>
      <c r="Y84" s="2161"/>
      <c r="Z84" s="2161"/>
      <c r="AA84" s="2161"/>
      <c r="AB84" s="2161"/>
      <c r="AC84" s="2161"/>
      <c r="AD84" s="2161"/>
      <c r="AE84" s="2161"/>
      <c r="AF84" s="2161"/>
      <c r="AG84" s="2161"/>
      <c r="AH84" s="2161"/>
      <c r="AI84" s="2161"/>
      <c r="AJ84" s="2161"/>
      <c r="AK84" s="2161"/>
      <c r="AL84" s="2161"/>
      <c r="AM84" s="2161"/>
      <c r="AN84" s="2161"/>
      <c r="AO84" s="2161"/>
      <c r="AP84" s="2161"/>
      <c r="AQ84" s="2161"/>
      <c r="AR84" s="2161"/>
      <c r="AS84" s="2161"/>
      <c r="AT84" s="2161"/>
      <c r="AU84" s="2161"/>
      <c r="AV84" s="2161"/>
    </row>
    <row r="85" spans="1:48" s="1207" customFormat="1" ht="18.75" customHeight="1" thickTop="1" x14ac:dyDescent="0.25">
      <c r="A85" s="2225" t="s">
        <v>3775</v>
      </c>
      <c r="B85" s="2226"/>
      <c r="C85" s="2226"/>
      <c r="D85" s="2226"/>
      <c r="E85" s="2227"/>
      <c r="F85" s="2226"/>
      <c r="G85" s="2226"/>
      <c r="H85" s="2226"/>
      <c r="I85" s="2226"/>
      <c r="J85" s="2226"/>
    </row>
    <row r="86" spans="1:48" s="2159" customFormat="1" ht="18.75" customHeight="1" x14ac:dyDescent="0.25">
      <c r="A86" s="2228" t="s">
        <v>3776</v>
      </c>
      <c r="B86" s="3418"/>
      <c r="C86" s="3419"/>
      <c r="D86" s="2227"/>
      <c r="E86" s="2227"/>
      <c r="F86" s="2227"/>
      <c r="G86" s="2229"/>
      <c r="H86" s="2226"/>
      <c r="I86" s="2226"/>
      <c r="J86" s="2226"/>
    </row>
    <row r="87" spans="1:48" s="2159" customFormat="1" ht="18.75" customHeight="1" x14ac:dyDescent="0.2">
      <c r="A87" s="2225" t="s">
        <v>3777</v>
      </c>
    </row>
    <row r="88" spans="1:48" s="2159" customFormat="1" ht="18.75" customHeight="1" x14ac:dyDescent="0.2">
      <c r="A88" s="2225" t="s">
        <v>179</v>
      </c>
    </row>
    <row r="89" spans="1:48" s="2159" customFormat="1" x14ac:dyDescent="0.2"/>
    <row r="90" spans="1:48" s="2159" customFormat="1" x14ac:dyDescent="0.2"/>
    <row r="91" spans="1:48" s="2159" customFormat="1" x14ac:dyDescent="0.2"/>
    <row r="92" spans="1:48" s="2159" customFormat="1" x14ac:dyDescent="0.2"/>
    <row r="93" spans="1:48" s="2159" customFormat="1" x14ac:dyDescent="0.2"/>
    <row r="94" spans="1:48" s="2159" customFormat="1" x14ac:dyDescent="0.2"/>
    <row r="95" spans="1:48" s="2159" customFormat="1" x14ac:dyDescent="0.2"/>
    <row r="96" spans="1:48" s="2159" customFormat="1" x14ac:dyDescent="0.2"/>
    <row r="97" s="2159" customFormat="1" x14ac:dyDescent="0.2"/>
    <row r="98" s="2159" customFormat="1" x14ac:dyDescent="0.2"/>
    <row r="99" s="2159" customFormat="1" x14ac:dyDescent="0.2"/>
    <row r="100" s="2159" customFormat="1" x14ac:dyDescent="0.2"/>
    <row r="101" s="2159" customFormat="1" x14ac:dyDescent="0.2"/>
    <row r="102" s="2159" customFormat="1" x14ac:dyDescent="0.2"/>
    <row r="103" s="2159" customFormat="1" x14ac:dyDescent="0.2"/>
    <row r="104" s="2159" customFormat="1" x14ac:dyDescent="0.2"/>
    <row r="105" s="2159" customFormat="1" x14ac:dyDescent="0.2"/>
    <row r="106" s="2159" customFormat="1" x14ac:dyDescent="0.2"/>
    <row r="107" s="2159" customFormat="1" x14ac:dyDescent="0.2"/>
    <row r="108" s="2159" customFormat="1" x14ac:dyDescent="0.2"/>
    <row r="109" s="2159" customFormat="1" x14ac:dyDescent="0.2"/>
    <row r="110" s="2159" customFormat="1" x14ac:dyDescent="0.2"/>
    <row r="111" s="2159" customFormat="1" x14ac:dyDescent="0.2"/>
    <row r="112" s="2159" customFormat="1" x14ac:dyDescent="0.2"/>
    <row r="113" s="2159" customFormat="1" x14ac:dyDescent="0.2"/>
    <row r="114" s="2159" customFormat="1" x14ac:dyDescent="0.2"/>
    <row r="115" s="2159" customFormat="1" x14ac:dyDescent="0.2"/>
    <row r="116" s="2159" customFormat="1" x14ac:dyDescent="0.2"/>
    <row r="117" s="2159" customFormat="1" x14ac:dyDescent="0.2"/>
    <row r="118" s="2159" customFormat="1" x14ac:dyDescent="0.2"/>
    <row r="119" s="2159" customFormat="1" x14ac:dyDescent="0.2"/>
    <row r="120" s="2159" customFormat="1" x14ac:dyDescent="0.2"/>
    <row r="121" s="2159" customFormat="1" x14ac:dyDescent="0.2"/>
    <row r="122" s="2159" customFormat="1" x14ac:dyDescent="0.2"/>
    <row r="123" s="2159" customFormat="1" x14ac:dyDescent="0.2"/>
    <row r="124" s="2159" customFormat="1" x14ac:dyDescent="0.2"/>
    <row r="125" s="2159" customFormat="1" x14ac:dyDescent="0.2"/>
    <row r="126" s="2159" customFormat="1" x14ac:dyDescent="0.2"/>
    <row r="127" s="2159" customFormat="1" x14ac:dyDescent="0.2"/>
    <row r="128" s="2159" customFormat="1" x14ac:dyDescent="0.2"/>
    <row r="129" s="2159" customFormat="1" x14ac:dyDescent="0.2"/>
    <row r="130" s="2159" customFormat="1" x14ac:dyDescent="0.2"/>
    <row r="131" s="2159" customFormat="1" x14ac:dyDescent="0.2"/>
    <row r="132" s="2159" customFormat="1" x14ac:dyDescent="0.2"/>
    <row r="133" s="2159" customFormat="1" x14ac:dyDescent="0.2"/>
    <row r="134" s="2159" customFormat="1" x14ac:dyDescent="0.2"/>
    <row r="135" s="2159" customFormat="1" x14ac:dyDescent="0.2"/>
    <row r="136" s="2159" customFormat="1" x14ac:dyDescent="0.2"/>
    <row r="137" s="2159" customFormat="1" x14ac:dyDescent="0.2"/>
    <row r="138" s="2159" customFormat="1" x14ac:dyDescent="0.2"/>
    <row r="139" s="2159" customFormat="1" x14ac:dyDescent="0.2"/>
    <row r="140" s="2159" customFormat="1" x14ac:dyDescent="0.2"/>
    <row r="141" s="2159" customFormat="1" x14ac:dyDescent="0.2"/>
    <row r="142" s="2159" customFormat="1" x14ac:dyDescent="0.2"/>
    <row r="143" s="2159" customFormat="1" x14ac:dyDescent="0.2"/>
    <row r="144" s="2159" customFormat="1" x14ac:dyDescent="0.2"/>
    <row r="145" s="2159" customFormat="1" x14ac:dyDescent="0.2"/>
    <row r="146" s="2159" customFormat="1" x14ac:dyDescent="0.2"/>
    <row r="147" s="2159" customFormat="1" x14ac:dyDescent="0.2"/>
    <row r="148" s="2159" customFormat="1" x14ac:dyDescent="0.2"/>
    <row r="149" s="2159" customFormat="1" x14ac:dyDescent="0.2"/>
    <row r="150" s="2159" customFormat="1" x14ac:dyDescent="0.2"/>
    <row r="151" s="2159" customFormat="1" x14ac:dyDescent="0.2"/>
    <row r="152" s="2159" customFormat="1" x14ac:dyDescent="0.2"/>
    <row r="153" s="2159" customFormat="1" x14ac:dyDescent="0.2"/>
    <row r="154" s="2159" customFormat="1" x14ac:dyDescent="0.2"/>
    <row r="155" s="2159" customFormat="1" x14ac:dyDescent="0.2"/>
    <row r="156" s="2159" customFormat="1" x14ac:dyDescent="0.2"/>
    <row r="157" s="2159" customFormat="1" x14ac:dyDescent="0.2"/>
    <row r="158" s="2159" customFormat="1" x14ac:dyDescent="0.2"/>
    <row r="159" s="2159" customFormat="1" x14ac:dyDescent="0.2"/>
    <row r="160" s="2159" customFormat="1" x14ac:dyDescent="0.2"/>
    <row r="161" s="2159" customFormat="1" x14ac:dyDescent="0.2"/>
    <row r="162" s="2159" customFormat="1" x14ac:dyDescent="0.2"/>
    <row r="163" s="2159" customFormat="1" x14ac:dyDescent="0.2"/>
    <row r="164" s="2159" customFormat="1" x14ac:dyDescent="0.2"/>
    <row r="165" s="2159" customFormat="1" x14ac:dyDescent="0.2"/>
    <row r="166" s="2159" customFormat="1" x14ac:dyDescent="0.2"/>
    <row r="167" s="2159" customFormat="1" x14ac:dyDescent="0.2"/>
    <row r="168" s="2159" customFormat="1" x14ac:dyDescent="0.2"/>
    <row r="169" s="2159" customFormat="1" x14ac:dyDescent="0.2"/>
    <row r="170" s="2159" customFormat="1" x14ac:dyDescent="0.2"/>
    <row r="171" s="2159" customFormat="1" x14ac:dyDescent="0.2"/>
    <row r="172" s="2159" customFormat="1" x14ac:dyDescent="0.2"/>
    <row r="173" s="2159" customFormat="1" x14ac:dyDescent="0.2"/>
    <row r="174" s="2159" customFormat="1" x14ac:dyDescent="0.2"/>
    <row r="175" s="2159" customFormat="1" x14ac:dyDescent="0.2"/>
    <row r="176" s="2159" customFormat="1" x14ac:dyDescent="0.2"/>
    <row r="177" s="2159" customFormat="1" x14ac:dyDescent="0.2"/>
    <row r="178" s="2159" customFormat="1" x14ac:dyDescent="0.2"/>
    <row r="179" s="2159" customFormat="1" x14ac:dyDescent="0.2"/>
    <row r="180" s="2159" customFormat="1" x14ac:dyDescent="0.2"/>
    <row r="181" s="2159" customFormat="1" x14ac:dyDescent="0.2"/>
    <row r="182" s="2159" customFormat="1" x14ac:dyDescent="0.2"/>
    <row r="183" s="2159" customFormat="1" x14ac:dyDescent="0.2"/>
    <row r="184" s="2159" customFormat="1" x14ac:dyDescent="0.2"/>
    <row r="185" s="2159" customFormat="1" x14ac:dyDescent="0.2"/>
    <row r="186" s="2159" customFormat="1" x14ac:dyDescent="0.2"/>
    <row r="187" s="2159" customFormat="1" x14ac:dyDescent="0.2"/>
    <row r="188" s="2159" customFormat="1" x14ac:dyDescent="0.2"/>
    <row r="189" s="2159" customFormat="1" x14ac:dyDescent="0.2"/>
    <row r="190" s="2159" customFormat="1" x14ac:dyDescent="0.2"/>
    <row r="191" s="2159" customFormat="1" x14ac:dyDescent="0.2"/>
    <row r="192" s="2159" customFormat="1" x14ac:dyDescent="0.2"/>
    <row r="193" s="2159" customFormat="1" x14ac:dyDescent="0.2"/>
    <row r="194" s="2159" customFormat="1" x14ac:dyDescent="0.2"/>
    <row r="195" s="2159" customFormat="1" x14ac:dyDescent="0.2"/>
    <row r="196" s="2159" customFormat="1" x14ac:dyDescent="0.2"/>
    <row r="197" s="2159" customFormat="1" x14ac:dyDescent="0.2"/>
    <row r="198" s="2159" customFormat="1" x14ac:dyDescent="0.2"/>
    <row r="199" s="2159" customFormat="1" x14ac:dyDescent="0.2"/>
    <row r="200" s="2159" customFormat="1" x14ac:dyDescent="0.2"/>
    <row r="201" s="2159" customFormat="1" x14ac:dyDescent="0.2"/>
    <row r="202" s="2159" customFormat="1" x14ac:dyDescent="0.2"/>
    <row r="203" s="2159" customFormat="1" x14ac:dyDescent="0.2"/>
    <row r="204" s="2159" customFormat="1" x14ac:dyDescent="0.2"/>
    <row r="205" s="2159" customFormat="1" x14ac:dyDescent="0.2"/>
    <row r="206" s="2159" customFormat="1" x14ac:dyDescent="0.2"/>
    <row r="207" s="2159" customFormat="1" x14ac:dyDescent="0.2"/>
    <row r="208" s="2159" customFormat="1" x14ac:dyDescent="0.2"/>
    <row r="209" s="2159" customFormat="1" x14ac:dyDescent="0.2"/>
    <row r="210" s="2159" customFormat="1" x14ac:dyDescent="0.2"/>
    <row r="211" s="2159" customFormat="1" x14ac:dyDescent="0.2"/>
    <row r="212" s="2159" customFormat="1" x14ac:dyDescent="0.2"/>
    <row r="213" s="2159" customFormat="1" x14ac:dyDescent="0.2"/>
    <row r="214" s="2159" customFormat="1" x14ac:dyDescent="0.2"/>
    <row r="215" s="2159" customFormat="1" x14ac:dyDescent="0.2"/>
    <row r="216" s="2159" customFormat="1" x14ac:dyDescent="0.2"/>
    <row r="217" s="2159" customFormat="1" x14ac:dyDescent="0.2"/>
    <row r="218" s="2159" customFormat="1" x14ac:dyDescent="0.2"/>
    <row r="219" s="2159" customFormat="1" x14ac:dyDescent="0.2"/>
    <row r="220" s="2159" customFormat="1" x14ac:dyDescent="0.2"/>
    <row r="221" s="2159" customFormat="1" x14ac:dyDescent="0.2"/>
    <row r="222" s="2159" customFormat="1" x14ac:dyDescent="0.2"/>
    <row r="223" s="2159" customFormat="1" x14ac:dyDescent="0.2"/>
    <row r="224" s="2159" customFormat="1" x14ac:dyDescent="0.2"/>
    <row r="225" s="2159" customFormat="1" x14ac:dyDescent="0.2"/>
    <row r="226" s="2159" customFormat="1" x14ac:dyDescent="0.2"/>
    <row r="227" s="2159" customFormat="1" x14ac:dyDescent="0.2"/>
    <row r="228" s="2159" customFormat="1" x14ac:dyDescent="0.2"/>
    <row r="229" s="2159" customFormat="1" x14ac:dyDescent="0.2"/>
    <row r="230" s="2159" customFormat="1" x14ac:dyDescent="0.2"/>
    <row r="231" s="2159" customFormat="1" x14ac:dyDescent="0.2"/>
    <row r="232" s="2159" customFormat="1" x14ac:dyDescent="0.2"/>
    <row r="233" s="2159" customFormat="1" x14ac:dyDescent="0.2"/>
    <row r="234" s="2159" customFormat="1" x14ac:dyDescent="0.2"/>
    <row r="235" s="2159" customFormat="1" x14ac:dyDescent="0.2"/>
    <row r="236" s="2159" customFormat="1" x14ac:dyDescent="0.2"/>
    <row r="237" s="2159" customFormat="1" x14ac:dyDescent="0.2"/>
    <row r="238" s="2159" customFormat="1" x14ac:dyDescent="0.2"/>
    <row r="239" s="2159" customFormat="1" x14ac:dyDescent="0.2"/>
    <row r="240" s="2159" customFormat="1" x14ac:dyDescent="0.2"/>
    <row r="241" s="2159" customFormat="1" x14ac:dyDescent="0.2"/>
    <row r="242" s="2159" customFormat="1" x14ac:dyDescent="0.2"/>
    <row r="243" s="2159" customFormat="1" x14ac:dyDescent="0.2"/>
    <row r="244" s="2159" customFormat="1" x14ac:dyDescent="0.2"/>
    <row r="245" s="2159" customFormat="1" x14ac:dyDescent="0.2"/>
    <row r="246" s="2159" customFormat="1" x14ac:dyDescent="0.2"/>
    <row r="247" s="2159" customFormat="1" x14ac:dyDescent="0.2"/>
    <row r="248" s="2159" customFormat="1" x14ac:dyDescent="0.2"/>
    <row r="249" s="2159" customFormat="1" x14ac:dyDescent="0.2"/>
    <row r="250" s="2159" customFormat="1" x14ac:dyDescent="0.2"/>
    <row r="251" s="2159" customFormat="1" x14ac:dyDescent="0.2"/>
  </sheetData>
  <mergeCells count="10">
    <mergeCell ref="B86:C86"/>
    <mergeCell ref="B3:E3"/>
    <mergeCell ref="F3:F6"/>
    <mergeCell ref="G3:G6"/>
    <mergeCell ref="H3:H6"/>
    <mergeCell ref="I3:I6"/>
    <mergeCell ref="J3:J6"/>
    <mergeCell ref="B4:E4"/>
    <mergeCell ref="B5:E5"/>
    <mergeCell ref="B7:H7"/>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178"/>
  <sheetViews>
    <sheetView topLeftCell="A13" zoomScale="110" zoomScaleNormal="110" workbookViewId="0">
      <selection activeCell="J15" sqref="J15"/>
    </sheetView>
  </sheetViews>
  <sheetFormatPr defaultRowHeight="15" x14ac:dyDescent="0.2"/>
  <cols>
    <col min="1" max="1" width="16" style="2288" customWidth="1"/>
    <col min="2" max="2" width="12.7109375" style="2236" customWidth="1"/>
    <col min="3" max="3" width="11.85546875" style="2236" customWidth="1"/>
    <col min="4" max="4" width="10.42578125" style="2236" customWidth="1"/>
    <col min="5" max="5" width="10.28515625" style="2236" customWidth="1"/>
    <col min="6" max="6" width="8.28515625" style="2236" customWidth="1"/>
    <col min="7" max="7" width="9.85546875" style="2236" customWidth="1"/>
    <col min="8" max="8" width="8.7109375" style="2236" customWidth="1"/>
    <col min="9" max="9" width="9.7109375" style="2236" customWidth="1"/>
    <col min="10" max="10" width="12.85546875" style="2236" customWidth="1"/>
    <col min="11" max="11" width="9.85546875" style="2236" customWidth="1"/>
    <col min="12" max="12" width="10.7109375" style="2236" customWidth="1"/>
    <col min="13" max="13" width="9.85546875" style="2236" bestFit="1" customWidth="1"/>
    <col min="14" max="256" width="9.140625" style="2236"/>
    <col min="257" max="257" width="16.5703125" style="2236" customWidth="1"/>
    <col min="258" max="258" width="10.42578125" style="2236" customWidth="1"/>
    <col min="259" max="259" width="11.85546875" style="2236" customWidth="1"/>
    <col min="260" max="260" width="10.42578125" style="2236" customWidth="1"/>
    <col min="261" max="261" width="10.28515625" style="2236" customWidth="1"/>
    <col min="262" max="262" width="8.28515625" style="2236" customWidth="1"/>
    <col min="263" max="263" width="11" style="2236" customWidth="1"/>
    <col min="264" max="264" width="8.7109375" style="2236" customWidth="1"/>
    <col min="265" max="265" width="9.7109375" style="2236" customWidth="1"/>
    <col min="266" max="266" width="12.85546875" style="2236" customWidth="1"/>
    <col min="267" max="267" width="9.85546875" style="2236" customWidth="1"/>
    <col min="268" max="268" width="8.7109375" style="2236" customWidth="1"/>
    <col min="269" max="512" width="9.140625" style="2236"/>
    <col min="513" max="513" width="16.5703125" style="2236" customWidth="1"/>
    <col min="514" max="514" width="10.42578125" style="2236" customWidth="1"/>
    <col min="515" max="515" width="11.85546875" style="2236" customWidth="1"/>
    <col min="516" max="516" width="10.42578125" style="2236" customWidth="1"/>
    <col min="517" max="517" width="10.28515625" style="2236" customWidth="1"/>
    <col min="518" max="518" width="8.28515625" style="2236" customWidth="1"/>
    <col min="519" max="519" width="11" style="2236" customWidth="1"/>
    <col min="520" max="520" width="8.7109375" style="2236" customWidth="1"/>
    <col min="521" max="521" width="9.7109375" style="2236" customWidth="1"/>
    <col min="522" max="522" width="12.85546875" style="2236" customWidth="1"/>
    <col min="523" max="523" width="9.85546875" style="2236" customWidth="1"/>
    <col min="524" max="524" width="8.7109375" style="2236" customWidth="1"/>
    <col min="525" max="768" width="9.140625" style="2236"/>
    <col min="769" max="769" width="16.5703125" style="2236" customWidth="1"/>
    <col min="770" max="770" width="10.42578125" style="2236" customWidth="1"/>
    <col min="771" max="771" width="11.85546875" style="2236" customWidth="1"/>
    <col min="772" max="772" width="10.42578125" style="2236" customWidth="1"/>
    <col min="773" max="773" width="10.28515625" style="2236" customWidth="1"/>
    <col min="774" max="774" width="8.28515625" style="2236" customWidth="1"/>
    <col min="775" max="775" width="11" style="2236" customWidth="1"/>
    <col min="776" max="776" width="8.7109375" style="2236" customWidth="1"/>
    <col min="777" max="777" width="9.7109375" style="2236" customWidth="1"/>
    <col min="778" max="778" width="12.85546875" style="2236" customWidth="1"/>
    <col min="779" max="779" width="9.85546875" style="2236" customWidth="1"/>
    <col min="780" max="780" width="8.7109375" style="2236" customWidth="1"/>
    <col min="781" max="1024" width="9.140625" style="2236"/>
    <col min="1025" max="1025" width="16.5703125" style="2236" customWidth="1"/>
    <col min="1026" max="1026" width="10.42578125" style="2236" customWidth="1"/>
    <col min="1027" max="1027" width="11.85546875" style="2236" customWidth="1"/>
    <col min="1028" max="1028" width="10.42578125" style="2236" customWidth="1"/>
    <col min="1029" max="1029" width="10.28515625" style="2236" customWidth="1"/>
    <col min="1030" max="1030" width="8.28515625" style="2236" customWidth="1"/>
    <col min="1031" max="1031" width="11" style="2236" customWidth="1"/>
    <col min="1032" max="1032" width="8.7109375" style="2236" customWidth="1"/>
    <col min="1033" max="1033" width="9.7109375" style="2236" customWidth="1"/>
    <col min="1034" max="1034" width="12.85546875" style="2236" customWidth="1"/>
    <col min="1035" max="1035" width="9.85546875" style="2236" customWidth="1"/>
    <col min="1036" max="1036" width="8.7109375" style="2236" customWidth="1"/>
    <col min="1037" max="1280" width="9.140625" style="2236"/>
    <col min="1281" max="1281" width="16.5703125" style="2236" customWidth="1"/>
    <col min="1282" max="1282" width="10.42578125" style="2236" customWidth="1"/>
    <col min="1283" max="1283" width="11.85546875" style="2236" customWidth="1"/>
    <col min="1284" max="1284" width="10.42578125" style="2236" customWidth="1"/>
    <col min="1285" max="1285" width="10.28515625" style="2236" customWidth="1"/>
    <col min="1286" max="1286" width="8.28515625" style="2236" customWidth="1"/>
    <col min="1287" max="1287" width="11" style="2236" customWidth="1"/>
    <col min="1288" max="1288" width="8.7109375" style="2236" customWidth="1"/>
    <col min="1289" max="1289" width="9.7109375" style="2236" customWidth="1"/>
    <col min="1290" max="1290" width="12.85546875" style="2236" customWidth="1"/>
    <col min="1291" max="1291" width="9.85546875" style="2236" customWidth="1"/>
    <col min="1292" max="1292" width="8.7109375" style="2236" customWidth="1"/>
    <col min="1293" max="1536" width="9.140625" style="2236"/>
    <col min="1537" max="1537" width="16.5703125" style="2236" customWidth="1"/>
    <col min="1538" max="1538" width="10.42578125" style="2236" customWidth="1"/>
    <col min="1539" max="1539" width="11.85546875" style="2236" customWidth="1"/>
    <col min="1540" max="1540" width="10.42578125" style="2236" customWidth="1"/>
    <col min="1541" max="1541" width="10.28515625" style="2236" customWidth="1"/>
    <col min="1542" max="1542" width="8.28515625" style="2236" customWidth="1"/>
    <col min="1543" max="1543" width="11" style="2236" customWidth="1"/>
    <col min="1544" max="1544" width="8.7109375" style="2236" customWidth="1"/>
    <col min="1545" max="1545" width="9.7109375" style="2236" customWidth="1"/>
    <col min="1546" max="1546" width="12.85546875" style="2236" customWidth="1"/>
    <col min="1547" max="1547" width="9.85546875" style="2236" customWidth="1"/>
    <col min="1548" max="1548" width="8.7109375" style="2236" customWidth="1"/>
    <col min="1549" max="1792" width="9.140625" style="2236"/>
    <col min="1793" max="1793" width="16.5703125" style="2236" customWidth="1"/>
    <col min="1794" max="1794" width="10.42578125" style="2236" customWidth="1"/>
    <col min="1795" max="1795" width="11.85546875" style="2236" customWidth="1"/>
    <col min="1796" max="1796" width="10.42578125" style="2236" customWidth="1"/>
    <col min="1797" max="1797" width="10.28515625" style="2236" customWidth="1"/>
    <col min="1798" max="1798" width="8.28515625" style="2236" customWidth="1"/>
    <col min="1799" max="1799" width="11" style="2236" customWidth="1"/>
    <col min="1800" max="1800" width="8.7109375" style="2236" customWidth="1"/>
    <col min="1801" max="1801" width="9.7109375" style="2236" customWidth="1"/>
    <col min="1802" max="1802" width="12.85546875" style="2236" customWidth="1"/>
    <col min="1803" max="1803" width="9.85546875" style="2236" customWidth="1"/>
    <col min="1804" max="1804" width="8.7109375" style="2236" customWidth="1"/>
    <col min="1805" max="2048" width="9.140625" style="2236"/>
    <col min="2049" max="2049" width="16.5703125" style="2236" customWidth="1"/>
    <col min="2050" max="2050" width="10.42578125" style="2236" customWidth="1"/>
    <col min="2051" max="2051" width="11.85546875" style="2236" customWidth="1"/>
    <col min="2052" max="2052" width="10.42578125" style="2236" customWidth="1"/>
    <col min="2053" max="2053" width="10.28515625" style="2236" customWidth="1"/>
    <col min="2054" max="2054" width="8.28515625" style="2236" customWidth="1"/>
    <col min="2055" max="2055" width="11" style="2236" customWidth="1"/>
    <col min="2056" max="2056" width="8.7109375" style="2236" customWidth="1"/>
    <col min="2057" max="2057" width="9.7109375" style="2236" customWidth="1"/>
    <col min="2058" max="2058" width="12.85546875" style="2236" customWidth="1"/>
    <col min="2059" max="2059" width="9.85546875" style="2236" customWidth="1"/>
    <col min="2060" max="2060" width="8.7109375" style="2236" customWidth="1"/>
    <col min="2061" max="2304" width="9.140625" style="2236"/>
    <col min="2305" max="2305" width="16.5703125" style="2236" customWidth="1"/>
    <col min="2306" max="2306" width="10.42578125" style="2236" customWidth="1"/>
    <col min="2307" max="2307" width="11.85546875" style="2236" customWidth="1"/>
    <col min="2308" max="2308" width="10.42578125" style="2236" customWidth="1"/>
    <col min="2309" max="2309" width="10.28515625" style="2236" customWidth="1"/>
    <col min="2310" max="2310" width="8.28515625" style="2236" customWidth="1"/>
    <col min="2311" max="2311" width="11" style="2236" customWidth="1"/>
    <col min="2312" max="2312" width="8.7109375" style="2236" customWidth="1"/>
    <col min="2313" max="2313" width="9.7109375" style="2236" customWidth="1"/>
    <col min="2314" max="2314" width="12.85546875" style="2236" customWidth="1"/>
    <col min="2315" max="2315" width="9.85546875" style="2236" customWidth="1"/>
    <col min="2316" max="2316" width="8.7109375" style="2236" customWidth="1"/>
    <col min="2317" max="2560" width="9.140625" style="2236"/>
    <col min="2561" max="2561" width="16.5703125" style="2236" customWidth="1"/>
    <col min="2562" max="2562" width="10.42578125" style="2236" customWidth="1"/>
    <col min="2563" max="2563" width="11.85546875" style="2236" customWidth="1"/>
    <col min="2564" max="2564" width="10.42578125" style="2236" customWidth="1"/>
    <col min="2565" max="2565" width="10.28515625" style="2236" customWidth="1"/>
    <col min="2566" max="2566" width="8.28515625" style="2236" customWidth="1"/>
    <col min="2567" max="2567" width="11" style="2236" customWidth="1"/>
    <col min="2568" max="2568" width="8.7109375" style="2236" customWidth="1"/>
    <col min="2569" max="2569" width="9.7109375" style="2236" customWidth="1"/>
    <col min="2570" max="2570" width="12.85546875" style="2236" customWidth="1"/>
    <col min="2571" max="2571" width="9.85546875" style="2236" customWidth="1"/>
    <col min="2572" max="2572" width="8.7109375" style="2236" customWidth="1"/>
    <col min="2573" max="2816" width="9.140625" style="2236"/>
    <col min="2817" max="2817" width="16.5703125" style="2236" customWidth="1"/>
    <col min="2818" max="2818" width="10.42578125" style="2236" customWidth="1"/>
    <col min="2819" max="2819" width="11.85546875" style="2236" customWidth="1"/>
    <col min="2820" max="2820" width="10.42578125" style="2236" customWidth="1"/>
    <col min="2821" max="2821" width="10.28515625" style="2236" customWidth="1"/>
    <col min="2822" max="2822" width="8.28515625" style="2236" customWidth="1"/>
    <col min="2823" max="2823" width="11" style="2236" customWidth="1"/>
    <col min="2824" max="2824" width="8.7109375" style="2236" customWidth="1"/>
    <col min="2825" max="2825" width="9.7109375" style="2236" customWidth="1"/>
    <col min="2826" max="2826" width="12.85546875" style="2236" customWidth="1"/>
    <col min="2827" max="2827" width="9.85546875" style="2236" customWidth="1"/>
    <col min="2828" max="2828" width="8.7109375" style="2236" customWidth="1"/>
    <col min="2829" max="3072" width="9.140625" style="2236"/>
    <col min="3073" max="3073" width="16.5703125" style="2236" customWidth="1"/>
    <col min="3074" max="3074" width="10.42578125" style="2236" customWidth="1"/>
    <col min="3075" max="3075" width="11.85546875" style="2236" customWidth="1"/>
    <col min="3076" max="3076" width="10.42578125" style="2236" customWidth="1"/>
    <col min="3077" max="3077" width="10.28515625" style="2236" customWidth="1"/>
    <col min="3078" max="3078" width="8.28515625" style="2236" customWidth="1"/>
    <col min="3079" max="3079" width="11" style="2236" customWidth="1"/>
    <col min="3080" max="3080" width="8.7109375" style="2236" customWidth="1"/>
    <col min="3081" max="3081" width="9.7109375" style="2236" customWidth="1"/>
    <col min="3082" max="3082" width="12.85546875" style="2236" customWidth="1"/>
    <col min="3083" max="3083" width="9.85546875" style="2236" customWidth="1"/>
    <col min="3084" max="3084" width="8.7109375" style="2236" customWidth="1"/>
    <col min="3085" max="3328" width="9.140625" style="2236"/>
    <col min="3329" max="3329" width="16.5703125" style="2236" customWidth="1"/>
    <col min="3330" max="3330" width="10.42578125" style="2236" customWidth="1"/>
    <col min="3331" max="3331" width="11.85546875" style="2236" customWidth="1"/>
    <col min="3332" max="3332" width="10.42578125" style="2236" customWidth="1"/>
    <col min="3333" max="3333" width="10.28515625" style="2236" customWidth="1"/>
    <col min="3334" max="3334" width="8.28515625" style="2236" customWidth="1"/>
    <col min="3335" max="3335" width="11" style="2236" customWidth="1"/>
    <col min="3336" max="3336" width="8.7109375" style="2236" customWidth="1"/>
    <col min="3337" max="3337" width="9.7109375" style="2236" customWidth="1"/>
    <col min="3338" max="3338" width="12.85546875" style="2236" customWidth="1"/>
    <col min="3339" max="3339" width="9.85546875" style="2236" customWidth="1"/>
    <col min="3340" max="3340" width="8.7109375" style="2236" customWidth="1"/>
    <col min="3341" max="3584" width="9.140625" style="2236"/>
    <col min="3585" max="3585" width="16.5703125" style="2236" customWidth="1"/>
    <col min="3586" max="3586" width="10.42578125" style="2236" customWidth="1"/>
    <col min="3587" max="3587" width="11.85546875" style="2236" customWidth="1"/>
    <col min="3588" max="3588" width="10.42578125" style="2236" customWidth="1"/>
    <col min="3589" max="3589" width="10.28515625" style="2236" customWidth="1"/>
    <col min="3590" max="3590" width="8.28515625" style="2236" customWidth="1"/>
    <col min="3591" max="3591" width="11" style="2236" customWidth="1"/>
    <col min="3592" max="3592" width="8.7109375" style="2236" customWidth="1"/>
    <col min="3593" max="3593" width="9.7109375" style="2236" customWidth="1"/>
    <col min="3594" max="3594" width="12.85546875" style="2236" customWidth="1"/>
    <col min="3595" max="3595" width="9.85546875" style="2236" customWidth="1"/>
    <col min="3596" max="3596" width="8.7109375" style="2236" customWidth="1"/>
    <col min="3597" max="3840" width="9.140625" style="2236"/>
    <col min="3841" max="3841" width="16.5703125" style="2236" customWidth="1"/>
    <col min="3842" max="3842" width="10.42578125" style="2236" customWidth="1"/>
    <col min="3843" max="3843" width="11.85546875" style="2236" customWidth="1"/>
    <col min="3844" max="3844" width="10.42578125" style="2236" customWidth="1"/>
    <col min="3845" max="3845" width="10.28515625" style="2236" customWidth="1"/>
    <col min="3846" max="3846" width="8.28515625" style="2236" customWidth="1"/>
    <col min="3847" max="3847" width="11" style="2236" customWidth="1"/>
    <col min="3848" max="3848" width="8.7109375" style="2236" customWidth="1"/>
    <col min="3849" max="3849" width="9.7109375" style="2236" customWidth="1"/>
    <col min="3850" max="3850" width="12.85546875" style="2236" customWidth="1"/>
    <col min="3851" max="3851" width="9.85546875" style="2236" customWidth="1"/>
    <col min="3852" max="3852" width="8.7109375" style="2236" customWidth="1"/>
    <col min="3853" max="4096" width="9.140625" style="2236"/>
    <col min="4097" max="4097" width="16.5703125" style="2236" customWidth="1"/>
    <col min="4098" max="4098" width="10.42578125" style="2236" customWidth="1"/>
    <col min="4099" max="4099" width="11.85546875" style="2236" customWidth="1"/>
    <col min="4100" max="4100" width="10.42578125" style="2236" customWidth="1"/>
    <col min="4101" max="4101" width="10.28515625" style="2236" customWidth="1"/>
    <col min="4102" max="4102" width="8.28515625" style="2236" customWidth="1"/>
    <col min="4103" max="4103" width="11" style="2236" customWidth="1"/>
    <col min="4104" max="4104" width="8.7109375" style="2236" customWidth="1"/>
    <col min="4105" max="4105" width="9.7109375" style="2236" customWidth="1"/>
    <col min="4106" max="4106" width="12.85546875" style="2236" customWidth="1"/>
    <col min="4107" max="4107" width="9.85546875" style="2236" customWidth="1"/>
    <col min="4108" max="4108" width="8.7109375" style="2236" customWidth="1"/>
    <col min="4109" max="4352" width="9.140625" style="2236"/>
    <col min="4353" max="4353" width="16.5703125" style="2236" customWidth="1"/>
    <col min="4354" max="4354" width="10.42578125" style="2236" customWidth="1"/>
    <col min="4355" max="4355" width="11.85546875" style="2236" customWidth="1"/>
    <col min="4356" max="4356" width="10.42578125" style="2236" customWidth="1"/>
    <col min="4357" max="4357" width="10.28515625" style="2236" customWidth="1"/>
    <col min="4358" max="4358" width="8.28515625" style="2236" customWidth="1"/>
    <col min="4359" max="4359" width="11" style="2236" customWidth="1"/>
    <col min="4360" max="4360" width="8.7109375" style="2236" customWidth="1"/>
    <col min="4361" max="4361" width="9.7109375" style="2236" customWidth="1"/>
    <col min="4362" max="4362" width="12.85546875" style="2236" customWidth="1"/>
    <col min="4363" max="4363" width="9.85546875" style="2236" customWidth="1"/>
    <col min="4364" max="4364" width="8.7109375" style="2236" customWidth="1"/>
    <col min="4365" max="4608" width="9.140625" style="2236"/>
    <col min="4609" max="4609" width="16.5703125" style="2236" customWidth="1"/>
    <col min="4610" max="4610" width="10.42578125" style="2236" customWidth="1"/>
    <col min="4611" max="4611" width="11.85546875" style="2236" customWidth="1"/>
    <col min="4612" max="4612" width="10.42578125" style="2236" customWidth="1"/>
    <col min="4613" max="4613" width="10.28515625" style="2236" customWidth="1"/>
    <col min="4614" max="4614" width="8.28515625" style="2236" customWidth="1"/>
    <col min="4615" max="4615" width="11" style="2236" customWidth="1"/>
    <col min="4616" max="4616" width="8.7109375" style="2236" customWidth="1"/>
    <col min="4617" max="4617" width="9.7109375" style="2236" customWidth="1"/>
    <col min="4618" max="4618" width="12.85546875" style="2236" customWidth="1"/>
    <col min="4619" max="4619" width="9.85546875" style="2236" customWidth="1"/>
    <col min="4620" max="4620" width="8.7109375" style="2236" customWidth="1"/>
    <col min="4621" max="4864" width="9.140625" style="2236"/>
    <col min="4865" max="4865" width="16.5703125" style="2236" customWidth="1"/>
    <col min="4866" max="4866" width="10.42578125" style="2236" customWidth="1"/>
    <col min="4867" max="4867" width="11.85546875" style="2236" customWidth="1"/>
    <col min="4868" max="4868" width="10.42578125" style="2236" customWidth="1"/>
    <col min="4869" max="4869" width="10.28515625" style="2236" customWidth="1"/>
    <col min="4870" max="4870" width="8.28515625" style="2236" customWidth="1"/>
    <col min="4871" max="4871" width="11" style="2236" customWidth="1"/>
    <col min="4872" max="4872" width="8.7109375" style="2236" customWidth="1"/>
    <col min="4873" max="4873" width="9.7109375" style="2236" customWidth="1"/>
    <col min="4874" max="4874" width="12.85546875" style="2236" customWidth="1"/>
    <col min="4875" max="4875" width="9.85546875" style="2236" customWidth="1"/>
    <col min="4876" max="4876" width="8.7109375" style="2236" customWidth="1"/>
    <col min="4877" max="5120" width="9.140625" style="2236"/>
    <col min="5121" max="5121" width="16.5703125" style="2236" customWidth="1"/>
    <col min="5122" max="5122" width="10.42578125" style="2236" customWidth="1"/>
    <col min="5123" max="5123" width="11.85546875" style="2236" customWidth="1"/>
    <col min="5124" max="5124" width="10.42578125" style="2236" customWidth="1"/>
    <col min="5125" max="5125" width="10.28515625" style="2236" customWidth="1"/>
    <col min="5126" max="5126" width="8.28515625" style="2236" customWidth="1"/>
    <col min="5127" max="5127" width="11" style="2236" customWidth="1"/>
    <col min="5128" max="5128" width="8.7109375" style="2236" customWidth="1"/>
    <col min="5129" max="5129" width="9.7109375" style="2236" customWidth="1"/>
    <col min="5130" max="5130" width="12.85546875" style="2236" customWidth="1"/>
    <col min="5131" max="5131" width="9.85546875" style="2236" customWidth="1"/>
    <col min="5132" max="5132" width="8.7109375" style="2236" customWidth="1"/>
    <col min="5133" max="5376" width="9.140625" style="2236"/>
    <col min="5377" max="5377" width="16.5703125" style="2236" customWidth="1"/>
    <col min="5378" max="5378" width="10.42578125" style="2236" customWidth="1"/>
    <col min="5379" max="5379" width="11.85546875" style="2236" customWidth="1"/>
    <col min="5380" max="5380" width="10.42578125" style="2236" customWidth="1"/>
    <col min="5381" max="5381" width="10.28515625" style="2236" customWidth="1"/>
    <col min="5382" max="5382" width="8.28515625" style="2236" customWidth="1"/>
    <col min="5383" max="5383" width="11" style="2236" customWidth="1"/>
    <col min="5384" max="5384" width="8.7109375" style="2236" customWidth="1"/>
    <col min="5385" max="5385" width="9.7109375" style="2236" customWidth="1"/>
    <col min="5386" max="5386" width="12.85546875" style="2236" customWidth="1"/>
    <col min="5387" max="5387" width="9.85546875" style="2236" customWidth="1"/>
    <col min="5388" max="5388" width="8.7109375" style="2236" customWidth="1"/>
    <col min="5389" max="5632" width="9.140625" style="2236"/>
    <col min="5633" max="5633" width="16.5703125" style="2236" customWidth="1"/>
    <col min="5634" max="5634" width="10.42578125" style="2236" customWidth="1"/>
    <col min="5635" max="5635" width="11.85546875" style="2236" customWidth="1"/>
    <col min="5636" max="5636" width="10.42578125" style="2236" customWidth="1"/>
    <col min="5637" max="5637" width="10.28515625" style="2236" customWidth="1"/>
    <col min="5638" max="5638" width="8.28515625" style="2236" customWidth="1"/>
    <col min="5639" max="5639" width="11" style="2236" customWidth="1"/>
    <col min="5640" max="5640" width="8.7109375" style="2236" customWidth="1"/>
    <col min="5641" max="5641" width="9.7109375" style="2236" customWidth="1"/>
    <col min="5642" max="5642" width="12.85546875" style="2236" customWidth="1"/>
    <col min="5643" max="5643" width="9.85546875" style="2236" customWidth="1"/>
    <col min="5644" max="5644" width="8.7109375" style="2236" customWidth="1"/>
    <col min="5645" max="5888" width="9.140625" style="2236"/>
    <col min="5889" max="5889" width="16.5703125" style="2236" customWidth="1"/>
    <col min="5890" max="5890" width="10.42578125" style="2236" customWidth="1"/>
    <col min="5891" max="5891" width="11.85546875" style="2236" customWidth="1"/>
    <col min="5892" max="5892" width="10.42578125" style="2236" customWidth="1"/>
    <col min="5893" max="5893" width="10.28515625" style="2236" customWidth="1"/>
    <col min="5894" max="5894" width="8.28515625" style="2236" customWidth="1"/>
    <col min="5895" max="5895" width="11" style="2236" customWidth="1"/>
    <col min="5896" max="5896" width="8.7109375" style="2236" customWidth="1"/>
    <col min="5897" max="5897" width="9.7109375" style="2236" customWidth="1"/>
    <col min="5898" max="5898" width="12.85546875" style="2236" customWidth="1"/>
    <col min="5899" max="5899" width="9.85546875" style="2236" customWidth="1"/>
    <col min="5900" max="5900" width="8.7109375" style="2236" customWidth="1"/>
    <col min="5901" max="6144" width="9.140625" style="2236"/>
    <col min="6145" max="6145" width="16.5703125" style="2236" customWidth="1"/>
    <col min="6146" max="6146" width="10.42578125" style="2236" customWidth="1"/>
    <col min="6147" max="6147" width="11.85546875" style="2236" customWidth="1"/>
    <col min="6148" max="6148" width="10.42578125" style="2236" customWidth="1"/>
    <col min="6149" max="6149" width="10.28515625" style="2236" customWidth="1"/>
    <col min="6150" max="6150" width="8.28515625" style="2236" customWidth="1"/>
    <col min="6151" max="6151" width="11" style="2236" customWidth="1"/>
    <col min="6152" max="6152" width="8.7109375" style="2236" customWidth="1"/>
    <col min="6153" max="6153" width="9.7109375" style="2236" customWidth="1"/>
    <col min="6154" max="6154" width="12.85546875" style="2236" customWidth="1"/>
    <col min="6155" max="6155" width="9.85546875" style="2236" customWidth="1"/>
    <col min="6156" max="6156" width="8.7109375" style="2236" customWidth="1"/>
    <col min="6157" max="6400" width="9.140625" style="2236"/>
    <col min="6401" max="6401" width="16.5703125" style="2236" customWidth="1"/>
    <col min="6402" max="6402" width="10.42578125" style="2236" customWidth="1"/>
    <col min="6403" max="6403" width="11.85546875" style="2236" customWidth="1"/>
    <col min="6404" max="6404" width="10.42578125" style="2236" customWidth="1"/>
    <col min="6405" max="6405" width="10.28515625" style="2236" customWidth="1"/>
    <col min="6406" max="6406" width="8.28515625" style="2236" customWidth="1"/>
    <col min="6407" max="6407" width="11" style="2236" customWidth="1"/>
    <col min="6408" max="6408" width="8.7109375" style="2236" customWidth="1"/>
    <col min="6409" max="6409" width="9.7109375" style="2236" customWidth="1"/>
    <col min="6410" max="6410" width="12.85546875" style="2236" customWidth="1"/>
    <col min="6411" max="6411" width="9.85546875" style="2236" customWidth="1"/>
    <col min="6412" max="6412" width="8.7109375" style="2236" customWidth="1"/>
    <col min="6413" max="6656" width="9.140625" style="2236"/>
    <col min="6657" max="6657" width="16.5703125" style="2236" customWidth="1"/>
    <col min="6658" max="6658" width="10.42578125" style="2236" customWidth="1"/>
    <col min="6659" max="6659" width="11.85546875" style="2236" customWidth="1"/>
    <col min="6660" max="6660" width="10.42578125" style="2236" customWidth="1"/>
    <col min="6661" max="6661" width="10.28515625" style="2236" customWidth="1"/>
    <col min="6662" max="6662" width="8.28515625" style="2236" customWidth="1"/>
    <col min="6663" max="6663" width="11" style="2236" customWidth="1"/>
    <col min="6664" max="6664" width="8.7109375" style="2236" customWidth="1"/>
    <col min="6665" max="6665" width="9.7109375" style="2236" customWidth="1"/>
    <col min="6666" max="6666" width="12.85546875" style="2236" customWidth="1"/>
    <col min="6667" max="6667" width="9.85546875" style="2236" customWidth="1"/>
    <col min="6668" max="6668" width="8.7109375" style="2236" customWidth="1"/>
    <col min="6669" max="6912" width="9.140625" style="2236"/>
    <col min="6913" max="6913" width="16.5703125" style="2236" customWidth="1"/>
    <col min="6914" max="6914" width="10.42578125" style="2236" customWidth="1"/>
    <col min="6915" max="6915" width="11.85546875" style="2236" customWidth="1"/>
    <col min="6916" max="6916" width="10.42578125" style="2236" customWidth="1"/>
    <col min="6917" max="6917" width="10.28515625" style="2236" customWidth="1"/>
    <col min="6918" max="6918" width="8.28515625" style="2236" customWidth="1"/>
    <col min="6919" max="6919" width="11" style="2236" customWidth="1"/>
    <col min="6920" max="6920" width="8.7109375" style="2236" customWidth="1"/>
    <col min="6921" max="6921" width="9.7109375" style="2236" customWidth="1"/>
    <col min="6922" max="6922" width="12.85546875" style="2236" customWidth="1"/>
    <col min="6923" max="6923" width="9.85546875" style="2236" customWidth="1"/>
    <col min="6924" max="6924" width="8.7109375" style="2236" customWidth="1"/>
    <col min="6925" max="7168" width="9.140625" style="2236"/>
    <col min="7169" max="7169" width="16.5703125" style="2236" customWidth="1"/>
    <col min="7170" max="7170" width="10.42578125" style="2236" customWidth="1"/>
    <col min="7171" max="7171" width="11.85546875" style="2236" customWidth="1"/>
    <col min="7172" max="7172" width="10.42578125" style="2236" customWidth="1"/>
    <col min="7173" max="7173" width="10.28515625" style="2236" customWidth="1"/>
    <col min="7174" max="7174" width="8.28515625" style="2236" customWidth="1"/>
    <col min="7175" max="7175" width="11" style="2236" customWidth="1"/>
    <col min="7176" max="7176" width="8.7109375" style="2236" customWidth="1"/>
    <col min="7177" max="7177" width="9.7109375" style="2236" customWidth="1"/>
    <col min="7178" max="7178" width="12.85546875" style="2236" customWidth="1"/>
    <col min="7179" max="7179" width="9.85546875" style="2236" customWidth="1"/>
    <col min="7180" max="7180" width="8.7109375" style="2236" customWidth="1"/>
    <col min="7181" max="7424" width="9.140625" style="2236"/>
    <col min="7425" max="7425" width="16.5703125" style="2236" customWidth="1"/>
    <col min="7426" max="7426" width="10.42578125" style="2236" customWidth="1"/>
    <col min="7427" max="7427" width="11.85546875" style="2236" customWidth="1"/>
    <col min="7428" max="7428" width="10.42578125" style="2236" customWidth="1"/>
    <col min="7429" max="7429" width="10.28515625" style="2236" customWidth="1"/>
    <col min="7430" max="7430" width="8.28515625" style="2236" customWidth="1"/>
    <col min="7431" max="7431" width="11" style="2236" customWidth="1"/>
    <col min="7432" max="7432" width="8.7109375" style="2236" customWidth="1"/>
    <col min="7433" max="7433" width="9.7109375" style="2236" customWidth="1"/>
    <col min="7434" max="7434" width="12.85546875" style="2236" customWidth="1"/>
    <col min="7435" max="7435" width="9.85546875" style="2236" customWidth="1"/>
    <col min="7436" max="7436" width="8.7109375" style="2236" customWidth="1"/>
    <col min="7437" max="7680" width="9.140625" style="2236"/>
    <col min="7681" max="7681" width="16.5703125" style="2236" customWidth="1"/>
    <col min="7682" max="7682" width="10.42578125" style="2236" customWidth="1"/>
    <col min="7683" max="7683" width="11.85546875" style="2236" customWidth="1"/>
    <col min="7684" max="7684" width="10.42578125" style="2236" customWidth="1"/>
    <col min="7685" max="7685" width="10.28515625" style="2236" customWidth="1"/>
    <col min="7686" max="7686" width="8.28515625" style="2236" customWidth="1"/>
    <col min="7687" max="7687" width="11" style="2236" customWidth="1"/>
    <col min="7688" max="7688" width="8.7109375" style="2236" customWidth="1"/>
    <col min="7689" max="7689" width="9.7109375" style="2236" customWidth="1"/>
    <col min="7690" max="7690" width="12.85546875" style="2236" customWidth="1"/>
    <col min="7691" max="7691" width="9.85546875" style="2236" customWidth="1"/>
    <col min="7692" max="7692" width="8.7109375" style="2236" customWidth="1"/>
    <col min="7693" max="7936" width="9.140625" style="2236"/>
    <col min="7937" max="7937" width="16.5703125" style="2236" customWidth="1"/>
    <col min="7938" max="7938" width="10.42578125" style="2236" customWidth="1"/>
    <col min="7939" max="7939" width="11.85546875" style="2236" customWidth="1"/>
    <col min="7940" max="7940" width="10.42578125" style="2236" customWidth="1"/>
    <col min="7941" max="7941" width="10.28515625" style="2236" customWidth="1"/>
    <col min="7942" max="7942" width="8.28515625" style="2236" customWidth="1"/>
    <col min="7943" max="7943" width="11" style="2236" customWidth="1"/>
    <col min="7944" max="7944" width="8.7109375" style="2236" customWidth="1"/>
    <col min="7945" max="7945" width="9.7109375" style="2236" customWidth="1"/>
    <col min="7946" max="7946" width="12.85546875" style="2236" customWidth="1"/>
    <col min="7947" max="7947" width="9.85546875" style="2236" customWidth="1"/>
    <col min="7948" max="7948" width="8.7109375" style="2236" customWidth="1"/>
    <col min="7949" max="8192" width="9.140625" style="2236"/>
    <col min="8193" max="8193" width="16.5703125" style="2236" customWidth="1"/>
    <col min="8194" max="8194" width="10.42578125" style="2236" customWidth="1"/>
    <col min="8195" max="8195" width="11.85546875" style="2236" customWidth="1"/>
    <col min="8196" max="8196" width="10.42578125" style="2236" customWidth="1"/>
    <col min="8197" max="8197" width="10.28515625" style="2236" customWidth="1"/>
    <col min="8198" max="8198" width="8.28515625" style="2236" customWidth="1"/>
    <col min="8199" max="8199" width="11" style="2236" customWidth="1"/>
    <col min="8200" max="8200" width="8.7109375" style="2236" customWidth="1"/>
    <col min="8201" max="8201" width="9.7109375" style="2236" customWidth="1"/>
    <col min="8202" max="8202" width="12.85546875" style="2236" customWidth="1"/>
    <col min="8203" max="8203" width="9.85546875" style="2236" customWidth="1"/>
    <col min="8204" max="8204" width="8.7109375" style="2236" customWidth="1"/>
    <col min="8205" max="8448" width="9.140625" style="2236"/>
    <col min="8449" max="8449" width="16.5703125" style="2236" customWidth="1"/>
    <col min="8450" max="8450" width="10.42578125" style="2236" customWidth="1"/>
    <col min="8451" max="8451" width="11.85546875" style="2236" customWidth="1"/>
    <col min="8452" max="8452" width="10.42578125" style="2236" customWidth="1"/>
    <col min="8453" max="8453" width="10.28515625" style="2236" customWidth="1"/>
    <col min="8454" max="8454" width="8.28515625" style="2236" customWidth="1"/>
    <col min="8455" max="8455" width="11" style="2236" customWidth="1"/>
    <col min="8456" max="8456" width="8.7109375" style="2236" customWidth="1"/>
    <col min="8457" max="8457" width="9.7109375" style="2236" customWidth="1"/>
    <col min="8458" max="8458" width="12.85546875" style="2236" customWidth="1"/>
    <col min="8459" max="8459" width="9.85546875" style="2236" customWidth="1"/>
    <col min="8460" max="8460" width="8.7109375" style="2236" customWidth="1"/>
    <col min="8461" max="8704" width="9.140625" style="2236"/>
    <col min="8705" max="8705" width="16.5703125" style="2236" customWidth="1"/>
    <col min="8706" max="8706" width="10.42578125" style="2236" customWidth="1"/>
    <col min="8707" max="8707" width="11.85546875" style="2236" customWidth="1"/>
    <col min="8708" max="8708" width="10.42578125" style="2236" customWidth="1"/>
    <col min="8709" max="8709" width="10.28515625" style="2236" customWidth="1"/>
    <col min="8710" max="8710" width="8.28515625" style="2236" customWidth="1"/>
    <col min="8711" max="8711" width="11" style="2236" customWidth="1"/>
    <col min="8712" max="8712" width="8.7109375" style="2236" customWidth="1"/>
    <col min="8713" max="8713" width="9.7109375" style="2236" customWidth="1"/>
    <col min="8714" max="8714" width="12.85546875" style="2236" customWidth="1"/>
    <col min="8715" max="8715" width="9.85546875" style="2236" customWidth="1"/>
    <col min="8716" max="8716" width="8.7109375" style="2236" customWidth="1"/>
    <col min="8717" max="8960" width="9.140625" style="2236"/>
    <col min="8961" max="8961" width="16.5703125" style="2236" customWidth="1"/>
    <col min="8962" max="8962" width="10.42578125" style="2236" customWidth="1"/>
    <col min="8963" max="8963" width="11.85546875" style="2236" customWidth="1"/>
    <col min="8964" max="8964" width="10.42578125" style="2236" customWidth="1"/>
    <col min="8965" max="8965" width="10.28515625" style="2236" customWidth="1"/>
    <col min="8966" max="8966" width="8.28515625" style="2236" customWidth="1"/>
    <col min="8967" max="8967" width="11" style="2236" customWidth="1"/>
    <col min="8968" max="8968" width="8.7109375" style="2236" customWidth="1"/>
    <col min="8969" max="8969" width="9.7109375" style="2236" customWidth="1"/>
    <col min="8970" max="8970" width="12.85546875" style="2236" customWidth="1"/>
    <col min="8971" max="8971" width="9.85546875" style="2236" customWidth="1"/>
    <col min="8972" max="8972" width="8.7109375" style="2236" customWidth="1"/>
    <col min="8973" max="9216" width="9.140625" style="2236"/>
    <col min="9217" max="9217" width="16.5703125" style="2236" customWidth="1"/>
    <col min="9218" max="9218" width="10.42578125" style="2236" customWidth="1"/>
    <col min="9219" max="9219" width="11.85546875" style="2236" customWidth="1"/>
    <col min="9220" max="9220" width="10.42578125" style="2236" customWidth="1"/>
    <col min="9221" max="9221" width="10.28515625" style="2236" customWidth="1"/>
    <col min="9222" max="9222" width="8.28515625" style="2236" customWidth="1"/>
    <col min="9223" max="9223" width="11" style="2236" customWidth="1"/>
    <col min="9224" max="9224" width="8.7109375" style="2236" customWidth="1"/>
    <col min="9225" max="9225" width="9.7109375" style="2236" customWidth="1"/>
    <col min="9226" max="9226" width="12.85546875" style="2236" customWidth="1"/>
    <col min="9227" max="9227" width="9.85546875" style="2236" customWidth="1"/>
    <col min="9228" max="9228" width="8.7109375" style="2236" customWidth="1"/>
    <col min="9229" max="9472" width="9.140625" style="2236"/>
    <col min="9473" max="9473" width="16.5703125" style="2236" customWidth="1"/>
    <col min="9474" max="9474" width="10.42578125" style="2236" customWidth="1"/>
    <col min="9475" max="9475" width="11.85546875" style="2236" customWidth="1"/>
    <col min="9476" max="9476" width="10.42578125" style="2236" customWidth="1"/>
    <col min="9477" max="9477" width="10.28515625" style="2236" customWidth="1"/>
    <col min="9478" max="9478" width="8.28515625" style="2236" customWidth="1"/>
    <col min="9479" max="9479" width="11" style="2236" customWidth="1"/>
    <col min="9480" max="9480" width="8.7109375" style="2236" customWidth="1"/>
    <col min="9481" max="9481" width="9.7109375" style="2236" customWidth="1"/>
    <col min="9482" max="9482" width="12.85546875" style="2236" customWidth="1"/>
    <col min="9483" max="9483" width="9.85546875" style="2236" customWidth="1"/>
    <col min="9484" max="9484" width="8.7109375" style="2236" customWidth="1"/>
    <col min="9485" max="9728" width="9.140625" style="2236"/>
    <col min="9729" max="9729" width="16.5703125" style="2236" customWidth="1"/>
    <col min="9730" max="9730" width="10.42578125" style="2236" customWidth="1"/>
    <col min="9731" max="9731" width="11.85546875" style="2236" customWidth="1"/>
    <col min="9732" max="9732" width="10.42578125" style="2236" customWidth="1"/>
    <col min="9733" max="9733" width="10.28515625" style="2236" customWidth="1"/>
    <col min="9734" max="9734" width="8.28515625" style="2236" customWidth="1"/>
    <col min="9735" max="9735" width="11" style="2236" customWidth="1"/>
    <col min="9736" max="9736" width="8.7109375" style="2236" customWidth="1"/>
    <col min="9737" max="9737" width="9.7109375" style="2236" customWidth="1"/>
    <col min="9738" max="9738" width="12.85546875" style="2236" customWidth="1"/>
    <col min="9739" max="9739" width="9.85546875" style="2236" customWidth="1"/>
    <col min="9740" max="9740" width="8.7109375" style="2236" customWidth="1"/>
    <col min="9741" max="9984" width="9.140625" style="2236"/>
    <col min="9985" max="9985" width="16.5703125" style="2236" customWidth="1"/>
    <col min="9986" max="9986" width="10.42578125" style="2236" customWidth="1"/>
    <col min="9987" max="9987" width="11.85546875" style="2236" customWidth="1"/>
    <col min="9988" max="9988" width="10.42578125" style="2236" customWidth="1"/>
    <col min="9989" max="9989" width="10.28515625" style="2236" customWidth="1"/>
    <col min="9990" max="9990" width="8.28515625" style="2236" customWidth="1"/>
    <col min="9991" max="9991" width="11" style="2236" customWidth="1"/>
    <col min="9992" max="9992" width="8.7109375" style="2236" customWidth="1"/>
    <col min="9993" max="9993" width="9.7109375" style="2236" customWidth="1"/>
    <col min="9994" max="9994" width="12.85546875" style="2236" customWidth="1"/>
    <col min="9995" max="9995" width="9.85546875" style="2236" customWidth="1"/>
    <col min="9996" max="9996" width="8.7109375" style="2236" customWidth="1"/>
    <col min="9997" max="10240" width="9.140625" style="2236"/>
    <col min="10241" max="10241" width="16.5703125" style="2236" customWidth="1"/>
    <col min="10242" max="10242" width="10.42578125" style="2236" customWidth="1"/>
    <col min="10243" max="10243" width="11.85546875" style="2236" customWidth="1"/>
    <col min="10244" max="10244" width="10.42578125" style="2236" customWidth="1"/>
    <col min="10245" max="10245" width="10.28515625" style="2236" customWidth="1"/>
    <col min="10246" max="10246" width="8.28515625" style="2236" customWidth="1"/>
    <col min="10247" max="10247" width="11" style="2236" customWidth="1"/>
    <col min="10248" max="10248" width="8.7109375" style="2236" customWidth="1"/>
    <col min="10249" max="10249" width="9.7109375" style="2236" customWidth="1"/>
    <col min="10250" max="10250" width="12.85546875" style="2236" customWidth="1"/>
    <col min="10251" max="10251" width="9.85546875" style="2236" customWidth="1"/>
    <col min="10252" max="10252" width="8.7109375" style="2236" customWidth="1"/>
    <col min="10253" max="10496" width="9.140625" style="2236"/>
    <col min="10497" max="10497" width="16.5703125" style="2236" customWidth="1"/>
    <col min="10498" max="10498" width="10.42578125" style="2236" customWidth="1"/>
    <col min="10499" max="10499" width="11.85546875" style="2236" customWidth="1"/>
    <col min="10500" max="10500" width="10.42578125" style="2236" customWidth="1"/>
    <col min="10501" max="10501" width="10.28515625" style="2236" customWidth="1"/>
    <col min="10502" max="10502" width="8.28515625" style="2236" customWidth="1"/>
    <col min="10503" max="10503" width="11" style="2236" customWidth="1"/>
    <col min="10504" max="10504" width="8.7109375" style="2236" customWidth="1"/>
    <col min="10505" max="10505" width="9.7109375" style="2236" customWidth="1"/>
    <col min="10506" max="10506" width="12.85546875" style="2236" customWidth="1"/>
    <col min="10507" max="10507" width="9.85546875" style="2236" customWidth="1"/>
    <col min="10508" max="10508" width="8.7109375" style="2236" customWidth="1"/>
    <col min="10509" max="10752" width="9.140625" style="2236"/>
    <col min="10753" max="10753" width="16.5703125" style="2236" customWidth="1"/>
    <col min="10754" max="10754" width="10.42578125" style="2236" customWidth="1"/>
    <col min="10755" max="10755" width="11.85546875" style="2236" customWidth="1"/>
    <col min="10756" max="10756" width="10.42578125" style="2236" customWidth="1"/>
    <col min="10757" max="10757" width="10.28515625" style="2236" customWidth="1"/>
    <col min="10758" max="10758" width="8.28515625" style="2236" customWidth="1"/>
    <col min="10759" max="10759" width="11" style="2236" customWidth="1"/>
    <col min="10760" max="10760" width="8.7109375" style="2236" customWidth="1"/>
    <col min="10761" max="10761" width="9.7109375" style="2236" customWidth="1"/>
    <col min="10762" max="10762" width="12.85546875" style="2236" customWidth="1"/>
    <col min="10763" max="10763" width="9.85546875" style="2236" customWidth="1"/>
    <col min="10764" max="10764" width="8.7109375" style="2236" customWidth="1"/>
    <col min="10765" max="11008" width="9.140625" style="2236"/>
    <col min="11009" max="11009" width="16.5703125" style="2236" customWidth="1"/>
    <col min="11010" max="11010" width="10.42578125" style="2236" customWidth="1"/>
    <col min="11011" max="11011" width="11.85546875" style="2236" customWidth="1"/>
    <col min="11012" max="11012" width="10.42578125" style="2236" customWidth="1"/>
    <col min="11013" max="11013" width="10.28515625" style="2236" customWidth="1"/>
    <col min="11014" max="11014" width="8.28515625" style="2236" customWidth="1"/>
    <col min="11015" max="11015" width="11" style="2236" customWidth="1"/>
    <col min="11016" max="11016" width="8.7109375" style="2236" customWidth="1"/>
    <col min="11017" max="11017" width="9.7109375" style="2236" customWidth="1"/>
    <col min="11018" max="11018" width="12.85546875" style="2236" customWidth="1"/>
    <col min="11019" max="11019" width="9.85546875" style="2236" customWidth="1"/>
    <col min="11020" max="11020" width="8.7109375" style="2236" customWidth="1"/>
    <col min="11021" max="11264" width="9.140625" style="2236"/>
    <col min="11265" max="11265" width="16.5703125" style="2236" customWidth="1"/>
    <col min="11266" max="11266" width="10.42578125" style="2236" customWidth="1"/>
    <col min="11267" max="11267" width="11.85546875" style="2236" customWidth="1"/>
    <col min="11268" max="11268" width="10.42578125" style="2236" customWidth="1"/>
    <col min="11269" max="11269" width="10.28515625" style="2236" customWidth="1"/>
    <col min="11270" max="11270" width="8.28515625" style="2236" customWidth="1"/>
    <col min="11271" max="11271" width="11" style="2236" customWidth="1"/>
    <col min="11272" max="11272" width="8.7109375" style="2236" customWidth="1"/>
    <col min="11273" max="11273" width="9.7109375" style="2236" customWidth="1"/>
    <col min="11274" max="11274" width="12.85546875" style="2236" customWidth="1"/>
    <col min="11275" max="11275" width="9.85546875" style="2236" customWidth="1"/>
    <col min="11276" max="11276" width="8.7109375" style="2236" customWidth="1"/>
    <col min="11277" max="11520" width="9.140625" style="2236"/>
    <col min="11521" max="11521" width="16.5703125" style="2236" customWidth="1"/>
    <col min="11522" max="11522" width="10.42578125" style="2236" customWidth="1"/>
    <col min="11523" max="11523" width="11.85546875" style="2236" customWidth="1"/>
    <col min="11524" max="11524" width="10.42578125" style="2236" customWidth="1"/>
    <col min="11525" max="11525" width="10.28515625" style="2236" customWidth="1"/>
    <col min="11526" max="11526" width="8.28515625" style="2236" customWidth="1"/>
    <col min="11527" max="11527" width="11" style="2236" customWidth="1"/>
    <col min="11528" max="11528" width="8.7109375" style="2236" customWidth="1"/>
    <col min="11529" max="11529" width="9.7109375" style="2236" customWidth="1"/>
    <col min="11530" max="11530" width="12.85546875" style="2236" customWidth="1"/>
    <col min="11531" max="11531" width="9.85546875" style="2236" customWidth="1"/>
    <col min="11532" max="11532" width="8.7109375" style="2236" customWidth="1"/>
    <col min="11533" max="11776" width="9.140625" style="2236"/>
    <col min="11777" max="11777" width="16.5703125" style="2236" customWidth="1"/>
    <col min="11778" max="11778" width="10.42578125" style="2236" customWidth="1"/>
    <col min="11779" max="11779" width="11.85546875" style="2236" customWidth="1"/>
    <col min="11780" max="11780" width="10.42578125" style="2236" customWidth="1"/>
    <col min="11781" max="11781" width="10.28515625" style="2236" customWidth="1"/>
    <col min="11782" max="11782" width="8.28515625" style="2236" customWidth="1"/>
    <col min="11783" max="11783" width="11" style="2236" customWidth="1"/>
    <col min="11784" max="11784" width="8.7109375" style="2236" customWidth="1"/>
    <col min="11785" max="11785" width="9.7109375" style="2236" customWidth="1"/>
    <col min="11786" max="11786" width="12.85546875" style="2236" customWidth="1"/>
    <col min="11787" max="11787" width="9.85546875" style="2236" customWidth="1"/>
    <col min="11788" max="11788" width="8.7109375" style="2236" customWidth="1"/>
    <col min="11789" max="12032" width="9.140625" style="2236"/>
    <col min="12033" max="12033" width="16.5703125" style="2236" customWidth="1"/>
    <col min="12034" max="12034" width="10.42578125" style="2236" customWidth="1"/>
    <col min="12035" max="12035" width="11.85546875" style="2236" customWidth="1"/>
    <col min="12036" max="12036" width="10.42578125" style="2236" customWidth="1"/>
    <col min="12037" max="12037" width="10.28515625" style="2236" customWidth="1"/>
    <col min="12038" max="12038" width="8.28515625" style="2236" customWidth="1"/>
    <col min="12039" max="12039" width="11" style="2236" customWidth="1"/>
    <col min="12040" max="12040" width="8.7109375" style="2236" customWidth="1"/>
    <col min="12041" max="12041" width="9.7109375" style="2236" customWidth="1"/>
    <col min="12042" max="12042" width="12.85546875" style="2236" customWidth="1"/>
    <col min="12043" max="12043" width="9.85546875" style="2236" customWidth="1"/>
    <col min="12044" max="12044" width="8.7109375" style="2236" customWidth="1"/>
    <col min="12045" max="12288" width="9.140625" style="2236"/>
    <col min="12289" max="12289" width="16.5703125" style="2236" customWidth="1"/>
    <col min="12290" max="12290" width="10.42578125" style="2236" customWidth="1"/>
    <col min="12291" max="12291" width="11.85546875" style="2236" customWidth="1"/>
    <col min="12292" max="12292" width="10.42578125" style="2236" customWidth="1"/>
    <col min="12293" max="12293" width="10.28515625" style="2236" customWidth="1"/>
    <col min="12294" max="12294" width="8.28515625" style="2236" customWidth="1"/>
    <col min="12295" max="12295" width="11" style="2236" customWidth="1"/>
    <col min="12296" max="12296" width="8.7109375" style="2236" customWidth="1"/>
    <col min="12297" max="12297" width="9.7109375" style="2236" customWidth="1"/>
    <col min="12298" max="12298" width="12.85546875" style="2236" customWidth="1"/>
    <col min="12299" max="12299" width="9.85546875" style="2236" customWidth="1"/>
    <col min="12300" max="12300" width="8.7109375" style="2236" customWidth="1"/>
    <col min="12301" max="12544" width="9.140625" style="2236"/>
    <col min="12545" max="12545" width="16.5703125" style="2236" customWidth="1"/>
    <col min="12546" max="12546" width="10.42578125" style="2236" customWidth="1"/>
    <col min="12547" max="12547" width="11.85546875" style="2236" customWidth="1"/>
    <col min="12548" max="12548" width="10.42578125" style="2236" customWidth="1"/>
    <col min="12549" max="12549" width="10.28515625" style="2236" customWidth="1"/>
    <col min="12550" max="12550" width="8.28515625" style="2236" customWidth="1"/>
    <col min="12551" max="12551" width="11" style="2236" customWidth="1"/>
    <col min="12552" max="12552" width="8.7109375" style="2236" customWidth="1"/>
    <col min="12553" max="12553" width="9.7109375" style="2236" customWidth="1"/>
    <col min="12554" max="12554" width="12.85546875" style="2236" customWidth="1"/>
    <col min="12555" max="12555" width="9.85546875" style="2236" customWidth="1"/>
    <col min="12556" max="12556" width="8.7109375" style="2236" customWidth="1"/>
    <col min="12557" max="12800" width="9.140625" style="2236"/>
    <col min="12801" max="12801" width="16.5703125" style="2236" customWidth="1"/>
    <col min="12802" max="12802" width="10.42578125" style="2236" customWidth="1"/>
    <col min="12803" max="12803" width="11.85546875" style="2236" customWidth="1"/>
    <col min="12804" max="12804" width="10.42578125" style="2236" customWidth="1"/>
    <col min="12805" max="12805" width="10.28515625" style="2236" customWidth="1"/>
    <col min="12806" max="12806" width="8.28515625" style="2236" customWidth="1"/>
    <col min="12807" max="12807" width="11" style="2236" customWidth="1"/>
    <col min="12808" max="12808" width="8.7109375" style="2236" customWidth="1"/>
    <col min="12809" max="12809" width="9.7109375" style="2236" customWidth="1"/>
    <col min="12810" max="12810" width="12.85546875" style="2236" customWidth="1"/>
    <col min="12811" max="12811" width="9.85546875" style="2236" customWidth="1"/>
    <col min="12812" max="12812" width="8.7109375" style="2236" customWidth="1"/>
    <col min="12813" max="13056" width="9.140625" style="2236"/>
    <col min="13057" max="13057" width="16.5703125" style="2236" customWidth="1"/>
    <col min="13058" max="13058" width="10.42578125" style="2236" customWidth="1"/>
    <col min="13059" max="13059" width="11.85546875" style="2236" customWidth="1"/>
    <col min="13060" max="13060" width="10.42578125" style="2236" customWidth="1"/>
    <col min="13061" max="13061" width="10.28515625" style="2236" customWidth="1"/>
    <col min="13062" max="13062" width="8.28515625" style="2236" customWidth="1"/>
    <col min="13063" max="13063" width="11" style="2236" customWidth="1"/>
    <col min="13064" max="13064" width="8.7109375" style="2236" customWidth="1"/>
    <col min="13065" max="13065" width="9.7109375" style="2236" customWidth="1"/>
    <col min="13066" max="13066" width="12.85546875" style="2236" customWidth="1"/>
    <col min="13067" max="13067" width="9.85546875" style="2236" customWidth="1"/>
    <col min="13068" max="13068" width="8.7109375" style="2236" customWidth="1"/>
    <col min="13069" max="13312" width="9.140625" style="2236"/>
    <col min="13313" max="13313" width="16.5703125" style="2236" customWidth="1"/>
    <col min="13314" max="13314" width="10.42578125" style="2236" customWidth="1"/>
    <col min="13315" max="13315" width="11.85546875" style="2236" customWidth="1"/>
    <col min="13316" max="13316" width="10.42578125" style="2236" customWidth="1"/>
    <col min="13317" max="13317" width="10.28515625" style="2236" customWidth="1"/>
    <col min="13318" max="13318" width="8.28515625" style="2236" customWidth="1"/>
    <col min="13319" max="13319" width="11" style="2236" customWidth="1"/>
    <col min="13320" max="13320" width="8.7109375" style="2236" customWidth="1"/>
    <col min="13321" max="13321" width="9.7109375" style="2236" customWidth="1"/>
    <col min="13322" max="13322" width="12.85546875" style="2236" customWidth="1"/>
    <col min="13323" max="13323" width="9.85546875" style="2236" customWidth="1"/>
    <col min="13324" max="13324" width="8.7109375" style="2236" customWidth="1"/>
    <col min="13325" max="13568" width="9.140625" style="2236"/>
    <col min="13569" max="13569" width="16.5703125" style="2236" customWidth="1"/>
    <col min="13570" max="13570" width="10.42578125" style="2236" customWidth="1"/>
    <col min="13571" max="13571" width="11.85546875" style="2236" customWidth="1"/>
    <col min="13572" max="13572" width="10.42578125" style="2236" customWidth="1"/>
    <col min="13573" max="13573" width="10.28515625" style="2236" customWidth="1"/>
    <col min="13574" max="13574" width="8.28515625" style="2236" customWidth="1"/>
    <col min="13575" max="13575" width="11" style="2236" customWidth="1"/>
    <col min="13576" max="13576" width="8.7109375" style="2236" customWidth="1"/>
    <col min="13577" max="13577" width="9.7109375" style="2236" customWidth="1"/>
    <col min="13578" max="13578" width="12.85546875" style="2236" customWidth="1"/>
    <col min="13579" max="13579" width="9.85546875" style="2236" customWidth="1"/>
    <col min="13580" max="13580" width="8.7109375" style="2236" customWidth="1"/>
    <col min="13581" max="13824" width="9.140625" style="2236"/>
    <col min="13825" max="13825" width="16.5703125" style="2236" customWidth="1"/>
    <col min="13826" max="13826" width="10.42578125" style="2236" customWidth="1"/>
    <col min="13827" max="13827" width="11.85546875" style="2236" customWidth="1"/>
    <col min="13828" max="13828" width="10.42578125" style="2236" customWidth="1"/>
    <col min="13829" max="13829" width="10.28515625" style="2236" customWidth="1"/>
    <col min="13830" max="13830" width="8.28515625" style="2236" customWidth="1"/>
    <col min="13831" max="13831" width="11" style="2236" customWidth="1"/>
    <col min="13832" max="13832" width="8.7109375" style="2236" customWidth="1"/>
    <col min="13833" max="13833" width="9.7109375" style="2236" customWidth="1"/>
    <col min="13834" max="13834" width="12.85546875" style="2236" customWidth="1"/>
    <col min="13835" max="13835" width="9.85546875" style="2236" customWidth="1"/>
    <col min="13836" max="13836" width="8.7109375" style="2236" customWidth="1"/>
    <col min="13837" max="14080" width="9.140625" style="2236"/>
    <col min="14081" max="14081" width="16.5703125" style="2236" customWidth="1"/>
    <col min="14082" max="14082" width="10.42578125" style="2236" customWidth="1"/>
    <col min="14083" max="14083" width="11.85546875" style="2236" customWidth="1"/>
    <col min="14084" max="14084" width="10.42578125" style="2236" customWidth="1"/>
    <col min="14085" max="14085" width="10.28515625" style="2236" customWidth="1"/>
    <col min="14086" max="14086" width="8.28515625" style="2236" customWidth="1"/>
    <col min="14087" max="14087" width="11" style="2236" customWidth="1"/>
    <col min="14088" max="14088" width="8.7109375" style="2236" customWidth="1"/>
    <col min="14089" max="14089" width="9.7109375" style="2236" customWidth="1"/>
    <col min="14090" max="14090" width="12.85546875" style="2236" customWidth="1"/>
    <col min="14091" max="14091" width="9.85546875" style="2236" customWidth="1"/>
    <col min="14092" max="14092" width="8.7109375" style="2236" customWidth="1"/>
    <col min="14093" max="14336" width="9.140625" style="2236"/>
    <col min="14337" max="14337" width="16.5703125" style="2236" customWidth="1"/>
    <col min="14338" max="14338" width="10.42578125" style="2236" customWidth="1"/>
    <col min="14339" max="14339" width="11.85546875" style="2236" customWidth="1"/>
    <col min="14340" max="14340" width="10.42578125" style="2236" customWidth="1"/>
    <col min="14341" max="14341" width="10.28515625" style="2236" customWidth="1"/>
    <col min="14342" max="14342" width="8.28515625" style="2236" customWidth="1"/>
    <col min="14343" max="14343" width="11" style="2236" customWidth="1"/>
    <col min="14344" max="14344" width="8.7109375" style="2236" customWidth="1"/>
    <col min="14345" max="14345" width="9.7109375" style="2236" customWidth="1"/>
    <col min="14346" max="14346" width="12.85546875" style="2236" customWidth="1"/>
    <col min="14347" max="14347" width="9.85546875" style="2236" customWidth="1"/>
    <col min="14348" max="14348" width="8.7109375" style="2236" customWidth="1"/>
    <col min="14349" max="14592" width="9.140625" style="2236"/>
    <col min="14593" max="14593" width="16.5703125" style="2236" customWidth="1"/>
    <col min="14594" max="14594" width="10.42578125" style="2236" customWidth="1"/>
    <col min="14595" max="14595" width="11.85546875" style="2236" customWidth="1"/>
    <col min="14596" max="14596" width="10.42578125" style="2236" customWidth="1"/>
    <col min="14597" max="14597" width="10.28515625" style="2236" customWidth="1"/>
    <col min="14598" max="14598" width="8.28515625" style="2236" customWidth="1"/>
    <col min="14599" max="14599" width="11" style="2236" customWidth="1"/>
    <col min="14600" max="14600" width="8.7109375" style="2236" customWidth="1"/>
    <col min="14601" max="14601" width="9.7109375" style="2236" customWidth="1"/>
    <col min="14602" max="14602" width="12.85546875" style="2236" customWidth="1"/>
    <col min="14603" max="14603" width="9.85546875" style="2236" customWidth="1"/>
    <col min="14604" max="14604" width="8.7109375" style="2236" customWidth="1"/>
    <col min="14605" max="14848" width="9.140625" style="2236"/>
    <col min="14849" max="14849" width="16.5703125" style="2236" customWidth="1"/>
    <col min="14850" max="14850" width="10.42578125" style="2236" customWidth="1"/>
    <col min="14851" max="14851" width="11.85546875" style="2236" customWidth="1"/>
    <col min="14852" max="14852" width="10.42578125" style="2236" customWidth="1"/>
    <col min="14853" max="14853" width="10.28515625" style="2236" customWidth="1"/>
    <col min="14854" max="14854" width="8.28515625" style="2236" customWidth="1"/>
    <col min="14855" max="14855" width="11" style="2236" customWidth="1"/>
    <col min="14856" max="14856" width="8.7109375" style="2236" customWidth="1"/>
    <col min="14857" max="14857" width="9.7109375" style="2236" customWidth="1"/>
    <col min="14858" max="14858" width="12.85546875" style="2236" customWidth="1"/>
    <col min="14859" max="14859" width="9.85546875" style="2236" customWidth="1"/>
    <col min="14860" max="14860" width="8.7109375" style="2236" customWidth="1"/>
    <col min="14861" max="15104" width="9.140625" style="2236"/>
    <col min="15105" max="15105" width="16.5703125" style="2236" customWidth="1"/>
    <col min="15106" max="15106" width="10.42578125" style="2236" customWidth="1"/>
    <col min="15107" max="15107" width="11.85546875" style="2236" customWidth="1"/>
    <col min="15108" max="15108" width="10.42578125" style="2236" customWidth="1"/>
    <col min="15109" max="15109" width="10.28515625" style="2236" customWidth="1"/>
    <col min="15110" max="15110" width="8.28515625" style="2236" customWidth="1"/>
    <col min="15111" max="15111" width="11" style="2236" customWidth="1"/>
    <col min="15112" max="15112" width="8.7109375" style="2236" customWidth="1"/>
    <col min="15113" max="15113" width="9.7109375" style="2236" customWidth="1"/>
    <col min="15114" max="15114" width="12.85546875" style="2236" customWidth="1"/>
    <col min="15115" max="15115" width="9.85546875" style="2236" customWidth="1"/>
    <col min="15116" max="15116" width="8.7109375" style="2236" customWidth="1"/>
    <col min="15117" max="15360" width="9.140625" style="2236"/>
    <col min="15361" max="15361" width="16.5703125" style="2236" customWidth="1"/>
    <col min="15362" max="15362" width="10.42578125" style="2236" customWidth="1"/>
    <col min="15363" max="15363" width="11.85546875" style="2236" customWidth="1"/>
    <col min="15364" max="15364" width="10.42578125" style="2236" customWidth="1"/>
    <col min="15365" max="15365" width="10.28515625" style="2236" customWidth="1"/>
    <col min="15366" max="15366" width="8.28515625" style="2236" customWidth="1"/>
    <col min="15367" max="15367" width="11" style="2236" customWidth="1"/>
    <col min="15368" max="15368" width="8.7109375" style="2236" customWidth="1"/>
    <col min="15369" max="15369" width="9.7109375" style="2236" customWidth="1"/>
    <col min="15370" max="15370" width="12.85546875" style="2236" customWidth="1"/>
    <col min="15371" max="15371" width="9.85546875" style="2236" customWidth="1"/>
    <col min="15372" max="15372" width="8.7109375" style="2236" customWidth="1"/>
    <col min="15373" max="15616" width="9.140625" style="2236"/>
    <col min="15617" max="15617" width="16.5703125" style="2236" customWidth="1"/>
    <col min="15618" max="15618" width="10.42578125" style="2236" customWidth="1"/>
    <col min="15619" max="15619" width="11.85546875" style="2236" customWidth="1"/>
    <col min="15620" max="15620" width="10.42578125" style="2236" customWidth="1"/>
    <col min="15621" max="15621" width="10.28515625" style="2236" customWidth="1"/>
    <col min="15622" max="15622" width="8.28515625" style="2236" customWidth="1"/>
    <col min="15623" max="15623" width="11" style="2236" customWidth="1"/>
    <col min="15624" max="15624" width="8.7109375" style="2236" customWidth="1"/>
    <col min="15625" max="15625" width="9.7109375" style="2236" customWidth="1"/>
    <col min="15626" max="15626" width="12.85546875" style="2236" customWidth="1"/>
    <col min="15627" max="15627" width="9.85546875" style="2236" customWidth="1"/>
    <col min="15628" max="15628" width="8.7109375" style="2236" customWidth="1"/>
    <col min="15629" max="15872" width="9.140625" style="2236"/>
    <col min="15873" max="15873" width="16.5703125" style="2236" customWidth="1"/>
    <col min="15874" max="15874" width="10.42578125" style="2236" customWidth="1"/>
    <col min="15875" max="15875" width="11.85546875" style="2236" customWidth="1"/>
    <col min="15876" max="15876" width="10.42578125" style="2236" customWidth="1"/>
    <col min="15877" max="15877" width="10.28515625" style="2236" customWidth="1"/>
    <col min="15878" max="15878" width="8.28515625" style="2236" customWidth="1"/>
    <col min="15879" max="15879" width="11" style="2236" customWidth="1"/>
    <col min="15880" max="15880" width="8.7109375" style="2236" customWidth="1"/>
    <col min="15881" max="15881" width="9.7109375" style="2236" customWidth="1"/>
    <col min="15882" max="15882" width="12.85546875" style="2236" customWidth="1"/>
    <col min="15883" max="15883" width="9.85546875" style="2236" customWidth="1"/>
    <col min="15884" max="15884" width="8.7109375" style="2236" customWidth="1"/>
    <col min="15885" max="16128" width="9.140625" style="2236"/>
    <col min="16129" max="16129" width="16.5703125" style="2236" customWidth="1"/>
    <col min="16130" max="16130" width="10.42578125" style="2236" customWidth="1"/>
    <col min="16131" max="16131" width="11.85546875" style="2236" customWidth="1"/>
    <col min="16132" max="16132" width="10.42578125" style="2236" customWidth="1"/>
    <col min="16133" max="16133" width="10.28515625" style="2236" customWidth="1"/>
    <col min="16134" max="16134" width="8.28515625" style="2236" customWidth="1"/>
    <col min="16135" max="16135" width="11" style="2236" customWidth="1"/>
    <col min="16136" max="16136" width="8.7109375" style="2236" customWidth="1"/>
    <col min="16137" max="16137" width="9.7109375" style="2236" customWidth="1"/>
    <col min="16138" max="16138" width="12.85546875" style="2236" customWidth="1"/>
    <col min="16139" max="16139" width="9.85546875" style="2236" customWidth="1"/>
    <col min="16140" max="16140" width="8.7109375" style="2236" customWidth="1"/>
    <col min="16141" max="16384" width="9.140625" style="2236"/>
  </cols>
  <sheetData>
    <row r="1" spans="1:13" ht="18" customHeight="1" x14ac:dyDescent="0.2">
      <c r="A1" s="2231" t="s">
        <v>3778</v>
      </c>
      <c r="B1" s="2232"/>
      <c r="C1" s="2232"/>
      <c r="D1" s="2232"/>
      <c r="E1" s="2233"/>
      <c r="F1" s="2233"/>
      <c r="G1" s="2234"/>
      <c r="H1" s="2235"/>
    </row>
    <row r="2" spans="1:13" ht="18" customHeight="1" x14ac:dyDescent="0.2">
      <c r="A2" s="2231" t="s">
        <v>1272</v>
      </c>
      <c r="B2" s="2232"/>
      <c r="C2" s="2237"/>
      <c r="D2" s="2232"/>
      <c r="E2" s="2233"/>
      <c r="F2" s="2233"/>
      <c r="G2" s="2234"/>
      <c r="H2" s="2235"/>
    </row>
    <row r="3" spans="1:13" ht="3" customHeight="1" thickBot="1" x14ac:dyDescent="0.25">
      <c r="A3" s="2238"/>
      <c r="B3" s="2239"/>
      <c r="C3" s="2239"/>
      <c r="D3" s="2239"/>
      <c r="E3" s="2239"/>
      <c r="G3" s="2235"/>
      <c r="H3" s="2235"/>
    </row>
    <row r="4" spans="1:13" s="1229" customFormat="1" ht="14.25" thickTop="1" thickBot="1" x14ac:dyDescent="0.25">
      <c r="A4" s="2240"/>
      <c r="B4" s="2241" t="s">
        <v>3779</v>
      </c>
      <c r="C4" s="2242" t="s">
        <v>3780</v>
      </c>
      <c r="D4" s="2243" t="s">
        <v>3781</v>
      </c>
      <c r="E4" s="2243"/>
      <c r="F4" s="3423" t="s">
        <v>3782</v>
      </c>
      <c r="G4" s="3424"/>
      <c r="H4" s="2244"/>
    </row>
    <row r="5" spans="1:13" s="1229" customFormat="1" ht="12.75" x14ac:dyDescent="0.2">
      <c r="A5" s="2245"/>
      <c r="B5" s="2246" t="s">
        <v>3783</v>
      </c>
      <c r="C5" s="2247" t="s">
        <v>3784</v>
      </c>
      <c r="D5" s="2247" t="s">
        <v>3785</v>
      </c>
      <c r="E5" s="2247" t="s">
        <v>3454</v>
      </c>
      <c r="F5" s="3425" t="s">
        <v>243</v>
      </c>
      <c r="G5" s="3426"/>
    </row>
    <row r="6" spans="1:13" s="1229" customFormat="1" ht="12" customHeight="1" x14ac:dyDescent="0.2">
      <c r="A6" s="2245"/>
      <c r="B6" s="2246" t="s">
        <v>3786</v>
      </c>
      <c r="C6" s="2247" t="s">
        <v>3787</v>
      </c>
      <c r="D6" s="2247" t="s">
        <v>3788</v>
      </c>
      <c r="E6" s="2247" t="s">
        <v>3789</v>
      </c>
      <c r="F6" s="3425" t="s">
        <v>3790</v>
      </c>
      <c r="G6" s="3426"/>
    </row>
    <row r="7" spans="1:13" s="1229" customFormat="1" ht="16.5" customHeight="1" x14ac:dyDescent="0.2">
      <c r="A7" s="2245"/>
      <c r="B7" s="2248"/>
      <c r="C7" s="2247" t="s">
        <v>3791</v>
      </c>
      <c r="D7" s="2247"/>
      <c r="E7" s="2247"/>
      <c r="F7" s="3425" t="s">
        <v>3792</v>
      </c>
      <c r="G7" s="3426"/>
    </row>
    <row r="8" spans="1:13" s="2252" customFormat="1" ht="15" customHeight="1" thickBot="1" x14ac:dyDescent="0.25">
      <c r="A8" s="2249"/>
      <c r="B8" s="2250" t="s">
        <v>3724</v>
      </c>
      <c r="C8" s="2251" t="s">
        <v>3724</v>
      </c>
      <c r="D8" s="2251" t="s">
        <v>3724</v>
      </c>
      <c r="E8" s="2251" t="s">
        <v>73</v>
      </c>
      <c r="F8" s="3427" t="s">
        <v>3793</v>
      </c>
      <c r="G8" s="3428"/>
    </row>
    <row r="9" spans="1:13" ht="14.1" customHeight="1" thickTop="1" x14ac:dyDescent="0.2">
      <c r="A9" s="2253">
        <v>42491</v>
      </c>
      <c r="B9" s="2254"/>
      <c r="C9" s="2255"/>
      <c r="D9" s="2255"/>
      <c r="E9" s="2255"/>
      <c r="F9" s="3429"/>
      <c r="G9" s="3430"/>
      <c r="H9" s="2235"/>
      <c r="L9" s="2256"/>
      <c r="M9" s="2257"/>
    </row>
    <row r="10" spans="1:13" ht="15.75" customHeight="1" x14ac:dyDescent="0.2">
      <c r="A10" s="2258" t="s">
        <v>1078</v>
      </c>
      <c r="B10" s="2259">
        <v>79.61</v>
      </c>
      <c r="C10" s="2260">
        <v>4.8</v>
      </c>
      <c r="D10" s="2260">
        <v>85.99</v>
      </c>
      <c r="E10" s="2261">
        <v>3023.32</v>
      </c>
      <c r="F10" s="3433" t="s">
        <v>3794</v>
      </c>
      <c r="G10" s="3434"/>
      <c r="H10" s="2235"/>
      <c r="J10" s="2262"/>
      <c r="K10" s="2263"/>
      <c r="L10" s="2256"/>
    </row>
    <row r="11" spans="1:13" ht="15.75" customHeight="1" x14ac:dyDescent="0.2">
      <c r="A11" s="2264" t="s">
        <v>1079</v>
      </c>
      <c r="B11" s="2259">
        <v>7.12</v>
      </c>
      <c r="C11" s="2260">
        <v>1.24</v>
      </c>
      <c r="D11" s="2260">
        <v>8.89</v>
      </c>
      <c r="E11" s="2261">
        <v>312.5</v>
      </c>
      <c r="F11" s="3433" t="s">
        <v>3795</v>
      </c>
      <c r="G11" s="3434"/>
      <c r="H11" s="2235"/>
      <c r="J11" s="2262"/>
      <c r="K11" s="2263"/>
      <c r="L11" s="2256"/>
      <c r="M11" s="2256"/>
    </row>
    <row r="12" spans="1:13" ht="15.75" customHeight="1" x14ac:dyDescent="0.2">
      <c r="A12" s="2264" t="s">
        <v>1080</v>
      </c>
      <c r="B12" s="2259">
        <v>6.48</v>
      </c>
      <c r="C12" s="2260">
        <v>1.1200000000000001</v>
      </c>
      <c r="D12" s="2260">
        <v>9.58</v>
      </c>
      <c r="E12" s="2261">
        <v>337.76</v>
      </c>
      <c r="F12" s="3433" t="s">
        <v>3796</v>
      </c>
      <c r="G12" s="3434"/>
      <c r="H12" s="2235"/>
      <c r="J12" s="2262"/>
      <c r="K12" s="2263"/>
      <c r="L12" s="2256"/>
      <c r="M12" s="2256"/>
    </row>
    <row r="13" spans="1:13" ht="15.75" customHeight="1" x14ac:dyDescent="0.2">
      <c r="A13" s="2264" t="s">
        <v>1081</v>
      </c>
      <c r="B13" s="2259">
        <v>9.44</v>
      </c>
      <c r="C13" s="2260">
        <v>2.0499999999999998</v>
      </c>
      <c r="D13" s="2260">
        <v>14.45</v>
      </c>
      <c r="E13" s="2261">
        <v>511.39</v>
      </c>
      <c r="F13" s="3433" t="s">
        <v>3797</v>
      </c>
      <c r="G13" s="3434"/>
      <c r="H13" s="2235"/>
      <c r="J13" s="2262"/>
      <c r="K13" s="2263"/>
      <c r="L13" s="2256"/>
    </row>
    <row r="14" spans="1:13" ht="15.75" customHeight="1" x14ac:dyDescent="0.2">
      <c r="A14" s="2258" t="s">
        <v>1082</v>
      </c>
      <c r="B14" s="2259">
        <v>2.95</v>
      </c>
      <c r="C14" s="2260">
        <v>1.1000000000000001</v>
      </c>
      <c r="D14" s="2260">
        <v>4.24</v>
      </c>
      <c r="E14" s="2261">
        <v>150.46</v>
      </c>
      <c r="F14" s="3433">
        <v>35.484999999999999</v>
      </c>
      <c r="G14" s="3434"/>
      <c r="H14" s="2235"/>
      <c r="J14" s="2262"/>
      <c r="K14" s="2263"/>
      <c r="L14" s="2256"/>
    </row>
    <row r="15" spans="1:13" ht="10.5" customHeight="1" thickBot="1" x14ac:dyDescent="0.25">
      <c r="A15" s="2265"/>
      <c r="B15" s="2266"/>
      <c r="C15" s="2267"/>
      <c r="D15" s="2267"/>
      <c r="E15" s="2267"/>
      <c r="F15" s="3435"/>
      <c r="G15" s="3436"/>
      <c r="H15" s="2235"/>
      <c r="J15" s="2262"/>
      <c r="K15" s="2268"/>
      <c r="L15" s="2269"/>
      <c r="M15" s="2269"/>
    </row>
    <row r="16" spans="1:13" ht="14.1" hidden="1" customHeight="1" x14ac:dyDescent="0.2">
      <c r="A16" s="2270">
        <v>37073</v>
      </c>
      <c r="B16" s="2259">
        <v>0</v>
      </c>
      <c r="C16" s="2260">
        <v>1.98</v>
      </c>
      <c r="D16" s="2260">
        <v>1.98</v>
      </c>
      <c r="E16" s="2260">
        <v>58.15</v>
      </c>
      <c r="F16" s="3431" t="s">
        <v>3798</v>
      </c>
      <c r="G16" s="3432"/>
      <c r="H16" s="2235"/>
    </row>
    <row r="17" spans="1:8" ht="14.1" hidden="1" customHeight="1" x14ac:dyDescent="0.2">
      <c r="A17" s="2270">
        <v>37104</v>
      </c>
      <c r="B17" s="2259">
        <v>0</v>
      </c>
      <c r="C17" s="2260">
        <v>0</v>
      </c>
      <c r="D17" s="2260">
        <v>0</v>
      </c>
      <c r="E17" s="2260">
        <v>0</v>
      </c>
      <c r="F17" s="3431" t="s">
        <v>3799</v>
      </c>
      <c r="G17" s="3432"/>
      <c r="H17" s="2235"/>
    </row>
    <row r="18" spans="1:8" ht="14.1" hidden="1" customHeight="1" x14ac:dyDescent="0.2">
      <c r="A18" s="2270">
        <v>37135</v>
      </c>
      <c r="B18" s="2259">
        <v>0</v>
      </c>
      <c r="C18" s="2260">
        <v>1.56</v>
      </c>
      <c r="D18" s="2260">
        <v>1.56</v>
      </c>
      <c r="E18" s="2260">
        <v>46.53</v>
      </c>
      <c r="F18" s="3431" t="s">
        <v>3800</v>
      </c>
      <c r="G18" s="3432"/>
      <c r="H18" s="2235"/>
    </row>
    <row r="19" spans="1:8" ht="14.1" hidden="1" customHeight="1" x14ac:dyDescent="0.2">
      <c r="A19" s="2270">
        <v>37165</v>
      </c>
      <c r="B19" s="2259">
        <v>0.1</v>
      </c>
      <c r="C19" s="2260">
        <v>0.46</v>
      </c>
      <c r="D19" s="2260">
        <v>0.56000000000000005</v>
      </c>
      <c r="E19" s="2260">
        <v>16.829999999999998</v>
      </c>
      <c r="F19" s="3431" t="s">
        <v>3801</v>
      </c>
      <c r="G19" s="3432"/>
      <c r="H19" s="2235"/>
    </row>
    <row r="20" spans="1:8" ht="14.1" hidden="1" customHeight="1" x14ac:dyDescent="0.2">
      <c r="A20" s="2270">
        <v>37196</v>
      </c>
      <c r="B20" s="2259">
        <v>0</v>
      </c>
      <c r="C20" s="2260">
        <v>0</v>
      </c>
      <c r="D20" s="2260" t="s">
        <v>3802</v>
      </c>
      <c r="E20" s="2260">
        <v>5.18</v>
      </c>
      <c r="F20" s="3431" t="s">
        <v>3803</v>
      </c>
      <c r="G20" s="3432"/>
      <c r="H20" s="2235"/>
    </row>
    <row r="21" spans="1:8" ht="14.1" hidden="1" customHeight="1" x14ac:dyDescent="0.2">
      <c r="A21" s="2270">
        <v>37226</v>
      </c>
      <c r="B21" s="2259">
        <v>0.3</v>
      </c>
      <c r="C21" s="2260">
        <v>0.06</v>
      </c>
      <c r="D21" s="2260" t="s">
        <v>3804</v>
      </c>
      <c r="E21" s="2260">
        <v>19.14</v>
      </c>
      <c r="F21" s="3431" t="s">
        <v>3805</v>
      </c>
      <c r="G21" s="3432"/>
      <c r="H21" s="2235"/>
    </row>
    <row r="22" spans="1:8" ht="14.1" hidden="1" customHeight="1" x14ac:dyDescent="0.2">
      <c r="A22" s="2270">
        <v>37530</v>
      </c>
      <c r="B22" s="2259">
        <v>3.89</v>
      </c>
      <c r="C22" s="2260">
        <v>0</v>
      </c>
      <c r="D22" s="2260" t="s">
        <v>3806</v>
      </c>
      <c r="E22" s="2260">
        <v>115.74</v>
      </c>
      <c r="F22" s="3431" t="s">
        <v>3807</v>
      </c>
      <c r="G22" s="3432"/>
      <c r="H22" s="2235"/>
    </row>
    <row r="23" spans="1:8" ht="14.1" hidden="1" customHeight="1" x14ac:dyDescent="0.2">
      <c r="A23" s="2270">
        <v>37895</v>
      </c>
      <c r="B23" s="2259">
        <v>1.75</v>
      </c>
      <c r="C23" s="2260">
        <v>1.99</v>
      </c>
      <c r="D23" s="2260" t="s">
        <v>3808</v>
      </c>
      <c r="E23" s="2260">
        <v>106.74</v>
      </c>
      <c r="F23" s="3431" t="s">
        <v>3809</v>
      </c>
      <c r="G23" s="3432"/>
      <c r="H23" s="2235"/>
    </row>
    <row r="24" spans="1:8" ht="14.1" hidden="1" customHeight="1" x14ac:dyDescent="0.2">
      <c r="A24" s="2270">
        <v>38534</v>
      </c>
      <c r="B24" s="2259">
        <v>2.0299999999999998</v>
      </c>
      <c r="C24" s="2260">
        <v>1</v>
      </c>
      <c r="D24" s="2260" t="s">
        <v>3810</v>
      </c>
      <c r="E24" s="2260">
        <v>100.76</v>
      </c>
      <c r="F24" s="3431" t="s">
        <v>3811</v>
      </c>
      <c r="G24" s="3432"/>
      <c r="H24" s="2235"/>
    </row>
    <row r="25" spans="1:8" ht="14.1" hidden="1" customHeight="1" x14ac:dyDescent="0.2">
      <c r="A25" s="2271">
        <v>38596</v>
      </c>
      <c r="B25" s="2259">
        <v>5.1100000000000003</v>
      </c>
      <c r="C25" s="2260">
        <v>0.66</v>
      </c>
      <c r="D25" s="2260" t="s">
        <v>3812</v>
      </c>
      <c r="E25" s="2260">
        <v>210.7</v>
      </c>
      <c r="F25" s="3431" t="s">
        <v>3813</v>
      </c>
      <c r="G25" s="3432"/>
      <c r="H25" s="2235"/>
    </row>
    <row r="26" spans="1:8" ht="14.1" hidden="1" customHeight="1" x14ac:dyDescent="0.2">
      <c r="A26" s="2270">
        <v>38657</v>
      </c>
      <c r="B26" s="2259">
        <v>0.4</v>
      </c>
      <c r="C26" s="2260">
        <v>1.36</v>
      </c>
      <c r="D26" s="2260" t="s">
        <v>3814</v>
      </c>
      <c r="E26" s="2260">
        <v>68.89</v>
      </c>
      <c r="F26" s="3431" t="s">
        <v>3815</v>
      </c>
      <c r="G26" s="3432"/>
      <c r="H26" s="2235"/>
    </row>
    <row r="27" spans="1:8" ht="14.1" hidden="1" customHeight="1" x14ac:dyDescent="0.2">
      <c r="A27" s="2270">
        <v>38687</v>
      </c>
      <c r="B27" s="2259">
        <v>5.91</v>
      </c>
      <c r="C27" s="2260">
        <v>0.7</v>
      </c>
      <c r="D27" s="2260" t="s">
        <v>3816</v>
      </c>
      <c r="E27" s="2260">
        <v>540.69000000000005</v>
      </c>
      <c r="F27" s="3431" t="s">
        <v>3817</v>
      </c>
      <c r="G27" s="3432"/>
      <c r="H27" s="2235"/>
    </row>
    <row r="28" spans="1:8" ht="14.1" hidden="1" customHeight="1" x14ac:dyDescent="0.2">
      <c r="A28" s="2270">
        <v>38718</v>
      </c>
      <c r="B28" s="2259">
        <v>1.66</v>
      </c>
      <c r="C28" s="2260">
        <v>1.57</v>
      </c>
      <c r="D28" s="2260" t="s">
        <v>3818</v>
      </c>
      <c r="E28" s="2260">
        <v>148.76</v>
      </c>
      <c r="F28" s="3431" t="s">
        <v>3819</v>
      </c>
      <c r="G28" s="3432"/>
      <c r="H28" s="2235"/>
    </row>
    <row r="29" spans="1:8" ht="14.1" hidden="1" customHeight="1" x14ac:dyDescent="0.2">
      <c r="A29" s="2270">
        <v>38749</v>
      </c>
      <c r="B29" s="2259">
        <v>0.17</v>
      </c>
      <c r="C29" s="2260">
        <v>0.26</v>
      </c>
      <c r="D29" s="2260" t="s">
        <v>3820</v>
      </c>
      <c r="E29" s="2260">
        <v>53.89</v>
      </c>
      <c r="F29" s="3431" t="s">
        <v>3821</v>
      </c>
      <c r="G29" s="3432"/>
      <c r="H29" s="2235"/>
    </row>
    <row r="30" spans="1:8" ht="14.1" hidden="1" customHeight="1" x14ac:dyDescent="0.2">
      <c r="A30" s="2270">
        <v>38777</v>
      </c>
      <c r="B30" s="2259">
        <v>0.36</v>
      </c>
      <c r="C30" s="2260">
        <v>0.67</v>
      </c>
      <c r="D30" s="2260" t="s">
        <v>3822</v>
      </c>
      <c r="E30" s="2260">
        <v>414.24</v>
      </c>
      <c r="F30" s="3431" t="s">
        <v>3823</v>
      </c>
      <c r="G30" s="3432"/>
      <c r="H30" s="2235"/>
    </row>
    <row r="31" spans="1:8" ht="14.1" hidden="1" customHeight="1" x14ac:dyDescent="0.2">
      <c r="A31" s="2270">
        <v>38808</v>
      </c>
      <c r="B31" s="2259">
        <v>0.74</v>
      </c>
      <c r="C31" s="2260">
        <v>0.25</v>
      </c>
      <c r="D31" s="2260" t="s">
        <v>3824</v>
      </c>
      <c r="E31" s="2260">
        <v>116.01</v>
      </c>
      <c r="F31" s="3431" t="s">
        <v>3825</v>
      </c>
      <c r="G31" s="3432"/>
      <c r="H31" s="2235"/>
    </row>
    <row r="32" spans="1:8" ht="14.1" hidden="1" customHeight="1" x14ac:dyDescent="0.2">
      <c r="A32" s="2270">
        <v>38838</v>
      </c>
      <c r="B32" s="2259">
        <v>0.23</v>
      </c>
      <c r="C32" s="2260">
        <v>0.94</v>
      </c>
      <c r="D32" s="2260" t="s">
        <v>3826</v>
      </c>
      <c r="E32" s="2260">
        <v>50.61</v>
      </c>
      <c r="F32" s="3437">
        <v>30.922499999999999</v>
      </c>
      <c r="G32" s="3434"/>
      <c r="H32" s="2235"/>
    </row>
    <row r="33" spans="1:8" ht="14.1" hidden="1" customHeight="1" x14ac:dyDescent="0.2">
      <c r="A33" s="2270">
        <v>38869</v>
      </c>
      <c r="B33" s="2259">
        <v>0.49</v>
      </c>
      <c r="C33" s="2260">
        <v>0.76</v>
      </c>
      <c r="D33" s="2260" t="s">
        <v>3827</v>
      </c>
      <c r="E33" s="2260">
        <v>52.15</v>
      </c>
      <c r="F33" s="3437" t="s">
        <v>3828</v>
      </c>
      <c r="G33" s="3434"/>
      <c r="H33" s="2235"/>
    </row>
    <row r="34" spans="1:8" ht="14.1" hidden="1" customHeight="1" x14ac:dyDescent="0.2">
      <c r="A34" s="2270">
        <v>38899</v>
      </c>
      <c r="B34" s="2259">
        <v>0.44</v>
      </c>
      <c r="C34" s="2260">
        <v>4.05</v>
      </c>
      <c r="D34" s="2260" t="s">
        <v>3829</v>
      </c>
      <c r="E34" s="2260">
        <v>155.75</v>
      </c>
      <c r="F34" s="3437" t="s">
        <v>3830</v>
      </c>
      <c r="G34" s="3434"/>
      <c r="H34" s="2235"/>
    </row>
    <row r="35" spans="1:8" ht="14.1" hidden="1" customHeight="1" x14ac:dyDescent="0.2">
      <c r="A35" s="2270">
        <v>38930</v>
      </c>
      <c r="B35" s="2259">
        <v>1.01</v>
      </c>
      <c r="C35" s="2260">
        <v>2.2000000000000002</v>
      </c>
      <c r="D35" s="2260" t="s">
        <v>3831</v>
      </c>
      <c r="E35" s="2260">
        <v>115.01</v>
      </c>
      <c r="F35" s="3437" t="s">
        <v>3832</v>
      </c>
      <c r="G35" s="3434"/>
      <c r="H35" s="2235"/>
    </row>
    <row r="36" spans="1:8" ht="14.1" hidden="1" customHeight="1" x14ac:dyDescent="0.2">
      <c r="A36" s="2270">
        <v>38961</v>
      </c>
      <c r="B36" s="2259">
        <v>1.93</v>
      </c>
      <c r="C36" s="2260">
        <v>2.31</v>
      </c>
      <c r="D36" s="2260" t="s">
        <v>3833</v>
      </c>
      <c r="E36" s="2260">
        <v>456.78</v>
      </c>
      <c r="F36" s="3437" t="s">
        <v>3834</v>
      </c>
      <c r="G36" s="3434"/>
      <c r="H36" s="2235"/>
    </row>
    <row r="37" spans="1:8" ht="14.1" hidden="1" customHeight="1" x14ac:dyDescent="0.2">
      <c r="A37" s="2270">
        <v>38991</v>
      </c>
      <c r="B37" s="2259">
        <v>0.4</v>
      </c>
      <c r="C37" s="2260">
        <v>0.75</v>
      </c>
      <c r="D37" s="2260" t="s">
        <v>3835</v>
      </c>
      <c r="E37" s="2260">
        <v>49.98</v>
      </c>
      <c r="F37" s="3437" t="s">
        <v>3836</v>
      </c>
      <c r="G37" s="3434"/>
      <c r="H37" s="2235"/>
    </row>
    <row r="38" spans="1:8" ht="14.1" hidden="1" customHeight="1" x14ac:dyDescent="0.2">
      <c r="A38" s="2270">
        <v>39022</v>
      </c>
      <c r="B38" s="2259">
        <v>0.56000000000000005</v>
      </c>
      <c r="C38" s="2260">
        <v>1.94</v>
      </c>
      <c r="D38" s="2260" t="s">
        <v>3837</v>
      </c>
      <c r="E38" s="2260">
        <v>112.75</v>
      </c>
      <c r="F38" s="3437" t="s">
        <v>3838</v>
      </c>
      <c r="G38" s="3434"/>
      <c r="H38" s="2235"/>
    </row>
    <row r="39" spans="1:8" ht="14.1" hidden="1" customHeight="1" x14ac:dyDescent="0.2">
      <c r="A39" s="2270">
        <v>39052</v>
      </c>
      <c r="B39" s="2259">
        <v>0.5</v>
      </c>
      <c r="C39" s="2260">
        <v>1.61</v>
      </c>
      <c r="D39" s="2260" t="s">
        <v>3839</v>
      </c>
      <c r="E39" s="2260">
        <v>83.33</v>
      </c>
      <c r="F39" s="3437" t="s">
        <v>3840</v>
      </c>
      <c r="G39" s="3434"/>
      <c r="H39" s="2235"/>
    </row>
    <row r="40" spans="1:8" ht="14.1" hidden="1" customHeight="1" x14ac:dyDescent="0.2">
      <c r="A40" s="2270">
        <v>39083</v>
      </c>
      <c r="B40" s="2259">
        <v>0.25</v>
      </c>
      <c r="C40" s="2260">
        <v>0.81</v>
      </c>
      <c r="D40" s="2260" t="s">
        <v>3841</v>
      </c>
      <c r="E40" s="2260">
        <v>46.62</v>
      </c>
      <c r="F40" s="3437" t="s">
        <v>3842</v>
      </c>
      <c r="G40" s="3434"/>
      <c r="H40" s="2235"/>
    </row>
    <row r="41" spans="1:8" ht="14.1" hidden="1" customHeight="1" x14ac:dyDescent="0.2">
      <c r="A41" s="2270">
        <v>39114</v>
      </c>
      <c r="B41" s="2259">
        <v>16.86</v>
      </c>
      <c r="C41" s="2260">
        <v>2.95</v>
      </c>
      <c r="D41" s="2260" t="s">
        <v>3843</v>
      </c>
      <c r="E41" s="2260">
        <v>666.46</v>
      </c>
      <c r="F41" s="3437" t="s">
        <v>3844</v>
      </c>
      <c r="G41" s="3434"/>
      <c r="H41" s="2235"/>
    </row>
    <row r="42" spans="1:8" ht="14.1" hidden="1" customHeight="1" x14ac:dyDescent="0.2">
      <c r="A42" s="2270">
        <v>39142</v>
      </c>
      <c r="B42" s="2259">
        <v>4.4000000000000004</v>
      </c>
      <c r="C42" s="2260">
        <v>1.45</v>
      </c>
      <c r="D42" s="2260" t="s">
        <v>3845</v>
      </c>
      <c r="E42" s="2260">
        <v>226.42</v>
      </c>
      <c r="F42" s="3437" t="s">
        <v>3846</v>
      </c>
      <c r="G42" s="3434"/>
      <c r="H42" s="2235"/>
    </row>
    <row r="43" spans="1:8" ht="14.1" hidden="1" customHeight="1" x14ac:dyDescent="0.2">
      <c r="A43" s="2270">
        <v>39173</v>
      </c>
      <c r="B43" s="2259">
        <v>5.85</v>
      </c>
      <c r="C43" s="2260">
        <v>0.64</v>
      </c>
      <c r="D43" s="2260" t="s">
        <v>3847</v>
      </c>
      <c r="E43" s="2260">
        <v>244.12</v>
      </c>
      <c r="F43" s="3437" t="s">
        <v>3848</v>
      </c>
      <c r="G43" s="3434"/>
      <c r="H43" s="2235"/>
    </row>
    <row r="44" spans="1:8" ht="14.1" hidden="1" customHeight="1" x14ac:dyDescent="0.2">
      <c r="A44" s="2270">
        <v>39203</v>
      </c>
      <c r="B44" s="2259">
        <v>8.9600000000000009</v>
      </c>
      <c r="C44" s="2260">
        <v>1.31</v>
      </c>
      <c r="D44" s="2260" t="s">
        <v>3849</v>
      </c>
      <c r="E44" s="2260">
        <v>342.3</v>
      </c>
      <c r="F44" s="3437" t="s">
        <v>3850</v>
      </c>
      <c r="G44" s="3434"/>
      <c r="H44" s="2235"/>
    </row>
    <row r="45" spans="1:8" ht="14.1" hidden="1" customHeight="1" x14ac:dyDescent="0.2">
      <c r="A45" s="2270">
        <v>39234</v>
      </c>
      <c r="B45" s="2259">
        <v>4.5599999999999996</v>
      </c>
      <c r="C45" s="2260">
        <v>1.66</v>
      </c>
      <c r="D45" s="2260" t="s">
        <v>3851</v>
      </c>
      <c r="E45" s="2260">
        <v>209.69</v>
      </c>
      <c r="F45" s="3437" t="s">
        <v>3852</v>
      </c>
      <c r="G45" s="3434"/>
      <c r="H45" s="2235"/>
    </row>
    <row r="46" spans="1:8" ht="14.1" hidden="1" customHeight="1" x14ac:dyDescent="0.2">
      <c r="A46" s="2270">
        <v>39264</v>
      </c>
      <c r="B46" s="2259">
        <v>7.6</v>
      </c>
      <c r="C46" s="2260">
        <v>1.08</v>
      </c>
      <c r="D46" s="2260" t="s">
        <v>3853</v>
      </c>
      <c r="E46" s="2260">
        <v>288.64999999999998</v>
      </c>
      <c r="F46" s="3437" t="s">
        <v>3854</v>
      </c>
      <c r="G46" s="3434"/>
      <c r="H46" s="2235"/>
    </row>
    <row r="47" spans="1:8" ht="14.1" hidden="1" customHeight="1" x14ac:dyDescent="0.2">
      <c r="A47" s="2270">
        <v>39295</v>
      </c>
      <c r="B47" s="2259">
        <v>2.38</v>
      </c>
      <c r="C47" s="2260">
        <v>0.96</v>
      </c>
      <c r="D47" s="2260" t="s">
        <v>3855</v>
      </c>
      <c r="E47" s="2260">
        <v>124.61</v>
      </c>
      <c r="F47" s="3437" t="s">
        <v>3856</v>
      </c>
      <c r="G47" s="3434"/>
      <c r="H47" s="2235"/>
    </row>
    <row r="48" spans="1:8" ht="14.1" hidden="1" customHeight="1" x14ac:dyDescent="0.2">
      <c r="A48" s="2270">
        <v>39326</v>
      </c>
      <c r="B48" s="2259">
        <v>8.48</v>
      </c>
      <c r="C48" s="2260">
        <v>1.53</v>
      </c>
      <c r="D48" s="2260" t="s">
        <v>3857</v>
      </c>
      <c r="E48" s="2260">
        <v>335.52</v>
      </c>
      <c r="F48" s="3437" t="s">
        <v>3858</v>
      </c>
      <c r="G48" s="3434"/>
      <c r="H48" s="2235"/>
    </row>
    <row r="49" spans="1:8" ht="14.1" hidden="1" customHeight="1" x14ac:dyDescent="0.2">
      <c r="A49" s="2270">
        <v>39387</v>
      </c>
      <c r="B49" s="2259">
        <v>3.45</v>
      </c>
      <c r="C49" s="2260">
        <v>5.52</v>
      </c>
      <c r="D49" s="2260" t="s">
        <v>3859</v>
      </c>
      <c r="E49" s="2260">
        <v>290.58</v>
      </c>
      <c r="F49" s="3437" t="s">
        <v>3860</v>
      </c>
      <c r="G49" s="3434"/>
      <c r="H49" s="2235"/>
    </row>
    <row r="50" spans="1:8" ht="14.1" hidden="1" customHeight="1" x14ac:dyDescent="0.2">
      <c r="A50" s="2270">
        <v>39417</v>
      </c>
      <c r="B50" s="2259">
        <v>3.96</v>
      </c>
      <c r="C50" s="2260">
        <v>3.16</v>
      </c>
      <c r="D50" s="2260" t="s">
        <v>3861</v>
      </c>
      <c r="E50" s="2260">
        <v>264.17</v>
      </c>
      <c r="F50" s="3437" t="s">
        <v>3862</v>
      </c>
      <c r="G50" s="3434"/>
      <c r="H50" s="2235"/>
    </row>
    <row r="51" spans="1:8" ht="14.1" hidden="1" customHeight="1" x14ac:dyDescent="0.2">
      <c r="A51" s="2270">
        <v>39448</v>
      </c>
      <c r="B51" s="2259">
        <v>5.99</v>
      </c>
      <c r="C51" s="2260">
        <v>2.34</v>
      </c>
      <c r="D51" s="2260" t="s">
        <v>3863</v>
      </c>
      <c r="E51" s="2260">
        <v>274.18</v>
      </c>
      <c r="F51" s="3437" t="s">
        <v>3864</v>
      </c>
      <c r="G51" s="3434"/>
      <c r="H51" s="2235"/>
    </row>
    <row r="52" spans="1:8" ht="14.1" hidden="1" customHeight="1" x14ac:dyDescent="0.2">
      <c r="A52" s="2270">
        <v>39479</v>
      </c>
      <c r="B52" s="2259">
        <v>8.43</v>
      </c>
      <c r="C52" s="2260">
        <v>13.15</v>
      </c>
      <c r="D52" s="2260" t="s">
        <v>3865</v>
      </c>
      <c r="E52" s="2260">
        <v>665.18</v>
      </c>
      <c r="F52" s="3437" t="s">
        <v>3866</v>
      </c>
      <c r="G52" s="3434"/>
      <c r="H52" s="2235"/>
    </row>
    <row r="53" spans="1:8" ht="14.1" hidden="1" customHeight="1" x14ac:dyDescent="0.2">
      <c r="A53" s="2270">
        <v>39508</v>
      </c>
      <c r="B53" s="2259">
        <v>3.91</v>
      </c>
      <c r="C53" s="2260">
        <v>18.399999999999999</v>
      </c>
      <c r="D53" s="2260" t="s">
        <v>3867</v>
      </c>
      <c r="E53" s="2260">
        <v>621.45000000000005</v>
      </c>
      <c r="F53" s="3437" t="s">
        <v>3868</v>
      </c>
      <c r="G53" s="3434"/>
      <c r="H53" s="2235"/>
    </row>
    <row r="54" spans="1:8" ht="14.1" hidden="1" customHeight="1" x14ac:dyDescent="0.2">
      <c r="A54" s="2270">
        <v>39539</v>
      </c>
      <c r="B54" s="2259">
        <v>4.55</v>
      </c>
      <c r="C54" s="2260">
        <v>6.63</v>
      </c>
      <c r="D54" s="2260" t="s">
        <v>3869</v>
      </c>
      <c r="E54" s="2260">
        <v>354.72</v>
      </c>
      <c r="F54" s="3437" t="s">
        <v>3870</v>
      </c>
      <c r="G54" s="3434"/>
      <c r="H54" s="2235"/>
    </row>
    <row r="55" spans="1:8" ht="14.1" hidden="1" customHeight="1" x14ac:dyDescent="0.2">
      <c r="A55" s="2270">
        <v>39569</v>
      </c>
      <c r="B55" s="2259">
        <v>11.79</v>
      </c>
      <c r="C55" s="2260">
        <v>7.15</v>
      </c>
      <c r="D55" s="2260" t="s">
        <v>3871</v>
      </c>
      <c r="E55" s="2260">
        <v>567.78</v>
      </c>
      <c r="F55" s="3437" t="s">
        <v>3872</v>
      </c>
      <c r="G55" s="3434"/>
      <c r="H55" s="2235"/>
    </row>
    <row r="56" spans="1:8" ht="14.1" hidden="1" customHeight="1" x14ac:dyDescent="0.2">
      <c r="A56" s="2270">
        <v>39600</v>
      </c>
      <c r="B56" s="2259">
        <v>4.1100000000000003</v>
      </c>
      <c r="C56" s="2260">
        <v>16.68</v>
      </c>
      <c r="D56" s="2260" t="s">
        <v>3873</v>
      </c>
      <c r="E56" s="2260">
        <v>579.89</v>
      </c>
      <c r="F56" s="3437" t="s">
        <v>3874</v>
      </c>
      <c r="G56" s="3434"/>
      <c r="H56" s="2235"/>
    </row>
    <row r="57" spans="1:8" ht="14.1" hidden="1" customHeight="1" x14ac:dyDescent="0.2">
      <c r="A57" s="2270">
        <v>39630</v>
      </c>
      <c r="B57" s="2259">
        <v>5.43</v>
      </c>
      <c r="C57" s="2260">
        <v>13.57</v>
      </c>
      <c r="D57" s="2260" t="s">
        <v>3875</v>
      </c>
      <c r="E57" s="2260">
        <v>537.29</v>
      </c>
      <c r="F57" s="3438" t="s">
        <v>3876</v>
      </c>
      <c r="G57" s="3439"/>
      <c r="H57" s="2235"/>
    </row>
    <row r="58" spans="1:8" ht="14.1" hidden="1" customHeight="1" x14ac:dyDescent="0.2">
      <c r="A58" s="2270">
        <v>39661</v>
      </c>
      <c r="B58" s="2259">
        <v>1.95</v>
      </c>
      <c r="C58" s="2260">
        <v>1.71</v>
      </c>
      <c r="D58" s="2260" t="s">
        <v>3877</v>
      </c>
      <c r="E58" s="2260">
        <v>165.77</v>
      </c>
      <c r="F58" s="3437" t="s">
        <v>3878</v>
      </c>
      <c r="G58" s="3434"/>
      <c r="H58" s="2235"/>
    </row>
    <row r="59" spans="1:8" ht="14.1" hidden="1" customHeight="1" x14ac:dyDescent="0.2">
      <c r="A59" s="2270">
        <v>39722</v>
      </c>
      <c r="B59" s="2259">
        <v>1.3</v>
      </c>
      <c r="C59" s="2260">
        <v>12.87</v>
      </c>
      <c r="D59" s="2260" t="s">
        <v>3879</v>
      </c>
      <c r="E59" s="2260">
        <v>464.44</v>
      </c>
      <c r="F59" s="3437" t="s">
        <v>3880</v>
      </c>
      <c r="G59" s="3434"/>
      <c r="H59" s="2235"/>
    </row>
    <row r="60" spans="1:8" ht="14.1" hidden="1" customHeight="1" x14ac:dyDescent="0.2">
      <c r="A60" s="2270">
        <v>39753</v>
      </c>
      <c r="B60" s="2259">
        <v>2.66</v>
      </c>
      <c r="C60" s="2260">
        <v>6.73</v>
      </c>
      <c r="D60" s="2260" t="s">
        <v>3881</v>
      </c>
      <c r="E60" s="2260">
        <v>326.2</v>
      </c>
      <c r="F60" s="3437" t="s">
        <v>3882</v>
      </c>
      <c r="G60" s="3434"/>
      <c r="H60" s="2235"/>
    </row>
    <row r="61" spans="1:8" ht="14.1" hidden="1" customHeight="1" x14ac:dyDescent="0.2">
      <c r="A61" s="2270">
        <v>39783</v>
      </c>
      <c r="B61" s="2259">
        <v>4.08</v>
      </c>
      <c r="C61" s="2260">
        <v>11.7</v>
      </c>
      <c r="D61" s="2260" t="s">
        <v>3883</v>
      </c>
      <c r="E61" s="2260">
        <v>558.11</v>
      </c>
      <c r="F61" s="3437" t="s">
        <v>3884</v>
      </c>
      <c r="G61" s="3434"/>
      <c r="H61" s="2235"/>
    </row>
    <row r="62" spans="1:8" ht="14.1" hidden="1" customHeight="1" x14ac:dyDescent="0.2">
      <c r="A62" s="2270">
        <v>39814</v>
      </c>
      <c r="B62" s="2259">
        <v>3.52</v>
      </c>
      <c r="C62" s="2260">
        <v>3.45</v>
      </c>
      <c r="D62" s="2260" t="s">
        <v>3885</v>
      </c>
      <c r="E62" s="2260">
        <v>261.17</v>
      </c>
      <c r="F62" s="3437" t="s">
        <v>3886</v>
      </c>
      <c r="G62" s="3434"/>
      <c r="H62" s="2235"/>
    </row>
    <row r="63" spans="1:8" ht="14.1" hidden="1" customHeight="1" x14ac:dyDescent="0.2">
      <c r="A63" s="2270">
        <v>39845</v>
      </c>
      <c r="B63" s="2259">
        <v>6.68</v>
      </c>
      <c r="C63" s="2260">
        <v>3.28</v>
      </c>
      <c r="D63" s="2260" t="s">
        <v>3887</v>
      </c>
      <c r="E63" s="2260">
        <v>437.05</v>
      </c>
      <c r="F63" s="3438" t="s">
        <v>3888</v>
      </c>
      <c r="G63" s="3439"/>
      <c r="H63" s="2235"/>
    </row>
    <row r="64" spans="1:8" ht="14.1" hidden="1" customHeight="1" x14ac:dyDescent="0.2">
      <c r="A64" s="2270">
        <v>39873</v>
      </c>
      <c r="B64" s="2259">
        <v>4.8099999999999996</v>
      </c>
      <c r="C64" s="2260">
        <v>7.3</v>
      </c>
      <c r="D64" s="2260" t="s">
        <v>3889</v>
      </c>
      <c r="E64" s="2260">
        <v>488.8</v>
      </c>
      <c r="F64" s="3438" t="s">
        <v>3890</v>
      </c>
      <c r="G64" s="3439"/>
      <c r="H64" s="2235"/>
    </row>
    <row r="65" spans="1:8" ht="14.1" hidden="1" customHeight="1" x14ac:dyDescent="0.2">
      <c r="A65" s="2270">
        <v>39904</v>
      </c>
      <c r="B65" s="2259">
        <v>4.34</v>
      </c>
      <c r="C65" s="2260">
        <v>7.63</v>
      </c>
      <c r="D65" s="2260" t="s">
        <v>3891</v>
      </c>
      <c r="E65" s="2260">
        <v>429.09</v>
      </c>
      <c r="F65" s="3438" t="s">
        <v>3892</v>
      </c>
      <c r="G65" s="3439"/>
      <c r="H65" s="2235"/>
    </row>
    <row r="66" spans="1:8" ht="14.1" hidden="1" customHeight="1" x14ac:dyDescent="0.2">
      <c r="A66" s="2270">
        <v>39934</v>
      </c>
      <c r="B66" s="2259">
        <v>2.41</v>
      </c>
      <c r="C66" s="2260">
        <v>5.57</v>
      </c>
      <c r="D66" s="2260" t="s">
        <v>3893</v>
      </c>
      <c r="E66" s="2260">
        <v>304.04000000000002</v>
      </c>
      <c r="F66" s="3437" t="s">
        <v>3894</v>
      </c>
      <c r="G66" s="3434"/>
      <c r="H66" s="2235"/>
    </row>
    <row r="67" spans="1:8" ht="14.1" hidden="1" customHeight="1" x14ac:dyDescent="0.2">
      <c r="A67" s="2270">
        <v>39965</v>
      </c>
      <c r="B67" s="2259">
        <v>3.08</v>
      </c>
      <c r="C67" s="2260">
        <v>6.08</v>
      </c>
      <c r="D67" s="2260" t="s">
        <v>3895</v>
      </c>
      <c r="E67" s="2260">
        <v>374.1</v>
      </c>
      <c r="F67" s="3437" t="s">
        <v>3896</v>
      </c>
      <c r="G67" s="3434"/>
      <c r="H67" s="2235"/>
    </row>
    <row r="68" spans="1:8" ht="14.1" hidden="1" customHeight="1" x14ac:dyDescent="0.2">
      <c r="A68" s="2270">
        <v>39995</v>
      </c>
      <c r="B68" s="2259">
        <v>3.62</v>
      </c>
      <c r="C68" s="2260">
        <v>3.56</v>
      </c>
      <c r="D68" s="2260" t="s">
        <v>3897</v>
      </c>
      <c r="E68" s="2260">
        <v>289.12</v>
      </c>
      <c r="F68" s="3437" t="s">
        <v>3898</v>
      </c>
      <c r="G68" s="3434"/>
      <c r="H68" s="2235"/>
    </row>
    <row r="69" spans="1:8" ht="14.1" hidden="1" customHeight="1" x14ac:dyDescent="0.2">
      <c r="A69" s="2270">
        <v>40026</v>
      </c>
      <c r="B69" s="2259">
        <v>6.85</v>
      </c>
      <c r="C69" s="2260">
        <v>1.93</v>
      </c>
      <c r="D69" s="2260" t="s">
        <v>3899</v>
      </c>
      <c r="E69" s="2260">
        <v>582.69000000000005</v>
      </c>
      <c r="F69" s="3437" t="s">
        <v>3900</v>
      </c>
      <c r="G69" s="3434"/>
      <c r="H69" s="2235"/>
    </row>
    <row r="70" spans="1:8" ht="14.1" hidden="1" customHeight="1" x14ac:dyDescent="0.2">
      <c r="A70" s="2270">
        <v>40057</v>
      </c>
      <c r="B70" s="2259">
        <v>22.08</v>
      </c>
      <c r="C70" s="2260">
        <v>1.18</v>
      </c>
      <c r="D70" s="2260" t="s">
        <v>3901</v>
      </c>
      <c r="E70" s="2261">
        <v>1111.92</v>
      </c>
      <c r="F70" s="3437" t="s">
        <v>3902</v>
      </c>
      <c r="G70" s="3434"/>
      <c r="H70" s="2235"/>
    </row>
    <row r="71" spans="1:8" ht="14.1" hidden="1" customHeight="1" x14ac:dyDescent="0.2">
      <c r="A71" s="2270">
        <v>40087</v>
      </c>
      <c r="B71" s="2259">
        <v>24.84</v>
      </c>
      <c r="C71" s="2260">
        <v>6.38</v>
      </c>
      <c r="D71" s="2260" t="s">
        <v>3903</v>
      </c>
      <c r="E71" s="2261">
        <v>1261</v>
      </c>
      <c r="F71" s="3437" t="s">
        <v>3904</v>
      </c>
      <c r="G71" s="3434"/>
      <c r="H71" s="2235"/>
    </row>
    <row r="72" spans="1:8" ht="14.1" hidden="1" customHeight="1" x14ac:dyDescent="0.2">
      <c r="A72" s="2270">
        <v>40118</v>
      </c>
      <c r="B72" s="2259">
        <v>21.1</v>
      </c>
      <c r="C72" s="2260">
        <v>3.05</v>
      </c>
      <c r="D72" s="2260" t="s">
        <v>3905</v>
      </c>
      <c r="E72" s="2261">
        <v>1456.85</v>
      </c>
      <c r="F72" s="3437" t="s">
        <v>3906</v>
      </c>
      <c r="G72" s="3434"/>
      <c r="H72" s="2235"/>
    </row>
    <row r="73" spans="1:8" ht="14.1" hidden="1" customHeight="1" x14ac:dyDescent="0.2">
      <c r="A73" s="2270">
        <v>40148</v>
      </c>
      <c r="B73" s="2259">
        <v>11.45</v>
      </c>
      <c r="C73" s="2260">
        <v>4</v>
      </c>
      <c r="D73" s="2260" t="s">
        <v>3907</v>
      </c>
      <c r="E73" s="2261">
        <v>1080.6500000000001</v>
      </c>
      <c r="F73" s="3437" t="s">
        <v>3908</v>
      </c>
      <c r="G73" s="3434"/>
      <c r="H73" s="2235"/>
    </row>
    <row r="74" spans="1:8" ht="14.1" hidden="1" customHeight="1" x14ac:dyDescent="0.2">
      <c r="A74" s="2270">
        <v>40179</v>
      </c>
      <c r="B74" s="2259">
        <v>27.21</v>
      </c>
      <c r="C74" s="2260">
        <v>3.38</v>
      </c>
      <c r="D74" s="2260" t="s">
        <v>3909</v>
      </c>
      <c r="E74" s="2261">
        <v>1222.32</v>
      </c>
      <c r="F74" s="3437" t="s">
        <v>3910</v>
      </c>
      <c r="G74" s="3434"/>
      <c r="H74" s="2235"/>
    </row>
    <row r="75" spans="1:8" ht="14.1" hidden="1" customHeight="1" x14ac:dyDescent="0.2">
      <c r="A75" s="2270">
        <v>40210</v>
      </c>
      <c r="B75" s="2259">
        <v>19.239999999999998</v>
      </c>
      <c r="C75" s="2260">
        <v>3.63</v>
      </c>
      <c r="D75" s="2260" t="s">
        <v>3911</v>
      </c>
      <c r="E75" s="2261">
        <v>951.84</v>
      </c>
      <c r="F75" s="3437" t="s">
        <v>3912</v>
      </c>
      <c r="G75" s="3434"/>
      <c r="H75" s="2235"/>
    </row>
    <row r="76" spans="1:8" ht="14.1" hidden="1" customHeight="1" x14ac:dyDescent="0.2">
      <c r="A76" s="2270">
        <v>40238</v>
      </c>
      <c r="B76" s="2259">
        <v>23.2</v>
      </c>
      <c r="C76" s="2260">
        <v>12.02</v>
      </c>
      <c r="D76" s="2260" t="s">
        <v>3913</v>
      </c>
      <c r="E76" s="2261">
        <v>1425.47</v>
      </c>
      <c r="F76" s="3437" t="s">
        <v>3914</v>
      </c>
      <c r="G76" s="3434"/>
      <c r="H76" s="2235"/>
    </row>
    <row r="77" spans="1:8" ht="14.1" hidden="1" customHeight="1" x14ac:dyDescent="0.2">
      <c r="A77" s="2270">
        <v>40269</v>
      </c>
      <c r="B77" s="2259">
        <v>16.72</v>
      </c>
      <c r="C77" s="2260">
        <v>8</v>
      </c>
      <c r="D77" s="2260" t="s">
        <v>3915</v>
      </c>
      <c r="E77" s="2261">
        <v>947.83</v>
      </c>
      <c r="F77" s="3437" t="s">
        <v>3916</v>
      </c>
      <c r="G77" s="3434"/>
      <c r="H77" s="2235"/>
    </row>
    <row r="78" spans="1:8" ht="14.1" hidden="1" customHeight="1" x14ac:dyDescent="0.2">
      <c r="A78" s="2270">
        <v>40299</v>
      </c>
      <c r="B78" s="2259">
        <v>18.41</v>
      </c>
      <c r="C78" s="2260">
        <v>12.21</v>
      </c>
      <c r="D78" s="2260" t="s">
        <v>3917</v>
      </c>
      <c r="E78" s="2261">
        <v>1336.56</v>
      </c>
      <c r="F78" s="3437" t="s">
        <v>3918</v>
      </c>
      <c r="G78" s="3434"/>
      <c r="H78" s="2235"/>
    </row>
    <row r="79" spans="1:8" ht="14.1" hidden="1" customHeight="1" x14ac:dyDescent="0.2">
      <c r="A79" s="2270">
        <v>40330</v>
      </c>
      <c r="B79" s="2259">
        <v>21.85</v>
      </c>
      <c r="C79" s="2260">
        <v>9.68</v>
      </c>
      <c r="D79" s="2260" t="s">
        <v>3919</v>
      </c>
      <c r="E79" s="2261">
        <v>1227.8</v>
      </c>
      <c r="F79" s="3437" t="s">
        <v>3920</v>
      </c>
      <c r="G79" s="3434"/>
      <c r="H79" s="2235"/>
    </row>
    <row r="80" spans="1:8" ht="14.1" hidden="1" customHeight="1" x14ac:dyDescent="0.2">
      <c r="A80" s="2270">
        <v>40360</v>
      </c>
      <c r="B80" s="2259">
        <v>16.600000000000001</v>
      </c>
      <c r="C80" s="2260">
        <v>28.12</v>
      </c>
      <c r="D80" s="2260" t="s">
        <v>3921</v>
      </c>
      <c r="E80" s="2261">
        <v>1714.26</v>
      </c>
      <c r="F80" s="3437" t="s">
        <v>3922</v>
      </c>
      <c r="G80" s="3434"/>
      <c r="H80" s="2235"/>
    </row>
    <row r="81" spans="1:8" ht="14.1" hidden="1" customHeight="1" x14ac:dyDescent="0.2">
      <c r="A81" s="2270">
        <v>40391</v>
      </c>
      <c r="B81" s="2259">
        <v>13.24</v>
      </c>
      <c r="C81" s="2260">
        <v>11.83</v>
      </c>
      <c r="D81" s="2260" t="s">
        <v>3923</v>
      </c>
      <c r="E81" s="2261">
        <v>939.88</v>
      </c>
      <c r="F81" s="3437" t="s">
        <v>3924</v>
      </c>
      <c r="G81" s="3434"/>
      <c r="H81" s="2235"/>
    </row>
    <row r="82" spans="1:8" ht="14.1" hidden="1" customHeight="1" x14ac:dyDescent="0.2">
      <c r="A82" s="2270">
        <v>40422</v>
      </c>
      <c r="B82" s="2259">
        <v>20.89</v>
      </c>
      <c r="C82" s="2260">
        <v>6.03</v>
      </c>
      <c r="D82" s="2260" t="s">
        <v>3925</v>
      </c>
      <c r="E82" s="2261">
        <v>1097.56</v>
      </c>
      <c r="F82" s="3437" t="s">
        <v>3926</v>
      </c>
      <c r="G82" s="3434"/>
      <c r="H82" s="2235"/>
    </row>
    <row r="83" spans="1:8" ht="14.1" hidden="1" customHeight="1" x14ac:dyDescent="0.2">
      <c r="A83" s="2270">
        <v>40452</v>
      </c>
      <c r="B83" s="2259">
        <v>18.71</v>
      </c>
      <c r="C83" s="2260">
        <v>5.26</v>
      </c>
      <c r="D83" s="2260" t="s">
        <v>3927</v>
      </c>
      <c r="E83" s="2261">
        <v>1046.9100000000001</v>
      </c>
      <c r="F83" s="3433" t="s">
        <v>3928</v>
      </c>
      <c r="G83" s="3434"/>
      <c r="H83" s="2235"/>
    </row>
    <row r="84" spans="1:8" ht="14.1" hidden="1" customHeight="1" x14ac:dyDescent="0.2">
      <c r="A84" s="2270">
        <v>40483</v>
      </c>
      <c r="B84" s="2259">
        <v>29.44</v>
      </c>
      <c r="C84" s="2260">
        <v>5.84</v>
      </c>
      <c r="D84" s="2260" t="s">
        <v>3929</v>
      </c>
      <c r="E84" s="2261">
        <v>1280.3800000000001</v>
      </c>
      <c r="F84" s="3433" t="s">
        <v>3930</v>
      </c>
      <c r="G84" s="3434"/>
      <c r="H84" s="2235"/>
    </row>
    <row r="85" spans="1:8" ht="14.1" hidden="1" customHeight="1" x14ac:dyDescent="0.2">
      <c r="A85" s="2270">
        <v>40513</v>
      </c>
      <c r="B85" s="2259">
        <v>35.69</v>
      </c>
      <c r="C85" s="2260">
        <v>5.16</v>
      </c>
      <c r="D85" s="2260" t="s">
        <v>3931</v>
      </c>
      <c r="E85" s="2261">
        <v>1728.3</v>
      </c>
      <c r="F85" s="3433" t="s">
        <v>3932</v>
      </c>
      <c r="G85" s="3434"/>
      <c r="H85" s="2235"/>
    </row>
    <row r="86" spans="1:8" ht="14.1" hidden="1" customHeight="1" x14ac:dyDescent="0.2">
      <c r="A86" s="2270">
        <v>40544</v>
      </c>
      <c r="B86" s="2259">
        <v>23.73</v>
      </c>
      <c r="C86" s="2260">
        <v>7.69</v>
      </c>
      <c r="D86" s="2260" t="s">
        <v>3933</v>
      </c>
      <c r="E86" s="2261">
        <v>1204.47</v>
      </c>
      <c r="F86" s="3433" t="s">
        <v>3934</v>
      </c>
      <c r="G86" s="3434"/>
      <c r="H86" s="2235"/>
    </row>
    <row r="87" spans="1:8" ht="14.1" hidden="1" customHeight="1" x14ac:dyDescent="0.2">
      <c r="A87" s="2270">
        <v>40575</v>
      </c>
      <c r="B87" s="2259">
        <v>24.14</v>
      </c>
      <c r="C87" s="2260">
        <v>6.37</v>
      </c>
      <c r="D87" s="2260" t="s">
        <v>3935</v>
      </c>
      <c r="E87" s="2261">
        <v>1096.3599999999999</v>
      </c>
      <c r="F87" s="3433" t="s">
        <v>3936</v>
      </c>
      <c r="G87" s="3434"/>
      <c r="H87" s="2235"/>
    </row>
    <row r="88" spans="1:8" ht="14.1" hidden="1" customHeight="1" x14ac:dyDescent="0.2">
      <c r="A88" s="2270">
        <v>40603</v>
      </c>
      <c r="B88" s="2259">
        <v>24.19</v>
      </c>
      <c r="C88" s="2260">
        <v>13.15</v>
      </c>
      <c r="D88" s="2260" t="s">
        <v>3937</v>
      </c>
      <c r="E88" s="2261">
        <v>1310.5</v>
      </c>
      <c r="F88" s="3437" t="s">
        <v>3938</v>
      </c>
      <c r="G88" s="3434"/>
      <c r="H88" s="2235"/>
    </row>
    <row r="89" spans="1:8" ht="14.1" hidden="1" customHeight="1" x14ac:dyDescent="0.2">
      <c r="A89" s="2270">
        <v>40634</v>
      </c>
      <c r="B89" s="2259">
        <v>21.19</v>
      </c>
      <c r="C89" s="2260">
        <v>6.92</v>
      </c>
      <c r="D89" s="2260" t="s">
        <v>3939</v>
      </c>
      <c r="E89" s="2261">
        <v>929.43</v>
      </c>
      <c r="F89" s="3433" t="s">
        <v>3940</v>
      </c>
      <c r="G89" s="3434"/>
      <c r="H89" s="2235"/>
    </row>
    <row r="90" spans="1:8" ht="14.1" hidden="1" customHeight="1" x14ac:dyDescent="0.2">
      <c r="A90" s="2270">
        <v>40664</v>
      </c>
      <c r="B90" s="2259">
        <v>23.22</v>
      </c>
      <c r="C90" s="2260">
        <v>7.6</v>
      </c>
      <c r="D90" s="2260" t="s">
        <v>3941</v>
      </c>
      <c r="E90" s="2261">
        <v>1014.25</v>
      </c>
      <c r="F90" s="3433" t="s">
        <v>3942</v>
      </c>
      <c r="G90" s="3434"/>
      <c r="H90" s="2235"/>
    </row>
    <row r="91" spans="1:8" ht="14.1" hidden="1" customHeight="1" x14ac:dyDescent="0.2">
      <c r="A91" s="2270">
        <v>40695</v>
      </c>
      <c r="B91" s="2259">
        <v>30.73</v>
      </c>
      <c r="C91" s="2260">
        <v>6.97</v>
      </c>
      <c r="D91" s="2260" t="s">
        <v>3943</v>
      </c>
      <c r="E91" s="2261">
        <v>1273.55</v>
      </c>
      <c r="F91" s="3433" t="s">
        <v>3944</v>
      </c>
      <c r="G91" s="3434"/>
      <c r="H91" s="2235"/>
    </row>
    <row r="92" spans="1:8" ht="14.1" hidden="1" customHeight="1" x14ac:dyDescent="0.2">
      <c r="A92" s="2270">
        <v>40756</v>
      </c>
      <c r="B92" s="2259">
        <v>26.96</v>
      </c>
      <c r="C92" s="2260">
        <v>16.64</v>
      </c>
      <c r="D92" s="2260" t="s">
        <v>3945</v>
      </c>
      <c r="E92" s="2261">
        <v>1478.06</v>
      </c>
      <c r="F92" s="3433" t="s">
        <v>3946</v>
      </c>
      <c r="G92" s="3434"/>
      <c r="H92" s="2235"/>
    </row>
    <row r="93" spans="1:8" ht="14.1" hidden="1" customHeight="1" x14ac:dyDescent="0.2">
      <c r="A93" s="2270">
        <v>40787</v>
      </c>
      <c r="B93" s="2259">
        <v>41.07</v>
      </c>
      <c r="C93" s="2260">
        <v>20.440000000000001</v>
      </c>
      <c r="D93" s="2260" t="s">
        <v>3947</v>
      </c>
      <c r="E93" s="2261">
        <v>1888.03</v>
      </c>
      <c r="F93" s="3433" t="s">
        <v>3948</v>
      </c>
      <c r="G93" s="3434"/>
      <c r="H93" s="2235"/>
    </row>
    <row r="94" spans="1:8" ht="14.1" hidden="1" customHeight="1" x14ac:dyDescent="0.2">
      <c r="A94" s="2270">
        <v>40817</v>
      </c>
      <c r="B94" s="2259">
        <v>40.25</v>
      </c>
      <c r="C94" s="2260">
        <v>11.88</v>
      </c>
      <c r="D94" s="2260" t="s">
        <v>3949</v>
      </c>
      <c r="E94" s="2261">
        <v>1679.33</v>
      </c>
      <c r="F94" s="3433" t="s">
        <v>3950</v>
      </c>
      <c r="G94" s="3434"/>
      <c r="H94" s="2235"/>
    </row>
    <row r="95" spans="1:8" ht="14.1" hidden="1" customHeight="1" x14ac:dyDescent="0.2">
      <c r="A95" s="2270">
        <v>40848</v>
      </c>
      <c r="B95" s="2259">
        <v>26.19</v>
      </c>
      <c r="C95" s="2260">
        <v>13.3</v>
      </c>
      <c r="D95" s="2260" t="s">
        <v>3951</v>
      </c>
      <c r="E95" s="2261">
        <v>1310.44</v>
      </c>
      <c r="F95" s="3433" t="s">
        <v>3952</v>
      </c>
      <c r="G95" s="3434"/>
      <c r="H95" s="2235"/>
    </row>
    <row r="96" spans="1:8" ht="14.1" hidden="1" customHeight="1" x14ac:dyDescent="0.2">
      <c r="A96" s="2270">
        <v>40878</v>
      </c>
      <c r="B96" s="2259">
        <v>28.96</v>
      </c>
      <c r="C96" s="2260">
        <v>10.96</v>
      </c>
      <c r="D96" s="2260" t="s">
        <v>3953</v>
      </c>
      <c r="E96" s="2261">
        <v>1374.71</v>
      </c>
      <c r="F96" s="3433" t="s">
        <v>3954</v>
      </c>
      <c r="G96" s="3434"/>
      <c r="H96" s="2235"/>
    </row>
    <row r="97" spans="1:10" ht="14.1" hidden="1" customHeight="1" x14ac:dyDescent="0.2">
      <c r="A97" s="2270">
        <v>40909</v>
      </c>
      <c r="B97" s="2259">
        <v>43.62</v>
      </c>
      <c r="C97" s="2260">
        <v>11.42</v>
      </c>
      <c r="D97" s="2260" t="s">
        <v>3955</v>
      </c>
      <c r="E97" s="2261">
        <v>1757.35</v>
      </c>
      <c r="F97" s="3433" t="s">
        <v>3956</v>
      </c>
      <c r="G97" s="3434"/>
      <c r="H97" s="2235"/>
    </row>
    <row r="98" spans="1:10" ht="14.1" hidden="1" customHeight="1" x14ac:dyDescent="0.2">
      <c r="A98" s="2270">
        <v>40940</v>
      </c>
      <c r="B98" s="2259">
        <v>34.33</v>
      </c>
      <c r="C98" s="2260">
        <v>13.84</v>
      </c>
      <c r="D98" s="2260" t="s">
        <v>3957</v>
      </c>
      <c r="E98" s="2261">
        <v>1529.15</v>
      </c>
      <c r="F98" s="3433" t="s">
        <v>3958</v>
      </c>
      <c r="G98" s="3434"/>
      <c r="H98" s="2235"/>
    </row>
    <row r="99" spans="1:10" ht="14.1" hidden="1" customHeight="1" x14ac:dyDescent="0.2">
      <c r="A99" s="2270">
        <v>40969</v>
      </c>
      <c r="B99" s="2259">
        <v>36.18</v>
      </c>
      <c r="C99" s="2260">
        <v>10.08</v>
      </c>
      <c r="D99" s="2260">
        <v>51.65</v>
      </c>
      <c r="E99" s="2261">
        <v>1511.19</v>
      </c>
      <c r="F99" s="3433" t="s">
        <v>3959</v>
      </c>
      <c r="G99" s="3434"/>
      <c r="H99" s="2235"/>
    </row>
    <row r="100" spans="1:10" ht="18.75" hidden="1" customHeight="1" x14ac:dyDescent="0.2">
      <c r="A100" s="2270">
        <v>41000</v>
      </c>
      <c r="B100" s="2259">
        <v>43.08</v>
      </c>
      <c r="C100" s="2260">
        <v>11.34</v>
      </c>
      <c r="D100" s="2260">
        <v>58.45</v>
      </c>
      <c r="E100" s="2261">
        <v>1713.55</v>
      </c>
      <c r="F100" s="3433" t="s">
        <v>3960</v>
      </c>
      <c r="G100" s="3434"/>
      <c r="H100" s="2235"/>
    </row>
    <row r="101" spans="1:10" ht="16.5" hidden="1" customHeight="1" x14ac:dyDescent="0.2">
      <c r="A101" s="2270">
        <v>41030</v>
      </c>
      <c r="B101" s="2259">
        <v>25.34</v>
      </c>
      <c r="C101" s="2260">
        <v>8.5500000000000007</v>
      </c>
      <c r="D101" s="2260">
        <v>37.869999999999997</v>
      </c>
      <c r="E101" s="2261">
        <v>1124.6199999999999</v>
      </c>
      <c r="F101" s="3433" t="s">
        <v>3961</v>
      </c>
      <c r="G101" s="3434"/>
      <c r="H101" s="2235"/>
    </row>
    <row r="102" spans="1:10" ht="16.5" hidden="1" customHeight="1" x14ac:dyDescent="0.2">
      <c r="A102" s="2270">
        <v>41061</v>
      </c>
      <c r="B102" s="2259">
        <v>134.1</v>
      </c>
      <c r="C102" s="2260">
        <v>10.27</v>
      </c>
      <c r="D102" s="2260">
        <v>161.47999999999999</v>
      </c>
      <c r="E102" s="2261">
        <v>4958.6400000000003</v>
      </c>
      <c r="F102" s="3433" t="s">
        <v>3962</v>
      </c>
      <c r="G102" s="3434"/>
      <c r="H102" s="2235"/>
    </row>
    <row r="103" spans="1:10" ht="16.5" hidden="1" customHeight="1" x14ac:dyDescent="0.2">
      <c r="A103" s="2270">
        <v>41091</v>
      </c>
      <c r="B103" s="2259">
        <v>67.73</v>
      </c>
      <c r="C103" s="2260">
        <v>10.91</v>
      </c>
      <c r="D103" s="2260">
        <v>92.16</v>
      </c>
      <c r="E103" s="2261">
        <v>2888.91</v>
      </c>
      <c r="F103" s="3433" t="s">
        <v>3963</v>
      </c>
      <c r="G103" s="3434"/>
      <c r="H103" s="2235"/>
    </row>
    <row r="104" spans="1:10" ht="16.5" hidden="1" customHeight="1" x14ac:dyDescent="0.2">
      <c r="A104" s="2270">
        <v>41122</v>
      </c>
      <c r="B104" s="2259">
        <v>69.150000000000006</v>
      </c>
      <c r="C104" s="2260">
        <v>5.58</v>
      </c>
      <c r="D104" s="2260">
        <v>73.48</v>
      </c>
      <c r="E104" s="2261">
        <v>3172.96</v>
      </c>
      <c r="F104" s="3433" t="s">
        <v>3964</v>
      </c>
      <c r="G104" s="3434"/>
      <c r="H104" s="2235"/>
    </row>
    <row r="105" spans="1:10" ht="16.5" hidden="1" customHeight="1" x14ac:dyDescent="0.2">
      <c r="A105" s="2270">
        <v>41153</v>
      </c>
      <c r="B105" s="2259">
        <v>37.659999999999997</v>
      </c>
      <c r="C105" s="2260">
        <v>16.37</v>
      </c>
      <c r="D105" s="2260">
        <v>95.18</v>
      </c>
      <c r="E105" s="2261">
        <v>2899.88</v>
      </c>
      <c r="F105" s="3433" t="s">
        <v>3965</v>
      </c>
      <c r="G105" s="3434"/>
      <c r="H105" s="2235"/>
    </row>
    <row r="106" spans="1:10" ht="16.5" hidden="1" customHeight="1" x14ac:dyDescent="0.2">
      <c r="A106" s="2270">
        <v>41183</v>
      </c>
      <c r="B106" s="2259">
        <v>51.55</v>
      </c>
      <c r="C106" s="2260">
        <v>13.34</v>
      </c>
      <c r="D106" s="2260">
        <v>79.239999999999995</v>
      </c>
      <c r="E106" s="2261">
        <v>2457.33</v>
      </c>
      <c r="F106" s="3433" t="s">
        <v>3966</v>
      </c>
      <c r="G106" s="3434"/>
      <c r="H106" s="2235"/>
    </row>
    <row r="107" spans="1:10" ht="16.5" hidden="1" customHeight="1" x14ac:dyDescent="0.2">
      <c r="A107" s="2270">
        <v>41214</v>
      </c>
      <c r="B107" s="2259">
        <v>47.28</v>
      </c>
      <c r="C107" s="2260">
        <v>8.08</v>
      </c>
      <c r="D107" s="2260">
        <v>68.89</v>
      </c>
      <c r="E107" s="2261">
        <v>2150.52</v>
      </c>
      <c r="F107" s="3433" t="s">
        <v>3967</v>
      </c>
      <c r="G107" s="3434"/>
      <c r="H107" s="2235"/>
    </row>
    <row r="108" spans="1:10" ht="16.5" hidden="1" customHeight="1" x14ac:dyDescent="0.2">
      <c r="A108" s="2270">
        <v>41244</v>
      </c>
      <c r="B108" s="2259">
        <v>90.51</v>
      </c>
      <c r="C108" s="2260">
        <v>9.85</v>
      </c>
      <c r="D108" s="2260">
        <v>126.57</v>
      </c>
      <c r="E108" s="2261">
        <v>3910.75</v>
      </c>
      <c r="F108" s="3433" t="s">
        <v>3968</v>
      </c>
      <c r="G108" s="3434"/>
      <c r="H108" s="2235"/>
    </row>
    <row r="109" spans="1:10" ht="16.5" hidden="1" customHeight="1" x14ac:dyDescent="0.2">
      <c r="A109" s="2270">
        <v>41275</v>
      </c>
      <c r="B109" s="2259">
        <v>97.06</v>
      </c>
      <c r="C109" s="2260">
        <v>14.61</v>
      </c>
      <c r="D109" s="2260">
        <v>148.71</v>
      </c>
      <c r="E109" s="2261">
        <v>4557.99</v>
      </c>
      <c r="F109" s="3433" t="s">
        <v>3969</v>
      </c>
      <c r="G109" s="3434"/>
      <c r="H109" s="2235"/>
    </row>
    <row r="110" spans="1:10" ht="16.5" hidden="1" customHeight="1" x14ac:dyDescent="0.2">
      <c r="A110" s="2270">
        <v>41306</v>
      </c>
      <c r="B110" s="2259">
        <v>72.33</v>
      </c>
      <c r="C110" s="2260">
        <v>8.5</v>
      </c>
      <c r="D110" s="2260">
        <v>116.56</v>
      </c>
      <c r="E110" s="2261">
        <v>3580.41</v>
      </c>
      <c r="F110" s="3433" t="s">
        <v>3970</v>
      </c>
      <c r="G110" s="3434"/>
      <c r="H110" s="2235"/>
    </row>
    <row r="111" spans="1:10" ht="16.5" hidden="1" customHeight="1" x14ac:dyDescent="0.2">
      <c r="A111" s="2270">
        <v>41334</v>
      </c>
      <c r="B111" s="2259">
        <v>32.83</v>
      </c>
      <c r="C111" s="2260">
        <v>8.01</v>
      </c>
      <c r="D111" s="2260">
        <v>104.06</v>
      </c>
      <c r="E111" s="2261">
        <v>3245.21</v>
      </c>
      <c r="F111" s="3433" t="s">
        <v>3971</v>
      </c>
      <c r="G111" s="3434"/>
      <c r="H111" s="2235"/>
      <c r="J111" s="2257"/>
    </row>
    <row r="112" spans="1:10" ht="16.5" hidden="1" customHeight="1" thickTop="1" x14ac:dyDescent="0.2">
      <c r="A112" s="2270">
        <v>41365</v>
      </c>
      <c r="B112" s="2259">
        <v>31.14</v>
      </c>
      <c r="C112" s="2260">
        <v>6.42</v>
      </c>
      <c r="D112" s="2260">
        <v>94.44</v>
      </c>
      <c r="E112" s="2261">
        <v>2949.84</v>
      </c>
      <c r="F112" s="3433" t="s">
        <v>3972</v>
      </c>
      <c r="G112" s="3434"/>
      <c r="H112" s="2235"/>
      <c r="J112" s="2272"/>
    </row>
    <row r="113" spans="1:10" ht="16.5" hidden="1" customHeight="1" thickTop="1" x14ac:dyDescent="0.2">
      <c r="A113" s="2270">
        <v>41395</v>
      </c>
      <c r="B113" s="2259">
        <v>37.270000000000003</v>
      </c>
      <c r="C113" s="2260">
        <v>8.11</v>
      </c>
      <c r="D113" s="2260">
        <v>67.290000000000006</v>
      </c>
      <c r="E113" s="2261">
        <v>3522.92</v>
      </c>
      <c r="F113" s="3433" t="s">
        <v>3973</v>
      </c>
      <c r="G113" s="3434"/>
      <c r="H113" s="2235"/>
    </row>
    <row r="114" spans="1:10" ht="16.5" hidden="1" customHeight="1" thickTop="1" x14ac:dyDescent="0.2">
      <c r="A114" s="2270">
        <v>41426</v>
      </c>
      <c r="B114" s="2259">
        <v>24.57</v>
      </c>
      <c r="C114" s="2260">
        <v>6.94</v>
      </c>
      <c r="D114" s="2260">
        <v>78.48</v>
      </c>
      <c r="E114" s="2261">
        <v>2440.63</v>
      </c>
      <c r="F114" s="3433" t="s">
        <v>3974</v>
      </c>
      <c r="G114" s="3434"/>
      <c r="H114" s="2235"/>
    </row>
    <row r="115" spans="1:10" ht="16.5" hidden="1" customHeight="1" thickTop="1" x14ac:dyDescent="0.2">
      <c r="A115" s="2270">
        <v>41456</v>
      </c>
      <c r="B115" s="2259">
        <v>38.03</v>
      </c>
      <c r="C115" s="2260">
        <v>10.35</v>
      </c>
      <c r="D115" s="2260">
        <v>120.38</v>
      </c>
      <c r="E115" s="2261">
        <v>3739.79</v>
      </c>
      <c r="F115" s="3433" t="s">
        <v>3975</v>
      </c>
      <c r="G115" s="3434"/>
      <c r="H115" s="2235"/>
    </row>
    <row r="116" spans="1:10" ht="16.5" hidden="1" customHeight="1" thickTop="1" x14ac:dyDescent="0.2">
      <c r="A116" s="2270">
        <v>41487</v>
      </c>
      <c r="B116" s="2259">
        <v>24.08</v>
      </c>
      <c r="C116" s="2260">
        <v>6.38</v>
      </c>
      <c r="D116" s="2260">
        <v>48.17</v>
      </c>
      <c r="E116" s="2261">
        <v>1492.87</v>
      </c>
      <c r="F116" s="3433" t="s">
        <v>3976</v>
      </c>
      <c r="G116" s="3434"/>
      <c r="H116" s="2235"/>
    </row>
    <row r="117" spans="1:10" ht="16.5" hidden="1" customHeight="1" thickTop="1" x14ac:dyDescent="0.2">
      <c r="A117" s="2270">
        <v>41518</v>
      </c>
      <c r="B117" s="2259">
        <v>23.82</v>
      </c>
      <c r="C117" s="2260">
        <v>8.5</v>
      </c>
      <c r="D117" s="2260">
        <v>41.91</v>
      </c>
      <c r="E117" s="2261">
        <v>1297.1099999999999</v>
      </c>
      <c r="F117" s="3433" t="s">
        <v>3977</v>
      </c>
      <c r="G117" s="3434"/>
      <c r="H117" s="2235"/>
    </row>
    <row r="118" spans="1:10" ht="16.5" hidden="1" customHeight="1" thickTop="1" x14ac:dyDescent="0.2">
      <c r="A118" s="2270">
        <v>41548</v>
      </c>
      <c r="B118" s="2259">
        <v>37.909999999999997</v>
      </c>
      <c r="C118" s="2260">
        <v>13.13</v>
      </c>
      <c r="D118" s="2260">
        <v>89.72</v>
      </c>
      <c r="E118" s="2261">
        <v>2724.34</v>
      </c>
      <c r="F118" s="3433" t="s">
        <v>3978</v>
      </c>
      <c r="G118" s="3434"/>
      <c r="H118" s="2235"/>
    </row>
    <row r="119" spans="1:10" ht="16.5" hidden="1" customHeight="1" thickTop="1" x14ac:dyDescent="0.2">
      <c r="A119" s="2270">
        <v>41579</v>
      </c>
      <c r="B119" s="2259">
        <v>19.329999999999998</v>
      </c>
      <c r="C119" s="2260">
        <v>9.5</v>
      </c>
      <c r="D119" s="2260">
        <v>93.5</v>
      </c>
      <c r="E119" s="2261">
        <v>2861.6</v>
      </c>
      <c r="F119" s="3433" t="s">
        <v>3979</v>
      </c>
      <c r="G119" s="3434"/>
      <c r="H119" s="2235"/>
    </row>
    <row r="120" spans="1:10" ht="16.5" hidden="1" customHeight="1" thickTop="1" x14ac:dyDescent="0.2">
      <c r="A120" s="2270">
        <v>41609</v>
      </c>
      <c r="B120" s="2259">
        <v>88.1</v>
      </c>
      <c r="C120" s="2260">
        <v>16.989999999999998</v>
      </c>
      <c r="D120" s="2260">
        <v>153.71</v>
      </c>
      <c r="E120" s="2261">
        <v>4662.2299999999996</v>
      </c>
      <c r="F120" s="3433" t="s">
        <v>3980</v>
      </c>
      <c r="G120" s="3434"/>
      <c r="H120" s="2235"/>
    </row>
    <row r="121" spans="1:10" ht="16.5" hidden="1" customHeight="1" thickTop="1" x14ac:dyDescent="0.2">
      <c r="A121" s="2270">
        <v>41640</v>
      </c>
      <c r="B121" s="2259">
        <v>67.38</v>
      </c>
      <c r="C121" s="2260">
        <v>5.07</v>
      </c>
      <c r="D121" s="2260">
        <v>136.83000000000001</v>
      </c>
      <c r="E121" s="2261">
        <v>4159.8999999999996</v>
      </c>
      <c r="F121" s="3433" t="s">
        <v>3981</v>
      </c>
      <c r="G121" s="3434"/>
      <c r="H121" s="2235"/>
      <c r="J121" s="2272"/>
    </row>
    <row r="122" spans="1:10" ht="16.5" hidden="1" customHeight="1" thickTop="1" x14ac:dyDescent="0.2">
      <c r="A122" s="2270">
        <v>41671</v>
      </c>
      <c r="B122" s="2259">
        <v>51.98</v>
      </c>
      <c r="C122" s="2260">
        <v>6.99</v>
      </c>
      <c r="D122" s="2260">
        <v>151.44999999999999</v>
      </c>
      <c r="E122" s="2261">
        <v>4603.47</v>
      </c>
      <c r="F122" s="3433" t="s">
        <v>3982</v>
      </c>
      <c r="G122" s="3434"/>
      <c r="H122" s="2235"/>
      <c r="J122" s="2257"/>
    </row>
    <row r="123" spans="1:10" ht="16.5" hidden="1" customHeight="1" thickTop="1" x14ac:dyDescent="0.2">
      <c r="A123" s="2270">
        <v>41699</v>
      </c>
      <c r="B123" s="2259">
        <v>62.26</v>
      </c>
      <c r="C123" s="2260">
        <v>9.14</v>
      </c>
      <c r="D123" s="2260">
        <v>123.72</v>
      </c>
      <c r="E123" s="2261">
        <v>3736.8</v>
      </c>
      <c r="F123" s="3433" t="s">
        <v>3983</v>
      </c>
      <c r="G123" s="3434"/>
      <c r="H123" s="2235"/>
      <c r="J123" s="2257"/>
    </row>
    <row r="124" spans="1:10" ht="16.5" hidden="1" customHeight="1" thickTop="1" x14ac:dyDescent="0.2">
      <c r="A124" s="2270">
        <v>41730</v>
      </c>
      <c r="B124" s="2259">
        <v>78.150000000000006</v>
      </c>
      <c r="C124" s="2260">
        <v>12.89</v>
      </c>
      <c r="D124" s="2260">
        <v>169.02</v>
      </c>
      <c r="E124" s="2261">
        <v>5100.54</v>
      </c>
      <c r="F124" s="3433" t="s">
        <v>3984</v>
      </c>
      <c r="G124" s="3434"/>
      <c r="H124" s="2235"/>
      <c r="J124" s="2257"/>
    </row>
    <row r="125" spans="1:10" ht="16.5" hidden="1" customHeight="1" thickTop="1" x14ac:dyDescent="0.2">
      <c r="A125" s="2270">
        <v>41760</v>
      </c>
      <c r="B125" s="2259">
        <v>58.18</v>
      </c>
      <c r="C125" s="2260">
        <v>40.369999999999997</v>
      </c>
      <c r="D125" s="2260">
        <v>161.15</v>
      </c>
      <c r="E125" s="2261">
        <v>4867.96</v>
      </c>
      <c r="F125" s="3433" t="s">
        <v>3985</v>
      </c>
      <c r="G125" s="3434"/>
      <c r="H125" s="2235"/>
      <c r="J125" s="2257"/>
    </row>
    <row r="126" spans="1:10" ht="16.5" hidden="1" customHeight="1" thickTop="1" x14ac:dyDescent="0.2">
      <c r="A126" s="2270">
        <v>41791</v>
      </c>
      <c r="B126" s="2259">
        <v>47.57</v>
      </c>
      <c r="C126" s="2260">
        <v>10.68</v>
      </c>
      <c r="D126" s="2260">
        <v>132.34</v>
      </c>
      <c r="E126" s="2261">
        <v>4029.02</v>
      </c>
      <c r="F126" s="3433" t="s">
        <v>3986</v>
      </c>
      <c r="G126" s="3434"/>
      <c r="H126" s="2235"/>
      <c r="J126" s="2257"/>
    </row>
    <row r="127" spans="1:10" ht="16.5" hidden="1" customHeight="1" thickTop="1" x14ac:dyDescent="0.2">
      <c r="A127" s="2270">
        <v>41821</v>
      </c>
      <c r="B127" s="2259">
        <v>59.9</v>
      </c>
      <c r="C127" s="2260">
        <v>15.14</v>
      </c>
      <c r="D127" s="2260">
        <v>124.94</v>
      </c>
      <c r="E127" s="2261">
        <v>3805.36</v>
      </c>
      <c r="F127" s="3433" t="s">
        <v>3987</v>
      </c>
      <c r="G127" s="3434"/>
      <c r="H127" s="2235"/>
      <c r="J127" s="2257"/>
    </row>
    <row r="128" spans="1:10" ht="16.5" hidden="1" customHeight="1" thickTop="1" x14ac:dyDescent="0.2">
      <c r="A128" s="2270">
        <v>41852</v>
      </c>
      <c r="B128" s="2259">
        <v>45.89</v>
      </c>
      <c r="C128" s="2260">
        <v>12.53</v>
      </c>
      <c r="D128" s="2260">
        <v>63.82</v>
      </c>
      <c r="E128" s="2261">
        <v>1962.38</v>
      </c>
      <c r="F128" s="3433" t="s">
        <v>3988</v>
      </c>
      <c r="G128" s="3434"/>
      <c r="H128" s="2235"/>
      <c r="J128" s="2257"/>
    </row>
    <row r="129" spans="1:10" ht="16.5" hidden="1" customHeight="1" thickTop="1" x14ac:dyDescent="0.2">
      <c r="A129" s="2270">
        <v>41883</v>
      </c>
      <c r="B129" s="2259">
        <v>46.91</v>
      </c>
      <c r="C129" s="2260">
        <v>8.64</v>
      </c>
      <c r="D129" s="2260">
        <v>104.53</v>
      </c>
      <c r="E129" s="2261">
        <v>3278.6</v>
      </c>
      <c r="F129" s="3433" t="s">
        <v>3989</v>
      </c>
      <c r="G129" s="3434"/>
      <c r="H129" s="2235"/>
      <c r="J129" s="2257"/>
    </row>
    <row r="130" spans="1:10" ht="16.5" hidden="1" customHeight="1" thickTop="1" x14ac:dyDescent="0.2">
      <c r="A130" s="2270">
        <v>41913</v>
      </c>
      <c r="B130" s="2259">
        <v>63.45</v>
      </c>
      <c r="C130" s="2260">
        <v>10.41</v>
      </c>
      <c r="D130" s="2260">
        <v>78.709999999999994</v>
      </c>
      <c r="E130" s="2261">
        <v>2477.8000000000002</v>
      </c>
      <c r="F130" s="3433" t="s">
        <v>3990</v>
      </c>
      <c r="G130" s="3434"/>
      <c r="H130" s="2235"/>
      <c r="J130" s="2257"/>
    </row>
    <row r="131" spans="1:10" ht="16.5" hidden="1" customHeight="1" thickTop="1" x14ac:dyDescent="0.2">
      <c r="A131" s="2270">
        <v>41944</v>
      </c>
      <c r="B131" s="2259">
        <v>84.59</v>
      </c>
      <c r="C131" s="2260">
        <v>15.48</v>
      </c>
      <c r="D131" s="2260">
        <v>106.93</v>
      </c>
      <c r="E131" s="2261">
        <v>3379.67</v>
      </c>
      <c r="F131" s="3433" t="s">
        <v>3991</v>
      </c>
      <c r="G131" s="3434"/>
      <c r="H131" s="2235"/>
      <c r="J131" s="2257"/>
    </row>
    <row r="132" spans="1:10" ht="16.5" hidden="1" customHeight="1" thickTop="1" x14ac:dyDescent="0.2">
      <c r="A132" s="2270">
        <v>41974</v>
      </c>
      <c r="B132" s="2259">
        <v>150.36000000000001</v>
      </c>
      <c r="C132" s="2260">
        <v>12.23</v>
      </c>
      <c r="D132" s="2260">
        <v>181.06</v>
      </c>
      <c r="E132" s="2261">
        <v>5739.8</v>
      </c>
      <c r="F132" s="3433" t="s">
        <v>3992</v>
      </c>
      <c r="G132" s="3434"/>
      <c r="H132" s="2235"/>
      <c r="J132" s="2257"/>
    </row>
    <row r="133" spans="1:10" ht="16.5" hidden="1" customHeight="1" thickTop="1" x14ac:dyDescent="0.2">
      <c r="A133" s="2270">
        <v>42005</v>
      </c>
      <c r="B133" s="2259">
        <v>76.5</v>
      </c>
      <c r="C133" s="2260">
        <v>13.11</v>
      </c>
      <c r="D133" s="2260">
        <v>96.61</v>
      </c>
      <c r="E133" s="2261">
        <v>3132.72</v>
      </c>
      <c r="F133" s="3433" t="s">
        <v>3993</v>
      </c>
      <c r="G133" s="3434"/>
      <c r="H133" s="2235"/>
      <c r="J133" s="2257"/>
    </row>
    <row r="134" spans="1:10" ht="16.5" hidden="1" customHeight="1" thickTop="1" x14ac:dyDescent="0.2">
      <c r="A134" s="2270">
        <v>42036</v>
      </c>
      <c r="B134" s="2259">
        <v>126.07</v>
      </c>
      <c r="C134" s="2260">
        <v>15.69</v>
      </c>
      <c r="D134" s="2260">
        <v>145.72</v>
      </c>
      <c r="E134" s="2261">
        <v>4827.0600000000004</v>
      </c>
      <c r="F134" s="3433" t="s">
        <v>3994</v>
      </c>
      <c r="G134" s="3434"/>
      <c r="H134" s="2235"/>
      <c r="J134" s="2257"/>
    </row>
    <row r="135" spans="1:10" ht="16.5" hidden="1" customHeight="1" thickTop="1" x14ac:dyDescent="0.2">
      <c r="A135" s="2270">
        <v>42064</v>
      </c>
      <c r="B135" s="2259">
        <v>117.91</v>
      </c>
      <c r="C135" s="2260">
        <v>13.34</v>
      </c>
      <c r="D135" s="2260">
        <v>135.36000000000001</v>
      </c>
      <c r="E135" s="2261">
        <v>4815.3900000000003</v>
      </c>
      <c r="F135" s="3433" t="s">
        <v>3995</v>
      </c>
      <c r="G135" s="3434"/>
      <c r="H135" s="2235"/>
      <c r="J135" s="2257"/>
    </row>
    <row r="136" spans="1:10" ht="16.5" hidden="1" customHeight="1" thickTop="1" x14ac:dyDescent="0.2">
      <c r="A136" s="2270">
        <v>42095</v>
      </c>
      <c r="B136" s="2259">
        <v>54.83</v>
      </c>
      <c r="C136" s="2260">
        <v>8.0299999999999994</v>
      </c>
      <c r="D136" s="2260">
        <v>67.709999999999994</v>
      </c>
      <c r="E136" s="2261">
        <v>2452.87</v>
      </c>
      <c r="F136" s="3433" t="s">
        <v>3996</v>
      </c>
      <c r="G136" s="3434"/>
      <c r="H136" s="2235"/>
      <c r="J136" s="2257"/>
    </row>
    <row r="137" spans="1:10" ht="16.5" customHeight="1" thickTop="1" x14ac:dyDescent="0.2">
      <c r="A137" s="2270">
        <v>42125</v>
      </c>
      <c r="B137" s="2259">
        <v>114.69</v>
      </c>
      <c r="C137" s="2260">
        <v>7.39</v>
      </c>
      <c r="D137" s="2260">
        <v>127.34</v>
      </c>
      <c r="E137" s="2261">
        <v>4462.5</v>
      </c>
      <c r="F137" s="3433" t="s">
        <v>3997</v>
      </c>
      <c r="G137" s="3434"/>
      <c r="H137" s="2235"/>
      <c r="J137" s="2257"/>
    </row>
    <row r="138" spans="1:10" ht="16.5" customHeight="1" x14ac:dyDescent="0.2">
      <c r="A138" s="2270">
        <v>42156</v>
      </c>
      <c r="B138" s="2259">
        <v>98.34</v>
      </c>
      <c r="C138" s="2260">
        <v>15.01</v>
      </c>
      <c r="D138" s="2260">
        <v>119.64</v>
      </c>
      <c r="E138" s="2261">
        <v>4216.55</v>
      </c>
      <c r="F138" s="3433" t="s">
        <v>3998</v>
      </c>
      <c r="G138" s="3434"/>
      <c r="H138" s="2235"/>
      <c r="J138" s="2257"/>
    </row>
    <row r="139" spans="1:10" ht="16.5" customHeight="1" x14ac:dyDescent="0.2">
      <c r="A139" s="2270">
        <v>42186</v>
      </c>
      <c r="B139" s="2259">
        <v>67.58</v>
      </c>
      <c r="C139" s="2260">
        <v>7.24</v>
      </c>
      <c r="D139" s="2260">
        <v>82.99</v>
      </c>
      <c r="E139" s="2261">
        <v>2951.84</v>
      </c>
      <c r="F139" s="3433" t="s">
        <v>3999</v>
      </c>
      <c r="G139" s="3434"/>
      <c r="H139" s="2235"/>
      <c r="J139" s="2257"/>
    </row>
    <row r="140" spans="1:10" ht="16.5" customHeight="1" x14ac:dyDescent="0.2">
      <c r="A140" s="2270">
        <v>42217</v>
      </c>
      <c r="B140" s="2259">
        <v>48.67</v>
      </c>
      <c r="C140" s="2260">
        <v>13.26</v>
      </c>
      <c r="D140" s="2260">
        <v>75.52</v>
      </c>
      <c r="E140" s="2261">
        <v>2682.6</v>
      </c>
      <c r="F140" s="3433" t="s">
        <v>4000</v>
      </c>
      <c r="G140" s="3434"/>
      <c r="H140" s="2235"/>
      <c r="J140" s="2257"/>
    </row>
    <row r="141" spans="1:10" ht="16.5" customHeight="1" x14ac:dyDescent="0.2">
      <c r="A141" s="2270">
        <v>42248</v>
      </c>
      <c r="B141" s="2259">
        <v>101.52</v>
      </c>
      <c r="C141" s="2260">
        <v>9.01</v>
      </c>
      <c r="D141" s="2260">
        <v>116.81</v>
      </c>
      <c r="E141" s="2261">
        <v>4143.67</v>
      </c>
      <c r="F141" s="3433" t="s">
        <v>4001</v>
      </c>
      <c r="G141" s="3434"/>
      <c r="H141" s="2235"/>
      <c r="J141" s="2257"/>
    </row>
    <row r="142" spans="1:10" ht="16.5" customHeight="1" x14ac:dyDescent="0.2">
      <c r="A142" s="2270">
        <v>42278</v>
      </c>
      <c r="B142" s="2259">
        <v>129.46</v>
      </c>
      <c r="C142" s="2260">
        <v>11.96</v>
      </c>
      <c r="D142" s="2260">
        <v>151.30000000000001</v>
      </c>
      <c r="E142" s="2261">
        <v>5394.74</v>
      </c>
      <c r="F142" s="3433" t="s">
        <v>4002</v>
      </c>
      <c r="G142" s="3434"/>
      <c r="H142" s="2235"/>
      <c r="J142" s="2257"/>
    </row>
    <row r="143" spans="1:10" ht="16.5" customHeight="1" x14ac:dyDescent="0.2">
      <c r="A143" s="2270">
        <v>42309</v>
      </c>
      <c r="B143" s="2259">
        <v>92.13</v>
      </c>
      <c r="C143" s="2260">
        <v>12.51</v>
      </c>
      <c r="D143" s="2260">
        <v>112.64</v>
      </c>
      <c r="E143" s="2261">
        <v>4081.54</v>
      </c>
      <c r="F143" s="3433" t="s">
        <v>4003</v>
      </c>
      <c r="G143" s="3434"/>
      <c r="H143" s="2235"/>
      <c r="J143" s="2257"/>
    </row>
    <row r="144" spans="1:10" ht="16.5" customHeight="1" x14ac:dyDescent="0.2">
      <c r="A144" s="2270">
        <v>42339</v>
      </c>
      <c r="B144" s="2259">
        <v>78.27</v>
      </c>
      <c r="C144" s="2260">
        <v>12.06</v>
      </c>
      <c r="D144" s="2260">
        <v>109.05</v>
      </c>
      <c r="E144" s="2261">
        <v>3948.94</v>
      </c>
      <c r="F144" s="3433" t="s">
        <v>4004</v>
      </c>
      <c r="G144" s="3434"/>
      <c r="H144" s="2235"/>
      <c r="J144" s="2257"/>
    </row>
    <row r="145" spans="1:10" ht="16.5" customHeight="1" x14ac:dyDescent="0.2">
      <c r="A145" s="2270">
        <v>42370</v>
      </c>
      <c r="B145" s="2259">
        <v>106.08</v>
      </c>
      <c r="C145" s="2260">
        <v>7.79</v>
      </c>
      <c r="D145" s="2260">
        <v>122.96</v>
      </c>
      <c r="E145" s="2261">
        <v>4453.17</v>
      </c>
      <c r="F145" s="3433" t="s">
        <v>4005</v>
      </c>
      <c r="G145" s="3434"/>
      <c r="H145" s="2235"/>
      <c r="J145" s="2257"/>
    </row>
    <row r="146" spans="1:10" ht="16.5" customHeight="1" x14ac:dyDescent="0.2">
      <c r="A146" s="2270">
        <v>42401</v>
      </c>
      <c r="B146" s="2259">
        <v>131.71</v>
      </c>
      <c r="C146" s="2260">
        <v>7.38</v>
      </c>
      <c r="D146" s="2260">
        <v>149.55000000000001</v>
      </c>
      <c r="E146" s="2261">
        <v>5356.33</v>
      </c>
      <c r="F146" s="3433" t="s">
        <v>4006</v>
      </c>
      <c r="G146" s="3434"/>
      <c r="H146" s="2235"/>
      <c r="J146" s="2257"/>
    </row>
    <row r="147" spans="1:10" ht="16.5" customHeight="1" x14ac:dyDescent="0.2">
      <c r="A147" s="2270">
        <v>42430</v>
      </c>
      <c r="B147" s="2259">
        <v>100.72</v>
      </c>
      <c r="C147" s="2260">
        <v>9.75</v>
      </c>
      <c r="D147" s="2260">
        <v>117.25</v>
      </c>
      <c r="E147" s="2261">
        <v>4179.8500000000004</v>
      </c>
      <c r="F147" s="3433" t="s">
        <v>4007</v>
      </c>
      <c r="G147" s="3434"/>
      <c r="H147" s="2235"/>
      <c r="J147" s="2257"/>
    </row>
    <row r="148" spans="1:10" ht="16.5" customHeight="1" x14ac:dyDescent="0.2">
      <c r="A148" s="2270">
        <v>42461</v>
      </c>
      <c r="B148" s="2259">
        <v>46.22</v>
      </c>
      <c r="C148" s="2260">
        <v>8.5299999999999994</v>
      </c>
      <c r="D148" s="2260">
        <v>59.55</v>
      </c>
      <c r="E148" s="2261">
        <v>2100.6999999999998</v>
      </c>
      <c r="F148" s="3433" t="s">
        <v>4008</v>
      </c>
      <c r="G148" s="3434"/>
      <c r="H148" s="2235"/>
      <c r="J148" s="2257"/>
    </row>
    <row r="149" spans="1:10" ht="16.5" customHeight="1" x14ac:dyDescent="0.2">
      <c r="A149" s="2270">
        <v>42491</v>
      </c>
      <c r="B149" s="2259">
        <v>105.6</v>
      </c>
      <c r="C149" s="2260">
        <v>10.31</v>
      </c>
      <c r="D149" s="2260">
        <v>123.15</v>
      </c>
      <c r="E149" s="2261">
        <v>4335.43</v>
      </c>
      <c r="F149" s="3433" t="s">
        <v>4009</v>
      </c>
      <c r="G149" s="3434"/>
      <c r="H149" s="2235"/>
      <c r="J149" s="2257"/>
    </row>
    <row r="150" spans="1:10" ht="14.1" customHeight="1" thickBot="1" x14ac:dyDescent="0.25">
      <c r="A150" s="2273"/>
      <c r="B150" s="2274"/>
      <c r="C150" s="2275"/>
      <c r="D150" s="2275"/>
      <c r="E150" s="2275"/>
      <c r="F150" s="3440"/>
      <c r="G150" s="3441"/>
      <c r="H150" s="2235"/>
    </row>
    <row r="151" spans="1:10" ht="15.75" thickTop="1" x14ac:dyDescent="0.2">
      <c r="A151" s="2276" t="s">
        <v>4010</v>
      </c>
      <c r="B151" s="2277"/>
      <c r="C151" s="2277"/>
      <c r="D151" s="2277"/>
      <c r="E151" s="2277"/>
      <c r="F151" s="2278"/>
      <c r="I151" s="2235"/>
    </row>
    <row r="152" spans="1:10" x14ac:dyDescent="0.2">
      <c r="A152" s="2279" t="s">
        <v>4011</v>
      </c>
      <c r="B152" s="2277"/>
      <c r="C152" s="2277"/>
      <c r="D152" s="2277"/>
      <c r="E152" s="2277"/>
      <c r="F152" s="2278"/>
      <c r="I152" s="2235"/>
    </row>
    <row r="153" spans="1:10" ht="14.25" customHeight="1" x14ac:dyDescent="0.2">
      <c r="A153" s="2280" t="s">
        <v>680</v>
      </c>
      <c r="B153" s="2277"/>
      <c r="C153" s="2277"/>
      <c r="D153" s="2277"/>
      <c r="E153" s="2277"/>
      <c r="F153" s="2278"/>
      <c r="I153" s="2235"/>
    </row>
    <row r="154" spans="1:10" x14ac:dyDescent="0.2">
      <c r="A154" s="701"/>
      <c r="B154" s="2277"/>
      <c r="C154" s="2277"/>
      <c r="D154" s="2277"/>
      <c r="E154" s="2277"/>
      <c r="F154" s="2278"/>
      <c r="I154" s="2235"/>
    </row>
    <row r="155" spans="1:10" s="2281" customFormat="1" ht="17.25" customHeight="1" x14ac:dyDescent="0.2">
      <c r="C155" s="2282"/>
      <c r="D155" s="2283"/>
    </row>
    <row r="156" spans="1:10" x14ac:dyDescent="0.2">
      <c r="A156" s="2284"/>
      <c r="B156" s="2277"/>
      <c r="C156" s="2277"/>
      <c r="D156" s="2285"/>
      <c r="F156" s="2278"/>
      <c r="G156" s="2239"/>
      <c r="H156" s="2235"/>
      <c r="I156" s="2235"/>
    </row>
    <row r="157" spans="1:10" ht="15" customHeight="1" x14ac:dyDescent="0.2">
      <c r="A157" s="2286"/>
      <c r="G157" s="2235"/>
      <c r="H157" s="2235"/>
      <c r="I157" s="2235"/>
    </row>
    <row r="158" spans="1:10" s="2281" customFormat="1" ht="17.25" customHeight="1" x14ac:dyDescent="0.2">
      <c r="A158" s="2280"/>
      <c r="C158" s="2282"/>
      <c r="D158" s="2283"/>
    </row>
    <row r="159" spans="1:10" s="2281" customFormat="1" ht="17.25" customHeight="1" x14ac:dyDescent="0.2">
      <c r="A159" s="2280"/>
      <c r="C159" s="2282"/>
      <c r="D159" s="2283"/>
    </row>
    <row r="160" spans="1:10" s="2281" customFormat="1" ht="13.5" x14ac:dyDescent="0.2">
      <c r="A160" s="2280"/>
      <c r="C160" s="2282"/>
      <c r="D160" s="2283"/>
    </row>
    <row r="162" spans="1:6" x14ac:dyDescent="0.2">
      <c r="A162" s="2287"/>
    </row>
    <row r="165" spans="1:6" x14ac:dyDescent="0.2">
      <c r="F165" s="2236" t="s">
        <v>25</v>
      </c>
    </row>
    <row r="178" spans="4:4" x14ac:dyDescent="0.2">
      <c r="D178" s="2289"/>
    </row>
  </sheetData>
  <mergeCells count="147">
    <mergeCell ref="F148:G148"/>
    <mergeCell ref="F149:G149"/>
    <mergeCell ref="F150:G150"/>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778"/>
  <sheetViews>
    <sheetView topLeftCell="A71" workbookViewId="0">
      <selection activeCell="G141" sqref="G141"/>
    </sheetView>
  </sheetViews>
  <sheetFormatPr defaultRowHeight="12.75" x14ac:dyDescent="0.2"/>
  <cols>
    <col min="1" max="1" width="99.7109375" style="106" customWidth="1"/>
    <col min="2" max="2" width="10.7109375" style="106" customWidth="1"/>
    <col min="3" max="3" width="10.42578125" style="106" customWidth="1"/>
    <col min="4" max="4" width="12.85546875" style="106" customWidth="1"/>
    <col min="5" max="5" width="14.28515625" style="106" bestFit="1" customWidth="1"/>
    <col min="6" max="6" width="10.28515625" style="106" bestFit="1" customWidth="1"/>
    <col min="7" max="7" width="9.7109375" style="106" bestFit="1" customWidth="1"/>
    <col min="8" max="16384" width="9.140625" style="106"/>
  </cols>
  <sheetData>
    <row r="1" spans="1:6" ht="17.25" x14ac:dyDescent="0.25">
      <c r="A1" s="103" t="s">
        <v>72</v>
      </c>
      <c r="B1" s="104"/>
      <c r="C1" s="104"/>
      <c r="D1" s="105"/>
    </row>
    <row r="2" spans="1:6" ht="13.5" thickBot="1" x14ac:dyDescent="0.25">
      <c r="A2" s="107"/>
      <c r="B2" s="108"/>
      <c r="C2" s="109"/>
      <c r="D2" s="110" t="s">
        <v>73</v>
      </c>
    </row>
    <row r="3" spans="1:6" ht="16.5" thickTop="1" x14ac:dyDescent="0.25">
      <c r="A3" s="111" t="s">
        <v>6</v>
      </c>
      <c r="B3" s="112"/>
      <c r="C3" s="113"/>
      <c r="D3" s="114"/>
      <c r="E3" s="115"/>
      <c r="F3" s="115"/>
    </row>
    <row r="4" spans="1:6" x14ac:dyDescent="0.2">
      <c r="A4" s="116"/>
      <c r="B4" s="117"/>
      <c r="C4" s="118"/>
      <c r="D4" s="119"/>
      <c r="E4" s="115"/>
      <c r="F4" s="115"/>
    </row>
    <row r="5" spans="1:6" x14ac:dyDescent="0.2">
      <c r="A5" s="120" t="s">
        <v>74</v>
      </c>
      <c r="B5" s="121"/>
      <c r="C5" s="122"/>
      <c r="D5" s="123">
        <v>59955.561319153756</v>
      </c>
      <c r="E5" s="124"/>
      <c r="F5" s="115"/>
    </row>
    <row r="6" spans="1:6" x14ac:dyDescent="0.2">
      <c r="A6" s="120" t="s">
        <v>75</v>
      </c>
      <c r="B6" s="121"/>
      <c r="C6" s="122"/>
      <c r="D6" s="123">
        <v>59661.469813274991</v>
      </c>
      <c r="E6" s="115"/>
      <c r="F6" s="125"/>
    </row>
    <row r="7" spans="1:6" x14ac:dyDescent="0.2">
      <c r="A7" s="120" t="s">
        <v>76</v>
      </c>
      <c r="B7" s="121"/>
      <c r="C7" s="122"/>
      <c r="D7" s="123">
        <v>7027.9588656272899</v>
      </c>
      <c r="E7" s="115"/>
      <c r="F7" s="115"/>
    </row>
    <row r="8" spans="1:6" x14ac:dyDescent="0.2">
      <c r="A8" s="120" t="s">
        <v>77</v>
      </c>
      <c r="B8" s="121"/>
      <c r="C8" s="122"/>
      <c r="D8" s="123">
        <v>0</v>
      </c>
      <c r="E8" s="124"/>
      <c r="F8" s="115"/>
    </row>
    <row r="9" spans="1:6" x14ac:dyDescent="0.2">
      <c r="A9" s="120" t="s">
        <v>78</v>
      </c>
      <c r="B9" s="121"/>
      <c r="C9" s="122"/>
      <c r="D9" s="123">
        <v>8953.5732603328488</v>
      </c>
      <c r="E9" s="115"/>
      <c r="F9" s="115"/>
    </row>
    <row r="10" spans="1:6" x14ac:dyDescent="0.2">
      <c r="A10" s="120" t="s">
        <v>79</v>
      </c>
      <c r="B10" s="121"/>
      <c r="C10" s="122"/>
      <c r="D10" s="123">
        <v>873848.9634413817</v>
      </c>
      <c r="E10" s="115"/>
      <c r="F10" s="115"/>
    </row>
    <row r="11" spans="1:6" x14ac:dyDescent="0.2">
      <c r="A11" s="126" t="s">
        <v>80</v>
      </c>
      <c r="B11" s="127"/>
      <c r="C11" s="128">
        <v>352196.48162642395</v>
      </c>
      <c r="D11" s="129"/>
      <c r="E11" s="115"/>
      <c r="F11" s="115"/>
    </row>
    <row r="12" spans="1:6" x14ac:dyDescent="0.2">
      <c r="A12" s="126" t="s">
        <v>81</v>
      </c>
      <c r="B12" s="130">
        <v>293803.75770297053</v>
      </c>
      <c r="C12" s="128"/>
      <c r="D12" s="129"/>
      <c r="E12" s="115"/>
      <c r="F12" s="115"/>
    </row>
    <row r="13" spans="1:6" x14ac:dyDescent="0.2">
      <c r="A13" s="126" t="s">
        <v>82</v>
      </c>
      <c r="B13" s="130">
        <v>46582.142256448424</v>
      </c>
      <c r="C13" s="131"/>
      <c r="D13" s="129"/>
      <c r="E13" s="115"/>
      <c r="F13" s="115"/>
    </row>
    <row r="14" spans="1:6" x14ac:dyDescent="0.2">
      <c r="A14" s="126" t="s">
        <v>83</v>
      </c>
      <c r="B14" s="130">
        <v>184665.05851906445</v>
      </c>
      <c r="C14" s="131"/>
      <c r="D14" s="129"/>
      <c r="E14" s="115"/>
      <c r="F14" s="115"/>
    </row>
    <row r="15" spans="1:6" x14ac:dyDescent="0.2">
      <c r="A15" s="126" t="s">
        <v>84</v>
      </c>
      <c r="B15" s="130">
        <v>62508.019748045197</v>
      </c>
      <c r="C15" s="131"/>
      <c r="D15" s="129"/>
      <c r="E15" s="115"/>
      <c r="F15" s="115"/>
    </row>
    <row r="16" spans="1:6" x14ac:dyDescent="0.2">
      <c r="A16" s="126" t="s">
        <v>85</v>
      </c>
      <c r="B16" s="130">
        <v>48.537179412399503</v>
      </c>
      <c r="C16" s="131"/>
      <c r="D16" s="129"/>
      <c r="E16" s="115"/>
      <c r="F16" s="115"/>
    </row>
    <row r="17" spans="1:6" x14ac:dyDescent="0.2">
      <c r="A17" s="126" t="s">
        <v>86</v>
      </c>
      <c r="B17" s="130">
        <v>58392.723923453406</v>
      </c>
      <c r="C17" s="131"/>
      <c r="D17" s="129"/>
      <c r="E17" s="115"/>
      <c r="F17" s="115"/>
    </row>
    <row r="18" spans="1:6" x14ac:dyDescent="0.2">
      <c r="A18" s="126" t="s">
        <v>82</v>
      </c>
      <c r="B18" s="130">
        <v>42108.364974561679</v>
      </c>
      <c r="C18" s="131"/>
      <c r="D18" s="129"/>
      <c r="E18" s="124"/>
      <c r="F18" s="115"/>
    </row>
    <row r="19" spans="1:6" x14ac:dyDescent="0.2">
      <c r="A19" s="126" t="s">
        <v>83</v>
      </c>
      <c r="B19" s="130">
        <v>2749.4819645659118</v>
      </c>
      <c r="C19" s="131"/>
      <c r="D19" s="129"/>
      <c r="E19" s="124"/>
      <c r="F19" s="115"/>
    </row>
    <row r="20" spans="1:6" x14ac:dyDescent="0.2">
      <c r="A20" s="126" t="s">
        <v>84</v>
      </c>
      <c r="B20" s="130">
        <v>13532.347827267076</v>
      </c>
      <c r="C20" s="131"/>
      <c r="D20" s="129"/>
      <c r="E20" s="124"/>
      <c r="F20" s="115"/>
    </row>
    <row r="21" spans="1:6" x14ac:dyDescent="0.2">
      <c r="A21" s="126" t="s">
        <v>85</v>
      </c>
      <c r="B21" s="130">
        <v>2.5291570587500005</v>
      </c>
      <c r="C21" s="131"/>
      <c r="D21" s="129"/>
      <c r="E21" s="124"/>
      <c r="F21" s="115"/>
    </row>
    <row r="22" spans="1:6" x14ac:dyDescent="0.2">
      <c r="A22" s="126" t="s">
        <v>87</v>
      </c>
      <c r="B22" s="130"/>
      <c r="C22" s="128">
        <v>27896.577286218133</v>
      </c>
      <c r="D22" s="129"/>
      <c r="E22" s="124"/>
      <c r="F22" s="115"/>
    </row>
    <row r="23" spans="1:6" x14ac:dyDescent="0.2">
      <c r="A23" s="126" t="s">
        <v>88</v>
      </c>
      <c r="B23" s="130">
        <v>15476.169132174842</v>
      </c>
      <c r="C23" s="131"/>
      <c r="D23" s="129"/>
      <c r="E23" s="124"/>
      <c r="F23" s="115"/>
    </row>
    <row r="24" spans="1:6" x14ac:dyDescent="0.2">
      <c r="A24" s="126" t="s">
        <v>89</v>
      </c>
      <c r="B24" s="130">
        <v>2520.660907592784</v>
      </c>
      <c r="C24" s="131"/>
      <c r="D24" s="129"/>
      <c r="E24" s="124"/>
      <c r="F24" s="115"/>
    </row>
    <row r="25" spans="1:6" x14ac:dyDescent="0.2">
      <c r="A25" s="126" t="s">
        <v>90</v>
      </c>
      <c r="B25" s="130">
        <v>4776.0477397065733</v>
      </c>
      <c r="C25" s="131"/>
      <c r="D25" s="129"/>
      <c r="E25" s="124"/>
      <c r="F25" s="115"/>
    </row>
    <row r="26" spans="1:6" x14ac:dyDescent="0.2">
      <c r="A26" s="126" t="s">
        <v>91</v>
      </c>
      <c r="B26" s="130">
        <v>8179.4604848754861</v>
      </c>
      <c r="C26" s="131"/>
      <c r="D26" s="129"/>
      <c r="E26" s="124"/>
      <c r="F26" s="115"/>
    </row>
    <row r="27" spans="1:6" x14ac:dyDescent="0.2">
      <c r="A27" s="126" t="s">
        <v>92</v>
      </c>
      <c r="B27" s="130">
        <v>0</v>
      </c>
      <c r="C27" s="131"/>
      <c r="D27" s="129"/>
      <c r="E27" s="124"/>
      <c r="F27" s="115"/>
    </row>
    <row r="28" spans="1:6" x14ac:dyDescent="0.2">
      <c r="A28" s="126" t="s">
        <v>93</v>
      </c>
      <c r="B28" s="130">
        <v>12420.408154043287</v>
      </c>
      <c r="C28" s="131"/>
      <c r="D28" s="129"/>
      <c r="E28" s="124"/>
      <c r="F28" s="115"/>
    </row>
    <row r="29" spans="1:6" x14ac:dyDescent="0.2">
      <c r="A29" s="126" t="s">
        <v>89</v>
      </c>
      <c r="B29" s="130">
        <v>5932.2273310041237</v>
      </c>
      <c r="C29" s="131"/>
      <c r="D29" s="129"/>
      <c r="E29" s="124"/>
      <c r="F29" s="115"/>
    </row>
    <row r="30" spans="1:6" x14ac:dyDescent="0.2">
      <c r="A30" s="126" t="s">
        <v>90</v>
      </c>
      <c r="B30" s="130">
        <v>226.20998970853475</v>
      </c>
      <c r="C30" s="131"/>
      <c r="D30" s="129"/>
      <c r="E30" s="124"/>
      <c r="F30" s="115"/>
    </row>
    <row r="31" spans="1:6" x14ac:dyDescent="0.2">
      <c r="A31" s="126" t="s">
        <v>91</v>
      </c>
      <c r="B31" s="130">
        <v>6261.970833330628</v>
      </c>
      <c r="C31" s="131"/>
      <c r="D31" s="129"/>
      <c r="E31" s="124"/>
      <c r="F31" s="115"/>
    </row>
    <row r="32" spans="1:6" x14ac:dyDescent="0.2">
      <c r="A32" s="126" t="s">
        <v>92</v>
      </c>
      <c r="B32" s="130">
        <v>0</v>
      </c>
      <c r="C32" s="128"/>
      <c r="D32" s="129"/>
      <c r="E32" s="124"/>
      <c r="F32" s="115"/>
    </row>
    <row r="33" spans="1:6" x14ac:dyDescent="0.2">
      <c r="A33" s="126" t="s">
        <v>94</v>
      </c>
      <c r="B33" s="130"/>
      <c r="C33" s="128">
        <v>5007.5143288190602</v>
      </c>
      <c r="D33" s="129"/>
      <c r="E33" s="115"/>
      <c r="F33" s="115"/>
    </row>
    <row r="34" spans="1:6" x14ac:dyDescent="0.2">
      <c r="A34" s="126" t="s">
        <v>95</v>
      </c>
      <c r="B34" s="130">
        <v>2338.1708989611334</v>
      </c>
      <c r="C34" s="131"/>
      <c r="D34" s="129"/>
      <c r="E34" s="115"/>
      <c r="F34" s="115"/>
    </row>
    <row r="35" spans="1:6" x14ac:dyDescent="0.2">
      <c r="A35" s="126" t="s">
        <v>96</v>
      </c>
      <c r="B35" s="130">
        <v>2279.6072097978845</v>
      </c>
      <c r="C35" s="131"/>
      <c r="D35" s="129"/>
      <c r="E35" s="115"/>
      <c r="F35" s="115"/>
    </row>
    <row r="36" spans="1:6" x14ac:dyDescent="0.2">
      <c r="A36" s="126" t="s">
        <v>97</v>
      </c>
      <c r="B36" s="130">
        <v>389.73622006004251</v>
      </c>
      <c r="C36" s="131"/>
      <c r="D36" s="129"/>
      <c r="E36" s="115"/>
      <c r="F36" s="115"/>
    </row>
    <row r="37" spans="1:6" x14ac:dyDescent="0.2">
      <c r="A37" s="126" t="s">
        <v>98</v>
      </c>
      <c r="B37" s="130"/>
      <c r="C37" s="128">
        <v>2408.9107501041681</v>
      </c>
      <c r="D37" s="129"/>
      <c r="E37" s="124"/>
      <c r="F37" s="115"/>
    </row>
    <row r="38" spans="1:6" x14ac:dyDescent="0.2">
      <c r="A38" s="126" t="s">
        <v>81</v>
      </c>
      <c r="B38" s="130">
        <v>235.54964616000001</v>
      </c>
      <c r="C38" s="131"/>
      <c r="D38" s="129"/>
      <c r="E38" s="124"/>
      <c r="F38" s="115"/>
    </row>
    <row r="39" spans="1:6" x14ac:dyDescent="0.2">
      <c r="A39" s="126" t="s">
        <v>82</v>
      </c>
      <c r="B39" s="130">
        <v>169.65593669</v>
      </c>
      <c r="C39" s="131"/>
      <c r="D39" s="129"/>
      <c r="E39" s="124"/>
      <c r="F39" s="115"/>
    </row>
    <row r="40" spans="1:6" x14ac:dyDescent="0.2">
      <c r="A40" s="126" t="s">
        <v>83</v>
      </c>
      <c r="B40" s="130">
        <v>22.409209470000004</v>
      </c>
      <c r="C40" s="131"/>
      <c r="D40" s="129"/>
      <c r="E40" s="115"/>
      <c r="F40" s="115"/>
    </row>
    <row r="41" spans="1:6" x14ac:dyDescent="0.2">
      <c r="A41" s="126" t="s">
        <v>84</v>
      </c>
      <c r="B41" s="130">
        <v>43.484499999999997</v>
      </c>
      <c r="C41" s="131"/>
      <c r="D41" s="129"/>
      <c r="E41" s="115"/>
      <c r="F41" s="115"/>
    </row>
    <row r="42" spans="1:6" x14ac:dyDescent="0.2">
      <c r="A42" s="126" t="s">
        <v>86</v>
      </c>
      <c r="B42" s="130">
        <v>2173.361103944168</v>
      </c>
      <c r="C42" s="131"/>
      <c r="D42" s="129"/>
      <c r="E42" s="115"/>
      <c r="F42" s="115"/>
    </row>
    <row r="43" spans="1:6" x14ac:dyDescent="0.2">
      <c r="A43" s="126" t="s">
        <v>82</v>
      </c>
      <c r="B43" s="130">
        <v>2031.9131039441679</v>
      </c>
      <c r="C43" s="131"/>
      <c r="D43" s="129"/>
      <c r="E43" s="115"/>
      <c r="F43" s="115"/>
    </row>
    <row r="44" spans="1:6" x14ac:dyDescent="0.2">
      <c r="A44" s="126" t="s">
        <v>83</v>
      </c>
      <c r="B44" s="130">
        <v>0</v>
      </c>
      <c r="C44" s="131"/>
      <c r="D44" s="129"/>
      <c r="E44" s="115"/>
      <c r="F44" s="115"/>
    </row>
    <row r="45" spans="1:6" x14ac:dyDescent="0.2">
      <c r="A45" s="126" t="s">
        <v>84</v>
      </c>
      <c r="B45" s="130">
        <v>141.44800000000001</v>
      </c>
      <c r="C45" s="131"/>
      <c r="D45" s="129"/>
      <c r="E45" s="115"/>
      <c r="F45" s="115"/>
    </row>
    <row r="46" spans="1:6" x14ac:dyDescent="0.2">
      <c r="A46" s="126" t="s">
        <v>99</v>
      </c>
      <c r="B46" s="130"/>
      <c r="C46" s="128">
        <v>335928.89280908433</v>
      </c>
      <c r="D46" s="129"/>
      <c r="E46" s="115"/>
      <c r="F46" s="115"/>
    </row>
    <row r="47" spans="1:6" x14ac:dyDescent="0.2">
      <c r="A47" s="126" t="s">
        <v>88</v>
      </c>
      <c r="B47" s="130">
        <v>736.41087354444323</v>
      </c>
      <c r="C47" s="131"/>
      <c r="D47" s="129"/>
      <c r="E47" s="115"/>
      <c r="F47" s="115"/>
    </row>
    <row r="48" spans="1:6" x14ac:dyDescent="0.2">
      <c r="A48" s="126" t="s">
        <v>89</v>
      </c>
      <c r="B48" s="130">
        <v>540.58573303237324</v>
      </c>
      <c r="C48" s="131"/>
      <c r="D48" s="129"/>
      <c r="E48" s="115"/>
      <c r="F48" s="115"/>
    </row>
    <row r="49" spans="1:6" x14ac:dyDescent="0.2">
      <c r="A49" s="126" t="s">
        <v>90</v>
      </c>
      <c r="B49" s="130">
        <v>3.1483138399999997</v>
      </c>
      <c r="C49" s="131"/>
      <c r="D49" s="129"/>
      <c r="E49" s="115"/>
      <c r="F49" s="115"/>
    </row>
    <row r="50" spans="1:6" x14ac:dyDescent="0.2">
      <c r="A50" s="126" t="s">
        <v>91</v>
      </c>
      <c r="B50" s="130">
        <v>192.67682667207004</v>
      </c>
      <c r="C50" s="131"/>
      <c r="D50" s="129"/>
      <c r="E50" s="115"/>
      <c r="F50" s="115"/>
    </row>
    <row r="51" spans="1:6" x14ac:dyDescent="0.2">
      <c r="A51" s="126" t="s">
        <v>92</v>
      </c>
      <c r="B51" s="130">
        <v>0</v>
      </c>
      <c r="C51" s="131"/>
      <c r="D51" s="129"/>
      <c r="E51" s="115"/>
      <c r="F51" s="115"/>
    </row>
    <row r="52" spans="1:6" x14ac:dyDescent="0.2">
      <c r="A52" s="126" t="s">
        <v>93</v>
      </c>
      <c r="B52" s="130">
        <v>335192.48193553992</v>
      </c>
      <c r="C52" s="131"/>
      <c r="D52" s="129"/>
      <c r="E52" s="115"/>
      <c r="F52" s="115"/>
    </row>
    <row r="53" spans="1:6" x14ac:dyDescent="0.2">
      <c r="A53" s="126" t="s">
        <v>89</v>
      </c>
      <c r="B53" s="130">
        <v>206270.85600333707</v>
      </c>
      <c r="C53" s="131"/>
      <c r="D53" s="129"/>
      <c r="E53" s="115"/>
      <c r="F53" s="115"/>
    </row>
    <row r="54" spans="1:6" x14ac:dyDescent="0.2">
      <c r="A54" s="126" t="s">
        <v>90</v>
      </c>
      <c r="B54" s="130">
        <v>164.12118640412785</v>
      </c>
      <c r="C54" s="131"/>
      <c r="D54" s="129"/>
      <c r="E54" s="115"/>
      <c r="F54" s="115"/>
    </row>
    <row r="55" spans="1:6" x14ac:dyDescent="0.2">
      <c r="A55" s="126" t="s">
        <v>91</v>
      </c>
      <c r="B55" s="130">
        <v>128757.50474579874</v>
      </c>
      <c r="C55" s="131"/>
      <c r="D55" s="129"/>
      <c r="E55" s="115"/>
      <c r="F55" s="115"/>
    </row>
    <row r="56" spans="1:6" x14ac:dyDescent="0.2">
      <c r="A56" s="126" t="s">
        <v>92</v>
      </c>
      <c r="B56" s="130">
        <v>0</v>
      </c>
      <c r="C56" s="131"/>
      <c r="D56" s="129"/>
      <c r="E56" s="115"/>
      <c r="F56" s="115"/>
    </row>
    <row r="57" spans="1:6" x14ac:dyDescent="0.2">
      <c r="A57" s="126" t="s">
        <v>100</v>
      </c>
      <c r="B57" s="130"/>
      <c r="C57" s="128">
        <v>142123.17319980604</v>
      </c>
      <c r="D57" s="129"/>
      <c r="E57" s="115"/>
      <c r="F57" s="115"/>
    </row>
    <row r="58" spans="1:6" x14ac:dyDescent="0.2">
      <c r="A58" s="126" t="s">
        <v>88</v>
      </c>
      <c r="B58" s="130">
        <v>17957.786896202761</v>
      </c>
      <c r="C58" s="131"/>
      <c r="D58" s="129"/>
      <c r="E58" s="115"/>
      <c r="F58" s="115"/>
    </row>
    <row r="59" spans="1:6" x14ac:dyDescent="0.2">
      <c r="A59" s="126" t="s">
        <v>89</v>
      </c>
      <c r="B59" s="130">
        <v>1712.0237371978574</v>
      </c>
      <c r="C59" s="131"/>
      <c r="D59" s="129"/>
      <c r="E59" s="115"/>
      <c r="F59" s="115"/>
    </row>
    <row r="60" spans="1:6" x14ac:dyDescent="0.2">
      <c r="A60" s="126" t="s">
        <v>90</v>
      </c>
      <c r="B60" s="130">
        <v>11237.069457562713</v>
      </c>
      <c r="C60" s="131"/>
      <c r="D60" s="129"/>
      <c r="E60" s="115"/>
      <c r="F60" s="115"/>
    </row>
    <row r="61" spans="1:6" x14ac:dyDescent="0.2">
      <c r="A61" s="126" t="s">
        <v>91</v>
      </c>
      <c r="B61" s="130">
        <v>5008.6937014421883</v>
      </c>
      <c r="C61" s="131"/>
      <c r="D61" s="129"/>
      <c r="E61" s="115"/>
      <c r="F61" s="115"/>
    </row>
    <row r="62" spans="1:6" x14ac:dyDescent="0.2">
      <c r="A62" s="126" t="s">
        <v>92</v>
      </c>
      <c r="B62" s="130">
        <v>0</v>
      </c>
      <c r="C62" s="131"/>
      <c r="D62" s="129"/>
      <c r="E62" s="115"/>
      <c r="F62" s="115"/>
    </row>
    <row r="63" spans="1:6" x14ac:dyDescent="0.2">
      <c r="A63" s="126" t="s">
        <v>93</v>
      </c>
      <c r="B63" s="130">
        <v>124165.38630360326</v>
      </c>
      <c r="C63" s="131"/>
      <c r="D63" s="129"/>
      <c r="E63" s="115"/>
      <c r="F63" s="115"/>
    </row>
    <row r="64" spans="1:6" x14ac:dyDescent="0.2">
      <c r="A64" s="126" t="s">
        <v>89</v>
      </c>
      <c r="B64" s="130">
        <v>89493.762116770842</v>
      </c>
      <c r="C64" s="131"/>
      <c r="D64" s="129"/>
      <c r="E64" s="115"/>
      <c r="F64" s="115"/>
    </row>
    <row r="65" spans="1:6" x14ac:dyDescent="0.2">
      <c r="A65" s="126" t="s">
        <v>90</v>
      </c>
      <c r="B65" s="130">
        <v>1486.1596010365577</v>
      </c>
      <c r="C65" s="131"/>
      <c r="D65" s="129"/>
      <c r="E65" s="115"/>
      <c r="F65" s="115"/>
    </row>
    <row r="66" spans="1:6" x14ac:dyDescent="0.2">
      <c r="A66" s="126" t="s">
        <v>91</v>
      </c>
      <c r="B66" s="130">
        <v>33185.464585795846</v>
      </c>
      <c r="C66" s="131"/>
      <c r="D66" s="129"/>
      <c r="E66" s="115"/>
      <c r="F66" s="115"/>
    </row>
    <row r="67" spans="1:6" x14ac:dyDescent="0.2">
      <c r="A67" s="126" t="s">
        <v>92</v>
      </c>
      <c r="B67" s="130">
        <v>0</v>
      </c>
      <c r="C67" s="131"/>
      <c r="D67" s="129"/>
      <c r="E67" s="115"/>
      <c r="F67" s="115"/>
    </row>
    <row r="68" spans="1:6" x14ac:dyDescent="0.2">
      <c r="A68" s="126" t="s">
        <v>101</v>
      </c>
      <c r="B68" s="130"/>
      <c r="C68" s="128">
        <v>8287.4134409259896</v>
      </c>
      <c r="D68" s="129"/>
      <c r="E68" s="115"/>
      <c r="F68" s="115"/>
    </row>
    <row r="69" spans="1:6" x14ac:dyDescent="0.2">
      <c r="A69" s="126" t="s">
        <v>88</v>
      </c>
      <c r="B69" s="130">
        <v>277.84361297610587</v>
      </c>
      <c r="C69" s="131"/>
      <c r="D69" s="129"/>
      <c r="E69" s="115"/>
      <c r="F69" s="115"/>
    </row>
    <row r="70" spans="1:6" x14ac:dyDescent="0.2">
      <c r="A70" s="126" t="s">
        <v>89</v>
      </c>
      <c r="B70" s="130">
        <v>277.84361297610587</v>
      </c>
      <c r="C70" s="131"/>
      <c r="D70" s="129"/>
      <c r="E70" s="115"/>
      <c r="F70" s="115"/>
    </row>
    <row r="71" spans="1:6" x14ac:dyDescent="0.2">
      <c r="A71" s="126" t="s">
        <v>90</v>
      </c>
      <c r="B71" s="130">
        <v>0</v>
      </c>
      <c r="C71" s="131"/>
      <c r="D71" s="129"/>
      <c r="E71" s="115"/>
      <c r="F71" s="115"/>
    </row>
    <row r="72" spans="1:6" x14ac:dyDescent="0.2">
      <c r="A72" s="126" t="s">
        <v>102</v>
      </c>
      <c r="B72" s="130">
        <v>0</v>
      </c>
      <c r="C72" s="131"/>
      <c r="D72" s="129"/>
      <c r="E72" s="115"/>
      <c r="F72" s="115"/>
    </row>
    <row r="73" spans="1:6" x14ac:dyDescent="0.2">
      <c r="A73" s="126" t="s">
        <v>93</v>
      </c>
      <c r="B73" s="130">
        <v>8009.5698279498847</v>
      </c>
      <c r="C73" s="131"/>
      <c r="D73" s="129"/>
      <c r="E73" s="115"/>
      <c r="F73" s="115"/>
    </row>
    <row r="74" spans="1:6" x14ac:dyDescent="0.2">
      <c r="A74" s="126" t="s">
        <v>89</v>
      </c>
      <c r="B74" s="130">
        <v>2945.9411202498845</v>
      </c>
      <c r="C74" s="131"/>
      <c r="D74" s="129"/>
      <c r="E74" s="115"/>
      <c r="F74" s="115"/>
    </row>
    <row r="75" spans="1:6" x14ac:dyDescent="0.2">
      <c r="A75" s="126" t="s">
        <v>90</v>
      </c>
      <c r="B75" s="130">
        <v>0</v>
      </c>
      <c r="C75" s="131"/>
      <c r="D75" s="129"/>
      <c r="E75" s="115"/>
      <c r="F75" s="115"/>
    </row>
    <row r="76" spans="1:6" x14ac:dyDescent="0.2">
      <c r="A76" s="126" t="s">
        <v>91</v>
      </c>
      <c r="B76" s="130">
        <v>5063.6287076999997</v>
      </c>
      <c r="C76" s="122"/>
      <c r="D76" s="123"/>
      <c r="E76" s="124"/>
      <c r="F76" s="115"/>
    </row>
    <row r="77" spans="1:6" x14ac:dyDescent="0.2">
      <c r="A77" s="120" t="s">
        <v>103</v>
      </c>
      <c r="B77" s="121"/>
      <c r="C77" s="128"/>
      <c r="D77" s="123">
        <v>2031.0000000017815</v>
      </c>
      <c r="E77" s="124"/>
      <c r="F77" s="115"/>
    </row>
    <row r="78" spans="1:6" x14ac:dyDescent="0.2">
      <c r="A78" s="126"/>
      <c r="B78" s="132"/>
      <c r="C78" s="128"/>
      <c r="D78" s="133"/>
      <c r="E78" s="124"/>
      <c r="F78" s="115"/>
    </row>
    <row r="79" spans="1:6" x14ac:dyDescent="0.2">
      <c r="A79" s="126"/>
      <c r="B79" s="132"/>
      <c r="C79" s="128"/>
      <c r="D79" s="129"/>
      <c r="E79" s="124"/>
      <c r="F79" s="115"/>
    </row>
    <row r="80" spans="1:6" x14ac:dyDescent="0.2">
      <c r="A80" s="120" t="s">
        <v>104</v>
      </c>
      <c r="B80" s="132"/>
      <c r="C80" s="132"/>
      <c r="D80" s="123">
        <v>117390.07270141608</v>
      </c>
      <c r="E80" s="115"/>
      <c r="F80" s="115"/>
    </row>
    <row r="81" spans="1:6" x14ac:dyDescent="0.2">
      <c r="A81" s="126" t="s">
        <v>105</v>
      </c>
      <c r="B81" s="130"/>
      <c r="C81" s="128">
        <v>992.76635207288996</v>
      </c>
      <c r="D81" s="129"/>
      <c r="E81" s="115"/>
      <c r="F81" s="115"/>
    </row>
    <row r="82" spans="1:6" x14ac:dyDescent="0.2">
      <c r="A82" s="134" t="s">
        <v>106</v>
      </c>
      <c r="B82" s="130">
        <v>199.15013712000001</v>
      </c>
      <c r="C82" s="122"/>
      <c r="D82" s="129"/>
      <c r="E82" s="115"/>
      <c r="F82" s="115"/>
    </row>
    <row r="83" spans="1:6" x14ac:dyDescent="0.2">
      <c r="A83" s="134" t="s">
        <v>107</v>
      </c>
      <c r="B83" s="130">
        <v>0</v>
      </c>
      <c r="C83" s="122"/>
      <c r="D83" s="129"/>
      <c r="E83" s="115"/>
      <c r="F83" s="115"/>
    </row>
    <row r="84" spans="1:6" x14ac:dyDescent="0.2">
      <c r="A84" s="134" t="s">
        <v>108</v>
      </c>
      <c r="B84" s="130">
        <v>0</v>
      </c>
      <c r="C84" s="122"/>
      <c r="D84" s="129"/>
      <c r="E84" s="115"/>
      <c r="F84" s="115"/>
    </row>
    <row r="85" spans="1:6" x14ac:dyDescent="0.2">
      <c r="A85" s="134" t="s">
        <v>109</v>
      </c>
      <c r="B85" s="130">
        <v>793.61621495288989</v>
      </c>
      <c r="C85" s="122"/>
      <c r="D85" s="129"/>
      <c r="E85" s="115"/>
      <c r="F85" s="115"/>
    </row>
    <row r="86" spans="1:6" ht="14.25" x14ac:dyDescent="0.2">
      <c r="A86" s="126" t="s">
        <v>110</v>
      </c>
      <c r="B86" s="130"/>
      <c r="C86" s="128">
        <v>3336.992990666</v>
      </c>
      <c r="D86" s="129"/>
      <c r="E86" s="115"/>
      <c r="F86" s="115"/>
    </row>
    <row r="87" spans="1:6" x14ac:dyDescent="0.2">
      <c r="A87" s="126" t="s">
        <v>111</v>
      </c>
      <c r="B87" s="130"/>
      <c r="C87" s="128">
        <v>57408.16236889991</v>
      </c>
      <c r="D87" s="129"/>
      <c r="E87" s="115"/>
      <c r="F87" s="115"/>
    </row>
    <row r="88" spans="1:6" x14ac:dyDescent="0.2">
      <c r="A88" s="126" t="s">
        <v>112</v>
      </c>
      <c r="B88" s="130"/>
      <c r="C88" s="128">
        <v>49848.346339176824</v>
      </c>
      <c r="D88" s="133"/>
      <c r="E88" s="115"/>
      <c r="F88" s="115"/>
    </row>
    <row r="89" spans="1:6" x14ac:dyDescent="0.2">
      <c r="A89" s="126" t="s">
        <v>113</v>
      </c>
      <c r="B89" s="130">
        <v>4508.3127879200001</v>
      </c>
      <c r="C89" s="131"/>
      <c r="D89" s="129"/>
      <c r="E89" s="115"/>
      <c r="F89" s="115"/>
    </row>
    <row r="90" spans="1:6" x14ac:dyDescent="0.2">
      <c r="A90" s="126" t="s">
        <v>114</v>
      </c>
      <c r="B90" s="130">
        <v>45340.033551256827</v>
      </c>
      <c r="C90" s="131"/>
      <c r="D90" s="129"/>
      <c r="E90" s="115"/>
      <c r="F90" s="125"/>
    </row>
    <row r="91" spans="1:6" x14ac:dyDescent="0.2">
      <c r="A91" s="126" t="s">
        <v>115</v>
      </c>
      <c r="B91" s="130"/>
      <c r="C91" s="128">
        <v>5803.8046506004503</v>
      </c>
      <c r="D91" s="129"/>
      <c r="E91" s="115"/>
      <c r="F91" s="115"/>
    </row>
    <row r="92" spans="1:6" x14ac:dyDescent="0.2">
      <c r="A92" s="126" t="s">
        <v>116</v>
      </c>
      <c r="B92" s="130">
        <v>21.582207749999998</v>
      </c>
      <c r="C92" s="131"/>
      <c r="D92" s="129"/>
      <c r="E92" s="124"/>
      <c r="F92" s="115"/>
    </row>
    <row r="93" spans="1:6" x14ac:dyDescent="0.2">
      <c r="A93" s="126" t="s">
        <v>117</v>
      </c>
      <c r="B93" s="130">
        <v>5782.2224428504505</v>
      </c>
      <c r="C93" s="131"/>
      <c r="D93" s="129"/>
      <c r="E93" s="135"/>
      <c r="F93" s="115"/>
    </row>
    <row r="94" spans="1:6" x14ac:dyDescent="0.2">
      <c r="A94" s="120" t="s">
        <v>118</v>
      </c>
      <c r="B94" s="130"/>
      <c r="C94" s="130"/>
      <c r="D94" s="123">
        <v>398.80938947089709</v>
      </c>
      <c r="E94" s="136"/>
      <c r="F94" s="115"/>
    </row>
    <row r="95" spans="1:6" x14ac:dyDescent="0.2">
      <c r="A95" s="120" t="s">
        <v>119</v>
      </c>
      <c r="B95" s="121"/>
      <c r="C95" s="122"/>
      <c r="D95" s="123">
        <v>0</v>
      </c>
      <c r="E95" s="115"/>
    </row>
    <row r="96" spans="1:6" x14ac:dyDescent="0.2">
      <c r="A96" s="120" t="s">
        <v>120</v>
      </c>
      <c r="B96" s="121"/>
      <c r="C96" s="121"/>
      <c r="D96" s="123">
        <v>63995.713324958677</v>
      </c>
      <c r="E96" s="137"/>
    </row>
    <row r="97" spans="1:6" x14ac:dyDescent="0.2">
      <c r="A97" s="120"/>
      <c r="B97" s="138"/>
      <c r="C97" s="122"/>
      <c r="D97" s="133"/>
      <c r="E97" s="137"/>
      <c r="F97" s="137"/>
    </row>
    <row r="98" spans="1:6" x14ac:dyDescent="0.2">
      <c r="A98" s="120" t="s">
        <v>121</v>
      </c>
      <c r="B98" s="121"/>
      <c r="C98" s="121"/>
      <c r="D98" s="123">
        <v>1193263.1221156179</v>
      </c>
      <c r="E98" s="139"/>
      <c r="F98" s="139"/>
    </row>
    <row r="99" spans="1:6" x14ac:dyDescent="0.2">
      <c r="A99" s="126"/>
      <c r="B99" s="132"/>
      <c r="C99" s="122"/>
      <c r="D99" s="129"/>
      <c r="E99" s="137"/>
      <c r="F99" s="137"/>
    </row>
    <row r="100" spans="1:6" x14ac:dyDescent="0.2">
      <c r="A100" s="120" t="s">
        <v>122</v>
      </c>
      <c r="B100" s="132"/>
      <c r="C100" s="122"/>
      <c r="D100" s="123">
        <v>63567.529699621067</v>
      </c>
      <c r="E100" s="140"/>
      <c r="F100" s="137"/>
    </row>
    <row r="101" spans="1:6" x14ac:dyDescent="0.2">
      <c r="A101" s="120" t="s">
        <v>123</v>
      </c>
      <c r="B101" s="132"/>
      <c r="C101" s="122"/>
      <c r="D101" s="123">
        <v>1017.6781614570356</v>
      </c>
      <c r="E101" s="137"/>
      <c r="F101" s="137"/>
    </row>
    <row r="102" spans="1:6" x14ac:dyDescent="0.2">
      <c r="A102" s="120" t="s">
        <v>124</v>
      </c>
      <c r="B102" s="141"/>
      <c r="C102" s="142"/>
      <c r="D102" s="123">
        <v>5906.6300625023841</v>
      </c>
      <c r="E102" s="137"/>
      <c r="F102" s="137"/>
    </row>
    <row r="103" spans="1:6" ht="13.5" thickBot="1" x14ac:dyDescent="0.25">
      <c r="A103" s="143"/>
      <c r="B103" s="144"/>
      <c r="C103" s="145"/>
      <c r="D103" s="146"/>
    </row>
    <row r="104" spans="1:6" ht="13.5" thickTop="1" x14ac:dyDescent="0.2">
      <c r="A104" s="132"/>
      <c r="B104" s="141"/>
      <c r="C104" s="142"/>
      <c r="D104" s="147"/>
    </row>
    <row r="105" spans="1:6" x14ac:dyDescent="0.2">
      <c r="A105" s="148"/>
      <c r="B105" s="148"/>
      <c r="C105" s="138"/>
      <c r="D105" s="149"/>
    </row>
    <row r="106" spans="1:6" ht="13.5" thickBot="1" x14ac:dyDescent="0.25">
      <c r="A106" s="138"/>
      <c r="B106" s="148"/>
      <c r="C106" s="138"/>
      <c r="D106" s="110" t="s">
        <v>73</v>
      </c>
    </row>
    <row r="107" spans="1:6" ht="13.5" thickTop="1" x14ac:dyDescent="0.2">
      <c r="A107" s="150" t="s">
        <v>1</v>
      </c>
      <c r="B107" s="151"/>
      <c r="C107" s="152"/>
      <c r="D107" s="153"/>
    </row>
    <row r="108" spans="1:6" x14ac:dyDescent="0.2">
      <c r="A108" s="126"/>
      <c r="B108" s="132"/>
      <c r="C108" s="122"/>
      <c r="D108" s="129"/>
    </row>
    <row r="109" spans="1:6" x14ac:dyDescent="0.2">
      <c r="A109" s="120" t="s">
        <v>125</v>
      </c>
      <c r="B109" s="121"/>
      <c r="C109" s="122"/>
      <c r="D109" s="123">
        <v>4191.8248000514504</v>
      </c>
    </row>
    <row r="110" spans="1:6" x14ac:dyDescent="0.2">
      <c r="A110" s="120" t="s">
        <v>126</v>
      </c>
      <c r="B110" s="121"/>
      <c r="C110" s="122"/>
      <c r="D110" s="123">
        <v>45021.197495908142</v>
      </c>
    </row>
    <row r="111" spans="1:6" x14ac:dyDescent="0.2">
      <c r="A111" s="120" t="s">
        <v>127</v>
      </c>
      <c r="B111" s="121"/>
      <c r="C111" s="122"/>
      <c r="D111" s="123">
        <v>0</v>
      </c>
    </row>
    <row r="112" spans="1:6" x14ac:dyDescent="0.2">
      <c r="A112" s="120" t="s">
        <v>128</v>
      </c>
      <c r="B112" s="121"/>
      <c r="C112" s="122"/>
      <c r="D112" s="123">
        <v>22879.29225279107</v>
      </c>
    </row>
    <row r="113" spans="1:4" x14ac:dyDescent="0.2">
      <c r="A113" s="120" t="s">
        <v>129</v>
      </c>
      <c r="B113" s="121"/>
      <c r="C113" s="122"/>
      <c r="D113" s="123">
        <v>89941.970130254849</v>
      </c>
    </row>
    <row r="114" spans="1:4" x14ac:dyDescent="0.2">
      <c r="A114" s="126" t="s">
        <v>130</v>
      </c>
      <c r="B114" s="132"/>
      <c r="C114" s="128">
        <v>30463.757645962425</v>
      </c>
      <c r="D114" s="129"/>
    </row>
    <row r="115" spans="1:4" x14ac:dyDescent="0.2">
      <c r="A115" s="126" t="s">
        <v>131</v>
      </c>
      <c r="B115" s="154"/>
      <c r="C115" s="155">
        <v>0</v>
      </c>
      <c r="D115" s="129"/>
    </row>
    <row r="116" spans="1:4" x14ac:dyDescent="0.2">
      <c r="A116" s="134" t="s">
        <v>132</v>
      </c>
      <c r="B116" s="130"/>
      <c r="C116" s="155">
        <v>0</v>
      </c>
      <c r="D116" s="129"/>
    </row>
    <row r="117" spans="1:4" x14ac:dyDescent="0.2">
      <c r="A117" s="134" t="s">
        <v>133</v>
      </c>
      <c r="B117" s="130"/>
      <c r="C117" s="155">
        <v>0</v>
      </c>
      <c r="D117" s="129"/>
    </row>
    <row r="118" spans="1:4" x14ac:dyDescent="0.2">
      <c r="A118" s="126" t="s">
        <v>134</v>
      </c>
      <c r="B118" s="127"/>
      <c r="C118" s="128">
        <v>59478.212484292417</v>
      </c>
      <c r="D118" s="129"/>
    </row>
    <row r="119" spans="1:4" x14ac:dyDescent="0.2">
      <c r="A119" s="156" t="s">
        <v>135</v>
      </c>
      <c r="B119" s="154"/>
      <c r="C119" s="128">
        <v>0</v>
      </c>
      <c r="D119" s="129"/>
    </row>
    <row r="120" spans="1:4" x14ac:dyDescent="0.2">
      <c r="A120" s="156" t="s">
        <v>136</v>
      </c>
      <c r="B120" s="127"/>
      <c r="C120" s="128">
        <v>0</v>
      </c>
      <c r="D120" s="129"/>
    </row>
    <row r="121" spans="1:4" x14ac:dyDescent="0.2">
      <c r="A121" s="120" t="s">
        <v>137</v>
      </c>
      <c r="B121" s="121"/>
      <c r="C121" s="122"/>
      <c r="D121" s="123">
        <v>2031.0000000031482</v>
      </c>
    </row>
    <row r="122" spans="1:4" x14ac:dyDescent="0.2">
      <c r="A122" s="126"/>
      <c r="B122" s="121"/>
      <c r="C122" s="128"/>
      <c r="D122" s="133"/>
    </row>
    <row r="123" spans="1:4" x14ac:dyDescent="0.2">
      <c r="A123" s="126"/>
      <c r="B123" s="121"/>
      <c r="C123" s="128"/>
      <c r="D123" s="133"/>
    </row>
    <row r="124" spans="1:4" x14ac:dyDescent="0.2">
      <c r="A124" s="120" t="s">
        <v>138</v>
      </c>
      <c r="B124" s="121"/>
      <c r="C124" s="122"/>
      <c r="D124" s="123">
        <v>649212.16174173052</v>
      </c>
    </row>
    <row r="125" spans="1:4" x14ac:dyDescent="0.2">
      <c r="A125" s="126" t="s">
        <v>139</v>
      </c>
      <c r="B125" s="127"/>
      <c r="C125" s="128">
        <v>198989.17976446662</v>
      </c>
      <c r="D125" s="123"/>
    </row>
    <row r="126" spans="1:4" x14ac:dyDescent="0.2">
      <c r="A126" s="126" t="s">
        <v>140</v>
      </c>
      <c r="B126" s="127"/>
      <c r="C126" s="128">
        <v>129547.87085298479</v>
      </c>
      <c r="D126" s="123"/>
    </row>
    <row r="127" spans="1:4" x14ac:dyDescent="0.2">
      <c r="A127" s="126" t="s">
        <v>141</v>
      </c>
      <c r="B127" s="127"/>
      <c r="C127" s="128">
        <v>18743.628603904053</v>
      </c>
      <c r="D127" s="129"/>
    </row>
    <row r="128" spans="1:4" x14ac:dyDescent="0.2">
      <c r="A128" s="126" t="s">
        <v>142</v>
      </c>
      <c r="B128" s="130">
        <v>18700.721158434051</v>
      </c>
      <c r="C128" s="138"/>
      <c r="D128" s="129"/>
    </row>
    <row r="129" spans="1:5" x14ac:dyDescent="0.2">
      <c r="A129" s="126" t="s">
        <v>143</v>
      </c>
      <c r="B129" s="130">
        <v>313.60569884000006</v>
      </c>
      <c r="C129" s="131"/>
      <c r="D129" s="129"/>
    </row>
    <row r="130" spans="1:5" x14ac:dyDescent="0.2">
      <c r="A130" s="126" t="s">
        <v>144</v>
      </c>
      <c r="B130" s="130">
        <v>18387.11545959405</v>
      </c>
      <c r="C130" s="131"/>
      <c r="D130" s="129"/>
    </row>
    <row r="131" spans="1:5" x14ac:dyDescent="0.2">
      <c r="A131" s="126" t="s">
        <v>145</v>
      </c>
      <c r="B131" s="130">
        <v>42.907445469999999</v>
      </c>
      <c r="C131" s="131"/>
      <c r="D131" s="129"/>
    </row>
    <row r="132" spans="1:5" x14ac:dyDescent="0.2">
      <c r="A132" s="126" t="s">
        <v>143</v>
      </c>
      <c r="B132" s="130">
        <v>21.20107256</v>
      </c>
      <c r="C132" s="131"/>
      <c r="D132" s="129"/>
    </row>
    <row r="133" spans="1:5" x14ac:dyDescent="0.2">
      <c r="A133" s="126" t="s">
        <v>144</v>
      </c>
      <c r="B133" s="130">
        <v>21.706372910000002</v>
      </c>
      <c r="C133" s="131"/>
      <c r="D133" s="129"/>
    </row>
    <row r="134" spans="1:5" x14ac:dyDescent="0.2">
      <c r="A134" s="126" t="s">
        <v>146</v>
      </c>
      <c r="B134" s="127"/>
      <c r="C134" s="128">
        <v>59479.81812814196</v>
      </c>
      <c r="D134" s="129"/>
    </row>
    <row r="135" spans="1:5" x14ac:dyDescent="0.2">
      <c r="A135" s="126" t="s">
        <v>147</v>
      </c>
      <c r="B135" s="127"/>
      <c r="C135" s="128">
        <v>390.25254670604062</v>
      </c>
      <c r="D135" s="129"/>
    </row>
    <row r="136" spans="1:5" x14ac:dyDescent="0.2">
      <c r="A136" s="126" t="s">
        <v>148</v>
      </c>
      <c r="B136" s="127"/>
      <c r="C136" s="128">
        <v>240361.21435230697</v>
      </c>
      <c r="D136" s="129"/>
    </row>
    <row r="137" spans="1:5" x14ac:dyDescent="0.2">
      <c r="A137" s="126" t="s">
        <v>149</v>
      </c>
      <c r="B137" s="130">
        <v>168659.15628673654</v>
      </c>
      <c r="C137" s="131"/>
      <c r="D137" s="129"/>
    </row>
    <row r="138" spans="1:5" x14ac:dyDescent="0.2">
      <c r="A138" s="126" t="s">
        <v>150</v>
      </c>
      <c r="B138" s="130">
        <v>3949.8753718860685</v>
      </c>
      <c r="C138" s="131"/>
      <c r="D138" s="129"/>
    </row>
    <row r="139" spans="1:5" x14ac:dyDescent="0.2">
      <c r="A139" s="126" t="s">
        <v>151</v>
      </c>
      <c r="B139" s="130">
        <v>67752.182693684343</v>
      </c>
      <c r="C139" s="131"/>
      <c r="D139" s="129"/>
    </row>
    <row r="140" spans="1:5" x14ac:dyDescent="0.2">
      <c r="A140" s="126" t="s">
        <v>152</v>
      </c>
      <c r="B140" s="130"/>
      <c r="C140" s="128">
        <v>1700.1974932200003</v>
      </c>
      <c r="D140" s="129"/>
    </row>
    <row r="141" spans="1:5" x14ac:dyDescent="0.2">
      <c r="A141" s="120" t="s">
        <v>153</v>
      </c>
      <c r="B141" s="121"/>
      <c r="C141" s="157"/>
      <c r="D141" s="123">
        <v>281518.5114963337</v>
      </c>
      <c r="E141" s="158"/>
    </row>
    <row r="142" spans="1:5" x14ac:dyDescent="0.2">
      <c r="A142" s="126" t="s">
        <v>154</v>
      </c>
      <c r="B142" s="130"/>
      <c r="C142" s="128">
        <v>484.90044547999997</v>
      </c>
      <c r="D142" s="123"/>
    </row>
    <row r="143" spans="1:5" x14ac:dyDescent="0.2">
      <c r="A143" s="126" t="s">
        <v>142</v>
      </c>
      <c r="B143" s="130">
        <v>473.58429460999997</v>
      </c>
      <c r="C143" s="128"/>
      <c r="D143" s="123"/>
    </row>
    <row r="144" spans="1:5" x14ac:dyDescent="0.2">
      <c r="A144" s="126" t="s">
        <v>145</v>
      </c>
      <c r="B144" s="130">
        <v>11.316150870000001</v>
      </c>
      <c r="C144" s="157"/>
      <c r="D144" s="123"/>
    </row>
    <row r="145" spans="1:5" x14ac:dyDescent="0.2">
      <c r="A145" s="126" t="s">
        <v>155</v>
      </c>
      <c r="B145" s="130"/>
      <c r="C145" s="128">
        <v>3949.2058149199997</v>
      </c>
      <c r="D145" s="123"/>
    </row>
    <row r="146" spans="1:5" x14ac:dyDescent="0.2">
      <c r="A146" s="126" t="s">
        <v>156</v>
      </c>
      <c r="B146" s="121"/>
      <c r="C146" s="128">
        <v>0</v>
      </c>
      <c r="D146" s="159"/>
    </row>
    <row r="147" spans="1:5" x14ac:dyDescent="0.2">
      <c r="A147" s="126" t="s">
        <v>157</v>
      </c>
      <c r="B147" s="121"/>
      <c r="C147" s="128">
        <v>0.9665726899999999</v>
      </c>
      <c r="D147" s="160"/>
      <c r="E147" s="158"/>
    </row>
    <row r="148" spans="1:5" x14ac:dyDescent="0.2">
      <c r="A148" s="126" t="s">
        <v>158</v>
      </c>
      <c r="B148" s="121"/>
      <c r="C148" s="128">
        <v>38626.478316782377</v>
      </c>
      <c r="D148" s="160"/>
    </row>
    <row r="149" spans="1:5" x14ac:dyDescent="0.2">
      <c r="A149" s="126" t="s">
        <v>159</v>
      </c>
      <c r="B149" s="121"/>
      <c r="C149" s="128">
        <v>187184.04584665754</v>
      </c>
      <c r="D149" s="160"/>
    </row>
    <row r="150" spans="1:5" x14ac:dyDescent="0.2">
      <c r="A150" s="126" t="s">
        <v>160</v>
      </c>
      <c r="B150" s="130"/>
      <c r="C150" s="128">
        <v>48089.613021525722</v>
      </c>
      <c r="D150" s="160"/>
    </row>
    <row r="151" spans="1:5" x14ac:dyDescent="0.2">
      <c r="A151" s="126" t="s">
        <v>149</v>
      </c>
      <c r="B151" s="130">
        <v>39957.545568823683</v>
      </c>
      <c r="C151" s="130"/>
      <c r="D151" s="160"/>
    </row>
    <row r="152" spans="1:5" x14ac:dyDescent="0.2">
      <c r="A152" s="126" t="s">
        <v>150</v>
      </c>
      <c r="B152" s="130">
        <v>6862.1552965970222</v>
      </c>
      <c r="C152" s="130"/>
      <c r="D152" s="160"/>
    </row>
    <row r="153" spans="1:5" x14ac:dyDescent="0.2">
      <c r="A153" s="126" t="s">
        <v>151</v>
      </c>
      <c r="B153" s="130">
        <v>1269.9121561050133</v>
      </c>
      <c r="C153" s="130"/>
      <c r="D153" s="160"/>
    </row>
    <row r="154" spans="1:5" x14ac:dyDescent="0.2">
      <c r="A154" s="126" t="s">
        <v>161</v>
      </c>
      <c r="B154" s="130"/>
      <c r="C154" s="128">
        <v>3183.3014782780924</v>
      </c>
      <c r="D154" s="160"/>
    </row>
    <row r="155" spans="1:5" x14ac:dyDescent="0.2">
      <c r="A155" s="126" t="s">
        <v>162</v>
      </c>
      <c r="B155" s="130">
        <v>1668.4170995880922</v>
      </c>
      <c r="C155" s="130"/>
      <c r="D155" s="160"/>
    </row>
    <row r="156" spans="1:5" x14ac:dyDescent="0.2">
      <c r="A156" s="126" t="s">
        <v>163</v>
      </c>
      <c r="B156" s="130">
        <v>1434.89333474</v>
      </c>
      <c r="C156" s="130"/>
      <c r="D156" s="160"/>
    </row>
    <row r="157" spans="1:5" x14ac:dyDescent="0.2">
      <c r="A157" s="126" t="s">
        <v>164</v>
      </c>
      <c r="B157" s="130">
        <v>79.991043950000005</v>
      </c>
      <c r="C157" s="121"/>
      <c r="D157" s="159"/>
    </row>
    <row r="158" spans="1:5" x14ac:dyDescent="0.2">
      <c r="A158" s="120" t="s">
        <v>165</v>
      </c>
      <c r="B158" s="138"/>
      <c r="C158" s="122"/>
      <c r="D158" s="123">
        <v>2119.0627179831481</v>
      </c>
    </row>
    <row r="159" spans="1:5" x14ac:dyDescent="0.2">
      <c r="A159" s="120" t="s">
        <v>166</v>
      </c>
      <c r="B159" s="121"/>
      <c r="C159" s="128"/>
      <c r="D159" s="133"/>
    </row>
    <row r="160" spans="1:5" x14ac:dyDescent="0.2">
      <c r="A160" s="126" t="s">
        <v>154</v>
      </c>
      <c r="B160" s="161"/>
      <c r="C160" s="161">
        <v>0</v>
      </c>
      <c r="D160" s="133"/>
    </row>
    <row r="161" spans="1:4" x14ac:dyDescent="0.2">
      <c r="A161" s="126" t="s">
        <v>142</v>
      </c>
      <c r="B161" s="162">
        <v>0</v>
      </c>
      <c r="C161" s="161"/>
      <c r="D161" s="133"/>
    </row>
    <row r="162" spans="1:4" x14ac:dyDescent="0.2">
      <c r="A162" s="126" t="s">
        <v>145</v>
      </c>
      <c r="B162" s="162">
        <v>0</v>
      </c>
      <c r="C162" s="161"/>
      <c r="D162" s="133"/>
    </row>
    <row r="163" spans="1:4" x14ac:dyDescent="0.2">
      <c r="A163" s="126" t="s">
        <v>155</v>
      </c>
      <c r="B163" s="161"/>
      <c r="C163" s="128">
        <v>0</v>
      </c>
      <c r="D163" s="133"/>
    </row>
    <row r="164" spans="1:4" x14ac:dyDescent="0.2">
      <c r="A164" s="126" t="s">
        <v>156</v>
      </c>
      <c r="B164" s="161"/>
      <c r="C164" s="128">
        <v>0</v>
      </c>
      <c r="D164" s="133"/>
    </row>
    <row r="165" spans="1:4" x14ac:dyDescent="0.2">
      <c r="A165" s="126" t="s">
        <v>157</v>
      </c>
      <c r="B165" s="161"/>
      <c r="C165" s="128">
        <v>0</v>
      </c>
      <c r="D165" s="133"/>
    </row>
    <row r="166" spans="1:4" x14ac:dyDescent="0.2">
      <c r="A166" s="126" t="s">
        <v>158</v>
      </c>
      <c r="B166" s="161"/>
      <c r="C166" s="128">
        <v>283.01571520999994</v>
      </c>
      <c r="D166" s="133"/>
    </row>
    <row r="167" spans="1:4" x14ac:dyDescent="0.2">
      <c r="A167" s="126" t="s">
        <v>159</v>
      </c>
      <c r="B167" s="161"/>
      <c r="C167" s="128">
        <v>686.89847120357206</v>
      </c>
      <c r="D167" s="133"/>
    </row>
    <row r="168" spans="1:4" x14ac:dyDescent="0.2">
      <c r="A168" s="126" t="s">
        <v>160</v>
      </c>
      <c r="B168" s="161"/>
      <c r="C168" s="128">
        <v>1064.4249492245685</v>
      </c>
      <c r="D168" s="133"/>
    </row>
    <row r="169" spans="1:4" x14ac:dyDescent="0.2">
      <c r="A169" s="126" t="s">
        <v>149</v>
      </c>
      <c r="B169" s="130">
        <v>352.42404035000004</v>
      </c>
      <c r="C169" s="131"/>
      <c r="D169" s="133"/>
    </row>
    <row r="170" spans="1:4" x14ac:dyDescent="0.2">
      <c r="A170" s="126" t="s">
        <v>150</v>
      </c>
      <c r="B170" s="130">
        <v>694.74900939047507</v>
      </c>
      <c r="C170" s="131"/>
      <c r="D170" s="133"/>
    </row>
    <row r="171" spans="1:4" x14ac:dyDescent="0.2">
      <c r="A171" s="126" t="s">
        <v>151</v>
      </c>
      <c r="B171" s="130">
        <v>17.251899484093503</v>
      </c>
      <c r="C171" s="131"/>
      <c r="D171" s="133"/>
    </row>
    <row r="172" spans="1:4" x14ac:dyDescent="0.2">
      <c r="A172" s="126" t="s">
        <v>161</v>
      </c>
      <c r="B172" s="130"/>
      <c r="C172" s="128">
        <v>84.723582345007415</v>
      </c>
      <c r="D172" s="133"/>
    </row>
    <row r="173" spans="1:4" x14ac:dyDescent="0.2">
      <c r="A173" s="126" t="s">
        <v>162</v>
      </c>
      <c r="B173" s="130">
        <v>84.723582345007415</v>
      </c>
      <c r="C173" s="131"/>
      <c r="D173" s="133"/>
    </row>
    <row r="174" spans="1:4" x14ac:dyDescent="0.2">
      <c r="A174" s="126" t="s">
        <v>163</v>
      </c>
      <c r="B174" s="130">
        <v>0</v>
      </c>
      <c r="C174" s="131"/>
      <c r="D174" s="133"/>
    </row>
    <row r="175" spans="1:4" x14ac:dyDescent="0.2">
      <c r="A175" s="126" t="s">
        <v>164</v>
      </c>
      <c r="B175" s="130">
        <v>0</v>
      </c>
      <c r="C175" s="122"/>
      <c r="D175" s="129"/>
    </row>
    <row r="176" spans="1:4" x14ac:dyDescent="0.2">
      <c r="A176" s="120" t="s">
        <v>167</v>
      </c>
      <c r="B176" s="130"/>
      <c r="C176" s="131"/>
      <c r="D176" s="123">
        <v>42662.448127548305</v>
      </c>
    </row>
    <row r="177" spans="1:4" x14ac:dyDescent="0.2">
      <c r="A177" s="126" t="s">
        <v>154</v>
      </c>
      <c r="B177" s="162"/>
      <c r="C177" s="161">
        <v>0</v>
      </c>
      <c r="D177" s="123"/>
    </row>
    <row r="178" spans="1:4" x14ac:dyDescent="0.2">
      <c r="A178" s="126" t="s">
        <v>142</v>
      </c>
      <c r="B178" s="161">
        <v>0</v>
      </c>
      <c r="C178" s="161"/>
      <c r="D178" s="129"/>
    </row>
    <row r="179" spans="1:4" x14ac:dyDescent="0.2">
      <c r="A179" s="126" t="s">
        <v>145</v>
      </c>
      <c r="B179" s="161">
        <v>0</v>
      </c>
      <c r="C179" s="161"/>
      <c r="D179" s="129"/>
    </row>
    <row r="180" spans="1:4" x14ac:dyDescent="0.2">
      <c r="A180" s="126" t="s">
        <v>155</v>
      </c>
      <c r="B180" s="162"/>
      <c r="C180" s="128">
        <v>374.28725004</v>
      </c>
      <c r="D180" s="129"/>
    </row>
    <row r="181" spans="1:4" x14ac:dyDescent="0.2">
      <c r="A181" s="126" t="s">
        <v>156</v>
      </c>
      <c r="B181" s="162"/>
      <c r="C181" s="161">
        <v>0</v>
      </c>
      <c r="D181" s="129"/>
    </row>
    <row r="182" spans="1:4" x14ac:dyDescent="0.2">
      <c r="A182" s="126" t="s">
        <v>157</v>
      </c>
      <c r="B182" s="162"/>
      <c r="C182" s="161">
        <v>1.235638996559</v>
      </c>
      <c r="D182" s="129"/>
    </row>
    <row r="183" spans="1:4" x14ac:dyDescent="0.2">
      <c r="A183" s="126" t="s">
        <v>158</v>
      </c>
      <c r="B183" s="162"/>
      <c r="C183" s="128">
        <v>23.580945750000001</v>
      </c>
      <c r="D183" s="129"/>
    </row>
    <row r="184" spans="1:4" x14ac:dyDescent="0.2">
      <c r="A184" s="126" t="s">
        <v>159</v>
      </c>
      <c r="B184" s="130"/>
      <c r="C184" s="128">
        <v>88.176897039999986</v>
      </c>
      <c r="D184" s="129"/>
    </row>
    <row r="185" spans="1:4" x14ac:dyDescent="0.2">
      <c r="A185" s="126" t="s">
        <v>160</v>
      </c>
      <c r="B185" s="130"/>
      <c r="C185" s="128">
        <v>41839.321228111738</v>
      </c>
      <c r="D185" s="129"/>
    </row>
    <row r="186" spans="1:4" x14ac:dyDescent="0.2">
      <c r="A186" s="126" t="s">
        <v>149</v>
      </c>
      <c r="B186" s="130">
        <v>36017.372475994503</v>
      </c>
      <c r="C186" s="128"/>
      <c r="D186" s="129"/>
    </row>
    <row r="187" spans="1:4" x14ac:dyDescent="0.2">
      <c r="A187" s="126" t="s">
        <v>150</v>
      </c>
      <c r="B187" s="130">
        <v>5305.1124506691704</v>
      </c>
      <c r="C187" s="128"/>
      <c r="D187" s="129"/>
    </row>
    <row r="188" spans="1:4" x14ac:dyDescent="0.2">
      <c r="A188" s="126" t="s">
        <v>164</v>
      </c>
      <c r="B188" s="130">
        <v>516.8363014480575</v>
      </c>
      <c r="C188" s="161"/>
      <c r="D188" s="129"/>
    </row>
    <row r="189" spans="1:4" x14ac:dyDescent="0.2">
      <c r="A189" s="126" t="s">
        <v>168</v>
      </c>
      <c r="B189" s="162"/>
      <c r="C189" s="128">
        <v>335.84616760999995</v>
      </c>
      <c r="D189" s="129"/>
    </row>
    <row r="190" spans="1:4" x14ac:dyDescent="0.2">
      <c r="A190" s="126" t="s">
        <v>162</v>
      </c>
      <c r="B190" s="130">
        <v>0</v>
      </c>
      <c r="C190" s="161"/>
      <c r="D190" s="129"/>
    </row>
    <row r="191" spans="1:4" x14ac:dyDescent="0.2">
      <c r="A191" s="126" t="s">
        <v>163</v>
      </c>
      <c r="B191" s="162">
        <v>0</v>
      </c>
      <c r="C191" s="161"/>
      <c r="D191" s="129"/>
    </row>
    <row r="192" spans="1:4" x14ac:dyDescent="0.2">
      <c r="A192" s="126" t="s">
        <v>164</v>
      </c>
      <c r="B192" s="162">
        <v>335.84616760999995</v>
      </c>
      <c r="C192" s="161"/>
      <c r="D192" s="129"/>
    </row>
    <row r="193" spans="1:7" x14ac:dyDescent="0.2">
      <c r="A193" s="120" t="s">
        <v>169</v>
      </c>
      <c r="B193" s="121"/>
      <c r="C193" s="122"/>
      <c r="D193" s="123">
        <v>6051.3623529316146</v>
      </c>
    </row>
    <row r="194" spans="1:7" x14ac:dyDescent="0.2">
      <c r="A194" s="126" t="s">
        <v>170</v>
      </c>
      <c r="B194" s="132"/>
      <c r="C194" s="128">
        <v>587.55822726704002</v>
      </c>
      <c r="D194" s="133"/>
    </row>
    <row r="195" spans="1:7" x14ac:dyDescent="0.2">
      <c r="A195" s="126" t="s">
        <v>171</v>
      </c>
      <c r="B195" s="121"/>
      <c r="C195" s="128">
        <v>53.121929999999999</v>
      </c>
      <c r="D195" s="133"/>
    </row>
    <row r="196" spans="1:7" ht="14.25" x14ac:dyDescent="0.2">
      <c r="A196" s="126" t="s">
        <v>172</v>
      </c>
      <c r="B196" s="132"/>
      <c r="C196" s="128">
        <v>5410.6821956645745</v>
      </c>
      <c r="D196" s="133"/>
    </row>
    <row r="197" spans="1:7" x14ac:dyDescent="0.2">
      <c r="A197" s="120" t="s">
        <v>173</v>
      </c>
      <c r="B197" s="121"/>
      <c r="C197" s="122"/>
      <c r="D197" s="123">
        <v>23500.952148719283</v>
      </c>
    </row>
    <row r="198" spans="1:7" x14ac:dyDescent="0.2">
      <c r="A198" s="120" t="s">
        <v>174</v>
      </c>
      <c r="B198" s="121"/>
      <c r="C198" s="122"/>
      <c r="D198" s="123">
        <v>24133.338851367706</v>
      </c>
    </row>
    <row r="199" spans="1:7" x14ac:dyDescent="0.2">
      <c r="A199" s="126"/>
      <c r="B199" s="132"/>
      <c r="C199" s="122"/>
      <c r="D199" s="129"/>
    </row>
    <row r="200" spans="1:7" x14ac:dyDescent="0.2">
      <c r="A200" s="120" t="s">
        <v>175</v>
      </c>
      <c r="B200" s="121"/>
      <c r="C200" s="122"/>
      <c r="D200" s="123">
        <v>1193263.1221156227</v>
      </c>
      <c r="F200" s="158"/>
      <c r="G200" s="158"/>
    </row>
    <row r="201" spans="1:7" x14ac:dyDescent="0.2">
      <c r="A201" s="126"/>
      <c r="B201" s="132"/>
      <c r="C201" s="122"/>
      <c r="D201" s="163"/>
    </row>
    <row r="202" spans="1:7" x14ac:dyDescent="0.2">
      <c r="A202" s="120" t="s">
        <v>176</v>
      </c>
      <c r="B202" s="132"/>
      <c r="C202" s="138"/>
      <c r="D202" s="123">
        <v>63567.529699621067</v>
      </c>
    </row>
    <row r="203" spans="1:7" x14ac:dyDescent="0.2">
      <c r="A203" s="120" t="s">
        <v>177</v>
      </c>
      <c r="B203" s="132"/>
      <c r="C203" s="122"/>
      <c r="D203" s="123">
        <v>2417.103265866936</v>
      </c>
    </row>
    <row r="204" spans="1:7" x14ac:dyDescent="0.2">
      <c r="A204" s="120" t="s">
        <v>178</v>
      </c>
      <c r="B204" s="132"/>
      <c r="C204" s="122"/>
      <c r="D204" s="123">
        <v>5871.7549497575064</v>
      </c>
    </row>
    <row r="205" spans="1:7" ht="13.5" thickBot="1" x14ac:dyDescent="0.25">
      <c r="A205" s="164"/>
      <c r="B205" s="165"/>
      <c r="C205" s="166"/>
      <c r="D205" s="167"/>
    </row>
    <row r="206" spans="1:7" ht="13.5" thickTop="1" x14ac:dyDescent="0.2">
      <c r="A206" s="168" t="s">
        <v>179</v>
      </c>
      <c r="B206" s="138"/>
      <c r="C206" s="138"/>
      <c r="D206" s="149"/>
    </row>
    <row r="207" spans="1:7" ht="13.5" x14ac:dyDescent="0.2">
      <c r="A207" s="169" t="s">
        <v>180</v>
      </c>
      <c r="D207" s="170"/>
    </row>
    <row r="208" spans="1:7" ht="13.5" x14ac:dyDescent="0.2">
      <c r="A208" s="169" t="s">
        <v>181</v>
      </c>
      <c r="D208" s="171"/>
    </row>
    <row r="209" spans="4:4" x14ac:dyDescent="0.2">
      <c r="D209" s="171"/>
    </row>
    <row r="210" spans="4:4" x14ac:dyDescent="0.2">
      <c r="D210" s="171"/>
    </row>
    <row r="211" spans="4:4" x14ac:dyDescent="0.2">
      <c r="D211" s="171"/>
    </row>
    <row r="212" spans="4:4" x14ac:dyDescent="0.2">
      <c r="D212" s="171"/>
    </row>
    <row r="213" spans="4:4" x14ac:dyDescent="0.2">
      <c r="D213" s="171"/>
    </row>
    <row r="214" spans="4:4" x14ac:dyDescent="0.2">
      <c r="D214" s="171"/>
    </row>
    <row r="215" spans="4:4" x14ac:dyDescent="0.2">
      <c r="D215" s="171"/>
    </row>
    <row r="216" spans="4:4" x14ac:dyDescent="0.2">
      <c r="D216" s="171"/>
    </row>
    <row r="217" spans="4:4" x14ac:dyDescent="0.2">
      <c r="D217" s="171"/>
    </row>
    <row r="218" spans="4:4" x14ac:dyDescent="0.2">
      <c r="D218" s="171"/>
    </row>
    <row r="219" spans="4:4" x14ac:dyDescent="0.2">
      <c r="D219" s="171"/>
    </row>
    <row r="220" spans="4:4" x14ac:dyDescent="0.2">
      <c r="D220" s="171"/>
    </row>
    <row r="221" spans="4:4" x14ac:dyDescent="0.2">
      <c r="D221" s="171"/>
    </row>
    <row r="222" spans="4:4" x14ac:dyDescent="0.2">
      <c r="D222" s="171"/>
    </row>
    <row r="223" spans="4:4" x14ac:dyDescent="0.2">
      <c r="D223" s="171"/>
    </row>
    <row r="224" spans="4:4" x14ac:dyDescent="0.2">
      <c r="D224" s="171"/>
    </row>
    <row r="225" spans="4:4" x14ac:dyDescent="0.2">
      <c r="D225" s="171"/>
    </row>
    <row r="226" spans="4:4" x14ac:dyDescent="0.2">
      <c r="D226" s="171"/>
    </row>
    <row r="227" spans="4:4" x14ac:dyDescent="0.2">
      <c r="D227" s="171"/>
    </row>
    <row r="228" spans="4:4" x14ac:dyDescent="0.2">
      <c r="D228" s="171"/>
    </row>
    <row r="229" spans="4:4" x14ac:dyDescent="0.2">
      <c r="D229" s="171"/>
    </row>
    <row r="230" spans="4:4" x14ac:dyDescent="0.2">
      <c r="D230" s="171"/>
    </row>
    <row r="231" spans="4:4" x14ac:dyDescent="0.2">
      <c r="D231" s="171"/>
    </row>
    <row r="232" spans="4:4" x14ac:dyDescent="0.2">
      <c r="D232" s="171"/>
    </row>
    <row r="233" spans="4:4" x14ac:dyDescent="0.2">
      <c r="D233" s="171"/>
    </row>
    <row r="234" spans="4:4" x14ac:dyDescent="0.2">
      <c r="D234" s="171"/>
    </row>
    <row r="235" spans="4:4" x14ac:dyDescent="0.2">
      <c r="D235" s="171"/>
    </row>
    <row r="236" spans="4:4" x14ac:dyDescent="0.2">
      <c r="D236" s="171"/>
    </row>
    <row r="237" spans="4:4" x14ac:dyDescent="0.2">
      <c r="D237" s="171"/>
    </row>
    <row r="238" spans="4:4" x14ac:dyDescent="0.2">
      <c r="D238" s="171"/>
    </row>
    <row r="239" spans="4:4" x14ac:dyDescent="0.2">
      <c r="D239" s="171"/>
    </row>
    <row r="240" spans="4:4" x14ac:dyDescent="0.2">
      <c r="D240" s="171"/>
    </row>
    <row r="241" spans="4:4" x14ac:dyDescent="0.2">
      <c r="D241" s="171"/>
    </row>
    <row r="242" spans="4:4" x14ac:dyDescent="0.2">
      <c r="D242" s="171"/>
    </row>
    <row r="243" spans="4:4" x14ac:dyDescent="0.2">
      <c r="D243" s="171"/>
    </row>
    <row r="244" spans="4:4" x14ac:dyDescent="0.2">
      <c r="D244" s="171"/>
    </row>
    <row r="245" spans="4:4" x14ac:dyDescent="0.2">
      <c r="D245" s="171"/>
    </row>
    <row r="246" spans="4:4" x14ac:dyDescent="0.2">
      <c r="D246" s="171"/>
    </row>
    <row r="247" spans="4:4" x14ac:dyDescent="0.2">
      <c r="D247" s="171"/>
    </row>
    <row r="248" spans="4:4" x14ac:dyDescent="0.2">
      <c r="D248" s="171"/>
    </row>
    <row r="249" spans="4:4" x14ac:dyDescent="0.2">
      <c r="D249" s="171"/>
    </row>
    <row r="250" spans="4:4" x14ac:dyDescent="0.2">
      <c r="D250" s="171"/>
    </row>
    <row r="251" spans="4:4" x14ac:dyDescent="0.2">
      <c r="D251" s="171"/>
    </row>
    <row r="252" spans="4:4" x14ac:dyDescent="0.2">
      <c r="D252" s="171"/>
    </row>
    <row r="253" spans="4:4" x14ac:dyDescent="0.2">
      <c r="D253" s="171"/>
    </row>
    <row r="254" spans="4:4" x14ac:dyDescent="0.2">
      <c r="D254" s="171"/>
    </row>
    <row r="255" spans="4:4" x14ac:dyDescent="0.2">
      <c r="D255" s="171"/>
    </row>
    <row r="256" spans="4:4" x14ac:dyDescent="0.2">
      <c r="D256" s="171"/>
    </row>
    <row r="257" spans="4:4" x14ac:dyDescent="0.2">
      <c r="D257" s="171"/>
    </row>
    <row r="258" spans="4:4" x14ac:dyDescent="0.2">
      <c r="D258" s="171"/>
    </row>
    <row r="259" spans="4:4" x14ac:dyDescent="0.2">
      <c r="D259" s="171"/>
    </row>
    <row r="260" spans="4:4" x14ac:dyDescent="0.2">
      <c r="D260" s="171"/>
    </row>
    <row r="261" spans="4:4" x14ac:dyDescent="0.2">
      <c r="D261" s="171"/>
    </row>
    <row r="262" spans="4:4" x14ac:dyDescent="0.2">
      <c r="D262" s="171"/>
    </row>
    <row r="263" spans="4:4" x14ac:dyDescent="0.2">
      <c r="D263" s="171"/>
    </row>
    <row r="264" spans="4:4" x14ac:dyDescent="0.2">
      <c r="D264" s="171"/>
    </row>
    <row r="265" spans="4:4" x14ac:dyDescent="0.2">
      <c r="D265" s="171"/>
    </row>
    <row r="266" spans="4:4" x14ac:dyDescent="0.2">
      <c r="D266" s="171"/>
    </row>
    <row r="267" spans="4:4" x14ac:dyDescent="0.2">
      <c r="D267" s="171"/>
    </row>
    <row r="268" spans="4:4" x14ac:dyDescent="0.2">
      <c r="D268" s="171"/>
    </row>
    <row r="269" spans="4:4" x14ac:dyDescent="0.2">
      <c r="D269" s="171"/>
    </row>
    <row r="270" spans="4:4" x14ac:dyDescent="0.2">
      <c r="D270" s="171"/>
    </row>
    <row r="271" spans="4:4" x14ac:dyDescent="0.2">
      <c r="D271" s="171"/>
    </row>
    <row r="272" spans="4:4" x14ac:dyDescent="0.2">
      <c r="D272" s="171"/>
    </row>
    <row r="273" spans="4:4" x14ac:dyDescent="0.2">
      <c r="D273" s="171"/>
    </row>
    <row r="274" spans="4:4" x14ac:dyDescent="0.2">
      <c r="D274" s="171"/>
    </row>
    <row r="275" spans="4:4" x14ac:dyDescent="0.2">
      <c r="D275" s="171"/>
    </row>
    <row r="276" spans="4:4" x14ac:dyDescent="0.2">
      <c r="D276" s="171"/>
    </row>
    <row r="277" spans="4:4" x14ac:dyDescent="0.2">
      <c r="D277" s="171"/>
    </row>
    <row r="278" spans="4:4" x14ac:dyDescent="0.2">
      <c r="D278" s="171"/>
    </row>
    <row r="279" spans="4:4" x14ac:dyDescent="0.2">
      <c r="D279" s="171"/>
    </row>
    <row r="280" spans="4:4" x14ac:dyDescent="0.2">
      <c r="D280" s="171"/>
    </row>
    <row r="281" spans="4:4" x14ac:dyDescent="0.2">
      <c r="D281" s="171"/>
    </row>
    <row r="282" spans="4:4" x14ac:dyDescent="0.2">
      <c r="D282" s="171"/>
    </row>
    <row r="283" spans="4:4" x14ac:dyDescent="0.2">
      <c r="D283" s="171"/>
    </row>
    <row r="284" spans="4:4" x14ac:dyDescent="0.2">
      <c r="D284" s="171"/>
    </row>
    <row r="285" spans="4:4" x14ac:dyDescent="0.2">
      <c r="D285" s="171"/>
    </row>
    <row r="286" spans="4:4" x14ac:dyDescent="0.2">
      <c r="D286" s="171"/>
    </row>
    <row r="287" spans="4:4" x14ac:dyDescent="0.2">
      <c r="D287" s="171"/>
    </row>
    <row r="288" spans="4:4" x14ac:dyDescent="0.2">
      <c r="D288" s="171"/>
    </row>
    <row r="289" spans="4:4" x14ac:dyDescent="0.2">
      <c r="D289" s="171"/>
    </row>
    <row r="290" spans="4:4" x14ac:dyDescent="0.2">
      <c r="D290" s="171"/>
    </row>
    <row r="291" spans="4:4" x14ac:dyDescent="0.2">
      <c r="D291" s="171"/>
    </row>
    <row r="292" spans="4:4" x14ac:dyDescent="0.2">
      <c r="D292" s="171"/>
    </row>
    <row r="293" spans="4:4" x14ac:dyDescent="0.2">
      <c r="D293" s="171"/>
    </row>
    <row r="294" spans="4:4" x14ac:dyDescent="0.2">
      <c r="D294" s="171"/>
    </row>
    <row r="295" spans="4:4" x14ac:dyDescent="0.2">
      <c r="D295" s="171"/>
    </row>
    <row r="296" spans="4:4" x14ac:dyDescent="0.2">
      <c r="D296" s="171"/>
    </row>
    <row r="297" spans="4:4" x14ac:dyDescent="0.2">
      <c r="D297" s="171"/>
    </row>
    <row r="298" spans="4:4" x14ac:dyDescent="0.2">
      <c r="D298" s="171"/>
    </row>
    <row r="299" spans="4:4" x14ac:dyDescent="0.2">
      <c r="D299" s="171"/>
    </row>
    <row r="300" spans="4:4" x14ac:dyDescent="0.2">
      <c r="D300" s="171"/>
    </row>
    <row r="301" spans="4:4" x14ac:dyDescent="0.2">
      <c r="D301" s="171"/>
    </row>
    <row r="302" spans="4:4" x14ac:dyDescent="0.2">
      <c r="D302" s="171"/>
    </row>
    <row r="303" spans="4:4" x14ac:dyDescent="0.2">
      <c r="D303" s="171"/>
    </row>
    <row r="304" spans="4:4" x14ac:dyDescent="0.2">
      <c r="D304" s="171"/>
    </row>
    <row r="305" spans="4:4" x14ac:dyDescent="0.2">
      <c r="D305" s="171"/>
    </row>
    <row r="306" spans="4:4" x14ac:dyDescent="0.2">
      <c r="D306" s="171"/>
    </row>
    <row r="307" spans="4:4" x14ac:dyDescent="0.2">
      <c r="D307" s="171"/>
    </row>
    <row r="308" spans="4:4" x14ac:dyDescent="0.2">
      <c r="D308" s="171"/>
    </row>
    <row r="309" spans="4:4" x14ac:dyDescent="0.2">
      <c r="D309" s="171"/>
    </row>
    <row r="310" spans="4:4" x14ac:dyDescent="0.2">
      <c r="D310" s="171"/>
    </row>
    <row r="311" spans="4:4" x14ac:dyDescent="0.2">
      <c r="D311" s="171"/>
    </row>
    <row r="312" spans="4:4" x14ac:dyDescent="0.2">
      <c r="D312" s="171"/>
    </row>
    <row r="313" spans="4:4" x14ac:dyDescent="0.2">
      <c r="D313" s="171"/>
    </row>
    <row r="314" spans="4:4" x14ac:dyDescent="0.2">
      <c r="D314" s="171"/>
    </row>
    <row r="315" spans="4:4" x14ac:dyDescent="0.2">
      <c r="D315" s="171"/>
    </row>
    <row r="316" spans="4:4" x14ac:dyDescent="0.2">
      <c r="D316" s="171"/>
    </row>
    <row r="317" spans="4:4" x14ac:dyDescent="0.2">
      <c r="D317" s="171"/>
    </row>
    <row r="318" spans="4:4" x14ac:dyDescent="0.2">
      <c r="D318" s="171"/>
    </row>
    <row r="319" spans="4:4" x14ac:dyDescent="0.2">
      <c r="D319" s="171"/>
    </row>
    <row r="320" spans="4:4" x14ac:dyDescent="0.2">
      <c r="D320" s="171"/>
    </row>
    <row r="321" spans="4:4" x14ac:dyDescent="0.2">
      <c r="D321" s="171"/>
    </row>
    <row r="322" spans="4:4" x14ac:dyDescent="0.2">
      <c r="D322" s="171"/>
    </row>
    <row r="323" spans="4:4" x14ac:dyDescent="0.2">
      <c r="D323" s="171"/>
    </row>
    <row r="324" spans="4:4" x14ac:dyDescent="0.2">
      <c r="D324" s="171"/>
    </row>
    <row r="325" spans="4:4" x14ac:dyDescent="0.2">
      <c r="D325" s="171"/>
    </row>
    <row r="326" spans="4:4" x14ac:dyDescent="0.2">
      <c r="D326" s="171"/>
    </row>
    <row r="327" spans="4:4" x14ac:dyDescent="0.2">
      <c r="D327" s="171"/>
    </row>
    <row r="328" spans="4:4" x14ac:dyDescent="0.2">
      <c r="D328" s="171"/>
    </row>
    <row r="329" spans="4:4" x14ac:dyDescent="0.2">
      <c r="D329" s="171"/>
    </row>
    <row r="330" spans="4:4" x14ac:dyDescent="0.2">
      <c r="D330" s="171"/>
    </row>
    <row r="331" spans="4:4" x14ac:dyDescent="0.2">
      <c r="D331" s="171"/>
    </row>
    <row r="332" spans="4:4" x14ac:dyDescent="0.2">
      <c r="D332" s="171"/>
    </row>
    <row r="333" spans="4:4" x14ac:dyDescent="0.2">
      <c r="D333" s="171"/>
    </row>
    <row r="334" spans="4:4" x14ac:dyDescent="0.2">
      <c r="D334" s="171"/>
    </row>
    <row r="335" spans="4:4" x14ac:dyDescent="0.2">
      <c r="D335" s="171"/>
    </row>
    <row r="336" spans="4:4" x14ac:dyDescent="0.2">
      <c r="D336" s="171"/>
    </row>
    <row r="337" spans="4:4" x14ac:dyDescent="0.2">
      <c r="D337" s="171"/>
    </row>
    <row r="338" spans="4:4" x14ac:dyDescent="0.2">
      <c r="D338" s="171"/>
    </row>
    <row r="339" spans="4:4" x14ac:dyDescent="0.2">
      <c r="D339" s="171"/>
    </row>
    <row r="340" spans="4:4" x14ac:dyDescent="0.2">
      <c r="D340" s="171"/>
    </row>
    <row r="341" spans="4:4" x14ac:dyDescent="0.2">
      <c r="D341" s="171"/>
    </row>
    <row r="342" spans="4:4" x14ac:dyDescent="0.2">
      <c r="D342" s="171"/>
    </row>
    <row r="343" spans="4:4" x14ac:dyDescent="0.2">
      <c r="D343" s="171"/>
    </row>
    <row r="344" spans="4:4" x14ac:dyDescent="0.2">
      <c r="D344" s="171"/>
    </row>
    <row r="345" spans="4:4" x14ac:dyDescent="0.2">
      <c r="D345" s="171"/>
    </row>
    <row r="346" spans="4:4" x14ac:dyDescent="0.2">
      <c r="D346" s="171"/>
    </row>
    <row r="347" spans="4:4" x14ac:dyDescent="0.2">
      <c r="D347" s="171"/>
    </row>
    <row r="348" spans="4:4" x14ac:dyDescent="0.2">
      <c r="D348" s="171"/>
    </row>
    <row r="349" spans="4:4" x14ac:dyDescent="0.2">
      <c r="D349" s="171"/>
    </row>
    <row r="350" spans="4:4" x14ac:dyDescent="0.2">
      <c r="D350" s="171"/>
    </row>
    <row r="351" spans="4:4" x14ac:dyDescent="0.2">
      <c r="D351" s="171"/>
    </row>
    <row r="352" spans="4:4" x14ac:dyDescent="0.2">
      <c r="D352" s="171"/>
    </row>
    <row r="353" spans="4:4" x14ac:dyDescent="0.2">
      <c r="D353" s="171"/>
    </row>
    <row r="354" spans="4:4" x14ac:dyDescent="0.2">
      <c r="D354" s="171"/>
    </row>
    <row r="355" spans="4:4" x14ac:dyDescent="0.2">
      <c r="D355" s="171"/>
    </row>
    <row r="356" spans="4:4" x14ac:dyDescent="0.2">
      <c r="D356" s="171"/>
    </row>
    <row r="357" spans="4:4" x14ac:dyDescent="0.2">
      <c r="D357" s="171"/>
    </row>
    <row r="358" spans="4:4" x14ac:dyDescent="0.2">
      <c r="D358" s="171"/>
    </row>
    <row r="359" spans="4:4" x14ac:dyDescent="0.2">
      <c r="D359" s="171"/>
    </row>
    <row r="360" spans="4:4" x14ac:dyDescent="0.2">
      <c r="D360" s="171"/>
    </row>
    <row r="361" spans="4:4" x14ac:dyDescent="0.2">
      <c r="D361" s="171"/>
    </row>
    <row r="362" spans="4:4" x14ac:dyDescent="0.2">
      <c r="D362" s="171"/>
    </row>
    <row r="363" spans="4:4" x14ac:dyDescent="0.2">
      <c r="D363" s="171"/>
    </row>
    <row r="364" spans="4:4" x14ac:dyDescent="0.2">
      <c r="D364" s="171"/>
    </row>
    <row r="365" spans="4:4" x14ac:dyDescent="0.2">
      <c r="D365" s="171"/>
    </row>
    <row r="366" spans="4:4" x14ac:dyDescent="0.2">
      <c r="D366" s="171"/>
    </row>
    <row r="367" spans="4:4" x14ac:dyDescent="0.2">
      <c r="D367" s="171"/>
    </row>
    <row r="368" spans="4:4" x14ac:dyDescent="0.2">
      <c r="D368" s="171"/>
    </row>
    <row r="369" spans="4:4" x14ac:dyDescent="0.2">
      <c r="D369" s="171"/>
    </row>
    <row r="370" spans="4:4" x14ac:dyDescent="0.2">
      <c r="D370" s="171"/>
    </row>
    <row r="371" spans="4:4" x14ac:dyDescent="0.2">
      <c r="D371" s="171"/>
    </row>
    <row r="372" spans="4:4" x14ac:dyDescent="0.2">
      <c r="D372" s="171"/>
    </row>
    <row r="373" spans="4:4" x14ac:dyDescent="0.2">
      <c r="D373" s="171"/>
    </row>
    <row r="374" spans="4:4" x14ac:dyDescent="0.2">
      <c r="D374" s="171"/>
    </row>
    <row r="375" spans="4:4" x14ac:dyDescent="0.2">
      <c r="D375" s="171"/>
    </row>
    <row r="376" spans="4:4" x14ac:dyDescent="0.2">
      <c r="D376" s="171"/>
    </row>
    <row r="377" spans="4:4" x14ac:dyDescent="0.2">
      <c r="D377" s="171"/>
    </row>
    <row r="378" spans="4:4" x14ac:dyDescent="0.2">
      <c r="D378" s="171"/>
    </row>
    <row r="379" spans="4:4" x14ac:dyDescent="0.2">
      <c r="D379" s="171"/>
    </row>
    <row r="380" spans="4:4" x14ac:dyDescent="0.2">
      <c r="D380" s="171"/>
    </row>
    <row r="381" spans="4:4" x14ac:dyDescent="0.2">
      <c r="D381" s="171"/>
    </row>
    <row r="382" spans="4:4" x14ac:dyDescent="0.2">
      <c r="D382" s="171"/>
    </row>
    <row r="383" spans="4:4" x14ac:dyDescent="0.2">
      <c r="D383" s="171"/>
    </row>
    <row r="384" spans="4:4" x14ac:dyDescent="0.2">
      <c r="D384" s="171"/>
    </row>
    <row r="385" spans="4:4" x14ac:dyDescent="0.2">
      <c r="D385" s="171"/>
    </row>
    <row r="386" spans="4:4" x14ac:dyDescent="0.2">
      <c r="D386" s="171"/>
    </row>
    <row r="387" spans="4:4" x14ac:dyDescent="0.2">
      <c r="D387" s="171"/>
    </row>
    <row r="388" spans="4:4" x14ac:dyDescent="0.2">
      <c r="D388" s="171"/>
    </row>
    <row r="389" spans="4:4" x14ac:dyDescent="0.2">
      <c r="D389" s="171"/>
    </row>
    <row r="390" spans="4:4" x14ac:dyDescent="0.2">
      <c r="D390" s="171"/>
    </row>
    <row r="391" spans="4:4" x14ac:dyDescent="0.2">
      <c r="D391" s="171"/>
    </row>
    <row r="392" spans="4:4" x14ac:dyDescent="0.2">
      <c r="D392" s="171"/>
    </row>
    <row r="393" spans="4:4" x14ac:dyDescent="0.2">
      <c r="D393" s="171"/>
    </row>
    <row r="394" spans="4:4" x14ac:dyDescent="0.2">
      <c r="D394" s="171"/>
    </row>
    <row r="395" spans="4:4" x14ac:dyDescent="0.2">
      <c r="D395" s="171"/>
    </row>
    <row r="396" spans="4:4" x14ac:dyDescent="0.2">
      <c r="D396" s="171"/>
    </row>
    <row r="397" spans="4:4" x14ac:dyDescent="0.2">
      <c r="D397" s="171"/>
    </row>
    <row r="398" spans="4:4" x14ac:dyDescent="0.2">
      <c r="D398" s="171"/>
    </row>
    <row r="399" spans="4:4" x14ac:dyDescent="0.2">
      <c r="D399" s="171"/>
    </row>
    <row r="400" spans="4:4" x14ac:dyDescent="0.2">
      <c r="D400" s="171"/>
    </row>
    <row r="401" spans="4:4" x14ac:dyDescent="0.2">
      <c r="D401" s="171"/>
    </row>
    <row r="402" spans="4:4" x14ac:dyDescent="0.2">
      <c r="D402" s="171"/>
    </row>
    <row r="403" spans="4:4" x14ac:dyDescent="0.2">
      <c r="D403" s="171"/>
    </row>
    <row r="404" spans="4:4" x14ac:dyDescent="0.2">
      <c r="D404" s="171"/>
    </row>
    <row r="405" spans="4:4" x14ac:dyDescent="0.2">
      <c r="D405" s="171"/>
    </row>
    <row r="406" spans="4:4" x14ac:dyDescent="0.2">
      <c r="D406" s="171"/>
    </row>
    <row r="407" spans="4:4" x14ac:dyDescent="0.2">
      <c r="D407" s="171"/>
    </row>
    <row r="408" spans="4:4" x14ac:dyDescent="0.2">
      <c r="D408" s="171"/>
    </row>
    <row r="409" spans="4:4" x14ac:dyDescent="0.2">
      <c r="D409" s="171"/>
    </row>
    <row r="410" spans="4:4" x14ac:dyDescent="0.2">
      <c r="D410" s="171"/>
    </row>
    <row r="411" spans="4:4" x14ac:dyDescent="0.2">
      <c r="D411" s="171"/>
    </row>
    <row r="412" spans="4:4" x14ac:dyDescent="0.2">
      <c r="D412" s="171"/>
    </row>
    <row r="413" spans="4:4" x14ac:dyDescent="0.2">
      <c r="D413" s="171"/>
    </row>
    <row r="414" spans="4:4" x14ac:dyDescent="0.2">
      <c r="D414" s="171"/>
    </row>
    <row r="415" spans="4:4" x14ac:dyDescent="0.2">
      <c r="D415" s="171"/>
    </row>
    <row r="416" spans="4:4" x14ac:dyDescent="0.2">
      <c r="D416" s="171"/>
    </row>
    <row r="417" spans="4:4" x14ac:dyDescent="0.2">
      <c r="D417" s="171"/>
    </row>
    <row r="418" spans="4:4" x14ac:dyDescent="0.2">
      <c r="D418" s="171"/>
    </row>
    <row r="419" spans="4:4" x14ac:dyDescent="0.2">
      <c r="D419" s="171"/>
    </row>
    <row r="420" spans="4:4" x14ac:dyDescent="0.2">
      <c r="D420" s="171"/>
    </row>
    <row r="421" spans="4:4" x14ac:dyDescent="0.2">
      <c r="D421" s="171"/>
    </row>
    <row r="422" spans="4:4" x14ac:dyDescent="0.2">
      <c r="D422" s="171"/>
    </row>
    <row r="423" spans="4:4" x14ac:dyDescent="0.2">
      <c r="D423" s="171"/>
    </row>
    <row r="424" spans="4:4" x14ac:dyDescent="0.2">
      <c r="D424" s="171"/>
    </row>
    <row r="425" spans="4:4" x14ac:dyDescent="0.2">
      <c r="D425" s="171"/>
    </row>
    <row r="426" spans="4:4" x14ac:dyDescent="0.2">
      <c r="D426" s="171"/>
    </row>
    <row r="427" spans="4:4" x14ac:dyDescent="0.2">
      <c r="D427" s="171"/>
    </row>
    <row r="428" spans="4:4" x14ac:dyDescent="0.2">
      <c r="D428" s="171"/>
    </row>
    <row r="429" spans="4:4" x14ac:dyDescent="0.2">
      <c r="D429" s="171"/>
    </row>
    <row r="430" spans="4:4" x14ac:dyDescent="0.2">
      <c r="D430" s="171"/>
    </row>
    <row r="431" spans="4:4" x14ac:dyDescent="0.2">
      <c r="D431" s="171"/>
    </row>
    <row r="432" spans="4:4" x14ac:dyDescent="0.2">
      <c r="D432" s="171"/>
    </row>
    <row r="433" spans="4:4" x14ac:dyDescent="0.2">
      <c r="D433" s="171"/>
    </row>
    <row r="434" spans="4:4" x14ac:dyDescent="0.2">
      <c r="D434" s="171"/>
    </row>
    <row r="435" spans="4:4" x14ac:dyDescent="0.2">
      <c r="D435" s="171"/>
    </row>
    <row r="436" spans="4:4" x14ac:dyDescent="0.2">
      <c r="D436" s="171"/>
    </row>
    <row r="437" spans="4:4" x14ac:dyDescent="0.2">
      <c r="D437" s="171"/>
    </row>
    <row r="438" spans="4:4" x14ac:dyDescent="0.2">
      <c r="D438" s="171"/>
    </row>
    <row r="439" spans="4:4" x14ac:dyDescent="0.2">
      <c r="D439" s="171"/>
    </row>
    <row r="440" spans="4:4" x14ac:dyDescent="0.2">
      <c r="D440" s="171"/>
    </row>
    <row r="441" spans="4:4" x14ac:dyDescent="0.2">
      <c r="D441" s="171"/>
    </row>
    <row r="442" spans="4:4" x14ac:dyDescent="0.2">
      <c r="D442" s="171"/>
    </row>
    <row r="443" spans="4:4" x14ac:dyDescent="0.2">
      <c r="D443" s="171"/>
    </row>
    <row r="444" spans="4:4" x14ac:dyDescent="0.2">
      <c r="D444" s="171"/>
    </row>
    <row r="445" spans="4:4" x14ac:dyDescent="0.2">
      <c r="D445" s="171"/>
    </row>
    <row r="446" spans="4:4" x14ac:dyDescent="0.2">
      <c r="D446" s="171"/>
    </row>
    <row r="447" spans="4:4" x14ac:dyDescent="0.2">
      <c r="D447" s="171"/>
    </row>
    <row r="448" spans="4:4" x14ac:dyDescent="0.2">
      <c r="D448" s="171"/>
    </row>
    <row r="449" spans="4:4" x14ac:dyDescent="0.2">
      <c r="D449" s="171"/>
    </row>
    <row r="450" spans="4:4" x14ac:dyDescent="0.2">
      <c r="D450" s="171"/>
    </row>
    <row r="451" spans="4:4" x14ac:dyDescent="0.2">
      <c r="D451" s="171"/>
    </row>
    <row r="452" spans="4:4" x14ac:dyDescent="0.2">
      <c r="D452" s="171"/>
    </row>
    <row r="453" spans="4:4" x14ac:dyDescent="0.2">
      <c r="D453" s="171"/>
    </row>
    <row r="454" spans="4:4" x14ac:dyDescent="0.2">
      <c r="D454" s="171"/>
    </row>
    <row r="455" spans="4:4" x14ac:dyDescent="0.2">
      <c r="D455" s="171"/>
    </row>
    <row r="456" spans="4:4" x14ac:dyDescent="0.2">
      <c r="D456" s="171"/>
    </row>
    <row r="457" spans="4:4" x14ac:dyDescent="0.2">
      <c r="D457" s="171"/>
    </row>
    <row r="458" spans="4:4" x14ac:dyDescent="0.2">
      <c r="D458" s="171"/>
    </row>
    <row r="459" spans="4:4" x14ac:dyDescent="0.2">
      <c r="D459" s="171"/>
    </row>
    <row r="460" spans="4:4" x14ac:dyDescent="0.2">
      <c r="D460" s="171"/>
    </row>
    <row r="461" spans="4:4" x14ac:dyDescent="0.2">
      <c r="D461" s="171"/>
    </row>
    <row r="462" spans="4:4" x14ac:dyDescent="0.2">
      <c r="D462" s="171"/>
    </row>
    <row r="463" spans="4:4" x14ac:dyDescent="0.2">
      <c r="D463" s="171"/>
    </row>
    <row r="464" spans="4:4" x14ac:dyDescent="0.2">
      <c r="D464" s="171"/>
    </row>
    <row r="465" spans="4:4" x14ac:dyDescent="0.2">
      <c r="D465" s="171"/>
    </row>
    <row r="466" spans="4:4" x14ac:dyDescent="0.2">
      <c r="D466" s="171"/>
    </row>
    <row r="467" spans="4:4" x14ac:dyDescent="0.2">
      <c r="D467" s="171"/>
    </row>
    <row r="468" spans="4:4" x14ac:dyDescent="0.2">
      <c r="D468" s="171"/>
    </row>
    <row r="469" spans="4:4" x14ac:dyDescent="0.2">
      <c r="D469" s="171"/>
    </row>
    <row r="470" spans="4:4" x14ac:dyDescent="0.2">
      <c r="D470" s="171"/>
    </row>
    <row r="471" spans="4:4" x14ac:dyDescent="0.2">
      <c r="D471" s="171"/>
    </row>
    <row r="472" spans="4:4" x14ac:dyDescent="0.2">
      <c r="D472" s="171"/>
    </row>
    <row r="473" spans="4:4" x14ac:dyDescent="0.2">
      <c r="D473" s="171"/>
    </row>
    <row r="474" spans="4:4" x14ac:dyDescent="0.2">
      <c r="D474" s="171"/>
    </row>
    <row r="475" spans="4:4" x14ac:dyDescent="0.2">
      <c r="D475" s="171"/>
    </row>
    <row r="476" spans="4:4" x14ac:dyDescent="0.2">
      <c r="D476" s="171"/>
    </row>
    <row r="477" spans="4:4" x14ac:dyDescent="0.2">
      <c r="D477" s="171"/>
    </row>
    <row r="478" spans="4:4" x14ac:dyDescent="0.2">
      <c r="D478" s="171"/>
    </row>
    <row r="479" spans="4:4" x14ac:dyDescent="0.2">
      <c r="D479" s="171"/>
    </row>
    <row r="480" spans="4:4" x14ac:dyDescent="0.2">
      <c r="D480" s="171"/>
    </row>
    <row r="481" spans="4:4" x14ac:dyDescent="0.2">
      <c r="D481" s="171"/>
    </row>
    <row r="482" spans="4:4" x14ac:dyDescent="0.2">
      <c r="D482" s="171"/>
    </row>
    <row r="483" spans="4:4" x14ac:dyDescent="0.2">
      <c r="D483" s="171"/>
    </row>
    <row r="484" spans="4:4" x14ac:dyDescent="0.2">
      <c r="D484" s="171"/>
    </row>
    <row r="485" spans="4:4" x14ac:dyDescent="0.2">
      <c r="D485" s="171"/>
    </row>
    <row r="486" spans="4:4" x14ac:dyDescent="0.2">
      <c r="D486" s="171"/>
    </row>
    <row r="487" spans="4:4" x14ac:dyDescent="0.2">
      <c r="D487" s="171"/>
    </row>
    <row r="488" spans="4:4" x14ac:dyDescent="0.2">
      <c r="D488" s="171"/>
    </row>
    <row r="489" spans="4:4" x14ac:dyDescent="0.2">
      <c r="D489" s="171"/>
    </row>
    <row r="490" spans="4:4" x14ac:dyDescent="0.2">
      <c r="D490" s="171"/>
    </row>
    <row r="491" spans="4:4" x14ac:dyDescent="0.2">
      <c r="D491" s="171"/>
    </row>
    <row r="492" spans="4:4" x14ac:dyDescent="0.2">
      <c r="D492" s="171"/>
    </row>
    <row r="493" spans="4:4" x14ac:dyDescent="0.2">
      <c r="D493" s="171"/>
    </row>
    <row r="494" spans="4:4" x14ac:dyDescent="0.2">
      <c r="D494" s="171"/>
    </row>
    <row r="495" spans="4:4" x14ac:dyDescent="0.2">
      <c r="D495" s="171"/>
    </row>
    <row r="496" spans="4:4" x14ac:dyDescent="0.2">
      <c r="D496" s="171"/>
    </row>
    <row r="497" spans="4:4" x14ac:dyDescent="0.2">
      <c r="D497" s="171"/>
    </row>
    <row r="498" spans="4:4" x14ac:dyDescent="0.2">
      <c r="D498" s="171"/>
    </row>
    <row r="499" spans="4:4" x14ac:dyDescent="0.2">
      <c r="D499" s="171"/>
    </row>
    <row r="500" spans="4:4" x14ac:dyDescent="0.2">
      <c r="D500" s="171"/>
    </row>
    <row r="501" spans="4:4" x14ac:dyDescent="0.2">
      <c r="D501" s="171"/>
    </row>
    <row r="502" spans="4:4" x14ac:dyDescent="0.2">
      <c r="D502" s="171"/>
    </row>
    <row r="503" spans="4:4" x14ac:dyDescent="0.2">
      <c r="D503" s="171"/>
    </row>
    <row r="504" spans="4:4" x14ac:dyDescent="0.2">
      <c r="D504" s="171"/>
    </row>
    <row r="505" spans="4:4" x14ac:dyDescent="0.2">
      <c r="D505" s="171"/>
    </row>
    <row r="506" spans="4:4" x14ac:dyDescent="0.2">
      <c r="D506" s="171"/>
    </row>
    <row r="507" spans="4:4" x14ac:dyDescent="0.2">
      <c r="D507" s="171"/>
    </row>
    <row r="508" spans="4:4" x14ac:dyDescent="0.2">
      <c r="D508" s="171"/>
    </row>
    <row r="509" spans="4:4" x14ac:dyDescent="0.2">
      <c r="D509" s="171"/>
    </row>
    <row r="510" spans="4:4" x14ac:dyDescent="0.2">
      <c r="D510" s="171"/>
    </row>
    <row r="511" spans="4:4" x14ac:dyDescent="0.2">
      <c r="D511" s="171"/>
    </row>
    <row r="512" spans="4:4" x14ac:dyDescent="0.2">
      <c r="D512" s="171"/>
    </row>
    <row r="513" spans="4:4" x14ac:dyDescent="0.2">
      <c r="D513" s="171"/>
    </row>
    <row r="514" spans="4:4" x14ac:dyDescent="0.2">
      <c r="D514" s="171"/>
    </row>
    <row r="515" spans="4:4" x14ac:dyDescent="0.2">
      <c r="D515" s="171"/>
    </row>
    <row r="516" spans="4:4" x14ac:dyDescent="0.2">
      <c r="D516" s="171"/>
    </row>
    <row r="517" spans="4:4" x14ac:dyDescent="0.2">
      <c r="D517" s="171"/>
    </row>
    <row r="518" spans="4:4" x14ac:dyDescent="0.2">
      <c r="D518" s="171"/>
    </row>
    <row r="519" spans="4:4" x14ac:dyDescent="0.2">
      <c r="D519" s="171"/>
    </row>
    <row r="520" spans="4:4" x14ac:dyDescent="0.2">
      <c r="D520" s="171"/>
    </row>
    <row r="521" spans="4:4" x14ac:dyDescent="0.2">
      <c r="D521" s="171"/>
    </row>
    <row r="522" spans="4:4" x14ac:dyDescent="0.2">
      <c r="D522" s="171"/>
    </row>
    <row r="523" spans="4:4" x14ac:dyDescent="0.2">
      <c r="D523" s="171"/>
    </row>
    <row r="524" spans="4:4" x14ac:dyDescent="0.2">
      <c r="D524" s="171"/>
    </row>
    <row r="525" spans="4:4" x14ac:dyDescent="0.2">
      <c r="D525" s="171"/>
    </row>
    <row r="526" spans="4:4" x14ac:dyDescent="0.2">
      <c r="D526" s="171"/>
    </row>
    <row r="527" spans="4:4" x14ac:dyDescent="0.2">
      <c r="D527" s="171"/>
    </row>
    <row r="528" spans="4:4" x14ac:dyDescent="0.2">
      <c r="D528" s="171"/>
    </row>
    <row r="529" spans="4:4" x14ac:dyDescent="0.2">
      <c r="D529" s="171"/>
    </row>
    <row r="530" spans="4:4" x14ac:dyDescent="0.2">
      <c r="D530" s="171"/>
    </row>
    <row r="531" spans="4:4" x14ac:dyDescent="0.2">
      <c r="D531" s="171"/>
    </row>
    <row r="532" spans="4:4" x14ac:dyDescent="0.2">
      <c r="D532" s="171"/>
    </row>
    <row r="533" spans="4:4" x14ac:dyDescent="0.2">
      <c r="D533" s="171"/>
    </row>
    <row r="534" spans="4:4" x14ac:dyDescent="0.2">
      <c r="D534" s="171"/>
    </row>
    <row r="535" spans="4:4" x14ac:dyDescent="0.2">
      <c r="D535" s="171"/>
    </row>
    <row r="536" spans="4:4" x14ac:dyDescent="0.2">
      <c r="D536" s="171"/>
    </row>
    <row r="537" spans="4:4" x14ac:dyDescent="0.2">
      <c r="D537" s="171"/>
    </row>
    <row r="538" spans="4:4" x14ac:dyDescent="0.2">
      <c r="D538" s="171"/>
    </row>
    <row r="539" spans="4:4" x14ac:dyDescent="0.2">
      <c r="D539" s="171"/>
    </row>
    <row r="540" spans="4:4" x14ac:dyDescent="0.2">
      <c r="D540" s="171"/>
    </row>
    <row r="541" spans="4:4" x14ac:dyDescent="0.2">
      <c r="D541" s="171"/>
    </row>
    <row r="542" spans="4:4" x14ac:dyDescent="0.2">
      <c r="D542" s="171"/>
    </row>
    <row r="543" spans="4:4" x14ac:dyDescent="0.2">
      <c r="D543" s="171"/>
    </row>
    <row r="544" spans="4:4" x14ac:dyDescent="0.2">
      <c r="D544" s="171"/>
    </row>
    <row r="545" spans="4:4" x14ac:dyDescent="0.2">
      <c r="D545" s="171"/>
    </row>
    <row r="546" spans="4:4" x14ac:dyDescent="0.2">
      <c r="D546" s="171"/>
    </row>
    <row r="547" spans="4:4" x14ac:dyDescent="0.2">
      <c r="D547" s="171"/>
    </row>
    <row r="548" spans="4:4" x14ac:dyDescent="0.2">
      <c r="D548" s="171"/>
    </row>
    <row r="549" spans="4:4" x14ac:dyDescent="0.2">
      <c r="D549" s="171"/>
    </row>
    <row r="550" spans="4:4" x14ac:dyDescent="0.2">
      <c r="D550" s="171"/>
    </row>
    <row r="551" spans="4:4" x14ac:dyDescent="0.2">
      <c r="D551" s="171"/>
    </row>
    <row r="552" spans="4:4" x14ac:dyDescent="0.2">
      <c r="D552" s="171"/>
    </row>
    <row r="553" spans="4:4" x14ac:dyDescent="0.2">
      <c r="D553" s="171"/>
    </row>
    <row r="554" spans="4:4" x14ac:dyDescent="0.2">
      <c r="D554" s="171"/>
    </row>
    <row r="555" spans="4:4" x14ac:dyDescent="0.2">
      <c r="D555" s="171"/>
    </row>
    <row r="556" spans="4:4" x14ac:dyDescent="0.2">
      <c r="D556" s="171"/>
    </row>
    <row r="557" spans="4:4" x14ac:dyDescent="0.2">
      <c r="D557" s="171"/>
    </row>
    <row r="558" spans="4:4" x14ac:dyDescent="0.2">
      <c r="D558" s="171"/>
    </row>
    <row r="559" spans="4:4" x14ac:dyDescent="0.2">
      <c r="D559" s="171"/>
    </row>
    <row r="560" spans="4:4" x14ac:dyDescent="0.2">
      <c r="D560" s="171"/>
    </row>
    <row r="561" spans="4:4" x14ac:dyDescent="0.2">
      <c r="D561" s="171"/>
    </row>
    <row r="562" spans="4:4" x14ac:dyDescent="0.2">
      <c r="D562" s="171"/>
    </row>
    <row r="563" spans="4:4" x14ac:dyDescent="0.2">
      <c r="D563" s="171"/>
    </row>
    <row r="564" spans="4:4" x14ac:dyDescent="0.2">
      <c r="D564" s="171"/>
    </row>
    <row r="565" spans="4:4" x14ac:dyDescent="0.2">
      <c r="D565" s="171"/>
    </row>
    <row r="566" spans="4:4" x14ac:dyDescent="0.2">
      <c r="D566" s="171"/>
    </row>
    <row r="567" spans="4:4" x14ac:dyDescent="0.2">
      <c r="D567" s="171"/>
    </row>
    <row r="568" spans="4:4" x14ac:dyDescent="0.2">
      <c r="D568" s="171"/>
    </row>
    <row r="569" spans="4:4" x14ac:dyDescent="0.2">
      <c r="D569" s="171"/>
    </row>
    <row r="570" spans="4:4" x14ac:dyDescent="0.2">
      <c r="D570" s="171"/>
    </row>
    <row r="571" spans="4:4" x14ac:dyDescent="0.2">
      <c r="D571" s="171"/>
    </row>
    <row r="572" spans="4:4" x14ac:dyDescent="0.2">
      <c r="D572" s="171"/>
    </row>
    <row r="573" spans="4:4" x14ac:dyDescent="0.2">
      <c r="D573" s="171"/>
    </row>
    <row r="574" spans="4:4" x14ac:dyDescent="0.2">
      <c r="D574" s="171"/>
    </row>
    <row r="575" spans="4:4" x14ac:dyDescent="0.2">
      <c r="D575" s="171"/>
    </row>
    <row r="576" spans="4:4" x14ac:dyDescent="0.2">
      <c r="D576" s="171"/>
    </row>
    <row r="577" spans="4:4" x14ac:dyDescent="0.2">
      <c r="D577" s="171"/>
    </row>
    <row r="578" spans="4:4" x14ac:dyDescent="0.2">
      <c r="D578" s="171"/>
    </row>
    <row r="579" spans="4:4" x14ac:dyDescent="0.2">
      <c r="D579" s="171"/>
    </row>
    <row r="580" spans="4:4" x14ac:dyDescent="0.2">
      <c r="D580" s="171"/>
    </row>
    <row r="581" spans="4:4" x14ac:dyDescent="0.2">
      <c r="D581" s="171"/>
    </row>
    <row r="582" spans="4:4" x14ac:dyDescent="0.2">
      <c r="D582" s="171"/>
    </row>
    <row r="583" spans="4:4" x14ac:dyDescent="0.2">
      <c r="D583" s="171"/>
    </row>
    <row r="584" spans="4:4" x14ac:dyDescent="0.2">
      <c r="D584" s="171"/>
    </row>
    <row r="585" spans="4:4" x14ac:dyDescent="0.2">
      <c r="D585" s="171"/>
    </row>
    <row r="586" spans="4:4" x14ac:dyDescent="0.2">
      <c r="D586" s="171"/>
    </row>
    <row r="587" spans="4:4" x14ac:dyDescent="0.2">
      <c r="D587" s="171"/>
    </row>
    <row r="588" spans="4:4" x14ac:dyDescent="0.2">
      <c r="D588" s="171"/>
    </row>
    <row r="589" spans="4:4" x14ac:dyDescent="0.2">
      <c r="D589" s="171"/>
    </row>
    <row r="590" spans="4:4" x14ac:dyDescent="0.2">
      <c r="D590" s="171"/>
    </row>
    <row r="591" spans="4:4" x14ac:dyDescent="0.2">
      <c r="D591" s="171"/>
    </row>
    <row r="592" spans="4:4" x14ac:dyDescent="0.2">
      <c r="D592" s="171"/>
    </row>
    <row r="593" spans="4:4" x14ac:dyDescent="0.2">
      <c r="D593" s="171"/>
    </row>
    <row r="594" spans="4:4" x14ac:dyDescent="0.2">
      <c r="D594" s="171"/>
    </row>
    <row r="595" spans="4:4" x14ac:dyDescent="0.2">
      <c r="D595" s="171"/>
    </row>
    <row r="596" spans="4:4" x14ac:dyDescent="0.2">
      <c r="D596" s="171"/>
    </row>
    <row r="597" spans="4:4" x14ac:dyDescent="0.2">
      <c r="D597" s="171"/>
    </row>
    <row r="598" spans="4:4" x14ac:dyDescent="0.2">
      <c r="D598" s="171"/>
    </row>
    <row r="599" spans="4:4" x14ac:dyDescent="0.2">
      <c r="D599" s="171"/>
    </row>
    <row r="600" spans="4:4" x14ac:dyDescent="0.2">
      <c r="D600" s="171"/>
    </row>
    <row r="601" spans="4:4" x14ac:dyDescent="0.2">
      <c r="D601" s="171"/>
    </row>
    <row r="602" spans="4:4" x14ac:dyDescent="0.2">
      <c r="D602" s="171"/>
    </row>
    <row r="603" spans="4:4" x14ac:dyDescent="0.2">
      <c r="D603" s="171"/>
    </row>
    <row r="604" spans="4:4" x14ac:dyDescent="0.2">
      <c r="D604" s="171"/>
    </row>
    <row r="605" spans="4:4" x14ac:dyDescent="0.2">
      <c r="D605" s="171"/>
    </row>
    <row r="606" spans="4:4" x14ac:dyDescent="0.2">
      <c r="D606" s="171"/>
    </row>
    <row r="607" spans="4:4" x14ac:dyDescent="0.2">
      <c r="D607" s="171"/>
    </row>
    <row r="608" spans="4:4" x14ac:dyDescent="0.2">
      <c r="D608" s="171"/>
    </row>
    <row r="609" spans="4:4" x14ac:dyDescent="0.2">
      <c r="D609" s="171"/>
    </row>
    <row r="610" spans="4:4" x14ac:dyDescent="0.2">
      <c r="D610" s="171"/>
    </row>
    <row r="611" spans="4:4" x14ac:dyDescent="0.2">
      <c r="D611" s="171"/>
    </row>
    <row r="612" spans="4:4" x14ac:dyDescent="0.2">
      <c r="D612" s="171"/>
    </row>
    <row r="613" spans="4:4" x14ac:dyDescent="0.2">
      <c r="D613" s="171"/>
    </row>
    <row r="614" spans="4:4" x14ac:dyDescent="0.2">
      <c r="D614" s="171"/>
    </row>
    <row r="615" spans="4:4" x14ac:dyDescent="0.2">
      <c r="D615" s="171"/>
    </row>
    <row r="616" spans="4:4" x14ac:dyDescent="0.2">
      <c r="D616" s="171"/>
    </row>
    <row r="617" spans="4:4" x14ac:dyDescent="0.2">
      <c r="D617" s="171"/>
    </row>
    <row r="618" spans="4:4" x14ac:dyDescent="0.2">
      <c r="D618" s="171"/>
    </row>
    <row r="619" spans="4:4" x14ac:dyDescent="0.2">
      <c r="D619" s="171"/>
    </row>
    <row r="620" spans="4:4" x14ac:dyDescent="0.2">
      <c r="D620" s="171"/>
    </row>
    <row r="621" spans="4:4" x14ac:dyDescent="0.2">
      <c r="D621" s="171"/>
    </row>
    <row r="622" spans="4:4" x14ac:dyDescent="0.2">
      <c r="D622" s="171"/>
    </row>
    <row r="623" spans="4:4" x14ac:dyDescent="0.2">
      <c r="D623" s="171"/>
    </row>
    <row r="624" spans="4:4" x14ac:dyDescent="0.2">
      <c r="D624" s="171"/>
    </row>
    <row r="625" spans="4:4" x14ac:dyDescent="0.2">
      <c r="D625" s="171"/>
    </row>
    <row r="626" spans="4:4" x14ac:dyDescent="0.2">
      <c r="D626" s="171"/>
    </row>
    <row r="627" spans="4:4" x14ac:dyDescent="0.2">
      <c r="D627" s="171"/>
    </row>
    <row r="628" spans="4:4" x14ac:dyDescent="0.2">
      <c r="D628" s="171"/>
    </row>
    <row r="629" spans="4:4" x14ac:dyDescent="0.2">
      <c r="D629" s="171"/>
    </row>
    <row r="630" spans="4:4" x14ac:dyDescent="0.2">
      <c r="D630" s="171"/>
    </row>
    <row r="631" spans="4:4" x14ac:dyDescent="0.2">
      <c r="D631" s="171"/>
    </row>
    <row r="632" spans="4:4" x14ac:dyDescent="0.2">
      <c r="D632" s="171"/>
    </row>
    <row r="633" spans="4:4" x14ac:dyDescent="0.2">
      <c r="D633" s="171"/>
    </row>
    <row r="634" spans="4:4" x14ac:dyDescent="0.2">
      <c r="D634" s="171"/>
    </row>
    <row r="635" spans="4:4" x14ac:dyDescent="0.2">
      <c r="D635" s="171"/>
    </row>
    <row r="636" spans="4:4" x14ac:dyDescent="0.2">
      <c r="D636" s="171"/>
    </row>
    <row r="637" spans="4:4" x14ac:dyDescent="0.2">
      <c r="D637" s="171"/>
    </row>
    <row r="638" spans="4:4" x14ac:dyDescent="0.2">
      <c r="D638" s="171"/>
    </row>
    <row r="639" spans="4:4" x14ac:dyDescent="0.2">
      <c r="D639" s="171"/>
    </row>
    <row r="640" spans="4:4" x14ac:dyDescent="0.2">
      <c r="D640" s="171"/>
    </row>
    <row r="641" spans="4:4" x14ac:dyDescent="0.2">
      <c r="D641" s="171"/>
    </row>
    <row r="642" spans="4:4" x14ac:dyDescent="0.2">
      <c r="D642" s="171"/>
    </row>
    <row r="643" spans="4:4" x14ac:dyDescent="0.2">
      <c r="D643" s="171"/>
    </row>
    <row r="644" spans="4:4" x14ac:dyDescent="0.2">
      <c r="D644" s="171"/>
    </row>
    <row r="645" spans="4:4" x14ac:dyDescent="0.2">
      <c r="D645" s="171"/>
    </row>
    <row r="646" spans="4:4" x14ac:dyDescent="0.2">
      <c r="D646" s="171"/>
    </row>
    <row r="647" spans="4:4" x14ac:dyDescent="0.2">
      <c r="D647" s="171"/>
    </row>
    <row r="648" spans="4:4" x14ac:dyDescent="0.2">
      <c r="D648" s="171"/>
    </row>
    <row r="649" spans="4:4" x14ac:dyDescent="0.2">
      <c r="D649" s="171"/>
    </row>
    <row r="650" spans="4:4" x14ac:dyDescent="0.2">
      <c r="D650" s="171"/>
    </row>
    <row r="651" spans="4:4" x14ac:dyDescent="0.2">
      <c r="D651" s="171"/>
    </row>
    <row r="652" spans="4:4" x14ac:dyDescent="0.2">
      <c r="D652" s="171"/>
    </row>
    <row r="653" spans="4:4" x14ac:dyDescent="0.2">
      <c r="D653" s="171"/>
    </row>
    <row r="654" spans="4:4" x14ac:dyDescent="0.2">
      <c r="D654" s="171"/>
    </row>
    <row r="655" spans="4:4" x14ac:dyDescent="0.2">
      <c r="D655" s="171"/>
    </row>
    <row r="656" spans="4:4" x14ac:dyDescent="0.2">
      <c r="D656" s="171"/>
    </row>
    <row r="657" spans="4:4" x14ac:dyDescent="0.2">
      <c r="D657" s="171"/>
    </row>
    <row r="658" spans="4:4" x14ac:dyDescent="0.2">
      <c r="D658" s="171"/>
    </row>
    <row r="659" spans="4:4" x14ac:dyDescent="0.2">
      <c r="D659" s="171"/>
    </row>
    <row r="660" spans="4:4" x14ac:dyDescent="0.2">
      <c r="D660" s="171"/>
    </row>
    <row r="661" spans="4:4" x14ac:dyDescent="0.2">
      <c r="D661" s="171"/>
    </row>
    <row r="662" spans="4:4" x14ac:dyDescent="0.2">
      <c r="D662" s="171"/>
    </row>
    <row r="663" spans="4:4" x14ac:dyDescent="0.2">
      <c r="D663" s="171"/>
    </row>
    <row r="664" spans="4:4" x14ac:dyDescent="0.2">
      <c r="D664" s="171"/>
    </row>
    <row r="665" spans="4:4" x14ac:dyDescent="0.2">
      <c r="D665" s="171"/>
    </row>
    <row r="666" spans="4:4" x14ac:dyDescent="0.2">
      <c r="D666" s="171"/>
    </row>
    <row r="667" spans="4:4" x14ac:dyDescent="0.2">
      <c r="D667" s="171"/>
    </row>
    <row r="668" spans="4:4" x14ac:dyDescent="0.2">
      <c r="D668" s="171"/>
    </row>
    <row r="669" spans="4:4" x14ac:dyDescent="0.2">
      <c r="D669" s="171"/>
    </row>
    <row r="670" spans="4:4" x14ac:dyDescent="0.2">
      <c r="D670" s="171"/>
    </row>
    <row r="671" spans="4:4" x14ac:dyDescent="0.2">
      <c r="D671" s="171"/>
    </row>
    <row r="672" spans="4:4" x14ac:dyDescent="0.2">
      <c r="D672" s="171"/>
    </row>
    <row r="673" spans="4:4" x14ac:dyDescent="0.2">
      <c r="D673" s="171"/>
    </row>
    <row r="674" spans="4:4" x14ac:dyDescent="0.2">
      <c r="D674" s="171"/>
    </row>
    <row r="675" spans="4:4" x14ac:dyDescent="0.2">
      <c r="D675" s="171"/>
    </row>
    <row r="676" spans="4:4" x14ac:dyDescent="0.2">
      <c r="D676" s="171"/>
    </row>
    <row r="677" spans="4:4" x14ac:dyDescent="0.2">
      <c r="D677" s="171"/>
    </row>
    <row r="678" spans="4:4" x14ac:dyDescent="0.2">
      <c r="D678" s="171"/>
    </row>
    <row r="679" spans="4:4" x14ac:dyDescent="0.2">
      <c r="D679" s="171"/>
    </row>
    <row r="680" spans="4:4" x14ac:dyDescent="0.2">
      <c r="D680" s="171"/>
    </row>
    <row r="681" spans="4:4" x14ac:dyDescent="0.2">
      <c r="D681" s="171"/>
    </row>
    <row r="682" spans="4:4" x14ac:dyDescent="0.2">
      <c r="D682" s="171"/>
    </row>
    <row r="683" spans="4:4" x14ac:dyDescent="0.2">
      <c r="D683" s="171"/>
    </row>
    <row r="684" spans="4:4" x14ac:dyDescent="0.2">
      <c r="D684" s="171"/>
    </row>
    <row r="685" spans="4:4" x14ac:dyDescent="0.2">
      <c r="D685" s="171"/>
    </row>
    <row r="686" spans="4:4" x14ac:dyDescent="0.2">
      <c r="D686" s="171"/>
    </row>
    <row r="687" spans="4:4" x14ac:dyDescent="0.2">
      <c r="D687" s="171"/>
    </row>
    <row r="688" spans="4:4" x14ac:dyDescent="0.2">
      <c r="D688" s="171"/>
    </row>
    <row r="689" spans="4:4" x14ac:dyDescent="0.2">
      <c r="D689" s="171"/>
    </row>
    <row r="690" spans="4:4" x14ac:dyDescent="0.2">
      <c r="D690" s="171"/>
    </row>
    <row r="691" spans="4:4" x14ac:dyDescent="0.2">
      <c r="D691" s="171"/>
    </row>
    <row r="692" spans="4:4" x14ac:dyDescent="0.2">
      <c r="D692" s="171"/>
    </row>
    <row r="693" spans="4:4" x14ac:dyDescent="0.2">
      <c r="D693" s="171"/>
    </row>
    <row r="694" spans="4:4" x14ac:dyDescent="0.2">
      <c r="D694" s="171"/>
    </row>
    <row r="695" spans="4:4" x14ac:dyDescent="0.2">
      <c r="D695" s="171"/>
    </row>
    <row r="696" spans="4:4" x14ac:dyDescent="0.2">
      <c r="D696" s="171"/>
    </row>
    <row r="697" spans="4:4" x14ac:dyDescent="0.2">
      <c r="D697" s="171"/>
    </row>
    <row r="698" spans="4:4" x14ac:dyDescent="0.2">
      <c r="D698" s="171"/>
    </row>
    <row r="699" spans="4:4" x14ac:dyDescent="0.2">
      <c r="D699" s="171"/>
    </row>
    <row r="700" spans="4:4" x14ac:dyDescent="0.2">
      <c r="D700" s="171"/>
    </row>
    <row r="701" spans="4:4" x14ac:dyDescent="0.2">
      <c r="D701" s="171"/>
    </row>
    <row r="702" spans="4:4" x14ac:dyDescent="0.2">
      <c r="D702" s="171"/>
    </row>
    <row r="703" spans="4:4" x14ac:dyDescent="0.2">
      <c r="D703" s="171"/>
    </row>
    <row r="704" spans="4:4" x14ac:dyDescent="0.2">
      <c r="D704" s="171"/>
    </row>
    <row r="705" spans="4:4" x14ac:dyDescent="0.2">
      <c r="D705" s="171"/>
    </row>
    <row r="706" spans="4:4" x14ac:dyDescent="0.2">
      <c r="D706" s="171"/>
    </row>
    <row r="707" spans="4:4" x14ac:dyDescent="0.2">
      <c r="D707" s="171"/>
    </row>
    <row r="708" spans="4:4" x14ac:dyDescent="0.2">
      <c r="D708" s="171"/>
    </row>
    <row r="709" spans="4:4" x14ac:dyDescent="0.2">
      <c r="D709" s="171"/>
    </row>
    <row r="710" spans="4:4" x14ac:dyDescent="0.2">
      <c r="D710" s="171"/>
    </row>
    <row r="711" spans="4:4" x14ac:dyDescent="0.2">
      <c r="D711" s="171"/>
    </row>
    <row r="712" spans="4:4" x14ac:dyDescent="0.2">
      <c r="D712" s="171"/>
    </row>
    <row r="713" spans="4:4" x14ac:dyDescent="0.2">
      <c r="D713" s="171"/>
    </row>
    <row r="714" spans="4:4" x14ac:dyDescent="0.2">
      <c r="D714" s="171"/>
    </row>
    <row r="715" spans="4:4" x14ac:dyDescent="0.2">
      <c r="D715" s="171"/>
    </row>
    <row r="716" spans="4:4" x14ac:dyDescent="0.2">
      <c r="D716" s="171"/>
    </row>
    <row r="717" spans="4:4" x14ac:dyDescent="0.2">
      <c r="D717" s="171"/>
    </row>
    <row r="718" spans="4:4" x14ac:dyDescent="0.2">
      <c r="D718" s="171"/>
    </row>
    <row r="719" spans="4:4" x14ac:dyDescent="0.2">
      <c r="D719" s="171"/>
    </row>
    <row r="720" spans="4:4" x14ac:dyDescent="0.2">
      <c r="D720" s="171"/>
    </row>
    <row r="721" spans="4:4" x14ac:dyDescent="0.2">
      <c r="D721" s="171"/>
    </row>
    <row r="722" spans="4:4" x14ac:dyDescent="0.2">
      <c r="D722" s="171"/>
    </row>
    <row r="723" spans="4:4" x14ac:dyDescent="0.2">
      <c r="D723" s="171"/>
    </row>
    <row r="724" spans="4:4" x14ac:dyDescent="0.2">
      <c r="D724" s="171"/>
    </row>
    <row r="725" spans="4:4" x14ac:dyDescent="0.2">
      <c r="D725" s="171"/>
    </row>
    <row r="726" spans="4:4" x14ac:dyDescent="0.2">
      <c r="D726" s="171"/>
    </row>
    <row r="727" spans="4:4" x14ac:dyDescent="0.2">
      <c r="D727" s="171"/>
    </row>
    <row r="728" spans="4:4" x14ac:dyDescent="0.2">
      <c r="D728" s="171"/>
    </row>
    <row r="729" spans="4:4" x14ac:dyDescent="0.2">
      <c r="D729" s="171"/>
    </row>
    <row r="730" spans="4:4" x14ac:dyDescent="0.2">
      <c r="D730" s="171"/>
    </row>
    <row r="731" spans="4:4" x14ac:dyDescent="0.2">
      <c r="D731" s="171"/>
    </row>
    <row r="732" spans="4:4" x14ac:dyDescent="0.2">
      <c r="D732" s="171"/>
    </row>
    <row r="733" spans="4:4" x14ac:dyDescent="0.2">
      <c r="D733" s="171"/>
    </row>
    <row r="734" spans="4:4" x14ac:dyDescent="0.2">
      <c r="D734" s="171"/>
    </row>
    <row r="735" spans="4:4" x14ac:dyDescent="0.2">
      <c r="D735" s="171"/>
    </row>
    <row r="736" spans="4:4" x14ac:dyDescent="0.2">
      <c r="D736" s="171"/>
    </row>
    <row r="737" spans="4:4" x14ac:dyDescent="0.2">
      <c r="D737" s="171"/>
    </row>
    <row r="738" spans="4:4" x14ac:dyDescent="0.2">
      <c r="D738" s="171"/>
    </row>
    <row r="739" spans="4:4" x14ac:dyDescent="0.2">
      <c r="D739" s="171"/>
    </row>
    <row r="740" spans="4:4" x14ac:dyDescent="0.2">
      <c r="D740" s="171"/>
    </row>
    <row r="741" spans="4:4" x14ac:dyDescent="0.2">
      <c r="D741" s="171"/>
    </row>
    <row r="742" spans="4:4" x14ac:dyDescent="0.2">
      <c r="D742" s="171"/>
    </row>
    <row r="743" spans="4:4" x14ac:dyDescent="0.2">
      <c r="D743" s="171"/>
    </row>
    <row r="744" spans="4:4" x14ac:dyDescent="0.2">
      <c r="D744" s="171"/>
    </row>
    <row r="745" spans="4:4" x14ac:dyDescent="0.2">
      <c r="D745" s="171"/>
    </row>
    <row r="746" spans="4:4" x14ac:dyDescent="0.2">
      <c r="D746" s="171"/>
    </row>
    <row r="747" spans="4:4" x14ac:dyDescent="0.2">
      <c r="D747" s="171"/>
    </row>
    <row r="748" spans="4:4" x14ac:dyDescent="0.2">
      <c r="D748" s="171"/>
    </row>
    <row r="749" spans="4:4" x14ac:dyDescent="0.2">
      <c r="D749" s="171"/>
    </row>
    <row r="750" spans="4:4" x14ac:dyDescent="0.2">
      <c r="D750" s="171"/>
    </row>
    <row r="751" spans="4:4" x14ac:dyDescent="0.2">
      <c r="D751" s="171"/>
    </row>
    <row r="752" spans="4:4" x14ac:dyDescent="0.2">
      <c r="D752" s="171"/>
    </row>
    <row r="753" spans="4:4" x14ac:dyDescent="0.2">
      <c r="D753" s="171"/>
    </row>
    <row r="754" spans="4:4" x14ac:dyDescent="0.2">
      <c r="D754" s="171"/>
    </row>
    <row r="755" spans="4:4" x14ac:dyDescent="0.2">
      <c r="D755" s="171"/>
    </row>
    <row r="756" spans="4:4" x14ac:dyDescent="0.2">
      <c r="D756" s="171"/>
    </row>
    <row r="757" spans="4:4" x14ac:dyDescent="0.2">
      <c r="D757" s="171"/>
    </row>
    <row r="758" spans="4:4" x14ac:dyDescent="0.2">
      <c r="D758" s="171"/>
    </row>
    <row r="759" spans="4:4" x14ac:dyDescent="0.2">
      <c r="D759" s="171"/>
    </row>
    <row r="760" spans="4:4" x14ac:dyDescent="0.2">
      <c r="D760" s="171"/>
    </row>
    <row r="761" spans="4:4" x14ac:dyDescent="0.2">
      <c r="D761" s="171"/>
    </row>
    <row r="762" spans="4:4" x14ac:dyDescent="0.2">
      <c r="D762" s="171"/>
    </row>
    <row r="763" spans="4:4" x14ac:dyDescent="0.2">
      <c r="D763" s="171"/>
    </row>
    <row r="764" spans="4:4" x14ac:dyDescent="0.2">
      <c r="D764" s="171"/>
    </row>
    <row r="765" spans="4:4" x14ac:dyDescent="0.2">
      <c r="D765" s="171"/>
    </row>
    <row r="766" spans="4:4" x14ac:dyDescent="0.2">
      <c r="D766" s="171"/>
    </row>
    <row r="767" spans="4:4" x14ac:dyDescent="0.2">
      <c r="D767" s="171"/>
    </row>
    <row r="768" spans="4:4" x14ac:dyDescent="0.2">
      <c r="D768" s="171"/>
    </row>
    <row r="769" spans="4:4" x14ac:dyDescent="0.2">
      <c r="D769" s="171"/>
    </row>
    <row r="770" spans="4:4" x14ac:dyDescent="0.2">
      <c r="D770" s="171"/>
    </row>
    <row r="771" spans="4:4" x14ac:dyDescent="0.2">
      <c r="D771" s="171"/>
    </row>
    <row r="772" spans="4:4" x14ac:dyDescent="0.2">
      <c r="D772" s="171"/>
    </row>
    <row r="773" spans="4:4" x14ac:dyDescent="0.2">
      <c r="D773" s="171"/>
    </row>
    <row r="774" spans="4:4" x14ac:dyDescent="0.2">
      <c r="D774" s="171"/>
    </row>
    <row r="775" spans="4:4" x14ac:dyDescent="0.2">
      <c r="D775" s="171"/>
    </row>
    <row r="776" spans="4:4" x14ac:dyDescent="0.2">
      <c r="D776" s="171"/>
    </row>
    <row r="777" spans="4:4" x14ac:dyDescent="0.2">
      <c r="D777" s="171"/>
    </row>
    <row r="778" spans="4:4" x14ac:dyDescent="0.2">
      <c r="D778" s="171"/>
    </row>
  </sheetData>
  <pageMargins left="0.7" right="0.7" top="0.75" bottom="0.75" header="0.3" footer="0.3"/>
  <pageSetup paperSize="9" scale="28" fitToWidth="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P195"/>
  <sheetViews>
    <sheetView showGridLines="0" topLeftCell="A143" zoomScaleNormal="100" workbookViewId="0">
      <selection activeCell="I190" sqref="I190"/>
    </sheetView>
  </sheetViews>
  <sheetFormatPr defaultRowHeight="15" x14ac:dyDescent="0.2"/>
  <cols>
    <col min="1" max="1" width="10.7109375" style="2470" customWidth="1"/>
    <col min="2" max="2" width="11.28515625" style="2469" customWidth="1"/>
    <col min="3" max="3" width="12.7109375" style="2469" customWidth="1"/>
    <col min="4" max="4" width="12" style="2469" customWidth="1"/>
    <col min="5" max="5" width="12.5703125" style="2469" customWidth="1"/>
    <col min="6" max="6" width="10.85546875" style="2469" customWidth="1"/>
    <col min="7" max="9" width="12.42578125" style="2469" customWidth="1"/>
    <col min="10" max="10" width="10.42578125" style="2469" customWidth="1"/>
    <col min="11" max="11" width="12.7109375" style="2469" customWidth="1"/>
    <col min="12" max="12" width="16.85546875" style="2469" customWidth="1"/>
    <col min="13" max="13" width="9.140625" style="2469"/>
    <col min="14" max="14" width="8.7109375" style="2469" customWidth="1"/>
    <col min="15" max="15" width="9.140625" style="2469"/>
    <col min="16" max="16" width="14.28515625" style="2469" bestFit="1" customWidth="1"/>
    <col min="17" max="256" width="9.140625" style="2469"/>
    <col min="257" max="257" width="10.7109375" style="2469" customWidth="1"/>
    <col min="258" max="258" width="11.28515625" style="2469" customWidth="1"/>
    <col min="259" max="259" width="12.7109375" style="2469" customWidth="1"/>
    <col min="260" max="260" width="12" style="2469" customWidth="1"/>
    <col min="261" max="261" width="12.5703125" style="2469" customWidth="1"/>
    <col min="262" max="262" width="10.85546875" style="2469" customWidth="1"/>
    <col min="263" max="265" width="12.42578125" style="2469" customWidth="1"/>
    <col min="266" max="266" width="10.42578125" style="2469" customWidth="1"/>
    <col min="267" max="267" width="12.7109375" style="2469" customWidth="1"/>
    <col min="268" max="268" width="16.85546875" style="2469" customWidth="1"/>
    <col min="269" max="269" width="9.140625" style="2469"/>
    <col min="270" max="270" width="8.7109375" style="2469" customWidth="1"/>
    <col min="271" max="271" width="9.140625" style="2469"/>
    <col min="272" max="272" width="14.28515625" style="2469" bestFit="1" customWidth="1"/>
    <col min="273" max="512" width="9.140625" style="2469"/>
    <col min="513" max="513" width="10.7109375" style="2469" customWidth="1"/>
    <col min="514" max="514" width="11.28515625" style="2469" customWidth="1"/>
    <col min="515" max="515" width="12.7109375" style="2469" customWidth="1"/>
    <col min="516" max="516" width="12" style="2469" customWidth="1"/>
    <col min="517" max="517" width="12.5703125" style="2469" customWidth="1"/>
    <col min="518" max="518" width="10.85546875" style="2469" customWidth="1"/>
    <col min="519" max="521" width="12.42578125" style="2469" customWidth="1"/>
    <col min="522" max="522" width="10.42578125" style="2469" customWidth="1"/>
    <col min="523" max="523" width="12.7109375" style="2469" customWidth="1"/>
    <col min="524" max="524" width="16.85546875" style="2469" customWidth="1"/>
    <col min="525" max="525" width="9.140625" style="2469"/>
    <col min="526" max="526" width="8.7109375" style="2469" customWidth="1"/>
    <col min="527" max="527" width="9.140625" style="2469"/>
    <col min="528" max="528" width="14.28515625" style="2469" bestFit="1" customWidth="1"/>
    <col min="529" max="768" width="9.140625" style="2469"/>
    <col min="769" max="769" width="10.7109375" style="2469" customWidth="1"/>
    <col min="770" max="770" width="11.28515625" style="2469" customWidth="1"/>
    <col min="771" max="771" width="12.7109375" style="2469" customWidth="1"/>
    <col min="772" max="772" width="12" style="2469" customWidth="1"/>
    <col min="773" max="773" width="12.5703125" style="2469" customWidth="1"/>
    <col min="774" max="774" width="10.85546875" style="2469" customWidth="1"/>
    <col min="775" max="777" width="12.42578125" style="2469" customWidth="1"/>
    <col min="778" max="778" width="10.42578125" style="2469" customWidth="1"/>
    <col min="779" max="779" width="12.7109375" style="2469" customWidth="1"/>
    <col min="780" max="780" width="16.85546875" style="2469" customWidth="1"/>
    <col min="781" max="781" width="9.140625" style="2469"/>
    <col min="782" max="782" width="8.7109375" style="2469" customWidth="1"/>
    <col min="783" max="783" width="9.140625" style="2469"/>
    <col min="784" max="784" width="14.28515625" style="2469" bestFit="1" customWidth="1"/>
    <col min="785" max="1024" width="9.140625" style="2469"/>
    <col min="1025" max="1025" width="10.7109375" style="2469" customWidth="1"/>
    <col min="1026" max="1026" width="11.28515625" style="2469" customWidth="1"/>
    <col min="1027" max="1027" width="12.7109375" style="2469" customWidth="1"/>
    <col min="1028" max="1028" width="12" style="2469" customWidth="1"/>
    <col min="1029" max="1029" width="12.5703125" style="2469" customWidth="1"/>
    <col min="1030" max="1030" width="10.85546875" style="2469" customWidth="1"/>
    <col min="1031" max="1033" width="12.42578125" style="2469" customWidth="1"/>
    <col min="1034" max="1034" width="10.42578125" style="2469" customWidth="1"/>
    <col min="1035" max="1035" width="12.7109375" style="2469" customWidth="1"/>
    <col min="1036" max="1036" width="16.85546875" style="2469" customWidth="1"/>
    <col min="1037" max="1037" width="9.140625" style="2469"/>
    <col min="1038" max="1038" width="8.7109375" style="2469" customWidth="1"/>
    <col min="1039" max="1039" width="9.140625" style="2469"/>
    <col min="1040" max="1040" width="14.28515625" style="2469" bestFit="1" customWidth="1"/>
    <col min="1041" max="1280" width="9.140625" style="2469"/>
    <col min="1281" max="1281" width="10.7109375" style="2469" customWidth="1"/>
    <col min="1282" max="1282" width="11.28515625" style="2469" customWidth="1"/>
    <col min="1283" max="1283" width="12.7109375" style="2469" customWidth="1"/>
    <col min="1284" max="1284" width="12" style="2469" customWidth="1"/>
    <col min="1285" max="1285" width="12.5703125" style="2469" customWidth="1"/>
    <col min="1286" max="1286" width="10.85546875" style="2469" customWidth="1"/>
    <col min="1287" max="1289" width="12.42578125" style="2469" customWidth="1"/>
    <col min="1290" max="1290" width="10.42578125" style="2469" customWidth="1"/>
    <col min="1291" max="1291" width="12.7109375" style="2469" customWidth="1"/>
    <col min="1292" max="1292" width="16.85546875" style="2469" customWidth="1"/>
    <col min="1293" max="1293" width="9.140625" style="2469"/>
    <col min="1294" max="1294" width="8.7109375" style="2469" customWidth="1"/>
    <col min="1295" max="1295" width="9.140625" style="2469"/>
    <col min="1296" max="1296" width="14.28515625" style="2469" bestFit="1" customWidth="1"/>
    <col min="1297" max="1536" width="9.140625" style="2469"/>
    <col min="1537" max="1537" width="10.7109375" style="2469" customWidth="1"/>
    <col min="1538" max="1538" width="11.28515625" style="2469" customWidth="1"/>
    <col min="1539" max="1539" width="12.7109375" style="2469" customWidth="1"/>
    <col min="1540" max="1540" width="12" style="2469" customWidth="1"/>
    <col min="1541" max="1541" width="12.5703125" style="2469" customWidth="1"/>
    <col min="1542" max="1542" width="10.85546875" style="2469" customWidth="1"/>
    <col min="1543" max="1545" width="12.42578125" style="2469" customWidth="1"/>
    <col min="1546" max="1546" width="10.42578125" style="2469" customWidth="1"/>
    <col min="1547" max="1547" width="12.7109375" style="2469" customWidth="1"/>
    <col min="1548" max="1548" width="16.85546875" style="2469" customWidth="1"/>
    <col min="1549" max="1549" width="9.140625" style="2469"/>
    <col min="1550" max="1550" width="8.7109375" style="2469" customWidth="1"/>
    <col min="1551" max="1551" width="9.140625" style="2469"/>
    <col min="1552" max="1552" width="14.28515625" style="2469" bestFit="1" customWidth="1"/>
    <col min="1553" max="1792" width="9.140625" style="2469"/>
    <col min="1793" max="1793" width="10.7109375" style="2469" customWidth="1"/>
    <col min="1794" max="1794" width="11.28515625" style="2469" customWidth="1"/>
    <col min="1795" max="1795" width="12.7109375" style="2469" customWidth="1"/>
    <col min="1796" max="1796" width="12" style="2469" customWidth="1"/>
    <col min="1797" max="1797" width="12.5703125" style="2469" customWidth="1"/>
    <col min="1798" max="1798" width="10.85546875" style="2469" customWidth="1"/>
    <col min="1799" max="1801" width="12.42578125" style="2469" customWidth="1"/>
    <col min="1802" max="1802" width="10.42578125" style="2469" customWidth="1"/>
    <col min="1803" max="1803" width="12.7109375" style="2469" customWidth="1"/>
    <col min="1804" max="1804" width="16.85546875" style="2469" customWidth="1"/>
    <col min="1805" max="1805" width="9.140625" style="2469"/>
    <col min="1806" max="1806" width="8.7109375" style="2469" customWidth="1"/>
    <col min="1807" max="1807" width="9.140625" style="2469"/>
    <col min="1808" max="1808" width="14.28515625" style="2469" bestFit="1" customWidth="1"/>
    <col min="1809" max="2048" width="9.140625" style="2469"/>
    <col min="2049" max="2049" width="10.7109375" style="2469" customWidth="1"/>
    <col min="2050" max="2050" width="11.28515625" style="2469" customWidth="1"/>
    <col min="2051" max="2051" width="12.7109375" style="2469" customWidth="1"/>
    <col min="2052" max="2052" width="12" style="2469" customWidth="1"/>
    <col min="2053" max="2053" width="12.5703125" style="2469" customWidth="1"/>
    <col min="2054" max="2054" width="10.85546875" style="2469" customWidth="1"/>
    <col min="2055" max="2057" width="12.42578125" style="2469" customWidth="1"/>
    <col min="2058" max="2058" width="10.42578125" style="2469" customWidth="1"/>
    <col min="2059" max="2059" width="12.7109375" style="2469" customWidth="1"/>
    <col min="2060" max="2060" width="16.85546875" style="2469" customWidth="1"/>
    <col min="2061" max="2061" width="9.140625" style="2469"/>
    <col min="2062" max="2062" width="8.7109375" style="2469" customWidth="1"/>
    <col min="2063" max="2063" width="9.140625" style="2469"/>
    <col min="2064" max="2064" width="14.28515625" style="2469" bestFit="1" customWidth="1"/>
    <col min="2065" max="2304" width="9.140625" style="2469"/>
    <col min="2305" max="2305" width="10.7109375" style="2469" customWidth="1"/>
    <col min="2306" max="2306" width="11.28515625" style="2469" customWidth="1"/>
    <col min="2307" max="2307" width="12.7109375" style="2469" customWidth="1"/>
    <col min="2308" max="2308" width="12" style="2469" customWidth="1"/>
    <col min="2309" max="2309" width="12.5703125" style="2469" customWidth="1"/>
    <col min="2310" max="2310" width="10.85546875" style="2469" customWidth="1"/>
    <col min="2311" max="2313" width="12.42578125" style="2469" customWidth="1"/>
    <col min="2314" max="2314" width="10.42578125" style="2469" customWidth="1"/>
    <col min="2315" max="2315" width="12.7109375" style="2469" customWidth="1"/>
    <col min="2316" max="2316" width="16.85546875" style="2469" customWidth="1"/>
    <col min="2317" max="2317" width="9.140625" style="2469"/>
    <col min="2318" max="2318" width="8.7109375" style="2469" customWidth="1"/>
    <col min="2319" max="2319" width="9.140625" style="2469"/>
    <col min="2320" max="2320" width="14.28515625" style="2469" bestFit="1" customWidth="1"/>
    <col min="2321" max="2560" width="9.140625" style="2469"/>
    <col min="2561" max="2561" width="10.7109375" style="2469" customWidth="1"/>
    <col min="2562" max="2562" width="11.28515625" style="2469" customWidth="1"/>
    <col min="2563" max="2563" width="12.7109375" style="2469" customWidth="1"/>
    <col min="2564" max="2564" width="12" style="2469" customWidth="1"/>
    <col min="2565" max="2565" width="12.5703125" style="2469" customWidth="1"/>
    <col min="2566" max="2566" width="10.85546875" style="2469" customWidth="1"/>
    <col min="2567" max="2569" width="12.42578125" style="2469" customWidth="1"/>
    <col min="2570" max="2570" width="10.42578125" style="2469" customWidth="1"/>
    <col min="2571" max="2571" width="12.7109375" style="2469" customWidth="1"/>
    <col min="2572" max="2572" width="16.85546875" style="2469" customWidth="1"/>
    <col min="2573" max="2573" width="9.140625" style="2469"/>
    <col min="2574" max="2574" width="8.7109375" style="2469" customWidth="1"/>
    <col min="2575" max="2575" width="9.140625" style="2469"/>
    <col min="2576" max="2576" width="14.28515625" style="2469" bestFit="1" customWidth="1"/>
    <col min="2577" max="2816" width="9.140625" style="2469"/>
    <col min="2817" max="2817" width="10.7109375" style="2469" customWidth="1"/>
    <col min="2818" max="2818" width="11.28515625" style="2469" customWidth="1"/>
    <col min="2819" max="2819" width="12.7109375" style="2469" customWidth="1"/>
    <col min="2820" max="2820" width="12" style="2469" customWidth="1"/>
    <col min="2821" max="2821" width="12.5703125" style="2469" customWidth="1"/>
    <col min="2822" max="2822" width="10.85546875" style="2469" customWidth="1"/>
    <col min="2823" max="2825" width="12.42578125" style="2469" customWidth="1"/>
    <col min="2826" max="2826" width="10.42578125" style="2469" customWidth="1"/>
    <col min="2827" max="2827" width="12.7109375" style="2469" customWidth="1"/>
    <col min="2828" max="2828" width="16.85546875" style="2469" customWidth="1"/>
    <col min="2829" max="2829" width="9.140625" style="2469"/>
    <col min="2830" max="2830" width="8.7109375" style="2469" customWidth="1"/>
    <col min="2831" max="2831" width="9.140625" style="2469"/>
    <col min="2832" max="2832" width="14.28515625" style="2469" bestFit="1" customWidth="1"/>
    <col min="2833" max="3072" width="9.140625" style="2469"/>
    <col min="3073" max="3073" width="10.7109375" style="2469" customWidth="1"/>
    <col min="3074" max="3074" width="11.28515625" style="2469" customWidth="1"/>
    <col min="3075" max="3075" width="12.7109375" style="2469" customWidth="1"/>
    <col min="3076" max="3076" width="12" style="2469" customWidth="1"/>
    <col min="3077" max="3077" width="12.5703125" style="2469" customWidth="1"/>
    <col min="3078" max="3078" width="10.85546875" style="2469" customWidth="1"/>
    <col min="3079" max="3081" width="12.42578125" style="2469" customWidth="1"/>
    <col min="3082" max="3082" width="10.42578125" style="2469" customWidth="1"/>
    <col min="3083" max="3083" width="12.7109375" style="2469" customWidth="1"/>
    <col min="3084" max="3084" width="16.85546875" style="2469" customWidth="1"/>
    <col min="3085" max="3085" width="9.140625" style="2469"/>
    <col min="3086" max="3086" width="8.7109375" style="2469" customWidth="1"/>
    <col min="3087" max="3087" width="9.140625" style="2469"/>
    <col min="3088" max="3088" width="14.28515625" style="2469" bestFit="1" customWidth="1"/>
    <col min="3089" max="3328" width="9.140625" style="2469"/>
    <col min="3329" max="3329" width="10.7109375" style="2469" customWidth="1"/>
    <col min="3330" max="3330" width="11.28515625" style="2469" customWidth="1"/>
    <col min="3331" max="3331" width="12.7109375" style="2469" customWidth="1"/>
    <col min="3332" max="3332" width="12" style="2469" customWidth="1"/>
    <col min="3333" max="3333" width="12.5703125" style="2469" customWidth="1"/>
    <col min="3334" max="3334" width="10.85546875" style="2469" customWidth="1"/>
    <col min="3335" max="3337" width="12.42578125" style="2469" customWidth="1"/>
    <col min="3338" max="3338" width="10.42578125" style="2469" customWidth="1"/>
    <col min="3339" max="3339" width="12.7109375" style="2469" customWidth="1"/>
    <col min="3340" max="3340" width="16.85546875" style="2469" customWidth="1"/>
    <col min="3341" max="3341" width="9.140625" style="2469"/>
    <col min="3342" max="3342" width="8.7109375" style="2469" customWidth="1"/>
    <col min="3343" max="3343" width="9.140625" style="2469"/>
    <col min="3344" max="3344" width="14.28515625" style="2469" bestFit="1" customWidth="1"/>
    <col min="3345" max="3584" width="9.140625" style="2469"/>
    <col min="3585" max="3585" width="10.7109375" style="2469" customWidth="1"/>
    <col min="3586" max="3586" width="11.28515625" style="2469" customWidth="1"/>
    <col min="3587" max="3587" width="12.7109375" style="2469" customWidth="1"/>
    <col min="3588" max="3588" width="12" style="2469" customWidth="1"/>
    <col min="3589" max="3589" width="12.5703125" style="2469" customWidth="1"/>
    <col min="3590" max="3590" width="10.85546875" style="2469" customWidth="1"/>
    <col min="3591" max="3593" width="12.42578125" style="2469" customWidth="1"/>
    <col min="3594" max="3594" width="10.42578125" style="2469" customWidth="1"/>
    <col min="3595" max="3595" width="12.7109375" style="2469" customWidth="1"/>
    <col min="3596" max="3596" width="16.85546875" style="2469" customWidth="1"/>
    <col min="3597" max="3597" width="9.140625" style="2469"/>
    <col min="3598" max="3598" width="8.7109375" style="2469" customWidth="1"/>
    <col min="3599" max="3599" width="9.140625" style="2469"/>
    <col min="3600" max="3600" width="14.28515625" style="2469" bestFit="1" customWidth="1"/>
    <col min="3601" max="3840" width="9.140625" style="2469"/>
    <col min="3841" max="3841" width="10.7109375" style="2469" customWidth="1"/>
    <col min="3842" max="3842" width="11.28515625" style="2469" customWidth="1"/>
    <col min="3843" max="3843" width="12.7109375" style="2469" customWidth="1"/>
    <col min="3844" max="3844" width="12" style="2469" customWidth="1"/>
    <col min="3845" max="3845" width="12.5703125" style="2469" customWidth="1"/>
    <col min="3846" max="3846" width="10.85546875" style="2469" customWidth="1"/>
    <col min="3847" max="3849" width="12.42578125" style="2469" customWidth="1"/>
    <col min="3850" max="3850" width="10.42578125" style="2469" customWidth="1"/>
    <col min="3851" max="3851" width="12.7109375" style="2469" customWidth="1"/>
    <col min="3852" max="3852" width="16.85546875" style="2469" customWidth="1"/>
    <col min="3853" max="3853" width="9.140625" style="2469"/>
    <col min="3854" max="3854" width="8.7109375" style="2469" customWidth="1"/>
    <col min="3855" max="3855" width="9.140625" style="2469"/>
    <col min="3856" max="3856" width="14.28515625" style="2469" bestFit="1" customWidth="1"/>
    <col min="3857" max="4096" width="9.140625" style="2469"/>
    <col min="4097" max="4097" width="10.7109375" style="2469" customWidth="1"/>
    <col min="4098" max="4098" width="11.28515625" style="2469" customWidth="1"/>
    <col min="4099" max="4099" width="12.7109375" style="2469" customWidth="1"/>
    <col min="4100" max="4100" width="12" style="2469" customWidth="1"/>
    <col min="4101" max="4101" width="12.5703125" style="2469" customWidth="1"/>
    <col min="4102" max="4102" width="10.85546875" style="2469" customWidth="1"/>
    <col min="4103" max="4105" width="12.42578125" style="2469" customWidth="1"/>
    <col min="4106" max="4106" width="10.42578125" style="2469" customWidth="1"/>
    <col min="4107" max="4107" width="12.7109375" style="2469" customWidth="1"/>
    <col min="4108" max="4108" width="16.85546875" style="2469" customWidth="1"/>
    <col min="4109" max="4109" width="9.140625" style="2469"/>
    <col min="4110" max="4110" width="8.7109375" style="2469" customWidth="1"/>
    <col min="4111" max="4111" width="9.140625" style="2469"/>
    <col min="4112" max="4112" width="14.28515625" style="2469" bestFit="1" customWidth="1"/>
    <col min="4113" max="4352" width="9.140625" style="2469"/>
    <col min="4353" max="4353" width="10.7109375" style="2469" customWidth="1"/>
    <col min="4354" max="4354" width="11.28515625" style="2469" customWidth="1"/>
    <col min="4355" max="4355" width="12.7109375" style="2469" customWidth="1"/>
    <col min="4356" max="4356" width="12" style="2469" customWidth="1"/>
    <col min="4357" max="4357" width="12.5703125" style="2469" customWidth="1"/>
    <col min="4358" max="4358" width="10.85546875" style="2469" customWidth="1"/>
    <col min="4359" max="4361" width="12.42578125" style="2469" customWidth="1"/>
    <col min="4362" max="4362" width="10.42578125" style="2469" customWidth="1"/>
    <col min="4363" max="4363" width="12.7109375" style="2469" customWidth="1"/>
    <col min="4364" max="4364" width="16.85546875" style="2469" customWidth="1"/>
    <col min="4365" max="4365" width="9.140625" style="2469"/>
    <col min="4366" max="4366" width="8.7109375" style="2469" customWidth="1"/>
    <col min="4367" max="4367" width="9.140625" style="2469"/>
    <col min="4368" max="4368" width="14.28515625" style="2469" bestFit="1" customWidth="1"/>
    <col min="4369" max="4608" width="9.140625" style="2469"/>
    <col min="4609" max="4609" width="10.7109375" style="2469" customWidth="1"/>
    <col min="4610" max="4610" width="11.28515625" style="2469" customWidth="1"/>
    <col min="4611" max="4611" width="12.7109375" style="2469" customWidth="1"/>
    <col min="4612" max="4612" width="12" style="2469" customWidth="1"/>
    <col min="4613" max="4613" width="12.5703125" style="2469" customWidth="1"/>
    <col min="4614" max="4614" width="10.85546875" style="2469" customWidth="1"/>
    <col min="4615" max="4617" width="12.42578125" style="2469" customWidth="1"/>
    <col min="4618" max="4618" width="10.42578125" style="2469" customWidth="1"/>
    <col min="4619" max="4619" width="12.7109375" style="2469" customWidth="1"/>
    <col min="4620" max="4620" width="16.85546875" style="2469" customWidth="1"/>
    <col min="4621" max="4621" width="9.140625" style="2469"/>
    <col min="4622" max="4622" width="8.7109375" style="2469" customWidth="1"/>
    <col min="4623" max="4623" width="9.140625" style="2469"/>
    <col min="4624" max="4624" width="14.28515625" style="2469" bestFit="1" customWidth="1"/>
    <col min="4625" max="4864" width="9.140625" style="2469"/>
    <col min="4865" max="4865" width="10.7109375" style="2469" customWidth="1"/>
    <col min="4866" max="4866" width="11.28515625" style="2469" customWidth="1"/>
    <col min="4867" max="4867" width="12.7109375" style="2469" customWidth="1"/>
    <col min="4868" max="4868" width="12" style="2469" customWidth="1"/>
    <col min="4869" max="4869" width="12.5703125" style="2469" customWidth="1"/>
    <col min="4870" max="4870" width="10.85546875" style="2469" customWidth="1"/>
    <col min="4871" max="4873" width="12.42578125" style="2469" customWidth="1"/>
    <col min="4874" max="4874" width="10.42578125" style="2469" customWidth="1"/>
    <col min="4875" max="4875" width="12.7109375" style="2469" customWidth="1"/>
    <col min="4876" max="4876" width="16.85546875" style="2469" customWidth="1"/>
    <col min="4877" max="4877" width="9.140625" style="2469"/>
    <col min="4878" max="4878" width="8.7109375" style="2469" customWidth="1"/>
    <col min="4879" max="4879" width="9.140625" style="2469"/>
    <col min="4880" max="4880" width="14.28515625" style="2469" bestFit="1" customWidth="1"/>
    <col min="4881" max="5120" width="9.140625" style="2469"/>
    <col min="5121" max="5121" width="10.7109375" style="2469" customWidth="1"/>
    <col min="5122" max="5122" width="11.28515625" style="2469" customWidth="1"/>
    <col min="5123" max="5123" width="12.7109375" style="2469" customWidth="1"/>
    <col min="5124" max="5124" width="12" style="2469" customWidth="1"/>
    <col min="5125" max="5125" width="12.5703125" style="2469" customWidth="1"/>
    <col min="5126" max="5126" width="10.85546875" style="2469" customWidth="1"/>
    <col min="5127" max="5129" width="12.42578125" style="2469" customWidth="1"/>
    <col min="5130" max="5130" width="10.42578125" style="2469" customWidth="1"/>
    <col min="5131" max="5131" width="12.7109375" style="2469" customWidth="1"/>
    <col min="5132" max="5132" width="16.85546875" style="2469" customWidth="1"/>
    <col min="5133" max="5133" width="9.140625" style="2469"/>
    <col min="5134" max="5134" width="8.7109375" style="2469" customWidth="1"/>
    <col min="5135" max="5135" width="9.140625" style="2469"/>
    <col min="5136" max="5136" width="14.28515625" style="2469" bestFit="1" customWidth="1"/>
    <col min="5137" max="5376" width="9.140625" style="2469"/>
    <col min="5377" max="5377" width="10.7109375" style="2469" customWidth="1"/>
    <col min="5378" max="5378" width="11.28515625" style="2469" customWidth="1"/>
    <col min="5379" max="5379" width="12.7109375" style="2469" customWidth="1"/>
    <col min="5380" max="5380" width="12" style="2469" customWidth="1"/>
    <col min="5381" max="5381" width="12.5703125" style="2469" customWidth="1"/>
    <col min="5382" max="5382" width="10.85546875" style="2469" customWidth="1"/>
    <col min="5383" max="5385" width="12.42578125" style="2469" customWidth="1"/>
    <col min="5386" max="5386" width="10.42578125" style="2469" customWidth="1"/>
    <col min="5387" max="5387" width="12.7109375" style="2469" customWidth="1"/>
    <col min="5388" max="5388" width="16.85546875" style="2469" customWidth="1"/>
    <col min="5389" max="5389" width="9.140625" style="2469"/>
    <col min="5390" max="5390" width="8.7109375" style="2469" customWidth="1"/>
    <col min="5391" max="5391" width="9.140625" style="2469"/>
    <col min="5392" max="5392" width="14.28515625" style="2469" bestFit="1" customWidth="1"/>
    <col min="5393" max="5632" width="9.140625" style="2469"/>
    <col min="5633" max="5633" width="10.7109375" style="2469" customWidth="1"/>
    <col min="5634" max="5634" width="11.28515625" style="2469" customWidth="1"/>
    <col min="5635" max="5635" width="12.7109375" style="2469" customWidth="1"/>
    <col min="5636" max="5636" width="12" style="2469" customWidth="1"/>
    <col min="5637" max="5637" width="12.5703125" style="2469" customWidth="1"/>
    <col min="5638" max="5638" width="10.85546875" style="2469" customWidth="1"/>
    <col min="5639" max="5641" width="12.42578125" style="2469" customWidth="1"/>
    <col min="5642" max="5642" width="10.42578125" style="2469" customWidth="1"/>
    <col min="5643" max="5643" width="12.7109375" style="2469" customWidth="1"/>
    <col min="5644" max="5644" width="16.85546875" style="2469" customWidth="1"/>
    <col min="5645" max="5645" width="9.140625" style="2469"/>
    <col min="5646" max="5646" width="8.7109375" style="2469" customWidth="1"/>
    <col min="5647" max="5647" width="9.140625" style="2469"/>
    <col min="5648" max="5648" width="14.28515625" style="2469" bestFit="1" customWidth="1"/>
    <col min="5649" max="5888" width="9.140625" style="2469"/>
    <col min="5889" max="5889" width="10.7109375" style="2469" customWidth="1"/>
    <col min="5890" max="5890" width="11.28515625" style="2469" customWidth="1"/>
    <col min="5891" max="5891" width="12.7109375" style="2469" customWidth="1"/>
    <col min="5892" max="5892" width="12" style="2469" customWidth="1"/>
    <col min="5893" max="5893" width="12.5703125" style="2469" customWidth="1"/>
    <col min="5894" max="5894" width="10.85546875" style="2469" customWidth="1"/>
    <col min="5895" max="5897" width="12.42578125" style="2469" customWidth="1"/>
    <col min="5898" max="5898" width="10.42578125" style="2469" customWidth="1"/>
    <col min="5899" max="5899" width="12.7109375" style="2469" customWidth="1"/>
    <col min="5900" max="5900" width="16.85546875" style="2469" customWidth="1"/>
    <col min="5901" max="5901" width="9.140625" style="2469"/>
    <col min="5902" max="5902" width="8.7109375" style="2469" customWidth="1"/>
    <col min="5903" max="5903" width="9.140625" style="2469"/>
    <col min="5904" max="5904" width="14.28515625" style="2469" bestFit="1" customWidth="1"/>
    <col min="5905" max="6144" width="9.140625" style="2469"/>
    <col min="6145" max="6145" width="10.7109375" style="2469" customWidth="1"/>
    <col min="6146" max="6146" width="11.28515625" style="2469" customWidth="1"/>
    <col min="6147" max="6147" width="12.7109375" style="2469" customWidth="1"/>
    <col min="6148" max="6148" width="12" style="2469" customWidth="1"/>
    <col min="6149" max="6149" width="12.5703125" style="2469" customWidth="1"/>
    <col min="6150" max="6150" width="10.85546875" style="2469" customWidth="1"/>
    <col min="6151" max="6153" width="12.42578125" style="2469" customWidth="1"/>
    <col min="6154" max="6154" width="10.42578125" style="2469" customWidth="1"/>
    <col min="6155" max="6155" width="12.7109375" style="2469" customWidth="1"/>
    <col min="6156" max="6156" width="16.85546875" style="2469" customWidth="1"/>
    <col min="6157" max="6157" width="9.140625" style="2469"/>
    <col min="6158" max="6158" width="8.7109375" style="2469" customWidth="1"/>
    <col min="6159" max="6159" width="9.140625" style="2469"/>
    <col min="6160" max="6160" width="14.28515625" style="2469" bestFit="1" customWidth="1"/>
    <col min="6161" max="6400" width="9.140625" style="2469"/>
    <col min="6401" max="6401" width="10.7109375" style="2469" customWidth="1"/>
    <col min="6402" max="6402" width="11.28515625" style="2469" customWidth="1"/>
    <col min="6403" max="6403" width="12.7109375" style="2469" customWidth="1"/>
    <col min="6404" max="6404" width="12" style="2469" customWidth="1"/>
    <col min="6405" max="6405" width="12.5703125" style="2469" customWidth="1"/>
    <col min="6406" max="6406" width="10.85546875" style="2469" customWidth="1"/>
    <col min="6407" max="6409" width="12.42578125" style="2469" customWidth="1"/>
    <col min="6410" max="6410" width="10.42578125" style="2469" customWidth="1"/>
    <col min="6411" max="6411" width="12.7109375" style="2469" customWidth="1"/>
    <col min="6412" max="6412" width="16.85546875" style="2469" customWidth="1"/>
    <col min="6413" max="6413" width="9.140625" style="2469"/>
    <col min="6414" max="6414" width="8.7109375" style="2469" customWidth="1"/>
    <col min="6415" max="6415" width="9.140625" style="2469"/>
    <col min="6416" max="6416" width="14.28515625" style="2469" bestFit="1" customWidth="1"/>
    <col min="6417" max="6656" width="9.140625" style="2469"/>
    <col min="6657" max="6657" width="10.7109375" style="2469" customWidth="1"/>
    <col min="6658" max="6658" width="11.28515625" style="2469" customWidth="1"/>
    <col min="6659" max="6659" width="12.7109375" style="2469" customWidth="1"/>
    <col min="6660" max="6660" width="12" style="2469" customWidth="1"/>
    <col min="6661" max="6661" width="12.5703125" style="2469" customWidth="1"/>
    <col min="6662" max="6662" width="10.85546875" style="2469" customWidth="1"/>
    <col min="6663" max="6665" width="12.42578125" style="2469" customWidth="1"/>
    <col min="6666" max="6666" width="10.42578125" style="2469" customWidth="1"/>
    <col min="6667" max="6667" width="12.7109375" style="2469" customWidth="1"/>
    <col min="6668" max="6668" width="16.85546875" style="2469" customWidth="1"/>
    <col min="6669" max="6669" width="9.140625" style="2469"/>
    <col min="6670" max="6670" width="8.7109375" style="2469" customWidth="1"/>
    <col min="6671" max="6671" width="9.140625" style="2469"/>
    <col min="6672" max="6672" width="14.28515625" style="2469" bestFit="1" customWidth="1"/>
    <col min="6673" max="6912" width="9.140625" style="2469"/>
    <col min="6913" max="6913" width="10.7109375" style="2469" customWidth="1"/>
    <col min="6914" max="6914" width="11.28515625" style="2469" customWidth="1"/>
    <col min="6915" max="6915" width="12.7109375" style="2469" customWidth="1"/>
    <col min="6916" max="6916" width="12" style="2469" customWidth="1"/>
    <col min="6917" max="6917" width="12.5703125" style="2469" customWidth="1"/>
    <col min="6918" max="6918" width="10.85546875" style="2469" customWidth="1"/>
    <col min="6919" max="6921" width="12.42578125" style="2469" customWidth="1"/>
    <col min="6922" max="6922" width="10.42578125" style="2469" customWidth="1"/>
    <col min="6923" max="6923" width="12.7109375" style="2469" customWidth="1"/>
    <col min="6924" max="6924" width="16.85546875" style="2469" customWidth="1"/>
    <col min="6925" max="6925" width="9.140625" style="2469"/>
    <col min="6926" max="6926" width="8.7109375" style="2469" customWidth="1"/>
    <col min="6927" max="6927" width="9.140625" style="2469"/>
    <col min="6928" max="6928" width="14.28515625" style="2469" bestFit="1" customWidth="1"/>
    <col min="6929" max="7168" width="9.140625" style="2469"/>
    <col min="7169" max="7169" width="10.7109375" style="2469" customWidth="1"/>
    <col min="7170" max="7170" width="11.28515625" style="2469" customWidth="1"/>
    <col min="7171" max="7171" width="12.7109375" style="2469" customWidth="1"/>
    <col min="7172" max="7172" width="12" style="2469" customWidth="1"/>
    <col min="7173" max="7173" width="12.5703125" style="2469" customWidth="1"/>
    <col min="7174" max="7174" width="10.85546875" style="2469" customWidth="1"/>
    <col min="7175" max="7177" width="12.42578125" style="2469" customWidth="1"/>
    <col min="7178" max="7178" width="10.42578125" style="2469" customWidth="1"/>
    <col min="7179" max="7179" width="12.7109375" style="2469" customWidth="1"/>
    <col min="7180" max="7180" width="16.85546875" style="2469" customWidth="1"/>
    <col min="7181" max="7181" width="9.140625" style="2469"/>
    <col min="7182" max="7182" width="8.7109375" style="2469" customWidth="1"/>
    <col min="7183" max="7183" width="9.140625" style="2469"/>
    <col min="7184" max="7184" width="14.28515625" style="2469" bestFit="1" customWidth="1"/>
    <col min="7185" max="7424" width="9.140625" style="2469"/>
    <col min="7425" max="7425" width="10.7109375" style="2469" customWidth="1"/>
    <col min="7426" max="7426" width="11.28515625" style="2469" customWidth="1"/>
    <col min="7427" max="7427" width="12.7109375" style="2469" customWidth="1"/>
    <col min="7428" max="7428" width="12" style="2469" customWidth="1"/>
    <col min="7429" max="7429" width="12.5703125" style="2469" customWidth="1"/>
    <col min="7430" max="7430" width="10.85546875" style="2469" customWidth="1"/>
    <col min="7431" max="7433" width="12.42578125" style="2469" customWidth="1"/>
    <col min="7434" max="7434" width="10.42578125" style="2469" customWidth="1"/>
    <col min="7435" max="7435" width="12.7109375" style="2469" customWidth="1"/>
    <col min="7436" max="7436" width="16.85546875" style="2469" customWidth="1"/>
    <col min="7437" max="7437" width="9.140625" style="2469"/>
    <col min="7438" max="7438" width="8.7109375" style="2469" customWidth="1"/>
    <col min="7439" max="7439" width="9.140625" style="2469"/>
    <col min="7440" max="7440" width="14.28515625" style="2469" bestFit="1" customWidth="1"/>
    <col min="7441" max="7680" width="9.140625" style="2469"/>
    <col min="7681" max="7681" width="10.7109375" style="2469" customWidth="1"/>
    <col min="7682" max="7682" width="11.28515625" style="2469" customWidth="1"/>
    <col min="7683" max="7683" width="12.7109375" style="2469" customWidth="1"/>
    <col min="7684" max="7684" width="12" style="2469" customWidth="1"/>
    <col min="7685" max="7685" width="12.5703125" style="2469" customWidth="1"/>
    <col min="7686" max="7686" width="10.85546875" style="2469" customWidth="1"/>
    <col min="7687" max="7689" width="12.42578125" style="2469" customWidth="1"/>
    <col min="7690" max="7690" width="10.42578125" style="2469" customWidth="1"/>
    <col min="7691" max="7691" width="12.7109375" style="2469" customWidth="1"/>
    <col min="7692" max="7692" width="16.85546875" style="2469" customWidth="1"/>
    <col min="7693" max="7693" width="9.140625" style="2469"/>
    <col min="7694" max="7694" width="8.7109375" style="2469" customWidth="1"/>
    <col min="7695" max="7695" width="9.140625" style="2469"/>
    <col min="7696" max="7696" width="14.28515625" style="2469" bestFit="1" customWidth="1"/>
    <col min="7697" max="7936" width="9.140625" style="2469"/>
    <col min="7937" max="7937" width="10.7109375" style="2469" customWidth="1"/>
    <col min="7938" max="7938" width="11.28515625" style="2469" customWidth="1"/>
    <col min="7939" max="7939" width="12.7109375" style="2469" customWidth="1"/>
    <col min="7940" max="7940" width="12" style="2469" customWidth="1"/>
    <col min="7941" max="7941" width="12.5703125" style="2469" customWidth="1"/>
    <col min="7942" max="7942" width="10.85546875" style="2469" customWidth="1"/>
    <col min="7943" max="7945" width="12.42578125" style="2469" customWidth="1"/>
    <col min="7946" max="7946" width="10.42578125" style="2469" customWidth="1"/>
    <col min="7947" max="7947" width="12.7109375" style="2469" customWidth="1"/>
    <col min="7948" max="7948" width="16.85546875" style="2469" customWidth="1"/>
    <col min="7949" max="7949" width="9.140625" style="2469"/>
    <col min="7950" max="7950" width="8.7109375" style="2469" customWidth="1"/>
    <col min="7951" max="7951" width="9.140625" style="2469"/>
    <col min="7952" max="7952" width="14.28515625" style="2469" bestFit="1" customWidth="1"/>
    <col min="7953" max="8192" width="9.140625" style="2469"/>
    <col min="8193" max="8193" width="10.7109375" style="2469" customWidth="1"/>
    <col min="8194" max="8194" width="11.28515625" style="2469" customWidth="1"/>
    <col min="8195" max="8195" width="12.7109375" style="2469" customWidth="1"/>
    <col min="8196" max="8196" width="12" style="2469" customWidth="1"/>
    <col min="8197" max="8197" width="12.5703125" style="2469" customWidth="1"/>
    <col min="8198" max="8198" width="10.85546875" style="2469" customWidth="1"/>
    <col min="8199" max="8201" width="12.42578125" style="2469" customWidth="1"/>
    <col min="8202" max="8202" width="10.42578125" style="2469" customWidth="1"/>
    <col min="8203" max="8203" width="12.7109375" style="2469" customWidth="1"/>
    <col min="8204" max="8204" width="16.85546875" style="2469" customWidth="1"/>
    <col min="8205" max="8205" width="9.140625" style="2469"/>
    <col min="8206" max="8206" width="8.7109375" style="2469" customWidth="1"/>
    <col min="8207" max="8207" width="9.140625" style="2469"/>
    <col min="8208" max="8208" width="14.28515625" style="2469" bestFit="1" customWidth="1"/>
    <col min="8209" max="8448" width="9.140625" style="2469"/>
    <col min="8449" max="8449" width="10.7109375" style="2469" customWidth="1"/>
    <col min="8450" max="8450" width="11.28515625" style="2469" customWidth="1"/>
    <col min="8451" max="8451" width="12.7109375" style="2469" customWidth="1"/>
    <col min="8452" max="8452" width="12" style="2469" customWidth="1"/>
    <col min="8453" max="8453" width="12.5703125" style="2469" customWidth="1"/>
    <col min="8454" max="8454" width="10.85546875" style="2469" customWidth="1"/>
    <col min="8455" max="8457" width="12.42578125" style="2469" customWidth="1"/>
    <col min="8458" max="8458" width="10.42578125" style="2469" customWidth="1"/>
    <col min="8459" max="8459" width="12.7109375" style="2469" customWidth="1"/>
    <col min="8460" max="8460" width="16.85546875" style="2469" customWidth="1"/>
    <col min="8461" max="8461" width="9.140625" style="2469"/>
    <col min="8462" max="8462" width="8.7109375" style="2469" customWidth="1"/>
    <col min="8463" max="8463" width="9.140625" style="2469"/>
    <col min="8464" max="8464" width="14.28515625" style="2469" bestFit="1" customWidth="1"/>
    <col min="8465" max="8704" width="9.140625" style="2469"/>
    <col min="8705" max="8705" width="10.7109375" style="2469" customWidth="1"/>
    <col min="8706" max="8706" width="11.28515625" style="2469" customWidth="1"/>
    <col min="8707" max="8707" width="12.7109375" style="2469" customWidth="1"/>
    <col min="8708" max="8708" width="12" style="2469" customWidth="1"/>
    <col min="8709" max="8709" width="12.5703125" style="2469" customWidth="1"/>
    <col min="8710" max="8710" width="10.85546875" style="2469" customWidth="1"/>
    <col min="8711" max="8713" width="12.42578125" style="2469" customWidth="1"/>
    <col min="8714" max="8714" width="10.42578125" style="2469" customWidth="1"/>
    <col min="8715" max="8715" width="12.7109375" style="2469" customWidth="1"/>
    <col min="8716" max="8716" width="16.85546875" style="2469" customWidth="1"/>
    <col min="8717" max="8717" width="9.140625" style="2469"/>
    <col min="8718" max="8718" width="8.7109375" style="2469" customWidth="1"/>
    <col min="8719" max="8719" width="9.140625" style="2469"/>
    <col min="8720" max="8720" width="14.28515625" style="2469" bestFit="1" customWidth="1"/>
    <col min="8721" max="8960" width="9.140625" style="2469"/>
    <col min="8961" max="8961" width="10.7109375" style="2469" customWidth="1"/>
    <col min="8962" max="8962" width="11.28515625" style="2469" customWidth="1"/>
    <col min="8963" max="8963" width="12.7109375" style="2469" customWidth="1"/>
    <col min="8964" max="8964" width="12" style="2469" customWidth="1"/>
    <col min="8965" max="8965" width="12.5703125" style="2469" customWidth="1"/>
    <col min="8966" max="8966" width="10.85546875" style="2469" customWidth="1"/>
    <col min="8967" max="8969" width="12.42578125" style="2469" customWidth="1"/>
    <col min="8970" max="8970" width="10.42578125" style="2469" customWidth="1"/>
    <col min="8971" max="8971" width="12.7109375" style="2469" customWidth="1"/>
    <col min="8972" max="8972" width="16.85546875" style="2469" customWidth="1"/>
    <col min="8973" max="8973" width="9.140625" style="2469"/>
    <col min="8974" max="8974" width="8.7109375" style="2469" customWidth="1"/>
    <col min="8975" max="8975" width="9.140625" style="2469"/>
    <col min="8976" max="8976" width="14.28515625" style="2469" bestFit="1" customWidth="1"/>
    <col min="8977" max="9216" width="9.140625" style="2469"/>
    <col min="9217" max="9217" width="10.7109375" style="2469" customWidth="1"/>
    <col min="9218" max="9218" width="11.28515625" style="2469" customWidth="1"/>
    <col min="9219" max="9219" width="12.7109375" style="2469" customWidth="1"/>
    <col min="9220" max="9220" width="12" style="2469" customWidth="1"/>
    <col min="9221" max="9221" width="12.5703125" style="2469" customWidth="1"/>
    <col min="9222" max="9222" width="10.85546875" style="2469" customWidth="1"/>
    <col min="9223" max="9225" width="12.42578125" style="2469" customWidth="1"/>
    <col min="9226" max="9226" width="10.42578125" style="2469" customWidth="1"/>
    <col min="9227" max="9227" width="12.7109375" style="2469" customWidth="1"/>
    <col min="9228" max="9228" width="16.85546875" style="2469" customWidth="1"/>
    <col min="9229" max="9229" width="9.140625" style="2469"/>
    <col min="9230" max="9230" width="8.7109375" style="2469" customWidth="1"/>
    <col min="9231" max="9231" width="9.140625" style="2469"/>
    <col min="9232" max="9232" width="14.28515625" style="2469" bestFit="1" customWidth="1"/>
    <col min="9233" max="9472" width="9.140625" style="2469"/>
    <col min="9473" max="9473" width="10.7109375" style="2469" customWidth="1"/>
    <col min="9474" max="9474" width="11.28515625" style="2469" customWidth="1"/>
    <col min="9475" max="9475" width="12.7109375" style="2469" customWidth="1"/>
    <col min="9476" max="9476" width="12" style="2469" customWidth="1"/>
    <col min="9477" max="9477" width="12.5703125" style="2469" customWidth="1"/>
    <col min="9478" max="9478" width="10.85546875" style="2469" customWidth="1"/>
    <col min="9479" max="9481" width="12.42578125" style="2469" customWidth="1"/>
    <col min="9482" max="9482" width="10.42578125" style="2469" customWidth="1"/>
    <col min="9483" max="9483" width="12.7109375" style="2469" customWidth="1"/>
    <col min="9484" max="9484" width="16.85546875" style="2469" customWidth="1"/>
    <col min="9485" max="9485" width="9.140625" style="2469"/>
    <col min="9486" max="9486" width="8.7109375" style="2469" customWidth="1"/>
    <col min="9487" max="9487" width="9.140625" style="2469"/>
    <col min="9488" max="9488" width="14.28515625" style="2469" bestFit="1" customWidth="1"/>
    <col min="9489" max="9728" width="9.140625" style="2469"/>
    <col min="9729" max="9729" width="10.7109375" style="2469" customWidth="1"/>
    <col min="9730" max="9730" width="11.28515625" style="2469" customWidth="1"/>
    <col min="9731" max="9731" width="12.7109375" style="2469" customWidth="1"/>
    <col min="9732" max="9732" width="12" style="2469" customWidth="1"/>
    <col min="9733" max="9733" width="12.5703125" style="2469" customWidth="1"/>
    <col min="9734" max="9734" width="10.85546875" style="2469" customWidth="1"/>
    <col min="9735" max="9737" width="12.42578125" style="2469" customWidth="1"/>
    <col min="9738" max="9738" width="10.42578125" style="2469" customWidth="1"/>
    <col min="9739" max="9739" width="12.7109375" style="2469" customWidth="1"/>
    <col min="9740" max="9740" width="16.85546875" style="2469" customWidth="1"/>
    <col min="9741" max="9741" width="9.140625" style="2469"/>
    <col min="9742" max="9742" width="8.7109375" style="2469" customWidth="1"/>
    <col min="9743" max="9743" width="9.140625" style="2469"/>
    <col min="9744" max="9744" width="14.28515625" style="2469" bestFit="1" customWidth="1"/>
    <col min="9745" max="9984" width="9.140625" style="2469"/>
    <col min="9985" max="9985" width="10.7109375" style="2469" customWidth="1"/>
    <col min="9986" max="9986" width="11.28515625" style="2469" customWidth="1"/>
    <col min="9987" max="9987" width="12.7109375" style="2469" customWidth="1"/>
    <col min="9988" max="9988" width="12" style="2469" customWidth="1"/>
    <col min="9989" max="9989" width="12.5703125" style="2469" customWidth="1"/>
    <col min="9990" max="9990" width="10.85546875" style="2469" customWidth="1"/>
    <col min="9991" max="9993" width="12.42578125" style="2469" customWidth="1"/>
    <col min="9994" max="9994" width="10.42578125" style="2469" customWidth="1"/>
    <col min="9995" max="9995" width="12.7109375" style="2469" customWidth="1"/>
    <col min="9996" max="9996" width="16.85546875" style="2469" customWidth="1"/>
    <col min="9997" max="9997" width="9.140625" style="2469"/>
    <col min="9998" max="9998" width="8.7109375" style="2469" customWidth="1"/>
    <col min="9999" max="9999" width="9.140625" style="2469"/>
    <col min="10000" max="10000" width="14.28515625" style="2469" bestFit="1" customWidth="1"/>
    <col min="10001" max="10240" width="9.140625" style="2469"/>
    <col min="10241" max="10241" width="10.7109375" style="2469" customWidth="1"/>
    <col min="10242" max="10242" width="11.28515625" style="2469" customWidth="1"/>
    <col min="10243" max="10243" width="12.7109375" style="2469" customWidth="1"/>
    <col min="10244" max="10244" width="12" style="2469" customWidth="1"/>
    <col min="10245" max="10245" width="12.5703125" style="2469" customWidth="1"/>
    <col min="10246" max="10246" width="10.85546875" style="2469" customWidth="1"/>
    <col min="10247" max="10249" width="12.42578125" style="2469" customWidth="1"/>
    <col min="10250" max="10250" width="10.42578125" style="2469" customWidth="1"/>
    <col min="10251" max="10251" width="12.7109375" style="2469" customWidth="1"/>
    <col min="10252" max="10252" width="16.85546875" style="2469" customWidth="1"/>
    <col min="10253" max="10253" width="9.140625" style="2469"/>
    <col min="10254" max="10254" width="8.7109375" style="2469" customWidth="1"/>
    <col min="10255" max="10255" width="9.140625" style="2469"/>
    <col min="10256" max="10256" width="14.28515625" style="2469" bestFit="1" customWidth="1"/>
    <col min="10257" max="10496" width="9.140625" style="2469"/>
    <col min="10497" max="10497" width="10.7109375" style="2469" customWidth="1"/>
    <col min="10498" max="10498" width="11.28515625" style="2469" customWidth="1"/>
    <col min="10499" max="10499" width="12.7109375" style="2469" customWidth="1"/>
    <col min="10500" max="10500" width="12" style="2469" customWidth="1"/>
    <col min="10501" max="10501" width="12.5703125" style="2469" customWidth="1"/>
    <col min="10502" max="10502" width="10.85546875" style="2469" customWidth="1"/>
    <col min="10503" max="10505" width="12.42578125" style="2469" customWidth="1"/>
    <col min="10506" max="10506" width="10.42578125" style="2469" customWidth="1"/>
    <col min="10507" max="10507" width="12.7109375" style="2469" customWidth="1"/>
    <col min="10508" max="10508" width="16.85546875" style="2469" customWidth="1"/>
    <col min="10509" max="10509" width="9.140625" style="2469"/>
    <col min="10510" max="10510" width="8.7109375" style="2469" customWidth="1"/>
    <col min="10511" max="10511" width="9.140625" style="2469"/>
    <col min="10512" max="10512" width="14.28515625" style="2469" bestFit="1" customWidth="1"/>
    <col min="10513" max="10752" width="9.140625" style="2469"/>
    <col min="10753" max="10753" width="10.7109375" style="2469" customWidth="1"/>
    <col min="10754" max="10754" width="11.28515625" style="2469" customWidth="1"/>
    <col min="10755" max="10755" width="12.7109375" style="2469" customWidth="1"/>
    <col min="10756" max="10756" width="12" style="2469" customWidth="1"/>
    <col min="10757" max="10757" width="12.5703125" style="2469" customWidth="1"/>
    <col min="10758" max="10758" width="10.85546875" style="2469" customWidth="1"/>
    <col min="10759" max="10761" width="12.42578125" style="2469" customWidth="1"/>
    <col min="10762" max="10762" width="10.42578125" style="2469" customWidth="1"/>
    <col min="10763" max="10763" width="12.7109375" style="2469" customWidth="1"/>
    <col min="10764" max="10764" width="16.85546875" style="2469" customWidth="1"/>
    <col min="10765" max="10765" width="9.140625" style="2469"/>
    <col min="10766" max="10766" width="8.7109375" style="2469" customWidth="1"/>
    <col min="10767" max="10767" width="9.140625" style="2469"/>
    <col min="10768" max="10768" width="14.28515625" style="2469" bestFit="1" customWidth="1"/>
    <col min="10769" max="11008" width="9.140625" style="2469"/>
    <col min="11009" max="11009" width="10.7109375" style="2469" customWidth="1"/>
    <col min="11010" max="11010" width="11.28515625" style="2469" customWidth="1"/>
    <col min="11011" max="11011" width="12.7109375" style="2469" customWidth="1"/>
    <col min="11012" max="11012" width="12" style="2469" customWidth="1"/>
    <col min="11013" max="11013" width="12.5703125" style="2469" customWidth="1"/>
    <col min="11014" max="11014" width="10.85546875" style="2469" customWidth="1"/>
    <col min="11015" max="11017" width="12.42578125" style="2469" customWidth="1"/>
    <col min="11018" max="11018" width="10.42578125" style="2469" customWidth="1"/>
    <col min="11019" max="11019" width="12.7109375" style="2469" customWidth="1"/>
    <col min="11020" max="11020" width="16.85546875" style="2469" customWidth="1"/>
    <col min="11021" max="11021" width="9.140625" style="2469"/>
    <col min="11022" max="11022" width="8.7109375" style="2469" customWidth="1"/>
    <col min="11023" max="11023" width="9.140625" style="2469"/>
    <col min="11024" max="11024" width="14.28515625" style="2469" bestFit="1" customWidth="1"/>
    <col min="11025" max="11264" width="9.140625" style="2469"/>
    <col min="11265" max="11265" width="10.7109375" style="2469" customWidth="1"/>
    <col min="11266" max="11266" width="11.28515625" style="2469" customWidth="1"/>
    <col min="11267" max="11267" width="12.7109375" style="2469" customWidth="1"/>
    <col min="11268" max="11268" width="12" style="2469" customWidth="1"/>
    <col min="11269" max="11269" width="12.5703125" style="2469" customWidth="1"/>
    <col min="11270" max="11270" width="10.85546875" style="2469" customWidth="1"/>
    <col min="11271" max="11273" width="12.42578125" style="2469" customWidth="1"/>
    <col min="11274" max="11274" width="10.42578125" style="2469" customWidth="1"/>
    <col min="11275" max="11275" width="12.7109375" style="2469" customWidth="1"/>
    <col min="11276" max="11276" width="16.85546875" style="2469" customWidth="1"/>
    <col min="11277" max="11277" width="9.140625" style="2469"/>
    <col min="11278" max="11278" width="8.7109375" style="2469" customWidth="1"/>
    <col min="11279" max="11279" width="9.140625" style="2469"/>
    <col min="11280" max="11280" width="14.28515625" style="2469" bestFit="1" customWidth="1"/>
    <col min="11281" max="11520" width="9.140625" style="2469"/>
    <col min="11521" max="11521" width="10.7109375" style="2469" customWidth="1"/>
    <col min="11522" max="11522" width="11.28515625" style="2469" customWidth="1"/>
    <col min="11523" max="11523" width="12.7109375" style="2469" customWidth="1"/>
    <col min="11524" max="11524" width="12" style="2469" customWidth="1"/>
    <col min="11525" max="11525" width="12.5703125" style="2469" customWidth="1"/>
    <col min="11526" max="11526" width="10.85546875" style="2469" customWidth="1"/>
    <col min="11527" max="11529" width="12.42578125" style="2469" customWidth="1"/>
    <col min="11530" max="11530" width="10.42578125" style="2469" customWidth="1"/>
    <col min="11531" max="11531" width="12.7109375" style="2469" customWidth="1"/>
    <col min="11532" max="11532" width="16.85546875" style="2469" customWidth="1"/>
    <col min="11533" max="11533" width="9.140625" style="2469"/>
    <col min="11534" max="11534" width="8.7109375" style="2469" customWidth="1"/>
    <col min="11535" max="11535" width="9.140625" style="2469"/>
    <col min="11536" max="11536" width="14.28515625" style="2469" bestFit="1" customWidth="1"/>
    <col min="11537" max="11776" width="9.140625" style="2469"/>
    <col min="11777" max="11777" width="10.7109375" style="2469" customWidth="1"/>
    <col min="11778" max="11778" width="11.28515625" style="2469" customWidth="1"/>
    <col min="11779" max="11779" width="12.7109375" style="2469" customWidth="1"/>
    <col min="11780" max="11780" width="12" style="2469" customWidth="1"/>
    <col min="11781" max="11781" width="12.5703125" style="2469" customWidth="1"/>
    <col min="11782" max="11782" width="10.85546875" style="2469" customWidth="1"/>
    <col min="11783" max="11785" width="12.42578125" style="2469" customWidth="1"/>
    <col min="11786" max="11786" width="10.42578125" style="2469" customWidth="1"/>
    <col min="11787" max="11787" width="12.7109375" style="2469" customWidth="1"/>
    <col min="11788" max="11788" width="16.85546875" style="2469" customWidth="1"/>
    <col min="11789" max="11789" width="9.140625" style="2469"/>
    <col min="11790" max="11790" width="8.7109375" style="2469" customWidth="1"/>
    <col min="11791" max="11791" width="9.140625" style="2469"/>
    <col min="11792" max="11792" width="14.28515625" style="2469" bestFit="1" customWidth="1"/>
    <col min="11793" max="12032" width="9.140625" style="2469"/>
    <col min="12033" max="12033" width="10.7109375" style="2469" customWidth="1"/>
    <col min="12034" max="12034" width="11.28515625" style="2469" customWidth="1"/>
    <col min="12035" max="12035" width="12.7109375" style="2469" customWidth="1"/>
    <col min="12036" max="12036" width="12" style="2469" customWidth="1"/>
    <col min="12037" max="12037" width="12.5703125" style="2469" customWidth="1"/>
    <col min="12038" max="12038" width="10.85546875" style="2469" customWidth="1"/>
    <col min="12039" max="12041" width="12.42578125" style="2469" customWidth="1"/>
    <col min="12042" max="12042" width="10.42578125" style="2469" customWidth="1"/>
    <col min="12043" max="12043" width="12.7109375" style="2469" customWidth="1"/>
    <col min="12044" max="12044" width="16.85546875" style="2469" customWidth="1"/>
    <col min="12045" max="12045" width="9.140625" style="2469"/>
    <col min="12046" max="12046" width="8.7109375" style="2469" customWidth="1"/>
    <col min="12047" max="12047" width="9.140625" style="2469"/>
    <col min="12048" max="12048" width="14.28515625" style="2469" bestFit="1" customWidth="1"/>
    <col min="12049" max="12288" width="9.140625" style="2469"/>
    <col min="12289" max="12289" width="10.7109375" style="2469" customWidth="1"/>
    <col min="12290" max="12290" width="11.28515625" style="2469" customWidth="1"/>
    <col min="12291" max="12291" width="12.7109375" style="2469" customWidth="1"/>
    <col min="12292" max="12292" width="12" style="2469" customWidth="1"/>
    <col min="12293" max="12293" width="12.5703125" style="2469" customWidth="1"/>
    <col min="12294" max="12294" width="10.85546875" style="2469" customWidth="1"/>
    <col min="12295" max="12297" width="12.42578125" style="2469" customWidth="1"/>
    <col min="12298" max="12298" width="10.42578125" style="2469" customWidth="1"/>
    <col min="12299" max="12299" width="12.7109375" style="2469" customWidth="1"/>
    <col min="12300" max="12300" width="16.85546875" style="2469" customWidth="1"/>
    <col min="12301" max="12301" width="9.140625" style="2469"/>
    <col min="12302" max="12302" width="8.7109375" style="2469" customWidth="1"/>
    <col min="12303" max="12303" width="9.140625" style="2469"/>
    <col min="12304" max="12304" width="14.28515625" style="2469" bestFit="1" customWidth="1"/>
    <col min="12305" max="12544" width="9.140625" style="2469"/>
    <col min="12545" max="12545" width="10.7109375" style="2469" customWidth="1"/>
    <col min="12546" max="12546" width="11.28515625" style="2469" customWidth="1"/>
    <col min="12547" max="12547" width="12.7109375" style="2469" customWidth="1"/>
    <col min="12548" max="12548" width="12" style="2469" customWidth="1"/>
    <col min="12549" max="12549" width="12.5703125" style="2469" customWidth="1"/>
    <col min="12550" max="12550" width="10.85546875" style="2469" customWidth="1"/>
    <col min="12551" max="12553" width="12.42578125" style="2469" customWidth="1"/>
    <col min="12554" max="12554" width="10.42578125" style="2469" customWidth="1"/>
    <col min="12555" max="12555" width="12.7109375" style="2469" customWidth="1"/>
    <col min="12556" max="12556" width="16.85546875" style="2469" customWidth="1"/>
    <col min="12557" max="12557" width="9.140625" style="2469"/>
    <col min="12558" max="12558" width="8.7109375" style="2469" customWidth="1"/>
    <col min="12559" max="12559" width="9.140625" style="2469"/>
    <col min="12560" max="12560" width="14.28515625" style="2469" bestFit="1" customWidth="1"/>
    <col min="12561" max="12800" width="9.140625" style="2469"/>
    <col min="12801" max="12801" width="10.7109375" style="2469" customWidth="1"/>
    <col min="12802" max="12802" width="11.28515625" style="2469" customWidth="1"/>
    <col min="12803" max="12803" width="12.7109375" style="2469" customWidth="1"/>
    <col min="12804" max="12804" width="12" style="2469" customWidth="1"/>
    <col min="12805" max="12805" width="12.5703125" style="2469" customWidth="1"/>
    <col min="12806" max="12806" width="10.85546875" style="2469" customWidth="1"/>
    <col min="12807" max="12809" width="12.42578125" style="2469" customWidth="1"/>
    <col min="12810" max="12810" width="10.42578125" style="2469" customWidth="1"/>
    <col min="12811" max="12811" width="12.7109375" style="2469" customWidth="1"/>
    <col min="12812" max="12812" width="16.85546875" style="2469" customWidth="1"/>
    <col min="12813" max="12813" width="9.140625" style="2469"/>
    <col min="12814" max="12814" width="8.7109375" style="2469" customWidth="1"/>
    <col min="12815" max="12815" width="9.140625" style="2469"/>
    <col min="12816" max="12816" width="14.28515625" style="2469" bestFit="1" customWidth="1"/>
    <col min="12817" max="13056" width="9.140625" style="2469"/>
    <col min="13057" max="13057" width="10.7109375" style="2469" customWidth="1"/>
    <col min="13058" max="13058" width="11.28515625" style="2469" customWidth="1"/>
    <col min="13059" max="13059" width="12.7109375" style="2469" customWidth="1"/>
    <col min="13060" max="13060" width="12" style="2469" customWidth="1"/>
    <col min="13061" max="13061" width="12.5703125" style="2469" customWidth="1"/>
    <col min="13062" max="13062" width="10.85546875" style="2469" customWidth="1"/>
    <col min="13063" max="13065" width="12.42578125" style="2469" customWidth="1"/>
    <col min="13066" max="13066" width="10.42578125" style="2469" customWidth="1"/>
    <col min="13067" max="13067" width="12.7109375" style="2469" customWidth="1"/>
    <col min="13068" max="13068" width="16.85546875" style="2469" customWidth="1"/>
    <col min="13069" max="13069" width="9.140625" style="2469"/>
    <col min="13070" max="13070" width="8.7109375" style="2469" customWidth="1"/>
    <col min="13071" max="13071" width="9.140625" style="2469"/>
    <col min="13072" max="13072" width="14.28515625" style="2469" bestFit="1" customWidth="1"/>
    <col min="13073" max="13312" width="9.140625" style="2469"/>
    <col min="13313" max="13313" width="10.7109375" style="2469" customWidth="1"/>
    <col min="13314" max="13314" width="11.28515625" style="2469" customWidth="1"/>
    <col min="13315" max="13315" width="12.7109375" style="2469" customWidth="1"/>
    <col min="13316" max="13316" width="12" style="2469" customWidth="1"/>
    <col min="13317" max="13317" width="12.5703125" style="2469" customWidth="1"/>
    <col min="13318" max="13318" width="10.85546875" style="2469" customWidth="1"/>
    <col min="13319" max="13321" width="12.42578125" style="2469" customWidth="1"/>
    <col min="13322" max="13322" width="10.42578125" style="2469" customWidth="1"/>
    <col min="13323" max="13323" width="12.7109375" style="2469" customWidth="1"/>
    <col min="13324" max="13324" width="16.85546875" style="2469" customWidth="1"/>
    <col min="13325" max="13325" width="9.140625" style="2469"/>
    <col min="13326" max="13326" width="8.7109375" style="2469" customWidth="1"/>
    <col min="13327" max="13327" width="9.140625" style="2469"/>
    <col min="13328" max="13328" width="14.28515625" style="2469" bestFit="1" customWidth="1"/>
    <col min="13329" max="13568" width="9.140625" style="2469"/>
    <col min="13569" max="13569" width="10.7109375" style="2469" customWidth="1"/>
    <col min="13570" max="13570" width="11.28515625" style="2469" customWidth="1"/>
    <col min="13571" max="13571" width="12.7109375" style="2469" customWidth="1"/>
    <col min="13572" max="13572" width="12" style="2469" customWidth="1"/>
    <col min="13573" max="13573" width="12.5703125" style="2469" customWidth="1"/>
    <col min="13574" max="13574" width="10.85546875" style="2469" customWidth="1"/>
    <col min="13575" max="13577" width="12.42578125" style="2469" customWidth="1"/>
    <col min="13578" max="13578" width="10.42578125" style="2469" customWidth="1"/>
    <col min="13579" max="13579" width="12.7109375" style="2469" customWidth="1"/>
    <col min="13580" max="13580" width="16.85546875" style="2469" customWidth="1"/>
    <col min="13581" max="13581" width="9.140625" style="2469"/>
    <col min="13582" max="13582" width="8.7109375" style="2469" customWidth="1"/>
    <col min="13583" max="13583" width="9.140625" style="2469"/>
    <col min="13584" max="13584" width="14.28515625" style="2469" bestFit="1" customWidth="1"/>
    <col min="13585" max="13824" width="9.140625" style="2469"/>
    <col min="13825" max="13825" width="10.7109375" style="2469" customWidth="1"/>
    <col min="13826" max="13826" width="11.28515625" style="2469" customWidth="1"/>
    <col min="13827" max="13827" width="12.7109375" style="2469" customWidth="1"/>
    <col min="13828" max="13828" width="12" style="2469" customWidth="1"/>
    <col min="13829" max="13829" width="12.5703125" style="2469" customWidth="1"/>
    <col min="13830" max="13830" width="10.85546875" style="2469" customWidth="1"/>
    <col min="13831" max="13833" width="12.42578125" style="2469" customWidth="1"/>
    <col min="13834" max="13834" width="10.42578125" style="2469" customWidth="1"/>
    <col min="13835" max="13835" width="12.7109375" style="2469" customWidth="1"/>
    <col min="13836" max="13836" width="16.85546875" style="2469" customWidth="1"/>
    <col min="13837" max="13837" width="9.140625" style="2469"/>
    <col min="13838" max="13838" width="8.7109375" style="2469" customWidth="1"/>
    <col min="13839" max="13839" width="9.140625" style="2469"/>
    <col min="13840" max="13840" width="14.28515625" style="2469" bestFit="1" customWidth="1"/>
    <col min="13841" max="14080" width="9.140625" style="2469"/>
    <col min="14081" max="14081" width="10.7109375" style="2469" customWidth="1"/>
    <col min="14082" max="14082" width="11.28515625" style="2469" customWidth="1"/>
    <col min="14083" max="14083" width="12.7109375" style="2469" customWidth="1"/>
    <col min="14084" max="14084" width="12" style="2469" customWidth="1"/>
    <col min="14085" max="14085" width="12.5703125" style="2469" customWidth="1"/>
    <col min="14086" max="14086" width="10.85546875" style="2469" customWidth="1"/>
    <col min="14087" max="14089" width="12.42578125" style="2469" customWidth="1"/>
    <col min="14090" max="14090" width="10.42578125" style="2469" customWidth="1"/>
    <col min="14091" max="14091" width="12.7109375" style="2469" customWidth="1"/>
    <col min="14092" max="14092" width="16.85546875" style="2469" customWidth="1"/>
    <col min="14093" max="14093" width="9.140625" style="2469"/>
    <col min="14094" max="14094" width="8.7109375" style="2469" customWidth="1"/>
    <col min="14095" max="14095" width="9.140625" style="2469"/>
    <col min="14096" max="14096" width="14.28515625" style="2469" bestFit="1" customWidth="1"/>
    <col min="14097" max="14336" width="9.140625" style="2469"/>
    <col min="14337" max="14337" width="10.7109375" style="2469" customWidth="1"/>
    <col min="14338" max="14338" width="11.28515625" style="2469" customWidth="1"/>
    <col min="14339" max="14339" width="12.7109375" style="2469" customWidth="1"/>
    <col min="14340" max="14340" width="12" style="2469" customWidth="1"/>
    <col min="14341" max="14341" width="12.5703125" style="2469" customWidth="1"/>
    <col min="14342" max="14342" width="10.85546875" style="2469" customWidth="1"/>
    <col min="14343" max="14345" width="12.42578125" style="2469" customWidth="1"/>
    <col min="14346" max="14346" width="10.42578125" style="2469" customWidth="1"/>
    <col min="14347" max="14347" width="12.7109375" style="2469" customWidth="1"/>
    <col min="14348" max="14348" width="16.85546875" style="2469" customWidth="1"/>
    <col min="14349" max="14349" width="9.140625" style="2469"/>
    <col min="14350" max="14350" width="8.7109375" style="2469" customWidth="1"/>
    <col min="14351" max="14351" width="9.140625" style="2469"/>
    <col min="14352" max="14352" width="14.28515625" style="2469" bestFit="1" customWidth="1"/>
    <col min="14353" max="14592" width="9.140625" style="2469"/>
    <col min="14593" max="14593" width="10.7109375" style="2469" customWidth="1"/>
    <col min="14594" max="14594" width="11.28515625" style="2469" customWidth="1"/>
    <col min="14595" max="14595" width="12.7109375" style="2469" customWidth="1"/>
    <col min="14596" max="14596" width="12" style="2469" customWidth="1"/>
    <col min="14597" max="14597" width="12.5703125" style="2469" customWidth="1"/>
    <col min="14598" max="14598" width="10.85546875" style="2469" customWidth="1"/>
    <col min="14599" max="14601" width="12.42578125" style="2469" customWidth="1"/>
    <col min="14602" max="14602" width="10.42578125" style="2469" customWidth="1"/>
    <col min="14603" max="14603" width="12.7109375" style="2469" customWidth="1"/>
    <col min="14604" max="14604" width="16.85546875" style="2469" customWidth="1"/>
    <col min="14605" max="14605" width="9.140625" style="2469"/>
    <col min="14606" max="14606" width="8.7109375" style="2469" customWidth="1"/>
    <col min="14607" max="14607" width="9.140625" style="2469"/>
    <col min="14608" max="14608" width="14.28515625" style="2469" bestFit="1" customWidth="1"/>
    <col min="14609" max="14848" width="9.140625" style="2469"/>
    <col min="14849" max="14849" width="10.7109375" style="2469" customWidth="1"/>
    <col min="14850" max="14850" width="11.28515625" style="2469" customWidth="1"/>
    <col min="14851" max="14851" width="12.7109375" style="2469" customWidth="1"/>
    <col min="14852" max="14852" width="12" style="2469" customWidth="1"/>
    <col min="14853" max="14853" width="12.5703125" style="2469" customWidth="1"/>
    <col min="14854" max="14854" width="10.85546875" style="2469" customWidth="1"/>
    <col min="14855" max="14857" width="12.42578125" style="2469" customWidth="1"/>
    <col min="14858" max="14858" width="10.42578125" style="2469" customWidth="1"/>
    <col min="14859" max="14859" width="12.7109375" style="2469" customWidth="1"/>
    <col min="14860" max="14860" width="16.85546875" style="2469" customWidth="1"/>
    <col min="14861" max="14861" width="9.140625" style="2469"/>
    <col min="14862" max="14862" width="8.7109375" style="2469" customWidth="1"/>
    <col min="14863" max="14863" width="9.140625" style="2469"/>
    <col min="14864" max="14864" width="14.28515625" style="2469" bestFit="1" customWidth="1"/>
    <col min="14865" max="15104" width="9.140625" style="2469"/>
    <col min="15105" max="15105" width="10.7109375" style="2469" customWidth="1"/>
    <col min="15106" max="15106" width="11.28515625" style="2469" customWidth="1"/>
    <col min="15107" max="15107" width="12.7109375" style="2469" customWidth="1"/>
    <col min="15108" max="15108" width="12" style="2469" customWidth="1"/>
    <col min="15109" max="15109" width="12.5703125" style="2469" customWidth="1"/>
    <col min="15110" max="15110" width="10.85546875" style="2469" customWidth="1"/>
    <col min="15111" max="15113" width="12.42578125" style="2469" customWidth="1"/>
    <col min="15114" max="15114" width="10.42578125" style="2469" customWidth="1"/>
    <col min="15115" max="15115" width="12.7109375" style="2469" customWidth="1"/>
    <col min="15116" max="15116" width="16.85546875" style="2469" customWidth="1"/>
    <col min="15117" max="15117" width="9.140625" style="2469"/>
    <col min="15118" max="15118" width="8.7109375" style="2469" customWidth="1"/>
    <col min="15119" max="15119" width="9.140625" style="2469"/>
    <col min="15120" max="15120" width="14.28515625" style="2469" bestFit="1" customWidth="1"/>
    <col min="15121" max="15360" width="9.140625" style="2469"/>
    <col min="15361" max="15361" width="10.7109375" style="2469" customWidth="1"/>
    <col min="15362" max="15362" width="11.28515625" style="2469" customWidth="1"/>
    <col min="15363" max="15363" width="12.7109375" style="2469" customWidth="1"/>
    <col min="15364" max="15364" width="12" style="2469" customWidth="1"/>
    <col min="15365" max="15365" width="12.5703125" style="2469" customWidth="1"/>
    <col min="15366" max="15366" width="10.85546875" style="2469" customWidth="1"/>
    <col min="15367" max="15369" width="12.42578125" style="2469" customWidth="1"/>
    <col min="15370" max="15370" width="10.42578125" style="2469" customWidth="1"/>
    <col min="15371" max="15371" width="12.7109375" style="2469" customWidth="1"/>
    <col min="15372" max="15372" width="16.85546875" style="2469" customWidth="1"/>
    <col min="15373" max="15373" width="9.140625" style="2469"/>
    <col min="15374" max="15374" width="8.7109375" style="2469" customWidth="1"/>
    <col min="15375" max="15375" width="9.140625" style="2469"/>
    <col min="15376" max="15376" width="14.28515625" style="2469" bestFit="1" customWidth="1"/>
    <col min="15377" max="15616" width="9.140625" style="2469"/>
    <col min="15617" max="15617" width="10.7109375" style="2469" customWidth="1"/>
    <col min="15618" max="15618" width="11.28515625" style="2469" customWidth="1"/>
    <col min="15619" max="15619" width="12.7109375" style="2469" customWidth="1"/>
    <col min="15620" max="15620" width="12" style="2469" customWidth="1"/>
    <col min="15621" max="15621" width="12.5703125" style="2469" customWidth="1"/>
    <col min="15622" max="15622" width="10.85546875" style="2469" customWidth="1"/>
    <col min="15623" max="15625" width="12.42578125" style="2469" customWidth="1"/>
    <col min="15626" max="15626" width="10.42578125" style="2469" customWidth="1"/>
    <col min="15627" max="15627" width="12.7109375" style="2469" customWidth="1"/>
    <col min="15628" max="15628" width="16.85546875" style="2469" customWidth="1"/>
    <col min="15629" max="15629" width="9.140625" style="2469"/>
    <col min="15630" max="15630" width="8.7109375" style="2469" customWidth="1"/>
    <col min="15631" max="15631" width="9.140625" style="2469"/>
    <col min="15632" max="15632" width="14.28515625" style="2469" bestFit="1" customWidth="1"/>
    <col min="15633" max="15872" width="9.140625" style="2469"/>
    <col min="15873" max="15873" width="10.7109375" style="2469" customWidth="1"/>
    <col min="15874" max="15874" width="11.28515625" style="2469" customWidth="1"/>
    <col min="15875" max="15875" width="12.7109375" style="2469" customWidth="1"/>
    <col min="15876" max="15876" width="12" style="2469" customWidth="1"/>
    <col min="15877" max="15877" width="12.5703125" style="2469" customWidth="1"/>
    <col min="15878" max="15878" width="10.85546875" style="2469" customWidth="1"/>
    <col min="15879" max="15881" width="12.42578125" style="2469" customWidth="1"/>
    <col min="15882" max="15882" width="10.42578125" style="2469" customWidth="1"/>
    <col min="15883" max="15883" width="12.7109375" style="2469" customWidth="1"/>
    <col min="15884" max="15884" width="16.85546875" style="2469" customWidth="1"/>
    <col min="15885" max="15885" width="9.140625" style="2469"/>
    <col min="15886" max="15886" width="8.7109375" style="2469" customWidth="1"/>
    <col min="15887" max="15887" width="9.140625" style="2469"/>
    <col min="15888" max="15888" width="14.28515625" style="2469" bestFit="1" customWidth="1"/>
    <col min="15889" max="16128" width="9.140625" style="2469"/>
    <col min="16129" max="16129" width="10.7109375" style="2469" customWidth="1"/>
    <col min="16130" max="16130" width="11.28515625" style="2469" customWidth="1"/>
    <col min="16131" max="16131" width="12.7109375" style="2469" customWidth="1"/>
    <col min="16132" max="16132" width="12" style="2469" customWidth="1"/>
    <col min="16133" max="16133" width="12.5703125" style="2469" customWidth="1"/>
    <col min="16134" max="16134" width="10.85546875" style="2469" customWidth="1"/>
    <col min="16135" max="16137" width="12.42578125" style="2469" customWidth="1"/>
    <col min="16138" max="16138" width="10.42578125" style="2469" customWidth="1"/>
    <col min="16139" max="16139" width="12.7109375" style="2469" customWidth="1"/>
    <col min="16140" max="16140" width="16.85546875" style="2469" customWidth="1"/>
    <col min="16141" max="16141" width="9.140625" style="2469"/>
    <col min="16142" max="16142" width="8.7109375" style="2469" customWidth="1"/>
    <col min="16143" max="16143" width="9.140625" style="2469"/>
    <col min="16144" max="16144" width="14.28515625" style="2469" bestFit="1" customWidth="1"/>
    <col min="16145" max="16384" width="9.140625" style="2469"/>
  </cols>
  <sheetData>
    <row r="1" spans="1:13" ht="24.75" customHeight="1" x14ac:dyDescent="0.2">
      <c r="A1" s="2466" t="s">
        <v>4057</v>
      </c>
      <c r="B1" s="2467"/>
      <c r="C1" s="2467"/>
      <c r="D1" s="2467"/>
      <c r="E1" s="2467"/>
      <c r="F1" s="2467"/>
      <c r="G1" s="2467"/>
      <c r="H1" s="2467"/>
      <c r="I1" s="2467"/>
      <c r="J1" s="2467"/>
      <c r="K1" s="2467"/>
      <c r="L1" s="2467"/>
      <c r="M1" s="2468"/>
    </row>
    <row r="2" spans="1:13" ht="23.25" customHeight="1" x14ac:dyDescent="0.2">
      <c r="A2" s="2466" t="s">
        <v>4058</v>
      </c>
      <c r="B2" s="2467"/>
      <c r="C2" s="2467"/>
      <c r="D2" s="2467"/>
      <c r="E2" s="2467"/>
      <c r="F2" s="2467"/>
      <c r="G2" s="2467"/>
      <c r="H2" s="2467"/>
      <c r="I2" s="2467"/>
      <c r="J2" s="2467"/>
      <c r="K2" s="2467"/>
      <c r="L2" s="2467"/>
      <c r="M2" s="2468"/>
    </row>
    <row r="3" spans="1:13" ht="17.25" customHeight="1" thickBot="1" x14ac:dyDescent="0.25">
      <c r="J3" s="2471"/>
      <c r="K3" s="2471"/>
    </row>
    <row r="4" spans="1:13" x14ac:dyDescent="0.2">
      <c r="A4" s="2472" t="s">
        <v>211</v>
      </c>
      <c r="B4" s="2473" t="s">
        <v>4059</v>
      </c>
      <c r="C4" s="2474" t="s">
        <v>1091</v>
      </c>
      <c r="D4" s="2475" t="s">
        <v>4060</v>
      </c>
      <c r="E4" s="2476" t="s">
        <v>1091</v>
      </c>
      <c r="F4" s="2477" t="s">
        <v>4061</v>
      </c>
      <c r="G4" s="2478" t="s">
        <v>1091</v>
      </c>
      <c r="H4" s="2477" t="s">
        <v>4062</v>
      </c>
      <c r="I4" s="2478" t="s">
        <v>1091</v>
      </c>
      <c r="J4" s="2478" t="s">
        <v>4063</v>
      </c>
      <c r="K4" s="2475" t="s">
        <v>1091</v>
      </c>
      <c r="L4" s="2478" t="s">
        <v>4064</v>
      </c>
    </row>
    <row r="5" spans="1:13" x14ac:dyDescent="0.2">
      <c r="A5" s="2479"/>
      <c r="B5" s="2480" t="s">
        <v>4065</v>
      </c>
      <c r="C5" s="2481" t="s">
        <v>4066</v>
      </c>
      <c r="D5" s="2482" t="s">
        <v>4067</v>
      </c>
      <c r="E5" s="2483" t="s">
        <v>4066</v>
      </c>
      <c r="F5" s="2484" t="s">
        <v>4068</v>
      </c>
      <c r="G5" s="2485" t="s">
        <v>4066</v>
      </c>
      <c r="H5" s="2484" t="s">
        <v>4069</v>
      </c>
      <c r="I5" s="2485" t="s">
        <v>4066</v>
      </c>
      <c r="J5" s="2485" t="s">
        <v>4070</v>
      </c>
      <c r="K5" s="2482" t="s">
        <v>4066</v>
      </c>
      <c r="L5" s="2485" t="s">
        <v>4071</v>
      </c>
    </row>
    <row r="6" spans="1:13" s="2489" customFormat="1" ht="13.5" customHeight="1" x14ac:dyDescent="0.2">
      <c r="A6" s="2486"/>
      <c r="B6" s="3447" t="s">
        <v>4072</v>
      </c>
      <c r="C6" s="3449" t="s">
        <v>4073</v>
      </c>
      <c r="D6" s="3451" t="s">
        <v>4072</v>
      </c>
      <c r="E6" s="3453" t="s">
        <v>4074</v>
      </c>
      <c r="F6" s="2487" t="s">
        <v>4075</v>
      </c>
      <c r="G6" s="2488" t="s">
        <v>4076</v>
      </c>
      <c r="H6" s="2487" t="s">
        <v>4075</v>
      </c>
      <c r="I6" s="2488" t="s">
        <v>4077</v>
      </c>
      <c r="J6" s="3442" t="s">
        <v>4078</v>
      </c>
      <c r="K6" s="3442" t="s">
        <v>4079</v>
      </c>
      <c r="L6" s="3442" t="s">
        <v>4080</v>
      </c>
    </row>
    <row r="7" spans="1:13" s="2493" customFormat="1" ht="18" customHeight="1" thickBot="1" x14ac:dyDescent="0.25">
      <c r="A7" s="2490"/>
      <c r="B7" s="3448"/>
      <c r="C7" s="3450"/>
      <c r="D7" s="3452"/>
      <c r="E7" s="3454"/>
      <c r="F7" s="2491"/>
      <c r="G7" s="2492"/>
      <c r="H7" s="2491"/>
      <c r="I7" s="2492"/>
      <c r="J7" s="3443"/>
      <c r="K7" s="3443"/>
      <c r="L7" s="3443"/>
    </row>
    <row r="8" spans="1:13" ht="14.1" hidden="1" customHeight="1" x14ac:dyDescent="0.2">
      <c r="A8" s="2494"/>
      <c r="B8" s="2495"/>
      <c r="C8" s="2496"/>
      <c r="D8" s="2497"/>
      <c r="E8" s="2498"/>
      <c r="F8" s="2499"/>
      <c r="G8" s="2500"/>
      <c r="H8" s="2500"/>
      <c r="I8" s="2500"/>
      <c r="J8" s="2500"/>
      <c r="K8" s="2497"/>
      <c r="L8" s="2500"/>
    </row>
    <row r="9" spans="1:13" ht="15.75" hidden="1" thickTop="1" x14ac:dyDescent="0.2">
      <c r="A9" s="2501">
        <v>37073</v>
      </c>
      <c r="B9" s="2502">
        <v>10</v>
      </c>
      <c r="C9" s="2503" t="s">
        <v>4081</v>
      </c>
      <c r="D9" s="2504" t="s">
        <v>664</v>
      </c>
      <c r="E9" s="2505" t="s">
        <v>664</v>
      </c>
      <c r="F9" s="2506" t="s">
        <v>664</v>
      </c>
      <c r="G9" s="2507" t="s">
        <v>664</v>
      </c>
      <c r="H9" s="2507"/>
      <c r="I9" s="2507"/>
      <c r="J9" s="2507" t="s">
        <v>664</v>
      </c>
      <c r="K9" s="2504" t="s">
        <v>664</v>
      </c>
      <c r="L9" s="2507" t="s">
        <v>664</v>
      </c>
    </row>
    <row r="10" spans="1:13" ht="15.75" hidden="1" thickTop="1" x14ac:dyDescent="0.2">
      <c r="A10" s="2501">
        <v>37104</v>
      </c>
      <c r="B10" s="2502">
        <v>2</v>
      </c>
      <c r="C10" s="2508">
        <v>29.45</v>
      </c>
      <c r="D10" s="2504" t="s">
        <v>664</v>
      </c>
      <c r="E10" s="2505" t="s">
        <v>664</v>
      </c>
      <c r="F10" s="2506" t="s">
        <v>664</v>
      </c>
      <c r="G10" s="2507" t="s">
        <v>664</v>
      </c>
      <c r="H10" s="2507"/>
      <c r="I10" s="2507"/>
      <c r="J10" s="2507" t="s">
        <v>664</v>
      </c>
      <c r="K10" s="2504" t="s">
        <v>664</v>
      </c>
      <c r="L10" s="2507" t="s">
        <v>664</v>
      </c>
    </row>
    <row r="11" spans="1:13" ht="15.75" hidden="1" thickTop="1" x14ac:dyDescent="0.2">
      <c r="A11" s="2501">
        <v>37135</v>
      </c>
      <c r="B11" s="2502">
        <v>0</v>
      </c>
      <c r="C11" s="2508" t="s">
        <v>664</v>
      </c>
      <c r="D11" s="2504" t="s">
        <v>664</v>
      </c>
      <c r="E11" s="2505" t="s">
        <v>664</v>
      </c>
      <c r="F11" s="2506" t="s">
        <v>664</v>
      </c>
      <c r="G11" s="2507" t="s">
        <v>664</v>
      </c>
      <c r="H11" s="2507"/>
      <c r="I11" s="2507"/>
      <c r="J11" s="2507" t="s">
        <v>664</v>
      </c>
      <c r="K11" s="2504" t="s">
        <v>664</v>
      </c>
      <c r="L11" s="2507" t="s">
        <v>664</v>
      </c>
    </row>
    <row r="12" spans="1:13" ht="15.75" hidden="1" thickTop="1" x14ac:dyDescent="0.2">
      <c r="A12" s="2501">
        <v>37165</v>
      </c>
      <c r="B12" s="2502">
        <v>2</v>
      </c>
      <c r="C12" s="2508">
        <v>30.07</v>
      </c>
      <c r="D12" s="2504" t="s">
        <v>664</v>
      </c>
      <c r="E12" s="2505" t="s">
        <v>664</v>
      </c>
      <c r="F12" s="2506" t="s">
        <v>664</v>
      </c>
      <c r="G12" s="2507" t="s">
        <v>664</v>
      </c>
      <c r="H12" s="2507"/>
      <c r="I12" s="2507"/>
      <c r="J12" s="2507" t="s">
        <v>664</v>
      </c>
      <c r="K12" s="2504" t="s">
        <v>664</v>
      </c>
      <c r="L12" s="2507" t="s">
        <v>664</v>
      </c>
    </row>
    <row r="13" spans="1:13" ht="15.75" hidden="1" thickTop="1" x14ac:dyDescent="0.2">
      <c r="A13" s="2501">
        <v>37196</v>
      </c>
      <c r="B13" s="2502">
        <v>5</v>
      </c>
      <c r="C13" s="2508" t="s">
        <v>4082</v>
      </c>
      <c r="D13" s="2504" t="s">
        <v>664</v>
      </c>
      <c r="E13" s="2505" t="s">
        <v>664</v>
      </c>
      <c r="F13" s="2506" t="s">
        <v>664</v>
      </c>
      <c r="G13" s="2507" t="s">
        <v>664</v>
      </c>
      <c r="H13" s="2507"/>
      <c r="I13" s="2507"/>
      <c r="J13" s="2507" t="s">
        <v>664</v>
      </c>
      <c r="K13" s="2504" t="s">
        <v>664</v>
      </c>
      <c r="L13" s="2507" t="s">
        <v>664</v>
      </c>
    </row>
    <row r="14" spans="1:13" ht="15.75" hidden="1" thickTop="1" x14ac:dyDescent="0.2">
      <c r="A14" s="2501">
        <v>37226</v>
      </c>
      <c r="B14" s="2502">
        <v>0</v>
      </c>
      <c r="C14" s="2508" t="s">
        <v>664</v>
      </c>
      <c r="D14" s="2504" t="s">
        <v>664</v>
      </c>
      <c r="E14" s="2505" t="s">
        <v>664</v>
      </c>
      <c r="F14" s="2506" t="s">
        <v>664</v>
      </c>
      <c r="G14" s="2507" t="s">
        <v>664</v>
      </c>
      <c r="H14" s="2507"/>
      <c r="I14" s="2507"/>
      <c r="J14" s="2507" t="s">
        <v>664</v>
      </c>
      <c r="K14" s="2504" t="s">
        <v>664</v>
      </c>
      <c r="L14" s="2507" t="s">
        <v>664</v>
      </c>
    </row>
    <row r="15" spans="1:13" ht="15.75" hidden="1" thickTop="1" x14ac:dyDescent="0.2">
      <c r="A15" s="2509">
        <v>37530</v>
      </c>
      <c r="B15" s="2502">
        <v>0</v>
      </c>
      <c r="C15" s="2503" t="s">
        <v>664</v>
      </c>
      <c r="D15" s="2504">
        <v>3.4</v>
      </c>
      <c r="E15" s="2510">
        <v>29.52</v>
      </c>
      <c r="F15" s="2506">
        <v>3.4</v>
      </c>
      <c r="G15" s="2511">
        <v>29.52</v>
      </c>
      <c r="H15" s="2511"/>
      <c r="I15" s="2511"/>
      <c r="J15" s="2507">
        <v>3.4</v>
      </c>
      <c r="K15" s="2512">
        <v>29.52</v>
      </c>
      <c r="L15" s="2507">
        <v>3.4</v>
      </c>
    </row>
    <row r="16" spans="1:13" ht="14.1" hidden="1" customHeight="1" x14ac:dyDescent="0.2">
      <c r="A16" s="2509">
        <v>37895</v>
      </c>
      <c r="B16" s="2502">
        <v>0</v>
      </c>
      <c r="C16" s="2503" t="s">
        <v>664</v>
      </c>
      <c r="D16" s="2504">
        <v>30.7</v>
      </c>
      <c r="E16" s="2510">
        <v>28.8</v>
      </c>
      <c r="F16" s="2506">
        <v>30.7</v>
      </c>
      <c r="G16" s="2511">
        <v>28.8</v>
      </c>
      <c r="H16" s="2511"/>
      <c r="I16" s="2511"/>
      <c r="J16" s="2507">
        <v>30.7</v>
      </c>
      <c r="K16" s="2512">
        <v>28.8</v>
      </c>
      <c r="L16" s="2507">
        <v>30.7</v>
      </c>
    </row>
    <row r="17" spans="1:12" ht="15.75" hidden="1" thickTop="1" x14ac:dyDescent="0.2">
      <c r="A17" s="2509">
        <v>38534</v>
      </c>
      <c r="B17" s="2513">
        <v>26</v>
      </c>
      <c r="C17" s="2508" t="s">
        <v>4083</v>
      </c>
      <c r="D17" s="2504">
        <v>0</v>
      </c>
      <c r="E17" s="2505" t="s">
        <v>664</v>
      </c>
      <c r="F17" s="2506">
        <v>0</v>
      </c>
      <c r="G17" s="2507" t="s">
        <v>664</v>
      </c>
      <c r="H17" s="2507"/>
      <c r="I17" s="2507"/>
      <c r="J17" s="2507">
        <v>0</v>
      </c>
      <c r="K17" s="2504" t="s">
        <v>664</v>
      </c>
      <c r="L17" s="2507">
        <v>0</v>
      </c>
    </row>
    <row r="18" spans="1:12" ht="15.75" hidden="1" thickTop="1" x14ac:dyDescent="0.2">
      <c r="A18" s="2509">
        <v>38596</v>
      </c>
      <c r="B18" s="2513">
        <v>23.5</v>
      </c>
      <c r="C18" s="2508" t="s">
        <v>4084</v>
      </c>
      <c r="D18" s="2504">
        <v>0</v>
      </c>
      <c r="E18" s="2505" t="s">
        <v>664</v>
      </c>
      <c r="F18" s="2506">
        <v>0</v>
      </c>
      <c r="G18" s="2507" t="s">
        <v>664</v>
      </c>
      <c r="H18" s="2507"/>
      <c r="I18" s="2507"/>
      <c r="J18" s="2507">
        <v>0</v>
      </c>
      <c r="K18" s="2504" t="s">
        <v>664</v>
      </c>
      <c r="L18" s="2507">
        <v>0</v>
      </c>
    </row>
    <row r="19" spans="1:12" ht="15.75" hidden="1" thickTop="1" x14ac:dyDescent="0.2">
      <c r="A19" s="2509">
        <v>38657</v>
      </c>
      <c r="B19" s="2502">
        <v>15</v>
      </c>
      <c r="C19" s="2508" t="s">
        <v>4085</v>
      </c>
      <c r="D19" s="2504">
        <v>0</v>
      </c>
      <c r="E19" s="2505" t="s">
        <v>664</v>
      </c>
      <c r="F19" s="2506">
        <v>0</v>
      </c>
      <c r="G19" s="2507" t="s">
        <v>664</v>
      </c>
      <c r="H19" s="2507"/>
      <c r="I19" s="2507"/>
      <c r="J19" s="2507">
        <v>0</v>
      </c>
      <c r="K19" s="2504" t="s">
        <v>664</v>
      </c>
      <c r="L19" s="2507">
        <v>0</v>
      </c>
    </row>
    <row r="20" spans="1:12" ht="15.75" hidden="1" thickTop="1" x14ac:dyDescent="0.2">
      <c r="A20" s="2509">
        <v>38687</v>
      </c>
      <c r="B20" s="2514">
        <v>6.5</v>
      </c>
      <c r="C20" s="2508">
        <v>30.55</v>
      </c>
      <c r="D20" s="2504">
        <v>0</v>
      </c>
      <c r="E20" s="2505" t="s">
        <v>664</v>
      </c>
      <c r="F20" s="2506">
        <v>0</v>
      </c>
      <c r="G20" s="2507" t="s">
        <v>664</v>
      </c>
      <c r="H20" s="2507"/>
      <c r="I20" s="2507"/>
      <c r="J20" s="2507">
        <v>0</v>
      </c>
      <c r="K20" s="2504" t="s">
        <v>664</v>
      </c>
      <c r="L20" s="2507">
        <v>0</v>
      </c>
    </row>
    <row r="21" spans="1:12" ht="15.75" hidden="1" thickTop="1" x14ac:dyDescent="0.2">
      <c r="A21" s="2509">
        <v>38718</v>
      </c>
      <c r="B21" s="2514">
        <v>0</v>
      </c>
      <c r="C21" s="2508" t="s">
        <v>664</v>
      </c>
      <c r="D21" s="2504">
        <v>0</v>
      </c>
      <c r="E21" s="2505" t="s">
        <v>664</v>
      </c>
      <c r="F21" s="2506">
        <v>0</v>
      </c>
      <c r="G21" s="2507" t="s">
        <v>664</v>
      </c>
      <c r="H21" s="2507"/>
      <c r="I21" s="2507"/>
      <c r="J21" s="2507">
        <v>0</v>
      </c>
      <c r="K21" s="2504" t="s">
        <v>664</v>
      </c>
      <c r="L21" s="2507">
        <v>0</v>
      </c>
    </row>
    <row r="22" spans="1:12" ht="15.75" hidden="1" thickTop="1" x14ac:dyDescent="0.2">
      <c r="A22" s="2509">
        <v>38749</v>
      </c>
      <c r="B22" s="2514">
        <v>8</v>
      </c>
      <c r="C22" s="2508">
        <v>30.67</v>
      </c>
      <c r="D22" s="2504">
        <v>0</v>
      </c>
      <c r="E22" s="2505" t="s">
        <v>664</v>
      </c>
      <c r="F22" s="2506">
        <v>0</v>
      </c>
      <c r="G22" s="2507" t="s">
        <v>664</v>
      </c>
      <c r="H22" s="2507"/>
      <c r="I22" s="2507"/>
      <c r="J22" s="2507">
        <v>0</v>
      </c>
      <c r="K22" s="2504" t="s">
        <v>664</v>
      </c>
      <c r="L22" s="2507">
        <v>0</v>
      </c>
    </row>
    <row r="23" spans="1:12" ht="14.1" hidden="1" customHeight="1" x14ac:dyDescent="0.2">
      <c r="A23" s="2509">
        <v>38777</v>
      </c>
      <c r="B23" s="2514">
        <v>0</v>
      </c>
      <c r="C23" s="2508" t="s">
        <v>664</v>
      </c>
      <c r="D23" s="2504">
        <v>0</v>
      </c>
      <c r="E23" s="2505" t="s">
        <v>664</v>
      </c>
      <c r="F23" s="2506">
        <v>0</v>
      </c>
      <c r="G23" s="2507" t="s">
        <v>664</v>
      </c>
      <c r="H23" s="2507"/>
      <c r="I23" s="2507"/>
      <c r="J23" s="2507">
        <v>0</v>
      </c>
      <c r="K23" s="2504" t="s">
        <v>664</v>
      </c>
      <c r="L23" s="2507">
        <v>0</v>
      </c>
    </row>
    <row r="24" spans="1:12" ht="14.1" hidden="1" customHeight="1" x14ac:dyDescent="0.2">
      <c r="A24" s="2509">
        <v>38808</v>
      </c>
      <c r="B24" s="2514">
        <v>0</v>
      </c>
      <c r="C24" s="2508" t="s">
        <v>664</v>
      </c>
      <c r="D24" s="2504">
        <v>0</v>
      </c>
      <c r="E24" s="2505" t="s">
        <v>664</v>
      </c>
      <c r="F24" s="2506">
        <v>0</v>
      </c>
      <c r="G24" s="2507" t="s">
        <v>664</v>
      </c>
      <c r="H24" s="2507"/>
      <c r="I24" s="2507"/>
      <c r="J24" s="2507">
        <v>0</v>
      </c>
      <c r="K24" s="2504" t="s">
        <v>664</v>
      </c>
      <c r="L24" s="2507">
        <v>0</v>
      </c>
    </row>
    <row r="25" spans="1:12" ht="14.1" hidden="1" customHeight="1" x14ac:dyDescent="0.2">
      <c r="A25" s="2509">
        <v>38838</v>
      </c>
      <c r="B25" s="2514">
        <v>0</v>
      </c>
      <c r="C25" s="2508" t="s">
        <v>664</v>
      </c>
      <c r="D25" s="2504">
        <v>0</v>
      </c>
      <c r="E25" s="2505" t="s">
        <v>664</v>
      </c>
      <c r="F25" s="2506">
        <v>0</v>
      </c>
      <c r="G25" s="2507" t="s">
        <v>664</v>
      </c>
      <c r="H25" s="2507"/>
      <c r="I25" s="2507"/>
      <c r="J25" s="2507">
        <v>0</v>
      </c>
      <c r="K25" s="2504" t="s">
        <v>664</v>
      </c>
      <c r="L25" s="2507">
        <v>0</v>
      </c>
    </row>
    <row r="26" spans="1:12" ht="14.1" hidden="1" customHeight="1" x14ac:dyDescent="0.2">
      <c r="A26" s="2509">
        <v>38869</v>
      </c>
      <c r="B26" s="2514">
        <v>10</v>
      </c>
      <c r="C26" s="2508">
        <v>30.95</v>
      </c>
      <c r="D26" s="2504">
        <v>0</v>
      </c>
      <c r="E26" s="2505" t="s">
        <v>664</v>
      </c>
      <c r="F26" s="2506">
        <v>0</v>
      </c>
      <c r="G26" s="2507" t="s">
        <v>664</v>
      </c>
      <c r="H26" s="2507"/>
      <c r="I26" s="2507"/>
      <c r="J26" s="2507">
        <v>0</v>
      </c>
      <c r="K26" s="2504" t="s">
        <v>664</v>
      </c>
      <c r="L26" s="2507">
        <v>0</v>
      </c>
    </row>
    <row r="27" spans="1:12" ht="14.1" hidden="1" customHeight="1" x14ac:dyDescent="0.2">
      <c r="A27" s="2509">
        <v>38899</v>
      </c>
      <c r="B27" s="2514">
        <v>9.5</v>
      </c>
      <c r="C27" s="2508" t="s">
        <v>4086</v>
      </c>
      <c r="D27" s="2504">
        <v>0</v>
      </c>
      <c r="E27" s="2505" t="s">
        <v>664</v>
      </c>
      <c r="F27" s="2506">
        <v>0</v>
      </c>
      <c r="G27" s="2507" t="s">
        <v>664</v>
      </c>
      <c r="H27" s="2507"/>
      <c r="I27" s="2507"/>
      <c r="J27" s="2507">
        <v>0</v>
      </c>
      <c r="K27" s="2504" t="s">
        <v>664</v>
      </c>
      <c r="L27" s="2507">
        <v>0</v>
      </c>
    </row>
    <row r="28" spans="1:12" ht="14.1" hidden="1" customHeight="1" x14ac:dyDescent="0.2">
      <c r="A28" s="2509">
        <v>38930</v>
      </c>
      <c r="B28" s="2514">
        <v>31</v>
      </c>
      <c r="C28" s="2508">
        <v>32.159999999999997</v>
      </c>
      <c r="D28" s="2504">
        <v>0</v>
      </c>
      <c r="E28" s="2505" t="s">
        <v>664</v>
      </c>
      <c r="F28" s="2506">
        <v>0</v>
      </c>
      <c r="G28" s="2507" t="s">
        <v>664</v>
      </c>
      <c r="H28" s="2507"/>
      <c r="I28" s="2507"/>
      <c r="J28" s="2507">
        <v>0</v>
      </c>
      <c r="K28" s="2504" t="s">
        <v>664</v>
      </c>
      <c r="L28" s="2507">
        <v>0</v>
      </c>
    </row>
    <row r="29" spans="1:12" ht="14.1" hidden="1" customHeight="1" x14ac:dyDescent="0.2">
      <c r="A29" s="2509">
        <v>38961</v>
      </c>
      <c r="B29" s="2514">
        <v>31.8</v>
      </c>
      <c r="C29" s="2508">
        <v>32.159999999999997</v>
      </c>
      <c r="D29" s="2504">
        <v>0</v>
      </c>
      <c r="E29" s="2505" t="s">
        <v>664</v>
      </c>
      <c r="F29" s="2506">
        <v>0</v>
      </c>
      <c r="G29" s="2507" t="s">
        <v>664</v>
      </c>
      <c r="H29" s="2507"/>
      <c r="I29" s="2507"/>
      <c r="J29" s="2507">
        <v>0</v>
      </c>
      <c r="K29" s="2504" t="s">
        <v>664</v>
      </c>
      <c r="L29" s="2507">
        <v>0</v>
      </c>
    </row>
    <row r="30" spans="1:12" ht="14.1" hidden="1" customHeight="1" x14ac:dyDescent="0.2">
      <c r="A30" s="2509">
        <v>38991</v>
      </c>
      <c r="B30" s="2514">
        <v>15.4</v>
      </c>
      <c r="C30" s="2508">
        <v>32.159999999999997</v>
      </c>
      <c r="D30" s="2504">
        <v>0</v>
      </c>
      <c r="E30" s="2505" t="s">
        <v>664</v>
      </c>
      <c r="F30" s="2506">
        <v>0</v>
      </c>
      <c r="G30" s="2507" t="s">
        <v>664</v>
      </c>
      <c r="H30" s="2507"/>
      <c r="I30" s="2507"/>
      <c r="J30" s="2507">
        <v>0</v>
      </c>
      <c r="K30" s="2504" t="s">
        <v>664</v>
      </c>
      <c r="L30" s="2507">
        <v>0</v>
      </c>
    </row>
    <row r="31" spans="1:12" ht="14.1" hidden="1" customHeight="1" x14ac:dyDescent="0.2">
      <c r="A31" s="2509">
        <v>39022</v>
      </c>
      <c r="B31" s="2514">
        <v>10.5</v>
      </c>
      <c r="C31" s="2508">
        <v>32.299999999999997</v>
      </c>
      <c r="D31" s="2504">
        <v>0</v>
      </c>
      <c r="E31" s="2505" t="s">
        <v>664</v>
      </c>
      <c r="F31" s="2506">
        <v>0</v>
      </c>
      <c r="G31" s="2507" t="s">
        <v>664</v>
      </c>
      <c r="H31" s="2507"/>
      <c r="I31" s="2507"/>
      <c r="J31" s="2507">
        <v>0</v>
      </c>
      <c r="K31" s="2504" t="s">
        <v>664</v>
      </c>
      <c r="L31" s="2507">
        <v>0</v>
      </c>
    </row>
    <row r="32" spans="1:12" ht="14.1" hidden="1" customHeight="1" x14ac:dyDescent="0.2">
      <c r="A32" s="2509">
        <v>39052</v>
      </c>
      <c r="B32" s="2514">
        <v>22.4</v>
      </c>
      <c r="C32" s="2508" t="s">
        <v>4087</v>
      </c>
      <c r="D32" s="2504">
        <v>0</v>
      </c>
      <c r="E32" s="2505" t="s">
        <v>664</v>
      </c>
      <c r="F32" s="2506">
        <v>0</v>
      </c>
      <c r="G32" s="2507" t="s">
        <v>664</v>
      </c>
      <c r="H32" s="2507"/>
      <c r="I32" s="2507"/>
      <c r="J32" s="2507">
        <v>0</v>
      </c>
      <c r="K32" s="2504" t="s">
        <v>664</v>
      </c>
      <c r="L32" s="2507">
        <v>0</v>
      </c>
    </row>
    <row r="33" spans="1:12" ht="14.1" hidden="1" customHeight="1" x14ac:dyDescent="0.2">
      <c r="A33" s="2509">
        <v>39083</v>
      </c>
      <c r="B33" s="2514">
        <v>38</v>
      </c>
      <c r="C33" s="2508">
        <v>32.799999999999997</v>
      </c>
      <c r="D33" s="2504">
        <v>0</v>
      </c>
      <c r="E33" s="2505" t="s">
        <v>664</v>
      </c>
      <c r="F33" s="2506">
        <v>0</v>
      </c>
      <c r="G33" s="2507" t="s">
        <v>664</v>
      </c>
      <c r="H33" s="2507"/>
      <c r="I33" s="2507"/>
      <c r="J33" s="2507">
        <v>0</v>
      </c>
      <c r="K33" s="2504" t="s">
        <v>664</v>
      </c>
      <c r="L33" s="2507">
        <v>0</v>
      </c>
    </row>
    <row r="34" spans="1:12" ht="14.1" hidden="1" customHeight="1" x14ac:dyDescent="0.2">
      <c r="A34" s="2509">
        <v>39114</v>
      </c>
      <c r="B34" s="2514">
        <v>10.8</v>
      </c>
      <c r="C34" s="2508">
        <v>32.75</v>
      </c>
      <c r="D34" s="2504">
        <v>64</v>
      </c>
      <c r="E34" s="2505" t="s">
        <v>4088</v>
      </c>
      <c r="F34" s="2506">
        <v>0</v>
      </c>
      <c r="G34" s="2507" t="s">
        <v>664</v>
      </c>
      <c r="H34" s="2507"/>
      <c r="I34" s="2507"/>
      <c r="J34" s="2507">
        <v>0</v>
      </c>
      <c r="K34" s="2504" t="s">
        <v>664</v>
      </c>
      <c r="L34" s="2507">
        <v>0</v>
      </c>
    </row>
    <row r="35" spans="1:12" ht="14.1" hidden="1" customHeight="1" x14ac:dyDescent="0.2">
      <c r="A35" s="2509">
        <v>39142</v>
      </c>
      <c r="B35" s="2514">
        <v>0</v>
      </c>
      <c r="C35" s="2508" t="s">
        <v>664</v>
      </c>
      <c r="D35" s="2504">
        <v>75.3</v>
      </c>
      <c r="E35" s="2505" t="s">
        <v>4089</v>
      </c>
      <c r="F35" s="2506">
        <v>0</v>
      </c>
      <c r="G35" s="2507" t="s">
        <v>664</v>
      </c>
      <c r="H35" s="2507"/>
      <c r="I35" s="2507"/>
      <c r="J35" s="2507">
        <v>0</v>
      </c>
      <c r="K35" s="2504" t="s">
        <v>664</v>
      </c>
      <c r="L35" s="2507">
        <v>0</v>
      </c>
    </row>
    <row r="36" spans="1:12" ht="14.1" hidden="1" customHeight="1" x14ac:dyDescent="0.2">
      <c r="A36" s="2509">
        <v>39173</v>
      </c>
      <c r="B36" s="2514">
        <v>0</v>
      </c>
      <c r="C36" s="2508" t="s">
        <v>664</v>
      </c>
      <c r="D36" s="2504">
        <v>113.5</v>
      </c>
      <c r="E36" s="2505" t="s">
        <v>4090</v>
      </c>
      <c r="F36" s="2506">
        <v>0</v>
      </c>
      <c r="G36" s="2507" t="s">
        <v>664</v>
      </c>
      <c r="H36" s="2507"/>
      <c r="I36" s="2507"/>
      <c r="J36" s="2507">
        <v>0</v>
      </c>
      <c r="K36" s="2504" t="s">
        <v>664</v>
      </c>
      <c r="L36" s="2507">
        <v>0</v>
      </c>
    </row>
    <row r="37" spans="1:12" ht="14.1" hidden="1" customHeight="1" x14ac:dyDescent="0.2">
      <c r="A37" s="2509">
        <v>39203</v>
      </c>
      <c r="B37" s="2514">
        <v>0</v>
      </c>
      <c r="C37" s="2508" t="s">
        <v>664</v>
      </c>
      <c r="D37" s="2504">
        <v>0</v>
      </c>
      <c r="E37" s="2505" t="s">
        <v>664</v>
      </c>
      <c r="F37" s="2506">
        <v>0</v>
      </c>
      <c r="G37" s="2507" t="s">
        <v>664</v>
      </c>
      <c r="H37" s="2507"/>
      <c r="I37" s="2507"/>
      <c r="J37" s="2507">
        <v>0</v>
      </c>
      <c r="K37" s="2504" t="s">
        <v>664</v>
      </c>
      <c r="L37" s="2507">
        <v>0</v>
      </c>
    </row>
    <row r="38" spans="1:12" ht="14.1" hidden="1" customHeight="1" x14ac:dyDescent="0.2">
      <c r="A38" s="2509">
        <v>39234</v>
      </c>
      <c r="B38" s="2514">
        <v>0</v>
      </c>
      <c r="C38" s="2508" t="s">
        <v>664</v>
      </c>
      <c r="D38" s="2504">
        <v>0</v>
      </c>
      <c r="E38" s="2505" t="s">
        <v>664</v>
      </c>
      <c r="F38" s="2506">
        <v>0</v>
      </c>
      <c r="G38" s="2507" t="s">
        <v>664</v>
      </c>
      <c r="H38" s="2507"/>
      <c r="I38" s="2507"/>
      <c r="J38" s="2507">
        <v>0</v>
      </c>
      <c r="K38" s="2504" t="s">
        <v>664</v>
      </c>
      <c r="L38" s="2507">
        <v>0</v>
      </c>
    </row>
    <row r="39" spans="1:12" ht="14.1" hidden="1" customHeight="1" x14ac:dyDescent="0.2">
      <c r="A39" s="2509">
        <v>39264</v>
      </c>
      <c r="B39" s="2514">
        <v>0</v>
      </c>
      <c r="C39" s="2508" t="s">
        <v>664</v>
      </c>
      <c r="D39" s="2504">
        <v>0</v>
      </c>
      <c r="E39" s="2505" t="s">
        <v>664</v>
      </c>
      <c r="F39" s="2506">
        <v>0</v>
      </c>
      <c r="G39" s="2507" t="s">
        <v>664</v>
      </c>
      <c r="H39" s="2507"/>
      <c r="I39" s="2507"/>
      <c r="J39" s="2507">
        <v>0</v>
      </c>
      <c r="K39" s="2504" t="s">
        <v>664</v>
      </c>
      <c r="L39" s="2507">
        <v>0</v>
      </c>
    </row>
    <row r="40" spans="1:12" ht="14.1" hidden="1" customHeight="1" x14ac:dyDescent="0.2">
      <c r="A40" s="2509">
        <v>39295</v>
      </c>
      <c r="B40" s="2514">
        <v>0</v>
      </c>
      <c r="C40" s="2508" t="s">
        <v>664</v>
      </c>
      <c r="D40" s="2504">
        <v>0</v>
      </c>
      <c r="E40" s="2505" t="s">
        <v>664</v>
      </c>
      <c r="F40" s="2506">
        <v>0</v>
      </c>
      <c r="G40" s="2507" t="s">
        <v>664</v>
      </c>
      <c r="H40" s="2507"/>
      <c r="I40" s="2507"/>
      <c r="J40" s="2507">
        <v>0</v>
      </c>
      <c r="K40" s="2504" t="s">
        <v>664</v>
      </c>
      <c r="L40" s="2507">
        <v>0</v>
      </c>
    </row>
    <row r="41" spans="1:12" ht="14.1" hidden="1" customHeight="1" x14ac:dyDescent="0.2">
      <c r="A41" s="2509">
        <v>39326</v>
      </c>
      <c r="B41" s="2514">
        <v>0</v>
      </c>
      <c r="C41" s="2508">
        <v>39.688000000000002</v>
      </c>
      <c r="D41" s="2504">
        <v>0</v>
      </c>
      <c r="E41" s="2505" t="s">
        <v>664</v>
      </c>
      <c r="F41" s="2506">
        <v>0</v>
      </c>
      <c r="G41" s="2507" t="s">
        <v>664</v>
      </c>
      <c r="H41" s="2507"/>
      <c r="I41" s="2507"/>
      <c r="J41" s="2507">
        <v>0</v>
      </c>
      <c r="K41" s="2504" t="s">
        <v>664</v>
      </c>
      <c r="L41" s="2507">
        <v>0</v>
      </c>
    </row>
    <row r="42" spans="1:12" ht="14.1" hidden="1" customHeight="1" x14ac:dyDescent="0.2">
      <c r="A42" s="2509">
        <v>39387</v>
      </c>
      <c r="B42" s="2504">
        <v>0</v>
      </c>
      <c r="C42" s="2508" t="s">
        <v>664</v>
      </c>
      <c r="D42" s="2504">
        <v>0</v>
      </c>
      <c r="E42" s="2505" t="s">
        <v>664</v>
      </c>
      <c r="F42" s="2506">
        <v>0</v>
      </c>
      <c r="G42" s="2507" t="s">
        <v>664</v>
      </c>
      <c r="H42" s="2507"/>
      <c r="I42" s="2507"/>
      <c r="J42" s="2507">
        <v>0</v>
      </c>
      <c r="K42" s="2504" t="s">
        <v>664</v>
      </c>
      <c r="L42" s="2507">
        <v>0</v>
      </c>
    </row>
    <row r="43" spans="1:12" ht="14.1" hidden="1" customHeight="1" x14ac:dyDescent="0.2">
      <c r="A43" s="2509">
        <v>39417</v>
      </c>
      <c r="B43" s="2504">
        <v>0</v>
      </c>
      <c r="C43" s="2508" t="s">
        <v>664</v>
      </c>
      <c r="D43" s="2504">
        <v>0</v>
      </c>
      <c r="E43" s="2505" t="s">
        <v>664</v>
      </c>
      <c r="F43" s="2506">
        <v>40.5</v>
      </c>
      <c r="G43" s="2511">
        <v>41.62</v>
      </c>
      <c r="H43" s="2511"/>
      <c r="I43" s="2511"/>
      <c r="J43" s="2507">
        <v>0</v>
      </c>
      <c r="K43" s="2512" t="s">
        <v>664</v>
      </c>
      <c r="L43" s="2507">
        <v>0</v>
      </c>
    </row>
    <row r="44" spans="1:12" ht="14.1" hidden="1" customHeight="1" x14ac:dyDescent="0.2">
      <c r="A44" s="2509">
        <v>39448</v>
      </c>
      <c r="B44" s="2504">
        <v>0</v>
      </c>
      <c r="C44" s="2508" t="s">
        <v>664</v>
      </c>
      <c r="D44" s="2504">
        <v>21</v>
      </c>
      <c r="E44" s="2505" t="s">
        <v>4091</v>
      </c>
      <c r="F44" s="2506">
        <v>0</v>
      </c>
      <c r="G44" s="2511" t="s">
        <v>664</v>
      </c>
      <c r="H44" s="2511"/>
      <c r="I44" s="2511"/>
      <c r="J44" s="2507">
        <v>1</v>
      </c>
      <c r="K44" s="2512">
        <v>56.62</v>
      </c>
      <c r="L44" s="2507">
        <v>1</v>
      </c>
    </row>
    <row r="45" spans="1:12" ht="14.1" hidden="1" customHeight="1" x14ac:dyDescent="0.2">
      <c r="A45" s="2509">
        <v>39479</v>
      </c>
      <c r="B45" s="2504">
        <v>0</v>
      </c>
      <c r="C45" s="2508" t="s">
        <v>664</v>
      </c>
      <c r="D45" s="2504">
        <v>35</v>
      </c>
      <c r="E45" s="2505" t="s">
        <v>4092</v>
      </c>
      <c r="F45" s="2506">
        <v>0</v>
      </c>
      <c r="G45" s="2511" t="s">
        <v>664</v>
      </c>
      <c r="H45" s="2511"/>
      <c r="I45" s="2511"/>
      <c r="J45" s="2507">
        <v>0</v>
      </c>
      <c r="K45" s="2512" t="s">
        <v>664</v>
      </c>
      <c r="L45" s="2507">
        <v>0</v>
      </c>
    </row>
    <row r="46" spans="1:12" ht="14.1" hidden="1" customHeight="1" x14ac:dyDescent="0.2">
      <c r="A46" s="2509">
        <v>39508</v>
      </c>
      <c r="B46" s="2504">
        <v>0</v>
      </c>
      <c r="C46" s="2508" t="s">
        <v>664</v>
      </c>
      <c r="D46" s="2504">
        <v>120</v>
      </c>
      <c r="E46" s="2505" t="s">
        <v>4093</v>
      </c>
      <c r="F46" s="2506">
        <v>5.5</v>
      </c>
      <c r="G46" s="2511" t="s">
        <v>4094</v>
      </c>
      <c r="H46" s="2511"/>
      <c r="I46" s="2511"/>
      <c r="J46" s="2507">
        <v>0</v>
      </c>
      <c r="K46" s="2512" t="s">
        <v>664</v>
      </c>
      <c r="L46" s="2507">
        <v>0</v>
      </c>
    </row>
    <row r="47" spans="1:12" ht="14.1" hidden="1" customHeight="1" x14ac:dyDescent="0.2">
      <c r="A47" s="2509">
        <v>39539</v>
      </c>
      <c r="B47" s="2504">
        <v>0</v>
      </c>
      <c r="C47" s="2508" t="s">
        <v>664</v>
      </c>
      <c r="D47" s="2504">
        <v>54</v>
      </c>
      <c r="E47" s="2510">
        <v>25.9</v>
      </c>
      <c r="F47" s="2506">
        <v>0</v>
      </c>
      <c r="G47" s="2511" t="s">
        <v>664</v>
      </c>
      <c r="H47" s="2511"/>
      <c r="I47" s="2511"/>
      <c r="J47" s="2507">
        <v>0</v>
      </c>
      <c r="K47" s="2512" t="s">
        <v>664</v>
      </c>
      <c r="L47" s="2507">
        <v>0</v>
      </c>
    </row>
    <row r="48" spans="1:12" ht="14.1" hidden="1" customHeight="1" x14ac:dyDescent="0.2">
      <c r="A48" s="2509">
        <v>39569</v>
      </c>
      <c r="B48" s="2504">
        <v>30</v>
      </c>
      <c r="C48" s="2508" t="s">
        <v>4095</v>
      </c>
      <c r="D48" s="2504">
        <v>0</v>
      </c>
      <c r="E48" s="2510" t="s">
        <v>664</v>
      </c>
      <c r="F48" s="2506">
        <v>0</v>
      </c>
      <c r="G48" s="2511" t="s">
        <v>664</v>
      </c>
      <c r="H48" s="2511"/>
      <c r="I48" s="2511"/>
      <c r="J48" s="2507">
        <v>0</v>
      </c>
      <c r="K48" s="2512" t="s">
        <v>664</v>
      </c>
      <c r="L48" s="2507">
        <v>0</v>
      </c>
    </row>
    <row r="49" spans="1:12" ht="14.1" hidden="1" customHeight="1" x14ac:dyDescent="0.2">
      <c r="A49" s="2509">
        <v>39600</v>
      </c>
      <c r="B49" s="2504">
        <v>15</v>
      </c>
      <c r="C49" s="2508">
        <v>27.25</v>
      </c>
      <c r="D49" s="2504">
        <v>0</v>
      </c>
      <c r="E49" s="2510" t="s">
        <v>664</v>
      </c>
      <c r="F49" s="2506">
        <v>0</v>
      </c>
      <c r="G49" s="2511" t="s">
        <v>664</v>
      </c>
      <c r="H49" s="2511"/>
      <c r="I49" s="2511"/>
      <c r="J49" s="2507">
        <v>0</v>
      </c>
      <c r="K49" s="2512" t="s">
        <v>664</v>
      </c>
      <c r="L49" s="2507">
        <v>0</v>
      </c>
    </row>
    <row r="50" spans="1:12" ht="14.1" hidden="1" customHeight="1" x14ac:dyDescent="0.2">
      <c r="A50" s="2509">
        <v>39630</v>
      </c>
      <c r="B50" s="2504">
        <v>0</v>
      </c>
      <c r="C50" s="2508" t="s">
        <v>664</v>
      </c>
      <c r="D50" s="2504">
        <v>0</v>
      </c>
      <c r="E50" s="2510" t="s">
        <v>664</v>
      </c>
      <c r="F50" s="2506">
        <v>0</v>
      </c>
      <c r="G50" s="2511" t="s">
        <v>664</v>
      </c>
      <c r="H50" s="2511"/>
      <c r="I50" s="2511"/>
      <c r="J50" s="2507">
        <v>0</v>
      </c>
      <c r="K50" s="2512" t="s">
        <v>664</v>
      </c>
      <c r="L50" s="2507">
        <v>0</v>
      </c>
    </row>
    <row r="51" spans="1:12" ht="14.1" hidden="1" customHeight="1" x14ac:dyDescent="0.2">
      <c r="A51" s="2509">
        <v>39661</v>
      </c>
      <c r="B51" s="2504">
        <v>25</v>
      </c>
      <c r="C51" s="2508">
        <v>27.95</v>
      </c>
      <c r="D51" s="2504">
        <v>0</v>
      </c>
      <c r="E51" s="2510" t="s">
        <v>664</v>
      </c>
      <c r="F51" s="2506">
        <v>0</v>
      </c>
      <c r="G51" s="2511" t="s">
        <v>664</v>
      </c>
      <c r="H51" s="2511"/>
      <c r="I51" s="2511"/>
      <c r="J51" s="2507">
        <v>0</v>
      </c>
      <c r="K51" s="2512" t="s">
        <v>664</v>
      </c>
      <c r="L51" s="2507">
        <v>0</v>
      </c>
    </row>
    <row r="52" spans="1:12" ht="14.1" hidden="1" customHeight="1" x14ac:dyDescent="0.2">
      <c r="A52" s="2509">
        <v>39722</v>
      </c>
      <c r="B52" s="2504">
        <v>70</v>
      </c>
      <c r="C52" s="2508" t="s">
        <v>4096</v>
      </c>
      <c r="D52" s="2504">
        <v>0</v>
      </c>
      <c r="E52" s="2510" t="s">
        <v>664</v>
      </c>
      <c r="F52" s="2506">
        <v>0</v>
      </c>
      <c r="G52" s="2511" t="s">
        <v>664</v>
      </c>
      <c r="H52" s="2511"/>
      <c r="I52" s="2511"/>
      <c r="J52" s="2507">
        <v>0</v>
      </c>
      <c r="K52" s="2512" t="s">
        <v>664</v>
      </c>
      <c r="L52" s="2507">
        <v>0</v>
      </c>
    </row>
    <row r="53" spans="1:12" ht="14.1" hidden="1" customHeight="1" x14ac:dyDescent="0.2">
      <c r="A53" s="2509">
        <v>39753</v>
      </c>
      <c r="B53" s="2504">
        <v>55</v>
      </c>
      <c r="C53" s="2508" t="s">
        <v>4097</v>
      </c>
      <c r="D53" s="2504">
        <v>0</v>
      </c>
      <c r="E53" s="2510" t="s">
        <v>664</v>
      </c>
      <c r="F53" s="2506">
        <v>0</v>
      </c>
      <c r="G53" s="2511" t="s">
        <v>664</v>
      </c>
      <c r="H53" s="2511"/>
      <c r="I53" s="2511"/>
      <c r="J53" s="2507">
        <v>0</v>
      </c>
      <c r="K53" s="2512" t="s">
        <v>664</v>
      </c>
      <c r="L53" s="2507">
        <v>0</v>
      </c>
    </row>
    <row r="54" spans="1:12" ht="14.1" hidden="1" customHeight="1" x14ac:dyDescent="0.2">
      <c r="A54" s="2509">
        <v>39783</v>
      </c>
      <c r="B54" s="2504">
        <v>0</v>
      </c>
      <c r="C54" s="2508" t="s">
        <v>664</v>
      </c>
      <c r="D54" s="2504">
        <v>0</v>
      </c>
      <c r="E54" s="2510" t="s">
        <v>664</v>
      </c>
      <c r="F54" s="2506">
        <v>0</v>
      </c>
      <c r="G54" s="2511" t="s">
        <v>664</v>
      </c>
      <c r="H54" s="2511"/>
      <c r="I54" s="2511"/>
      <c r="J54" s="2507">
        <v>0</v>
      </c>
      <c r="K54" s="2512" t="s">
        <v>664</v>
      </c>
      <c r="L54" s="2507">
        <v>0</v>
      </c>
    </row>
    <row r="55" spans="1:12" ht="14.1" hidden="1" customHeight="1" x14ac:dyDescent="0.2">
      <c r="A55" s="2509">
        <v>39814</v>
      </c>
      <c r="B55" s="2504">
        <v>0</v>
      </c>
      <c r="C55" s="2508" t="s">
        <v>664</v>
      </c>
      <c r="D55" s="2504">
        <v>0</v>
      </c>
      <c r="E55" s="2510" t="s">
        <v>664</v>
      </c>
      <c r="F55" s="2506">
        <v>0</v>
      </c>
      <c r="G55" s="2511" t="s">
        <v>664</v>
      </c>
      <c r="H55" s="2511"/>
      <c r="I55" s="2511"/>
      <c r="J55" s="2507">
        <v>0</v>
      </c>
      <c r="K55" s="2512" t="s">
        <v>664</v>
      </c>
      <c r="L55" s="2507">
        <v>0</v>
      </c>
    </row>
    <row r="56" spans="1:12" ht="14.1" hidden="1" customHeight="1" x14ac:dyDescent="0.2">
      <c r="A56" s="2509">
        <v>39845</v>
      </c>
      <c r="B56" s="2515">
        <v>0</v>
      </c>
      <c r="C56" s="2508" t="s">
        <v>664</v>
      </c>
      <c r="D56" s="2504">
        <v>0</v>
      </c>
      <c r="E56" s="2510" t="s">
        <v>664</v>
      </c>
      <c r="F56" s="2506">
        <v>0</v>
      </c>
      <c r="G56" s="2511" t="s">
        <v>664</v>
      </c>
      <c r="H56" s="2511"/>
      <c r="I56" s="2511"/>
      <c r="J56" s="2507">
        <v>0</v>
      </c>
      <c r="K56" s="2512" t="s">
        <v>664</v>
      </c>
      <c r="L56" s="2507">
        <v>0</v>
      </c>
    </row>
    <row r="57" spans="1:12" ht="14.1" hidden="1" customHeight="1" x14ac:dyDescent="0.2">
      <c r="A57" s="2509">
        <v>39873</v>
      </c>
      <c r="B57" s="2515">
        <v>0</v>
      </c>
      <c r="C57" s="2508" t="s">
        <v>664</v>
      </c>
      <c r="D57" s="2504">
        <v>0</v>
      </c>
      <c r="E57" s="2510" t="s">
        <v>664</v>
      </c>
      <c r="F57" s="2506">
        <v>0</v>
      </c>
      <c r="G57" s="2511" t="s">
        <v>664</v>
      </c>
      <c r="H57" s="2511"/>
      <c r="I57" s="2511"/>
      <c r="J57" s="2507">
        <v>0</v>
      </c>
      <c r="K57" s="2512" t="s">
        <v>664</v>
      </c>
      <c r="L57" s="2507">
        <v>0</v>
      </c>
    </row>
    <row r="58" spans="1:12" ht="14.1" hidden="1" customHeight="1" x14ac:dyDescent="0.2">
      <c r="A58" s="2509">
        <v>39904</v>
      </c>
      <c r="B58" s="2515">
        <v>0</v>
      </c>
      <c r="C58" s="2508" t="s">
        <v>664</v>
      </c>
      <c r="D58" s="2504">
        <v>0</v>
      </c>
      <c r="E58" s="2510" t="s">
        <v>664</v>
      </c>
      <c r="F58" s="2506">
        <v>0</v>
      </c>
      <c r="G58" s="2511" t="s">
        <v>664</v>
      </c>
      <c r="H58" s="2511"/>
      <c r="I58" s="2511"/>
      <c r="J58" s="2507">
        <v>0</v>
      </c>
      <c r="K58" s="2512" t="s">
        <v>664</v>
      </c>
      <c r="L58" s="2507">
        <v>0</v>
      </c>
    </row>
    <row r="59" spans="1:12" ht="14.1" hidden="1" customHeight="1" x14ac:dyDescent="0.2">
      <c r="A59" s="2509">
        <v>39934</v>
      </c>
      <c r="B59" s="2515">
        <v>0</v>
      </c>
      <c r="C59" s="2508" t="s">
        <v>664</v>
      </c>
      <c r="D59" s="2504">
        <v>0</v>
      </c>
      <c r="E59" s="2510" t="s">
        <v>664</v>
      </c>
      <c r="F59" s="2506">
        <v>0</v>
      </c>
      <c r="G59" s="2511" t="s">
        <v>664</v>
      </c>
      <c r="H59" s="2511"/>
      <c r="I59" s="2511"/>
      <c r="J59" s="2507">
        <v>0</v>
      </c>
      <c r="K59" s="2512" t="s">
        <v>664</v>
      </c>
      <c r="L59" s="2507">
        <v>0</v>
      </c>
    </row>
    <row r="60" spans="1:12" ht="14.1" hidden="1" customHeight="1" x14ac:dyDescent="0.2">
      <c r="A60" s="2509">
        <v>39965</v>
      </c>
      <c r="B60" s="2515">
        <v>0</v>
      </c>
      <c r="C60" s="2508" t="s">
        <v>664</v>
      </c>
      <c r="D60" s="2504">
        <v>0</v>
      </c>
      <c r="E60" s="2510" t="s">
        <v>664</v>
      </c>
      <c r="F60" s="2506">
        <v>0</v>
      </c>
      <c r="G60" s="2511" t="s">
        <v>664</v>
      </c>
      <c r="H60" s="2511"/>
      <c r="I60" s="2511"/>
      <c r="J60" s="2507">
        <v>0</v>
      </c>
      <c r="K60" s="2512" t="s">
        <v>664</v>
      </c>
      <c r="L60" s="2507">
        <v>0</v>
      </c>
    </row>
    <row r="61" spans="1:12" ht="17.25" hidden="1" customHeight="1" x14ac:dyDescent="0.2">
      <c r="A61" s="2509">
        <v>39995</v>
      </c>
      <c r="B61" s="2515">
        <v>0</v>
      </c>
      <c r="C61" s="2508" t="s">
        <v>664</v>
      </c>
      <c r="D61" s="2504">
        <v>0</v>
      </c>
      <c r="E61" s="2510" t="s">
        <v>664</v>
      </c>
      <c r="F61" s="2506">
        <v>0</v>
      </c>
      <c r="G61" s="2511" t="s">
        <v>664</v>
      </c>
      <c r="H61" s="2511"/>
      <c r="I61" s="2511"/>
      <c r="J61" s="2507">
        <v>0</v>
      </c>
      <c r="K61" s="2512" t="s">
        <v>664</v>
      </c>
      <c r="L61" s="2507">
        <v>0</v>
      </c>
    </row>
    <row r="62" spans="1:12" ht="14.1" hidden="1" customHeight="1" x14ac:dyDescent="0.2">
      <c r="A62" s="2509">
        <v>40026</v>
      </c>
      <c r="B62" s="2515">
        <v>0</v>
      </c>
      <c r="C62" s="2508" t="s">
        <v>664</v>
      </c>
      <c r="D62" s="2504">
        <v>0</v>
      </c>
      <c r="E62" s="2510" t="s">
        <v>664</v>
      </c>
      <c r="F62" s="2506">
        <v>0</v>
      </c>
      <c r="G62" s="2511" t="s">
        <v>664</v>
      </c>
      <c r="H62" s="2511"/>
      <c r="I62" s="2511"/>
      <c r="J62" s="2507">
        <v>0</v>
      </c>
      <c r="K62" s="2512" t="s">
        <v>664</v>
      </c>
      <c r="L62" s="2507">
        <v>0</v>
      </c>
    </row>
    <row r="63" spans="1:12" ht="14.1" hidden="1" customHeight="1" x14ac:dyDescent="0.2">
      <c r="A63" s="2509">
        <v>40057</v>
      </c>
      <c r="B63" s="2515">
        <v>0</v>
      </c>
      <c r="C63" s="2508" t="s">
        <v>664</v>
      </c>
      <c r="D63" s="2504">
        <v>0</v>
      </c>
      <c r="E63" s="2510" t="s">
        <v>664</v>
      </c>
      <c r="F63" s="2506">
        <v>0</v>
      </c>
      <c r="G63" s="2511" t="s">
        <v>664</v>
      </c>
      <c r="H63" s="2511"/>
      <c r="I63" s="2511"/>
      <c r="J63" s="2507">
        <v>0</v>
      </c>
      <c r="K63" s="2512" t="s">
        <v>664</v>
      </c>
      <c r="L63" s="2507">
        <v>0</v>
      </c>
    </row>
    <row r="64" spans="1:12" ht="14.1" hidden="1" customHeight="1" x14ac:dyDescent="0.2">
      <c r="A64" s="2516">
        <v>40087</v>
      </c>
      <c r="B64" s="2517">
        <v>0</v>
      </c>
      <c r="C64" s="2518" t="s">
        <v>664</v>
      </c>
      <c r="D64" s="2519">
        <v>0</v>
      </c>
      <c r="E64" s="2520" t="s">
        <v>664</v>
      </c>
      <c r="F64" s="2521">
        <v>0</v>
      </c>
      <c r="G64" s="2522" t="s">
        <v>664</v>
      </c>
      <c r="H64" s="2522"/>
      <c r="I64" s="2522"/>
      <c r="J64" s="2523">
        <v>0</v>
      </c>
      <c r="K64" s="2524" t="s">
        <v>664</v>
      </c>
      <c r="L64" s="2523">
        <v>0</v>
      </c>
    </row>
    <row r="65" spans="1:12" ht="15" hidden="1" customHeight="1" x14ac:dyDescent="0.2">
      <c r="A65" s="2516">
        <v>40118</v>
      </c>
      <c r="B65" s="2517">
        <v>0</v>
      </c>
      <c r="C65" s="2518" t="s">
        <v>664</v>
      </c>
      <c r="D65" s="2519">
        <v>0</v>
      </c>
      <c r="E65" s="2520" t="s">
        <v>664</v>
      </c>
      <c r="F65" s="2521">
        <v>0</v>
      </c>
      <c r="G65" s="2522" t="s">
        <v>664</v>
      </c>
      <c r="H65" s="2522"/>
      <c r="I65" s="2522"/>
      <c r="J65" s="2523">
        <v>0</v>
      </c>
      <c r="K65" s="2524" t="s">
        <v>664</v>
      </c>
      <c r="L65" s="2523">
        <v>0</v>
      </c>
    </row>
    <row r="66" spans="1:12" ht="15" hidden="1" customHeight="1" x14ac:dyDescent="0.2">
      <c r="A66" s="2516">
        <v>40148</v>
      </c>
      <c r="B66" s="2517">
        <v>0</v>
      </c>
      <c r="C66" s="2518" t="s">
        <v>664</v>
      </c>
      <c r="D66" s="2519">
        <v>0</v>
      </c>
      <c r="E66" s="2520" t="s">
        <v>664</v>
      </c>
      <c r="F66" s="2521">
        <v>0</v>
      </c>
      <c r="G66" s="2522" t="s">
        <v>664</v>
      </c>
      <c r="H66" s="2522"/>
      <c r="I66" s="2522"/>
      <c r="J66" s="2523">
        <v>0</v>
      </c>
      <c r="K66" s="2524" t="s">
        <v>664</v>
      </c>
      <c r="L66" s="2523">
        <v>0</v>
      </c>
    </row>
    <row r="67" spans="1:12" ht="15" hidden="1" customHeight="1" x14ac:dyDescent="0.2">
      <c r="A67" s="2516">
        <v>40179</v>
      </c>
      <c r="B67" s="2517">
        <v>0</v>
      </c>
      <c r="C67" s="2518" t="s">
        <v>664</v>
      </c>
      <c r="D67" s="2519">
        <v>0</v>
      </c>
      <c r="E67" s="2520" t="s">
        <v>664</v>
      </c>
      <c r="F67" s="2521">
        <v>0</v>
      </c>
      <c r="G67" s="2522" t="s">
        <v>664</v>
      </c>
      <c r="H67" s="2522"/>
      <c r="I67" s="2522"/>
      <c r="J67" s="2523">
        <v>0</v>
      </c>
      <c r="K67" s="2524" t="s">
        <v>664</v>
      </c>
      <c r="L67" s="2523">
        <v>0</v>
      </c>
    </row>
    <row r="68" spans="1:12" ht="15" hidden="1" customHeight="1" x14ac:dyDescent="0.2">
      <c r="A68" s="2516">
        <v>40210</v>
      </c>
      <c r="B68" s="2517">
        <v>0</v>
      </c>
      <c r="C68" s="2518" t="s">
        <v>664</v>
      </c>
      <c r="D68" s="2519">
        <v>0</v>
      </c>
      <c r="E68" s="2520" t="s">
        <v>664</v>
      </c>
      <c r="F68" s="2521">
        <v>0</v>
      </c>
      <c r="G68" s="2522" t="s">
        <v>664</v>
      </c>
      <c r="H68" s="2522"/>
      <c r="I68" s="2522"/>
      <c r="J68" s="2523">
        <v>0</v>
      </c>
      <c r="K68" s="2524" t="s">
        <v>664</v>
      </c>
      <c r="L68" s="2523">
        <v>0</v>
      </c>
    </row>
    <row r="69" spans="1:12" ht="15" hidden="1" customHeight="1" x14ac:dyDescent="0.2">
      <c r="A69" s="2516">
        <v>40238</v>
      </c>
      <c r="B69" s="2517">
        <v>0</v>
      </c>
      <c r="C69" s="2518" t="s">
        <v>664</v>
      </c>
      <c r="D69" s="2519">
        <v>0</v>
      </c>
      <c r="E69" s="2520" t="s">
        <v>664</v>
      </c>
      <c r="F69" s="2521">
        <v>0</v>
      </c>
      <c r="G69" s="2522" t="s">
        <v>664</v>
      </c>
      <c r="H69" s="2522"/>
      <c r="I69" s="2522"/>
      <c r="J69" s="2523">
        <v>0</v>
      </c>
      <c r="K69" s="2524" t="s">
        <v>664</v>
      </c>
      <c r="L69" s="2523">
        <v>0</v>
      </c>
    </row>
    <row r="70" spans="1:12" ht="15" hidden="1" customHeight="1" x14ac:dyDescent="0.2">
      <c r="A70" s="2516">
        <v>40269</v>
      </c>
      <c r="B70" s="2517">
        <v>0</v>
      </c>
      <c r="C70" s="2518" t="s">
        <v>664</v>
      </c>
      <c r="D70" s="2519">
        <v>0</v>
      </c>
      <c r="E70" s="2520" t="s">
        <v>664</v>
      </c>
      <c r="F70" s="2521">
        <v>0</v>
      </c>
      <c r="G70" s="2522" t="s">
        <v>664</v>
      </c>
      <c r="H70" s="2522"/>
      <c r="I70" s="2522"/>
      <c r="J70" s="2523">
        <v>0</v>
      </c>
      <c r="K70" s="2524" t="s">
        <v>664</v>
      </c>
      <c r="L70" s="2523">
        <v>0</v>
      </c>
    </row>
    <row r="71" spans="1:12" ht="15" hidden="1" customHeight="1" x14ac:dyDescent="0.2">
      <c r="A71" s="2516">
        <v>40299</v>
      </c>
      <c r="B71" s="2517">
        <v>0</v>
      </c>
      <c r="C71" s="2518" t="s">
        <v>664</v>
      </c>
      <c r="D71" s="2519">
        <v>0</v>
      </c>
      <c r="E71" s="2520" t="s">
        <v>664</v>
      </c>
      <c r="F71" s="2521">
        <v>0</v>
      </c>
      <c r="G71" s="2522" t="s">
        <v>664</v>
      </c>
      <c r="H71" s="2522"/>
      <c r="I71" s="2522"/>
      <c r="J71" s="2523">
        <v>0</v>
      </c>
      <c r="K71" s="2524" t="s">
        <v>664</v>
      </c>
      <c r="L71" s="2523">
        <v>0</v>
      </c>
    </row>
    <row r="72" spans="1:12" ht="15" hidden="1" customHeight="1" x14ac:dyDescent="0.2">
      <c r="A72" s="2516">
        <v>40330</v>
      </c>
      <c r="B72" s="2517">
        <v>0</v>
      </c>
      <c r="C72" s="2518" t="s">
        <v>664</v>
      </c>
      <c r="D72" s="2519">
        <v>0</v>
      </c>
      <c r="E72" s="2520" t="s">
        <v>664</v>
      </c>
      <c r="F72" s="2521">
        <v>0</v>
      </c>
      <c r="G72" s="2522" t="s">
        <v>664</v>
      </c>
      <c r="H72" s="2522"/>
      <c r="I72" s="2522"/>
      <c r="J72" s="2523">
        <v>0</v>
      </c>
      <c r="K72" s="2524" t="s">
        <v>664</v>
      </c>
      <c r="L72" s="2523">
        <v>0</v>
      </c>
    </row>
    <row r="73" spans="1:12" ht="15" hidden="1" customHeight="1" x14ac:dyDescent="0.2">
      <c r="A73" s="2516">
        <v>40360</v>
      </c>
      <c r="B73" s="2517">
        <v>0</v>
      </c>
      <c r="C73" s="2518" t="s">
        <v>664</v>
      </c>
      <c r="D73" s="2519">
        <v>27</v>
      </c>
      <c r="E73" s="2520" t="s">
        <v>4098</v>
      </c>
      <c r="F73" s="2525">
        <v>4.7</v>
      </c>
      <c r="G73" s="2522" t="s">
        <v>4099</v>
      </c>
      <c r="H73" s="2522"/>
      <c r="I73" s="2522"/>
      <c r="J73" s="2523">
        <v>0</v>
      </c>
      <c r="K73" s="2524" t="s">
        <v>664</v>
      </c>
      <c r="L73" s="2523">
        <v>0</v>
      </c>
    </row>
    <row r="74" spans="1:12" ht="15" hidden="1" customHeight="1" x14ac:dyDescent="0.2">
      <c r="A74" s="2516">
        <v>40391</v>
      </c>
      <c r="B74" s="2517">
        <v>0</v>
      </c>
      <c r="C74" s="2518" t="s">
        <v>664</v>
      </c>
      <c r="D74" s="2524">
        <v>8.15</v>
      </c>
      <c r="E74" s="2520" t="s">
        <v>4100</v>
      </c>
      <c r="F74" s="2525">
        <v>1.3</v>
      </c>
      <c r="G74" s="2522" t="s">
        <v>4101</v>
      </c>
      <c r="H74" s="2522"/>
      <c r="I74" s="2522"/>
      <c r="J74" s="2523">
        <v>0</v>
      </c>
      <c r="K74" s="2524" t="s">
        <v>664</v>
      </c>
      <c r="L74" s="2523">
        <v>0</v>
      </c>
    </row>
    <row r="75" spans="1:12" ht="15" hidden="1" customHeight="1" x14ac:dyDescent="0.2">
      <c r="A75" s="2516">
        <v>40422</v>
      </c>
      <c r="B75" s="2517">
        <v>0</v>
      </c>
      <c r="C75" s="2518" t="s">
        <v>664</v>
      </c>
      <c r="D75" s="2524">
        <v>60.35</v>
      </c>
      <c r="E75" s="2520" t="s">
        <v>4102</v>
      </c>
      <c r="F75" s="2525">
        <v>7.55</v>
      </c>
      <c r="G75" s="2522" t="s">
        <v>4103</v>
      </c>
      <c r="H75" s="2522"/>
      <c r="I75" s="2522"/>
      <c r="J75" s="2523">
        <v>0</v>
      </c>
      <c r="K75" s="2524" t="s">
        <v>664</v>
      </c>
      <c r="L75" s="2523">
        <v>0</v>
      </c>
    </row>
    <row r="76" spans="1:12" ht="15" hidden="1" customHeight="1" x14ac:dyDescent="0.2">
      <c r="A76" s="2516">
        <v>40452</v>
      </c>
      <c r="B76" s="2517">
        <v>0</v>
      </c>
      <c r="C76" s="2518" t="s">
        <v>664</v>
      </c>
      <c r="D76" s="2524">
        <v>103.69</v>
      </c>
      <c r="E76" s="2520" t="s">
        <v>4104</v>
      </c>
      <c r="F76" s="2525">
        <v>21.35</v>
      </c>
      <c r="G76" s="2522" t="s">
        <v>4105</v>
      </c>
      <c r="H76" s="2522"/>
      <c r="I76" s="2522"/>
      <c r="J76" s="2523">
        <v>0</v>
      </c>
      <c r="K76" s="2524" t="s">
        <v>664</v>
      </c>
      <c r="L76" s="2523">
        <v>0</v>
      </c>
    </row>
    <row r="77" spans="1:12" ht="15" hidden="1" customHeight="1" x14ac:dyDescent="0.2">
      <c r="A77" s="2516">
        <v>40483</v>
      </c>
      <c r="B77" s="2517">
        <v>0</v>
      </c>
      <c r="C77" s="2518" t="s">
        <v>664</v>
      </c>
      <c r="D77" s="2524">
        <v>93.3</v>
      </c>
      <c r="E77" s="2520" t="s">
        <v>4106</v>
      </c>
      <c r="F77" s="2525">
        <v>2.5750000000000002</v>
      </c>
      <c r="G77" s="2522" t="s">
        <v>4107</v>
      </c>
      <c r="H77" s="2522"/>
      <c r="I77" s="2522"/>
      <c r="J77" s="2523">
        <v>0</v>
      </c>
      <c r="K77" s="2524" t="s">
        <v>664</v>
      </c>
      <c r="L77" s="2523">
        <v>0</v>
      </c>
    </row>
    <row r="78" spans="1:12" ht="15" hidden="1" customHeight="1" x14ac:dyDescent="0.2">
      <c r="A78" s="2516">
        <v>40513</v>
      </c>
      <c r="B78" s="2517">
        <v>0</v>
      </c>
      <c r="C78" s="2518" t="s">
        <v>664</v>
      </c>
      <c r="D78" s="2526">
        <v>72.025000000000006</v>
      </c>
      <c r="E78" s="2520" t="s">
        <v>4108</v>
      </c>
      <c r="F78" s="2525">
        <v>15.337999999999999</v>
      </c>
      <c r="G78" s="2522" t="s">
        <v>4109</v>
      </c>
      <c r="H78" s="2522"/>
      <c r="I78" s="2522"/>
      <c r="J78" s="2523">
        <v>0</v>
      </c>
      <c r="K78" s="2524" t="s">
        <v>664</v>
      </c>
      <c r="L78" s="2523">
        <v>0</v>
      </c>
    </row>
    <row r="79" spans="1:12" ht="15" hidden="1" customHeight="1" x14ac:dyDescent="0.2">
      <c r="A79" s="2516">
        <v>40544</v>
      </c>
      <c r="B79" s="2527">
        <v>0.11799999999999999</v>
      </c>
      <c r="C79" s="2518">
        <v>30.48</v>
      </c>
      <c r="D79" s="2526">
        <v>17.295999999999999</v>
      </c>
      <c r="E79" s="2520" t="s">
        <v>4110</v>
      </c>
      <c r="F79" s="2528">
        <v>15.381</v>
      </c>
      <c r="G79" s="2522" t="s">
        <v>4111</v>
      </c>
      <c r="H79" s="2522"/>
      <c r="I79" s="2522"/>
      <c r="J79" s="2523">
        <v>0</v>
      </c>
      <c r="K79" s="2524" t="s">
        <v>664</v>
      </c>
      <c r="L79" s="2523">
        <v>0</v>
      </c>
    </row>
    <row r="80" spans="1:12" ht="15" hidden="1" customHeight="1" x14ac:dyDescent="0.2">
      <c r="A80" s="2516">
        <v>40575</v>
      </c>
      <c r="B80" s="2517">
        <v>0</v>
      </c>
      <c r="C80" s="2518" t="s">
        <v>664</v>
      </c>
      <c r="D80" s="2526">
        <v>22.375</v>
      </c>
      <c r="E80" s="2520" t="s">
        <v>4112</v>
      </c>
      <c r="F80" s="2525">
        <v>0.3</v>
      </c>
      <c r="G80" s="2522">
        <v>40.450000000000003</v>
      </c>
      <c r="H80" s="2522"/>
      <c r="I80" s="2522"/>
      <c r="J80" s="2523">
        <v>0</v>
      </c>
      <c r="K80" s="2524" t="s">
        <v>664</v>
      </c>
      <c r="L80" s="2523">
        <v>0</v>
      </c>
    </row>
    <row r="81" spans="1:12" ht="15" hidden="1" customHeight="1" x14ac:dyDescent="0.2">
      <c r="A81" s="2516">
        <v>40603</v>
      </c>
      <c r="B81" s="2517">
        <v>0</v>
      </c>
      <c r="C81" s="2518" t="s">
        <v>664</v>
      </c>
      <c r="D81" s="2526">
        <v>37.875</v>
      </c>
      <c r="E81" s="2520" t="s">
        <v>4113</v>
      </c>
      <c r="F81" s="2525">
        <v>2.0499999999999998</v>
      </c>
      <c r="G81" s="2522" t="s">
        <v>4114</v>
      </c>
      <c r="H81" s="2522"/>
      <c r="I81" s="2522"/>
      <c r="J81" s="2523">
        <v>0</v>
      </c>
      <c r="K81" s="2524" t="s">
        <v>664</v>
      </c>
      <c r="L81" s="2523">
        <v>0</v>
      </c>
    </row>
    <row r="82" spans="1:12" ht="15" hidden="1" customHeight="1" x14ac:dyDescent="0.2">
      <c r="A82" s="2516">
        <v>40634</v>
      </c>
      <c r="B82" s="2517">
        <v>0</v>
      </c>
      <c r="C82" s="2518" t="s">
        <v>664</v>
      </c>
      <c r="D82" s="2526">
        <v>73.394999999999996</v>
      </c>
      <c r="E82" s="2520" t="s">
        <v>4115</v>
      </c>
      <c r="F82" s="2525">
        <v>12</v>
      </c>
      <c r="G82" s="2522" t="s">
        <v>4116</v>
      </c>
      <c r="H82" s="2522"/>
      <c r="I82" s="2522"/>
      <c r="J82" s="2523">
        <v>0</v>
      </c>
      <c r="K82" s="2524" t="s">
        <v>664</v>
      </c>
      <c r="L82" s="2523">
        <v>0</v>
      </c>
    </row>
    <row r="83" spans="1:12" ht="15" hidden="1" customHeight="1" x14ac:dyDescent="0.2">
      <c r="A83" s="2516">
        <v>40664</v>
      </c>
      <c r="B83" s="2529">
        <v>10.25</v>
      </c>
      <c r="C83" s="2518" t="s">
        <v>4117</v>
      </c>
      <c r="D83" s="2524">
        <v>20.67</v>
      </c>
      <c r="E83" s="2520" t="s">
        <v>4118</v>
      </c>
      <c r="F83" s="2525">
        <v>14.14</v>
      </c>
      <c r="G83" s="2522" t="s">
        <v>4119</v>
      </c>
      <c r="H83" s="2522"/>
      <c r="I83" s="2522"/>
      <c r="J83" s="2523">
        <v>0</v>
      </c>
      <c r="K83" s="2524" t="s">
        <v>664</v>
      </c>
      <c r="L83" s="2523">
        <v>0</v>
      </c>
    </row>
    <row r="84" spans="1:12" ht="15" hidden="1" customHeight="1" x14ac:dyDescent="0.2">
      <c r="A84" s="2516">
        <v>40695</v>
      </c>
      <c r="B84" s="2529">
        <v>0.4</v>
      </c>
      <c r="C84" s="2518">
        <v>28</v>
      </c>
      <c r="D84" s="2524">
        <v>129.80000000000001</v>
      </c>
      <c r="E84" s="2520" t="s">
        <v>4120</v>
      </c>
      <c r="F84" s="2525">
        <v>9.6300000000000008</v>
      </c>
      <c r="G84" s="2522" t="s">
        <v>4121</v>
      </c>
      <c r="H84" s="2522"/>
      <c r="I84" s="2522"/>
      <c r="J84" s="2523">
        <v>1</v>
      </c>
      <c r="K84" s="2524">
        <v>46.38</v>
      </c>
      <c r="L84" s="2523">
        <v>0</v>
      </c>
    </row>
    <row r="85" spans="1:12" ht="15" hidden="1" customHeight="1" x14ac:dyDescent="0.2">
      <c r="A85" s="2516">
        <v>40756</v>
      </c>
      <c r="B85" s="2529">
        <v>29.53</v>
      </c>
      <c r="C85" s="2518" t="s">
        <v>4122</v>
      </c>
      <c r="D85" s="2524">
        <v>0</v>
      </c>
      <c r="E85" s="2520" t="s">
        <v>664</v>
      </c>
      <c r="F85" s="2525">
        <v>0</v>
      </c>
      <c r="G85" s="2522" t="s">
        <v>664</v>
      </c>
      <c r="H85" s="2522"/>
      <c r="I85" s="2522"/>
      <c r="J85" s="2523">
        <v>0</v>
      </c>
      <c r="K85" s="2524" t="s">
        <v>664</v>
      </c>
      <c r="L85" s="2522">
        <v>0</v>
      </c>
    </row>
    <row r="86" spans="1:12" ht="15" hidden="1" customHeight="1" x14ac:dyDescent="0.2">
      <c r="A86" s="2530">
        <v>40787</v>
      </c>
      <c r="B86" s="2529">
        <v>54.74</v>
      </c>
      <c r="C86" s="2518" t="s">
        <v>4123</v>
      </c>
      <c r="D86" s="2524">
        <v>1.9</v>
      </c>
      <c r="E86" s="2520" t="s">
        <v>4124</v>
      </c>
      <c r="F86" s="2525">
        <v>0.2</v>
      </c>
      <c r="G86" s="2531">
        <v>39.700000000000003</v>
      </c>
      <c r="H86" s="2531"/>
      <c r="I86" s="2531"/>
      <c r="J86" s="2523">
        <v>0</v>
      </c>
      <c r="K86" s="2524" t="s">
        <v>664</v>
      </c>
      <c r="L86" s="2522">
        <v>0</v>
      </c>
    </row>
    <row r="87" spans="1:12" ht="15" hidden="1" customHeight="1" x14ac:dyDescent="0.2">
      <c r="A87" s="2530">
        <v>40817</v>
      </c>
      <c r="B87" s="2529">
        <v>35.97</v>
      </c>
      <c r="C87" s="2518" t="s">
        <v>4125</v>
      </c>
      <c r="D87" s="2524">
        <v>25.55</v>
      </c>
      <c r="E87" s="2520" t="s">
        <v>4126</v>
      </c>
      <c r="F87" s="2525">
        <v>0.8</v>
      </c>
      <c r="G87" s="2531" t="s">
        <v>4127</v>
      </c>
      <c r="H87" s="2531"/>
      <c r="I87" s="2531"/>
      <c r="J87" s="2523">
        <v>0</v>
      </c>
      <c r="K87" s="2524" t="s">
        <v>664</v>
      </c>
      <c r="L87" s="2522">
        <v>0</v>
      </c>
    </row>
    <row r="88" spans="1:12" ht="15" hidden="1" customHeight="1" x14ac:dyDescent="0.2">
      <c r="A88" s="2530">
        <v>40848</v>
      </c>
      <c r="B88" s="2529">
        <v>40.47</v>
      </c>
      <c r="C88" s="2518" t="s">
        <v>4128</v>
      </c>
      <c r="D88" s="2524">
        <v>8.41</v>
      </c>
      <c r="E88" s="2520" t="s">
        <v>4129</v>
      </c>
      <c r="F88" s="2525">
        <v>17</v>
      </c>
      <c r="G88" s="2522">
        <v>38.549999999999997</v>
      </c>
      <c r="H88" s="2522"/>
      <c r="I88" s="2522"/>
      <c r="J88" s="2523">
        <v>0</v>
      </c>
      <c r="K88" s="2524" t="s">
        <v>664</v>
      </c>
      <c r="L88" s="2522">
        <v>0</v>
      </c>
    </row>
    <row r="89" spans="1:12" ht="15" hidden="1" customHeight="1" x14ac:dyDescent="0.2">
      <c r="A89" s="2530">
        <v>40878</v>
      </c>
      <c r="B89" s="2529">
        <v>44.52</v>
      </c>
      <c r="C89" s="2518" t="s">
        <v>4130</v>
      </c>
      <c r="D89" s="2524">
        <v>28.65</v>
      </c>
      <c r="E89" s="2520" t="s">
        <v>4131</v>
      </c>
      <c r="F89" s="2525">
        <v>22.01</v>
      </c>
      <c r="G89" s="2522" t="s">
        <v>4132</v>
      </c>
      <c r="H89" s="2522"/>
      <c r="I89" s="2522"/>
      <c r="J89" s="2523">
        <v>0</v>
      </c>
      <c r="K89" s="2524" t="s">
        <v>664</v>
      </c>
      <c r="L89" s="2522">
        <v>0</v>
      </c>
    </row>
    <row r="90" spans="1:12" ht="15" hidden="1" customHeight="1" x14ac:dyDescent="0.2">
      <c r="A90" s="2530">
        <v>40909</v>
      </c>
      <c r="B90" s="2529">
        <v>43.46</v>
      </c>
      <c r="C90" s="2518" t="s">
        <v>4133</v>
      </c>
      <c r="D90" s="2524">
        <v>16.2</v>
      </c>
      <c r="E90" s="2520" t="s">
        <v>4134</v>
      </c>
      <c r="F90" s="2525">
        <v>15.5</v>
      </c>
      <c r="G90" s="2522" t="s">
        <v>4135</v>
      </c>
      <c r="H90" s="2522"/>
      <c r="I90" s="2522"/>
      <c r="J90" s="2523">
        <v>0</v>
      </c>
      <c r="K90" s="2524" t="s">
        <v>664</v>
      </c>
      <c r="L90" s="2522">
        <v>0</v>
      </c>
    </row>
    <row r="91" spans="1:12" ht="15" hidden="1" customHeight="1" x14ac:dyDescent="0.2">
      <c r="A91" s="2530">
        <v>40940</v>
      </c>
      <c r="B91" s="2529">
        <v>28.78</v>
      </c>
      <c r="C91" s="2518" t="s">
        <v>4136</v>
      </c>
      <c r="D91" s="2524">
        <v>59.4</v>
      </c>
      <c r="E91" s="2520" t="s">
        <v>4137</v>
      </c>
      <c r="F91" s="2525">
        <v>2.8</v>
      </c>
      <c r="G91" s="2522" t="s">
        <v>4138</v>
      </c>
      <c r="H91" s="2522"/>
      <c r="I91" s="2522"/>
      <c r="J91" s="2523">
        <v>0</v>
      </c>
      <c r="K91" s="2524" t="s">
        <v>664</v>
      </c>
      <c r="L91" s="2522">
        <v>0</v>
      </c>
    </row>
    <row r="92" spans="1:12" ht="15" hidden="1" customHeight="1" x14ac:dyDescent="0.2">
      <c r="A92" s="2530">
        <v>40969</v>
      </c>
      <c r="B92" s="2529">
        <v>49.59</v>
      </c>
      <c r="C92" s="2518" t="s">
        <v>4139</v>
      </c>
      <c r="D92" s="2524">
        <v>32.979999999999997</v>
      </c>
      <c r="E92" s="2520" t="s">
        <v>4140</v>
      </c>
      <c r="F92" s="2525">
        <v>2.5499999999999998</v>
      </c>
      <c r="G92" s="2522" t="s">
        <v>4141</v>
      </c>
      <c r="H92" s="2522"/>
      <c r="I92" s="2522"/>
      <c r="J92" s="2523">
        <v>0</v>
      </c>
      <c r="K92" s="2524" t="s">
        <v>664</v>
      </c>
      <c r="L92" s="2522">
        <v>0</v>
      </c>
    </row>
    <row r="93" spans="1:12" ht="15" hidden="1" customHeight="1" x14ac:dyDescent="0.2">
      <c r="A93" s="2530">
        <v>41000</v>
      </c>
      <c r="B93" s="2529">
        <v>40.65</v>
      </c>
      <c r="C93" s="2518" t="s">
        <v>4142</v>
      </c>
      <c r="D93" s="2526">
        <v>17.925000000000001</v>
      </c>
      <c r="E93" s="2520" t="s">
        <v>4143</v>
      </c>
      <c r="F93" s="2525">
        <v>1.6</v>
      </c>
      <c r="G93" s="2522" t="s">
        <v>4144</v>
      </c>
      <c r="H93" s="2522"/>
      <c r="I93" s="2522"/>
      <c r="J93" s="2523">
        <v>0</v>
      </c>
      <c r="K93" s="2524" t="s">
        <v>664</v>
      </c>
      <c r="L93" s="2522">
        <v>0</v>
      </c>
    </row>
    <row r="94" spans="1:12" ht="15" hidden="1" customHeight="1" x14ac:dyDescent="0.2">
      <c r="A94" s="2530">
        <v>41030</v>
      </c>
      <c r="B94" s="2529">
        <v>34.39</v>
      </c>
      <c r="C94" s="2518" t="s">
        <v>4145</v>
      </c>
      <c r="D94" s="2526">
        <v>52.015000000000001</v>
      </c>
      <c r="E94" s="2520" t="s">
        <v>4146</v>
      </c>
      <c r="F94" s="2525">
        <v>0.85</v>
      </c>
      <c r="G94" s="2522" t="s">
        <v>4147</v>
      </c>
      <c r="H94" s="2522"/>
      <c r="I94" s="2522"/>
      <c r="J94" s="2523">
        <v>0</v>
      </c>
      <c r="K94" s="2524" t="s">
        <v>664</v>
      </c>
      <c r="L94" s="2522">
        <v>0</v>
      </c>
    </row>
    <row r="95" spans="1:12" ht="15" hidden="1" customHeight="1" x14ac:dyDescent="0.2">
      <c r="A95" s="2530">
        <v>41061</v>
      </c>
      <c r="B95" s="2529">
        <v>53.49</v>
      </c>
      <c r="C95" s="2518" t="s">
        <v>4148</v>
      </c>
      <c r="D95" s="2526">
        <v>77.655000000000001</v>
      </c>
      <c r="E95" s="2520" t="s">
        <v>4149</v>
      </c>
      <c r="F95" s="2525">
        <v>11.2</v>
      </c>
      <c r="G95" s="2522" t="s">
        <v>4150</v>
      </c>
      <c r="H95" s="2522"/>
      <c r="I95" s="2522"/>
      <c r="J95" s="2523">
        <v>0</v>
      </c>
      <c r="K95" s="2524" t="s">
        <v>664</v>
      </c>
      <c r="L95" s="2522">
        <v>0</v>
      </c>
    </row>
    <row r="96" spans="1:12" ht="15" hidden="1" customHeight="1" x14ac:dyDescent="0.2">
      <c r="A96" s="2530">
        <v>41091</v>
      </c>
      <c r="B96" s="2529">
        <v>32.29</v>
      </c>
      <c r="C96" s="2518" t="s">
        <v>4151</v>
      </c>
      <c r="D96" s="2526">
        <v>33.591999999999999</v>
      </c>
      <c r="E96" s="2520" t="s">
        <v>4152</v>
      </c>
      <c r="F96" s="2525">
        <v>6.4</v>
      </c>
      <c r="G96" s="2522" t="s">
        <v>4153</v>
      </c>
      <c r="H96" s="2522"/>
      <c r="I96" s="2522"/>
      <c r="J96" s="2522">
        <v>0.1</v>
      </c>
      <c r="K96" s="2524">
        <v>48.46</v>
      </c>
      <c r="L96" s="2522">
        <v>0</v>
      </c>
    </row>
    <row r="97" spans="1:12" ht="15" hidden="1" customHeight="1" x14ac:dyDescent="0.2">
      <c r="A97" s="2530">
        <v>41122</v>
      </c>
      <c r="B97" s="2529">
        <v>49.46</v>
      </c>
      <c r="C97" s="2518" t="s">
        <v>4154</v>
      </c>
      <c r="D97" s="2532">
        <v>45.5</v>
      </c>
      <c r="E97" s="2518" t="s">
        <v>4155</v>
      </c>
      <c r="F97" s="2533">
        <v>20.425000000000001</v>
      </c>
      <c r="G97" s="2522" t="s">
        <v>4156</v>
      </c>
      <c r="H97" s="2522"/>
      <c r="I97" s="2522"/>
      <c r="J97" s="2522">
        <v>0</v>
      </c>
      <c r="K97" s="2524" t="s">
        <v>664</v>
      </c>
      <c r="L97" s="2522">
        <v>0</v>
      </c>
    </row>
    <row r="98" spans="1:12" ht="15" hidden="1" customHeight="1" x14ac:dyDescent="0.2">
      <c r="A98" s="2530">
        <v>41153</v>
      </c>
      <c r="B98" s="2529">
        <v>32.53</v>
      </c>
      <c r="C98" s="2518" t="s">
        <v>4157</v>
      </c>
      <c r="D98" s="2526">
        <v>19.925000000000001</v>
      </c>
      <c r="E98" s="2518" t="s">
        <v>4158</v>
      </c>
      <c r="F98" s="2533">
        <v>29.55</v>
      </c>
      <c r="G98" s="2522" t="s">
        <v>4159</v>
      </c>
      <c r="H98" s="2522"/>
      <c r="I98" s="2522"/>
      <c r="J98" s="2522">
        <v>0</v>
      </c>
      <c r="K98" s="2524" t="s">
        <v>664</v>
      </c>
      <c r="L98" s="2522">
        <v>0</v>
      </c>
    </row>
    <row r="99" spans="1:12" ht="15.75" hidden="1" customHeight="1" x14ac:dyDescent="0.2">
      <c r="A99" s="2530">
        <v>41183</v>
      </c>
      <c r="B99" s="2534">
        <v>41.664000000000001</v>
      </c>
      <c r="C99" s="2518" t="s">
        <v>4160</v>
      </c>
      <c r="D99" s="2526">
        <v>2.9</v>
      </c>
      <c r="E99" s="2518" t="s">
        <v>4161</v>
      </c>
      <c r="F99" s="2535">
        <v>4.05</v>
      </c>
      <c r="G99" s="2522" t="s">
        <v>4162</v>
      </c>
      <c r="H99" s="2522"/>
      <c r="I99" s="2522"/>
      <c r="J99" s="2522">
        <v>0</v>
      </c>
      <c r="K99" s="2524" t="s">
        <v>664</v>
      </c>
      <c r="L99" s="2522">
        <v>0</v>
      </c>
    </row>
    <row r="100" spans="1:12" ht="17.25" hidden="1" customHeight="1" x14ac:dyDescent="0.2">
      <c r="A100" s="2530">
        <v>41214</v>
      </c>
      <c r="B100" s="2534">
        <v>54.957000000000001</v>
      </c>
      <c r="C100" s="2518" t="s">
        <v>4163</v>
      </c>
      <c r="D100" s="2526">
        <v>15.55</v>
      </c>
      <c r="E100" s="2518" t="s">
        <v>4164</v>
      </c>
      <c r="F100" s="2535">
        <v>5.05</v>
      </c>
      <c r="G100" s="2522" t="s">
        <v>4165</v>
      </c>
      <c r="H100" s="2522"/>
      <c r="I100" s="2522"/>
      <c r="J100" s="2522">
        <v>0</v>
      </c>
      <c r="K100" s="2524" t="s">
        <v>664</v>
      </c>
      <c r="L100" s="2522">
        <v>0</v>
      </c>
    </row>
    <row r="101" spans="1:12" ht="17.25" hidden="1" customHeight="1" x14ac:dyDescent="0.2">
      <c r="A101" s="2530">
        <v>41244</v>
      </c>
      <c r="B101" s="2534">
        <v>39.192999999999998</v>
      </c>
      <c r="C101" s="2518" t="s">
        <v>4166</v>
      </c>
      <c r="D101" s="2526">
        <v>62.8</v>
      </c>
      <c r="E101" s="2518" t="s">
        <v>4167</v>
      </c>
      <c r="F101" s="2535">
        <v>65.075000000000003</v>
      </c>
      <c r="G101" s="2522" t="s">
        <v>4168</v>
      </c>
      <c r="H101" s="2522"/>
      <c r="I101" s="2522"/>
      <c r="J101" s="2522">
        <v>0</v>
      </c>
      <c r="K101" s="2524" t="s">
        <v>664</v>
      </c>
      <c r="L101" s="2522">
        <v>0</v>
      </c>
    </row>
    <row r="102" spans="1:12" ht="17.25" hidden="1" customHeight="1" thickTop="1" x14ac:dyDescent="0.2">
      <c r="A102" s="2530">
        <v>41275</v>
      </c>
      <c r="B102" s="2534">
        <v>37.960999999999999</v>
      </c>
      <c r="C102" s="2518" t="s">
        <v>4169</v>
      </c>
      <c r="D102" s="2526">
        <v>77.14</v>
      </c>
      <c r="E102" s="2518" t="s">
        <v>4170</v>
      </c>
      <c r="F102" s="2535">
        <v>24.55</v>
      </c>
      <c r="G102" s="2522" t="s">
        <v>4171</v>
      </c>
      <c r="H102" s="2522"/>
      <c r="I102" s="2522"/>
      <c r="J102" s="2522">
        <v>0</v>
      </c>
      <c r="K102" s="2524" t="s">
        <v>664</v>
      </c>
      <c r="L102" s="2522">
        <v>0</v>
      </c>
    </row>
    <row r="103" spans="1:12" ht="18" hidden="1" customHeight="1" thickTop="1" x14ac:dyDescent="0.2">
      <c r="A103" s="2530">
        <v>41306</v>
      </c>
      <c r="B103" s="2534">
        <v>34.963000000000001</v>
      </c>
      <c r="C103" s="2518" t="s">
        <v>4172</v>
      </c>
      <c r="D103" s="2526">
        <v>45.725000000000001</v>
      </c>
      <c r="E103" s="2518" t="s">
        <v>4173</v>
      </c>
      <c r="F103" s="2535">
        <v>23.02</v>
      </c>
      <c r="G103" s="2522" t="s">
        <v>4174</v>
      </c>
      <c r="H103" s="2522"/>
      <c r="I103" s="2522"/>
      <c r="J103" s="2522">
        <v>0</v>
      </c>
      <c r="K103" s="2524" t="s">
        <v>664</v>
      </c>
      <c r="L103" s="2522">
        <v>0</v>
      </c>
    </row>
    <row r="104" spans="1:12" ht="18" hidden="1" customHeight="1" thickTop="1" x14ac:dyDescent="0.2">
      <c r="A104" s="2530">
        <v>41334</v>
      </c>
      <c r="B104" s="2534">
        <v>35.805</v>
      </c>
      <c r="C104" s="2518" t="s">
        <v>4175</v>
      </c>
      <c r="D104" s="2526">
        <v>15.3</v>
      </c>
      <c r="E104" s="2518" t="s">
        <v>4176</v>
      </c>
      <c r="F104" s="2535">
        <v>44.795000000000002</v>
      </c>
      <c r="G104" s="2522" t="s">
        <v>4177</v>
      </c>
      <c r="H104" s="2522"/>
      <c r="I104" s="2522"/>
      <c r="J104" s="2522">
        <v>0</v>
      </c>
      <c r="K104" s="2524" t="s">
        <v>664</v>
      </c>
      <c r="L104" s="2522">
        <v>0</v>
      </c>
    </row>
    <row r="105" spans="1:12" ht="18.95" hidden="1" customHeight="1" thickTop="1" x14ac:dyDescent="0.2">
      <c r="A105" s="2536">
        <v>41365</v>
      </c>
      <c r="B105" s="2537">
        <v>50.453000000000003</v>
      </c>
      <c r="C105" s="2538" t="s">
        <v>4178</v>
      </c>
      <c r="D105" s="2539">
        <v>7.85</v>
      </c>
      <c r="E105" s="2538" t="s">
        <v>4179</v>
      </c>
      <c r="F105" s="2540">
        <v>39.6</v>
      </c>
      <c r="G105" s="2541" t="s">
        <v>4180</v>
      </c>
      <c r="H105" s="2541"/>
      <c r="I105" s="2541"/>
      <c r="J105" s="2541">
        <v>0</v>
      </c>
      <c r="K105" s="2542" t="s">
        <v>664</v>
      </c>
      <c r="L105" s="2541">
        <v>0</v>
      </c>
    </row>
    <row r="106" spans="1:12" ht="18.95" hidden="1" customHeight="1" thickTop="1" x14ac:dyDescent="0.2">
      <c r="A106" s="2536">
        <v>41395</v>
      </c>
      <c r="B106" s="2537">
        <v>37.545000000000002</v>
      </c>
      <c r="C106" s="2538" t="s">
        <v>4181</v>
      </c>
      <c r="D106" s="2539">
        <v>14.95</v>
      </c>
      <c r="E106" s="2538" t="s">
        <v>4182</v>
      </c>
      <c r="F106" s="2540">
        <v>106.4</v>
      </c>
      <c r="G106" s="2541" t="s">
        <v>4183</v>
      </c>
      <c r="H106" s="2541"/>
      <c r="I106" s="2541"/>
      <c r="J106" s="2541">
        <v>0</v>
      </c>
      <c r="K106" s="2542" t="s">
        <v>664</v>
      </c>
      <c r="L106" s="2541">
        <v>0</v>
      </c>
    </row>
    <row r="107" spans="1:12" ht="18.95" hidden="1" customHeight="1" thickTop="1" x14ac:dyDescent="0.2">
      <c r="A107" s="2536">
        <v>41426</v>
      </c>
      <c r="B107" s="2537">
        <v>29.905000000000001</v>
      </c>
      <c r="C107" s="2538" t="s">
        <v>4184</v>
      </c>
      <c r="D107" s="2539">
        <v>3.05</v>
      </c>
      <c r="E107" s="2538" t="s">
        <v>4185</v>
      </c>
      <c r="F107" s="2540">
        <v>31.715</v>
      </c>
      <c r="G107" s="2541" t="s">
        <v>4186</v>
      </c>
      <c r="H107" s="2541"/>
      <c r="I107" s="2541"/>
      <c r="J107" s="2541">
        <v>0</v>
      </c>
      <c r="K107" s="2542" t="s">
        <v>664</v>
      </c>
      <c r="L107" s="2541">
        <v>0</v>
      </c>
    </row>
    <row r="108" spans="1:12" ht="23.25" hidden="1" customHeight="1" thickTop="1" x14ac:dyDescent="0.2">
      <c r="A108" s="2543">
        <v>41456</v>
      </c>
      <c r="B108" s="2544">
        <v>47.457000000000001</v>
      </c>
      <c r="C108" s="2545" t="s">
        <v>4187</v>
      </c>
      <c r="D108" s="2546">
        <v>26</v>
      </c>
      <c r="E108" s="2545" t="s">
        <v>4188</v>
      </c>
      <c r="F108" s="2547">
        <v>49.75</v>
      </c>
      <c r="G108" s="1064" t="s">
        <v>4189</v>
      </c>
      <c r="H108" s="1064"/>
      <c r="I108" s="1064"/>
      <c r="J108" s="1064">
        <v>0</v>
      </c>
      <c r="K108" s="2548" t="s">
        <v>664</v>
      </c>
      <c r="L108" s="1064">
        <v>0</v>
      </c>
    </row>
    <row r="109" spans="1:12" ht="18.95" hidden="1" customHeight="1" thickTop="1" x14ac:dyDescent="0.2">
      <c r="A109" s="2543">
        <v>41518</v>
      </c>
      <c r="B109" s="2544">
        <v>37.621000000000002</v>
      </c>
      <c r="C109" s="2545" t="s">
        <v>4190</v>
      </c>
      <c r="D109" s="2548">
        <v>0.7</v>
      </c>
      <c r="E109" s="2545" t="s">
        <v>4191</v>
      </c>
      <c r="F109" s="2547">
        <v>3.2</v>
      </c>
      <c r="G109" s="1064" t="s">
        <v>4192</v>
      </c>
      <c r="H109" s="1064" t="s">
        <v>664</v>
      </c>
      <c r="I109" s="1064"/>
      <c r="J109" s="1064">
        <v>0</v>
      </c>
      <c r="K109" s="2548" t="s">
        <v>664</v>
      </c>
      <c r="L109" s="1064">
        <v>0</v>
      </c>
    </row>
    <row r="110" spans="1:12" ht="18.95" hidden="1" customHeight="1" thickTop="1" x14ac:dyDescent="0.2">
      <c r="A110" s="2543">
        <v>41548</v>
      </c>
      <c r="B110" s="2544">
        <v>54.445</v>
      </c>
      <c r="C110" s="2545" t="s">
        <v>4193</v>
      </c>
      <c r="D110" s="2548">
        <v>52.9</v>
      </c>
      <c r="E110" s="2545" t="s">
        <v>4194</v>
      </c>
      <c r="F110" s="2547">
        <v>19.649999999999999</v>
      </c>
      <c r="G110" s="1064" t="s">
        <v>4195</v>
      </c>
      <c r="H110" s="1064" t="s">
        <v>664</v>
      </c>
      <c r="I110" s="1064"/>
      <c r="J110" s="1064">
        <v>0</v>
      </c>
      <c r="K110" s="2548" t="s">
        <v>664</v>
      </c>
      <c r="L110" s="1064">
        <v>0</v>
      </c>
    </row>
    <row r="111" spans="1:12" ht="18.95" hidden="1" customHeight="1" thickTop="1" x14ac:dyDescent="0.2">
      <c r="A111" s="2543">
        <v>41579</v>
      </c>
      <c r="B111" s="2544">
        <v>36.277000000000001</v>
      </c>
      <c r="C111" s="2545" t="s">
        <v>4196</v>
      </c>
      <c r="D111" s="2548">
        <v>70</v>
      </c>
      <c r="E111" s="2545">
        <v>30.32</v>
      </c>
      <c r="F111" s="2547">
        <v>65.814999999999998</v>
      </c>
      <c r="G111" s="1064" t="s">
        <v>4197</v>
      </c>
      <c r="H111" s="1064" t="s">
        <v>664</v>
      </c>
      <c r="I111" s="1064"/>
      <c r="J111" s="1064">
        <v>0</v>
      </c>
      <c r="K111" s="2548" t="s">
        <v>664</v>
      </c>
      <c r="L111" s="1064">
        <v>0</v>
      </c>
    </row>
    <row r="112" spans="1:12" ht="18.95" hidden="1" customHeight="1" thickTop="1" x14ac:dyDescent="0.2">
      <c r="A112" s="2543">
        <v>41609</v>
      </c>
      <c r="B112" s="2544">
        <v>34.878</v>
      </c>
      <c r="C112" s="2545" t="s">
        <v>4198</v>
      </c>
      <c r="D112" s="2548">
        <v>101.8</v>
      </c>
      <c r="E112" s="2545" t="s">
        <v>4199</v>
      </c>
      <c r="F112" s="2547">
        <v>70.150000000000006</v>
      </c>
      <c r="G112" s="1064" t="s">
        <v>4200</v>
      </c>
      <c r="H112" s="1064" t="s">
        <v>664</v>
      </c>
      <c r="I112" s="1064"/>
      <c r="J112" s="1064">
        <v>0</v>
      </c>
      <c r="K112" s="2548" t="s">
        <v>664</v>
      </c>
      <c r="L112" s="1064">
        <v>0</v>
      </c>
    </row>
    <row r="113" spans="1:16" ht="18.95" hidden="1" customHeight="1" thickTop="1" x14ac:dyDescent="0.2">
      <c r="A113" s="2543">
        <v>41640</v>
      </c>
      <c r="B113" s="2544">
        <v>54.433999999999997</v>
      </c>
      <c r="C113" s="2545" t="s">
        <v>4201</v>
      </c>
      <c r="D113" s="2548">
        <v>31.75</v>
      </c>
      <c r="E113" s="2545" t="s">
        <v>4202</v>
      </c>
      <c r="F113" s="2547">
        <v>42.2</v>
      </c>
      <c r="G113" s="1064" t="s">
        <v>4203</v>
      </c>
      <c r="H113" s="1064" t="s">
        <v>664</v>
      </c>
      <c r="I113" s="1064"/>
      <c r="J113" s="1064">
        <v>0</v>
      </c>
      <c r="K113" s="2548" t="s">
        <v>664</v>
      </c>
      <c r="L113" s="1064">
        <v>0</v>
      </c>
    </row>
    <row r="114" spans="1:16" ht="18.95" hidden="1" customHeight="1" thickTop="1" x14ac:dyDescent="0.2">
      <c r="A114" s="2543">
        <v>41671</v>
      </c>
      <c r="B114" s="2544">
        <v>32.033000000000001</v>
      </c>
      <c r="C114" s="2545" t="s">
        <v>4204</v>
      </c>
      <c r="D114" s="2548">
        <v>28.5</v>
      </c>
      <c r="E114" s="2545" t="s">
        <v>4205</v>
      </c>
      <c r="F114" s="2547">
        <v>61.56</v>
      </c>
      <c r="G114" s="1064" t="s">
        <v>4206</v>
      </c>
      <c r="H114" s="1064" t="s">
        <v>664</v>
      </c>
      <c r="I114" s="1064"/>
      <c r="J114" s="1064">
        <v>0</v>
      </c>
      <c r="K114" s="2548" t="s">
        <v>664</v>
      </c>
      <c r="L114" s="1064">
        <v>0</v>
      </c>
    </row>
    <row r="115" spans="1:16" ht="18.95" hidden="1" customHeight="1" thickTop="1" x14ac:dyDescent="0.2">
      <c r="A115" s="2543">
        <v>41699</v>
      </c>
      <c r="B115" s="2544">
        <v>30.710999999999999</v>
      </c>
      <c r="C115" s="2545" t="s">
        <v>4207</v>
      </c>
      <c r="D115" s="2548">
        <v>38.1</v>
      </c>
      <c r="E115" s="2545" t="s">
        <v>4208</v>
      </c>
      <c r="F115" s="2547">
        <v>34.590000000000003</v>
      </c>
      <c r="G115" s="1064" t="s">
        <v>4209</v>
      </c>
      <c r="H115" s="1064" t="s">
        <v>664</v>
      </c>
      <c r="I115" s="1064"/>
      <c r="J115" s="1064">
        <v>0</v>
      </c>
      <c r="K115" s="2548" t="s">
        <v>664</v>
      </c>
      <c r="L115" s="1064">
        <v>0</v>
      </c>
    </row>
    <row r="116" spans="1:16" ht="18.95" hidden="1" customHeight="1" thickTop="1" x14ac:dyDescent="0.2">
      <c r="A116" s="2543">
        <v>41730</v>
      </c>
      <c r="B116" s="2544">
        <v>47.854999999999997</v>
      </c>
      <c r="C116" s="2545" t="s">
        <v>4210</v>
      </c>
      <c r="D116" s="2548">
        <v>58.634999999999998</v>
      </c>
      <c r="E116" s="2545" t="s">
        <v>4211</v>
      </c>
      <c r="F116" s="2547">
        <v>50.81</v>
      </c>
      <c r="G116" s="1064" t="s">
        <v>4212</v>
      </c>
      <c r="H116" s="1064" t="s">
        <v>664</v>
      </c>
      <c r="I116" s="1064"/>
      <c r="J116" s="1064">
        <v>0</v>
      </c>
      <c r="K116" s="2548" t="s">
        <v>664</v>
      </c>
      <c r="L116" s="1064">
        <v>0</v>
      </c>
    </row>
    <row r="117" spans="1:16" ht="18.95" hidden="1" customHeight="1" thickTop="1" x14ac:dyDescent="0.2">
      <c r="A117" s="2543">
        <v>41760</v>
      </c>
      <c r="B117" s="2544">
        <v>27.722999999999999</v>
      </c>
      <c r="C117" s="2545" t="s">
        <v>4213</v>
      </c>
      <c r="D117" s="2546">
        <f>36.925+0.799514</f>
        <v>37.724513999999999</v>
      </c>
      <c r="E117" s="2545" t="s">
        <v>4214</v>
      </c>
      <c r="F117" s="2547">
        <v>42.18</v>
      </c>
      <c r="G117" s="1064" t="s">
        <v>4215</v>
      </c>
      <c r="H117" s="1064" t="s">
        <v>664</v>
      </c>
      <c r="I117" s="1064"/>
      <c r="J117" s="1064">
        <v>0</v>
      </c>
      <c r="K117" s="2548" t="s">
        <v>664</v>
      </c>
      <c r="L117" s="1064">
        <v>0</v>
      </c>
    </row>
    <row r="118" spans="1:16" ht="18.95" hidden="1" customHeight="1" thickTop="1" x14ac:dyDescent="0.2">
      <c r="A118" s="2543">
        <v>41791</v>
      </c>
      <c r="B118" s="2544">
        <v>49.457999999999998</v>
      </c>
      <c r="C118" s="2545" t="s">
        <v>4216</v>
      </c>
      <c r="D118" s="2546">
        <f>1.5+0.287308</f>
        <v>1.7873079999999999</v>
      </c>
      <c r="E118" s="2545" t="s">
        <v>4217</v>
      </c>
      <c r="F118" s="2547">
        <v>50.564999999999998</v>
      </c>
      <c r="G118" s="1064" t="s">
        <v>4218</v>
      </c>
      <c r="H118" s="1064" t="s">
        <v>664</v>
      </c>
      <c r="I118" s="1064"/>
      <c r="J118" s="1064">
        <v>0</v>
      </c>
      <c r="K118" s="2548" t="s">
        <v>664</v>
      </c>
      <c r="L118" s="1064">
        <v>0</v>
      </c>
    </row>
    <row r="119" spans="1:16" ht="18.95" hidden="1" customHeight="1" thickTop="1" x14ac:dyDescent="0.2">
      <c r="A119" s="2543">
        <v>41821</v>
      </c>
      <c r="B119" s="2544">
        <v>30.538460000000001</v>
      </c>
      <c r="C119" s="2545" t="s">
        <v>4219</v>
      </c>
      <c r="D119" s="2546">
        <v>3.2986200000000001</v>
      </c>
      <c r="E119" s="2545" t="s">
        <v>4220</v>
      </c>
      <c r="F119" s="2547">
        <v>32.65</v>
      </c>
      <c r="G119" s="1064" t="s">
        <v>4221</v>
      </c>
      <c r="H119" s="1064" t="s">
        <v>664</v>
      </c>
      <c r="I119" s="1064"/>
      <c r="J119" s="1064">
        <v>0</v>
      </c>
      <c r="K119" s="2548" t="s">
        <v>664</v>
      </c>
      <c r="L119" s="1064">
        <v>0</v>
      </c>
    </row>
    <row r="120" spans="1:16" ht="18.95" hidden="1" customHeight="1" thickTop="1" x14ac:dyDescent="0.2">
      <c r="A120" s="2543">
        <v>41852</v>
      </c>
      <c r="B120" s="2544">
        <v>32.872</v>
      </c>
      <c r="C120" s="2545" t="s">
        <v>4222</v>
      </c>
      <c r="D120" s="2546">
        <v>3.1890000000000001</v>
      </c>
      <c r="E120" s="2545" t="s">
        <v>4223</v>
      </c>
      <c r="F120" s="2547">
        <v>28.885999999999999</v>
      </c>
      <c r="G120" s="1064">
        <v>40.5</v>
      </c>
      <c r="H120" s="1064" t="s">
        <v>664</v>
      </c>
      <c r="I120" s="1064"/>
      <c r="J120" s="1064">
        <v>0</v>
      </c>
      <c r="K120" s="2548" t="s">
        <v>664</v>
      </c>
      <c r="L120" s="1064">
        <v>0</v>
      </c>
    </row>
    <row r="121" spans="1:16" ht="18.95" hidden="1" customHeight="1" thickTop="1" x14ac:dyDescent="0.2">
      <c r="A121" s="2543">
        <v>41883</v>
      </c>
      <c r="B121" s="2544">
        <v>58.704000000000001</v>
      </c>
      <c r="C121" s="2545" t="s">
        <v>4224</v>
      </c>
      <c r="D121" s="2546">
        <v>90.1</v>
      </c>
      <c r="E121" s="2545" t="s">
        <v>4225</v>
      </c>
      <c r="F121" s="2547">
        <v>36.659999999999997</v>
      </c>
      <c r="G121" s="1064" t="s">
        <v>4226</v>
      </c>
      <c r="H121" s="1064">
        <v>6.6529999999999996</v>
      </c>
      <c r="I121" s="1064" t="s">
        <v>4227</v>
      </c>
      <c r="J121" s="1064">
        <v>0</v>
      </c>
      <c r="K121" s="2548" t="s">
        <v>664</v>
      </c>
      <c r="L121" s="1064">
        <v>0</v>
      </c>
    </row>
    <row r="122" spans="1:16" ht="18.95" hidden="1" customHeight="1" thickTop="1" x14ac:dyDescent="0.2">
      <c r="A122" s="2543">
        <v>41913</v>
      </c>
      <c r="B122" s="2544">
        <v>22.190999999999999</v>
      </c>
      <c r="C122" s="2545" t="s">
        <v>4228</v>
      </c>
      <c r="D122" s="2546">
        <f>21.4+0.096+16.652</f>
        <v>38.147999999999996</v>
      </c>
      <c r="E122" s="2545" t="s">
        <v>4229</v>
      </c>
      <c r="F122" s="2547">
        <v>19.384</v>
      </c>
      <c r="G122" s="1064" t="s">
        <v>4230</v>
      </c>
      <c r="H122" s="1064">
        <v>5.0060000000000002</v>
      </c>
      <c r="I122" s="1064" t="s">
        <v>4231</v>
      </c>
      <c r="J122" s="1064">
        <v>0</v>
      </c>
      <c r="K122" s="2548" t="s">
        <v>664</v>
      </c>
      <c r="L122" s="1064">
        <v>0</v>
      </c>
    </row>
    <row r="123" spans="1:16" ht="18.95" hidden="1" customHeight="1" thickTop="1" x14ac:dyDescent="0.2">
      <c r="A123" s="2543">
        <v>41944</v>
      </c>
      <c r="B123" s="2544">
        <v>39.206000000000003</v>
      </c>
      <c r="C123" s="2545" t="s">
        <v>4232</v>
      </c>
      <c r="D123" s="2546">
        <v>56.61</v>
      </c>
      <c r="E123" s="2545" t="s">
        <v>4233</v>
      </c>
      <c r="F123" s="2547">
        <v>0.90200000000000002</v>
      </c>
      <c r="G123" s="1064" t="s">
        <v>4234</v>
      </c>
      <c r="H123" s="1064">
        <v>2.41</v>
      </c>
      <c r="I123" s="1064" t="s">
        <v>4235</v>
      </c>
      <c r="J123" s="1064">
        <v>0</v>
      </c>
      <c r="K123" s="2548" t="s">
        <v>664</v>
      </c>
      <c r="L123" s="1064">
        <v>0</v>
      </c>
    </row>
    <row r="124" spans="1:16" ht="18.95" hidden="1" customHeight="1" thickTop="1" x14ac:dyDescent="0.2">
      <c r="A124" s="2543">
        <v>41974</v>
      </c>
      <c r="B124" s="2544">
        <v>40.155000000000001</v>
      </c>
      <c r="C124" s="2545" t="s">
        <v>4236</v>
      </c>
      <c r="D124" s="2546">
        <v>98.843000000000004</v>
      </c>
      <c r="E124" s="2545" t="s">
        <v>4237</v>
      </c>
      <c r="F124" s="2547">
        <v>48.652999999999999</v>
      </c>
      <c r="G124" s="1064" t="s">
        <v>4238</v>
      </c>
      <c r="H124" s="1064">
        <v>2.69</v>
      </c>
      <c r="I124" s="1064" t="s">
        <v>4239</v>
      </c>
      <c r="J124" s="1064">
        <v>0</v>
      </c>
      <c r="K124" s="2548" t="s">
        <v>664</v>
      </c>
      <c r="L124" s="1064">
        <v>0</v>
      </c>
      <c r="P124" s="2549"/>
    </row>
    <row r="125" spans="1:16" ht="18.95" hidden="1" customHeight="1" thickTop="1" x14ac:dyDescent="0.2">
      <c r="A125" s="2543">
        <v>42005</v>
      </c>
      <c r="B125" s="2544">
        <v>24.911999999999999</v>
      </c>
      <c r="C125" s="2545" t="s">
        <v>4240</v>
      </c>
      <c r="D125" s="2546">
        <v>17.61</v>
      </c>
      <c r="E125" s="2545" t="s">
        <v>4241</v>
      </c>
      <c r="F125" s="2547">
        <v>0.66400000000000003</v>
      </c>
      <c r="G125" s="1064" t="s">
        <v>4242</v>
      </c>
      <c r="H125" s="1064">
        <v>1.641</v>
      </c>
      <c r="I125" s="1064" t="s">
        <v>4243</v>
      </c>
      <c r="J125" s="1064">
        <v>0</v>
      </c>
      <c r="K125" s="2548" t="s">
        <v>664</v>
      </c>
      <c r="L125" s="1064">
        <v>0</v>
      </c>
    </row>
    <row r="126" spans="1:16" ht="18.95" hidden="1" customHeight="1" thickTop="1" x14ac:dyDescent="0.2">
      <c r="A126" s="2543">
        <v>42036</v>
      </c>
      <c r="B126" s="2544">
        <v>17.654</v>
      </c>
      <c r="C126" s="2545" t="s">
        <v>4244</v>
      </c>
      <c r="D126" s="2546">
        <f>77.35+0.182</f>
        <v>77.531999999999996</v>
      </c>
      <c r="E126" s="2545" t="s">
        <v>4245</v>
      </c>
      <c r="F126" s="2547">
        <v>24.553000000000001</v>
      </c>
      <c r="G126" s="1064" t="s">
        <v>4246</v>
      </c>
      <c r="H126" s="2550">
        <v>0.27500000000000002</v>
      </c>
      <c r="I126" s="1064" t="s">
        <v>4247</v>
      </c>
      <c r="J126" s="1064">
        <v>0</v>
      </c>
      <c r="K126" s="2548" t="s">
        <v>664</v>
      </c>
      <c r="L126" s="1064">
        <v>0</v>
      </c>
    </row>
    <row r="127" spans="1:16" ht="18.95" hidden="1" customHeight="1" thickTop="1" x14ac:dyDescent="0.2">
      <c r="A127" s="2543">
        <v>42095</v>
      </c>
      <c r="B127" s="2544">
        <v>8.9269999999999996</v>
      </c>
      <c r="C127" s="2545" t="s">
        <v>4248</v>
      </c>
      <c r="D127" s="2546">
        <v>0.36499999999999999</v>
      </c>
      <c r="E127" s="2545" t="s">
        <v>4249</v>
      </c>
      <c r="F127" s="2547">
        <v>0.60299999999999998</v>
      </c>
      <c r="G127" s="1064" t="s">
        <v>4250</v>
      </c>
      <c r="H127" s="2550">
        <v>0.19700000000000001</v>
      </c>
      <c r="I127" s="1064" t="s">
        <v>4251</v>
      </c>
      <c r="J127" s="1064">
        <v>0</v>
      </c>
      <c r="K127" s="2548" t="s">
        <v>664</v>
      </c>
      <c r="L127" s="1064">
        <v>0</v>
      </c>
    </row>
    <row r="128" spans="1:16" ht="18.95" customHeight="1" thickTop="1" x14ac:dyDescent="0.2">
      <c r="A128" s="2543">
        <v>42125</v>
      </c>
      <c r="B128" s="2544">
        <v>14.673</v>
      </c>
      <c r="C128" s="2545" t="s">
        <v>4252</v>
      </c>
      <c r="D128" s="2546">
        <v>76.95</v>
      </c>
      <c r="E128" s="2545" t="s">
        <v>4253</v>
      </c>
      <c r="F128" s="2547">
        <v>0.45500000000000002</v>
      </c>
      <c r="G128" s="1064" t="s">
        <v>4254</v>
      </c>
      <c r="H128" s="2550">
        <v>3.742</v>
      </c>
      <c r="I128" s="1064" t="s">
        <v>4255</v>
      </c>
      <c r="J128" s="1064">
        <v>0</v>
      </c>
      <c r="K128" s="2548" t="s">
        <v>664</v>
      </c>
      <c r="L128" s="1064">
        <v>0</v>
      </c>
    </row>
    <row r="129" spans="1:16" ht="18.95" customHeight="1" x14ac:dyDescent="0.2">
      <c r="A129" s="2543">
        <v>42156</v>
      </c>
      <c r="B129" s="2544">
        <v>9.8000000000000007</v>
      </c>
      <c r="C129" s="2545">
        <v>35.25</v>
      </c>
      <c r="D129" s="2546">
        <v>52.927999999999997</v>
      </c>
      <c r="E129" s="2545" t="s">
        <v>4256</v>
      </c>
      <c r="F129" s="2547">
        <v>7.57</v>
      </c>
      <c r="G129" s="1064" t="s">
        <v>4257</v>
      </c>
      <c r="H129" s="2550">
        <v>2.9420000000000002</v>
      </c>
      <c r="I129" s="1064" t="s">
        <v>4258</v>
      </c>
      <c r="J129" s="1064">
        <v>0</v>
      </c>
      <c r="K129" s="2548" t="s">
        <v>664</v>
      </c>
      <c r="L129" s="1064">
        <v>0</v>
      </c>
    </row>
    <row r="130" spans="1:16" ht="18.95" customHeight="1" x14ac:dyDescent="0.2">
      <c r="A130" s="2543">
        <v>42186</v>
      </c>
      <c r="B130" s="2544">
        <v>11.465999999999999</v>
      </c>
      <c r="C130" s="2545">
        <v>35.6</v>
      </c>
      <c r="D130" s="2546">
        <v>14.840999999999999</v>
      </c>
      <c r="E130" s="2545" t="s">
        <v>4259</v>
      </c>
      <c r="F130" s="2547">
        <v>35.325000000000003</v>
      </c>
      <c r="G130" s="1064" t="s">
        <v>4260</v>
      </c>
      <c r="H130" s="2550">
        <v>1.448</v>
      </c>
      <c r="I130" s="1064" t="s">
        <v>4261</v>
      </c>
      <c r="J130" s="1064">
        <v>0</v>
      </c>
      <c r="K130" s="2548" t="s">
        <v>664</v>
      </c>
      <c r="L130" s="1064">
        <v>0</v>
      </c>
    </row>
    <row r="131" spans="1:16" ht="18.95" customHeight="1" x14ac:dyDescent="0.2">
      <c r="A131" s="2543">
        <v>42217</v>
      </c>
      <c r="B131" s="2544">
        <v>12.843</v>
      </c>
      <c r="C131" s="2545">
        <v>35.72</v>
      </c>
      <c r="D131" s="2546">
        <v>9.0419999999999998</v>
      </c>
      <c r="E131" s="2545" t="s">
        <v>4262</v>
      </c>
      <c r="F131" s="2547">
        <v>0.41199999999999998</v>
      </c>
      <c r="G131" s="1064" t="s">
        <v>4263</v>
      </c>
      <c r="H131" s="2550">
        <v>0.878</v>
      </c>
      <c r="I131" s="1064" t="s">
        <v>4264</v>
      </c>
      <c r="J131" s="1064">
        <v>0</v>
      </c>
      <c r="K131" s="2548" t="s">
        <v>664</v>
      </c>
      <c r="L131" s="1064">
        <v>0</v>
      </c>
    </row>
    <row r="132" spans="1:16" ht="18.95" customHeight="1" x14ac:dyDescent="0.2">
      <c r="A132" s="2543">
        <v>42248</v>
      </c>
      <c r="B132" s="2544">
        <v>6.1929999999999996</v>
      </c>
      <c r="C132" s="2545">
        <v>35.5</v>
      </c>
      <c r="D132" s="2546">
        <v>43.274999999999999</v>
      </c>
      <c r="E132" s="2545" t="s">
        <v>4265</v>
      </c>
      <c r="F132" s="2547">
        <v>11.222</v>
      </c>
      <c r="G132" s="1064" t="s">
        <v>4266</v>
      </c>
      <c r="H132" s="2550">
        <v>2.6219999999999999</v>
      </c>
      <c r="I132" s="1064" t="s">
        <v>4267</v>
      </c>
      <c r="J132" s="1064">
        <v>0</v>
      </c>
      <c r="K132" s="2548" t="s">
        <v>664</v>
      </c>
      <c r="L132" s="1064">
        <v>0</v>
      </c>
    </row>
    <row r="133" spans="1:16" ht="18.95" customHeight="1" x14ac:dyDescent="0.2">
      <c r="A133" s="2543">
        <v>42278</v>
      </c>
      <c r="B133" s="2544">
        <v>7</v>
      </c>
      <c r="C133" s="2545">
        <v>35.9</v>
      </c>
      <c r="D133" s="2546">
        <v>79.55</v>
      </c>
      <c r="E133" s="2545" t="s">
        <v>4268</v>
      </c>
      <c r="F133" s="2547">
        <v>0.45200000000000001</v>
      </c>
      <c r="G133" s="1064" t="s">
        <v>4269</v>
      </c>
      <c r="H133" s="2550">
        <v>0.45900000000000002</v>
      </c>
      <c r="I133" s="1064" t="s">
        <v>4270</v>
      </c>
      <c r="J133" s="1064">
        <v>0</v>
      </c>
      <c r="K133" s="2548" t="s">
        <v>664</v>
      </c>
      <c r="L133" s="1064">
        <v>0</v>
      </c>
    </row>
    <row r="134" spans="1:16" ht="18.95" customHeight="1" x14ac:dyDescent="0.2">
      <c r="A134" s="2543">
        <v>42309</v>
      </c>
      <c r="B134" s="2544">
        <v>4.28</v>
      </c>
      <c r="C134" s="2545">
        <v>36.5</v>
      </c>
      <c r="D134" s="2546">
        <v>78</v>
      </c>
      <c r="E134" s="2545" t="s">
        <v>4271</v>
      </c>
      <c r="F134" s="2547">
        <v>0.34300000000000003</v>
      </c>
      <c r="G134" s="1064" t="s">
        <v>4272</v>
      </c>
      <c r="H134" s="2550">
        <v>3.1360000000000001</v>
      </c>
      <c r="I134" s="1064" t="s">
        <v>4273</v>
      </c>
      <c r="J134" s="1064">
        <v>0</v>
      </c>
      <c r="K134" s="2548" t="s">
        <v>664</v>
      </c>
      <c r="L134" s="1064">
        <v>0</v>
      </c>
    </row>
    <row r="135" spans="1:16" ht="18.95" customHeight="1" x14ac:dyDescent="0.2">
      <c r="A135" s="2543">
        <v>42339</v>
      </c>
      <c r="B135" s="2544">
        <v>7.476</v>
      </c>
      <c r="C135" s="2545">
        <v>36.450000000000003</v>
      </c>
      <c r="D135" s="2546">
        <v>28.14</v>
      </c>
      <c r="E135" s="2545" t="s">
        <v>4274</v>
      </c>
      <c r="F135" s="2547">
        <v>10.186999999999999</v>
      </c>
      <c r="G135" s="1064" t="s">
        <v>4275</v>
      </c>
      <c r="H135" s="2550">
        <v>2.2000000000000002</v>
      </c>
      <c r="I135" s="1064" t="s">
        <v>4276</v>
      </c>
      <c r="J135" s="1064">
        <v>0</v>
      </c>
      <c r="K135" s="2548" t="s">
        <v>664</v>
      </c>
      <c r="L135" s="1064">
        <v>0</v>
      </c>
    </row>
    <row r="136" spans="1:16" ht="18.95" customHeight="1" x14ac:dyDescent="0.2">
      <c r="A136" s="2543">
        <v>42370</v>
      </c>
      <c r="B136" s="2544">
        <v>4</v>
      </c>
      <c r="C136" s="2545">
        <v>36.549999999999997</v>
      </c>
      <c r="D136" s="2546">
        <v>80.3</v>
      </c>
      <c r="E136" s="2545">
        <v>36.299999999999997</v>
      </c>
      <c r="F136" s="2547">
        <v>0.251</v>
      </c>
      <c r="G136" s="1064" t="s">
        <v>4277</v>
      </c>
      <c r="H136" s="2550">
        <v>1.0167999999999999</v>
      </c>
      <c r="I136" s="1064" t="s">
        <v>4278</v>
      </c>
      <c r="J136" s="1064">
        <v>0</v>
      </c>
      <c r="K136" s="2548" t="s">
        <v>664</v>
      </c>
      <c r="L136" s="1064">
        <v>0</v>
      </c>
    </row>
    <row r="137" spans="1:16" ht="18.95" customHeight="1" x14ac:dyDescent="0.2">
      <c r="A137" s="2543">
        <v>42401</v>
      </c>
      <c r="B137" s="2544">
        <v>3.7919999999999998</v>
      </c>
      <c r="C137" s="2545" t="s">
        <v>4279</v>
      </c>
      <c r="D137" s="2546">
        <v>71.099999999999994</v>
      </c>
      <c r="E137" s="2545" t="s">
        <v>4280</v>
      </c>
      <c r="F137" s="2547">
        <v>5.6000000000000001E-2</v>
      </c>
      <c r="G137" s="1064" t="s">
        <v>4281</v>
      </c>
      <c r="H137" s="2550">
        <v>0.69299999999999995</v>
      </c>
      <c r="I137" s="1064" t="s">
        <v>4282</v>
      </c>
      <c r="J137" s="2550">
        <v>0.19</v>
      </c>
      <c r="K137" s="2548" t="s">
        <v>4283</v>
      </c>
      <c r="L137" s="1064">
        <v>0</v>
      </c>
    </row>
    <row r="138" spans="1:16" ht="18.95" customHeight="1" x14ac:dyDescent="0.2">
      <c r="A138" s="2543">
        <v>42430</v>
      </c>
      <c r="B138" s="2544">
        <v>5.1832750000000001</v>
      </c>
      <c r="C138" s="2545" t="s">
        <v>4284</v>
      </c>
      <c r="D138" s="2546">
        <v>50</v>
      </c>
      <c r="E138" s="2545">
        <v>35.700000000000003</v>
      </c>
      <c r="F138" s="2547">
        <v>1.4159999999999999</v>
      </c>
      <c r="G138" s="1064" t="s">
        <v>4285</v>
      </c>
      <c r="H138" s="2550">
        <v>12.425000000000001</v>
      </c>
      <c r="I138" s="1064" t="s">
        <v>4286</v>
      </c>
      <c r="J138" s="2550">
        <v>0.108</v>
      </c>
      <c r="K138" s="2548" t="s">
        <v>4287</v>
      </c>
      <c r="L138" s="1064">
        <v>0</v>
      </c>
    </row>
    <row r="139" spans="1:16" ht="18.95" customHeight="1" x14ac:dyDescent="0.2">
      <c r="A139" s="2543">
        <v>42461</v>
      </c>
      <c r="B139" s="2544">
        <v>3.2</v>
      </c>
      <c r="C139" s="2545">
        <v>35.549999999999997</v>
      </c>
      <c r="D139" s="2546">
        <v>16.742000000000001</v>
      </c>
      <c r="E139" s="2545" t="s">
        <v>4288</v>
      </c>
      <c r="F139" s="2547">
        <v>0.122</v>
      </c>
      <c r="G139" s="1064" t="s">
        <v>4289</v>
      </c>
      <c r="H139" s="2550">
        <v>0.96499999999999997</v>
      </c>
      <c r="I139" s="1064" t="s">
        <v>4290</v>
      </c>
      <c r="J139" s="2550">
        <v>0.34899999999999998</v>
      </c>
      <c r="K139" s="2548" t="s">
        <v>4291</v>
      </c>
      <c r="L139" s="1064">
        <v>0</v>
      </c>
    </row>
    <row r="140" spans="1:16" ht="18.95" customHeight="1" x14ac:dyDescent="0.2">
      <c r="A140" s="2543">
        <v>42491</v>
      </c>
      <c r="B140" s="2544">
        <v>4.3380000000000001</v>
      </c>
      <c r="C140" s="2545" t="s">
        <v>4280</v>
      </c>
      <c r="D140" s="2546">
        <v>118.05</v>
      </c>
      <c r="E140" s="2545" t="s">
        <v>4292</v>
      </c>
      <c r="F140" s="2547">
        <v>0.63100000000000001</v>
      </c>
      <c r="G140" s="1064" t="s">
        <v>4293</v>
      </c>
      <c r="H140" s="2550">
        <v>3.1059999999999999</v>
      </c>
      <c r="I140" s="1064" t="s">
        <v>4294</v>
      </c>
      <c r="J140" s="2550">
        <v>0.34399999999999997</v>
      </c>
      <c r="K140" s="2548" t="s">
        <v>4295</v>
      </c>
      <c r="L140" s="1064">
        <v>0</v>
      </c>
    </row>
    <row r="141" spans="1:16" ht="11.25" customHeight="1" thickBot="1" x14ac:dyDescent="0.25">
      <c r="A141" s="2551"/>
      <c r="B141" s="2552"/>
      <c r="C141" s="2553"/>
      <c r="D141" s="2554"/>
      <c r="E141" s="2553"/>
      <c r="F141" s="2555"/>
      <c r="G141" s="2556"/>
      <c r="H141" s="2556"/>
      <c r="I141" s="2556"/>
      <c r="J141" s="2557"/>
      <c r="K141" s="2554"/>
      <c r="L141" s="2558"/>
    </row>
    <row r="142" spans="1:16" s="2489" customFormat="1" ht="17.25" customHeight="1" x14ac:dyDescent="0.2">
      <c r="A142" s="2559" t="s">
        <v>4296</v>
      </c>
      <c r="B142" s="2560"/>
      <c r="C142" s="2561"/>
      <c r="D142" s="2562"/>
    </row>
    <row r="143" spans="1:16" s="2489" customFormat="1" ht="17.25" customHeight="1" x14ac:dyDescent="0.2">
      <c r="A143" s="2559" t="s">
        <v>4297</v>
      </c>
      <c r="B143" s="2560"/>
      <c r="C143" s="2561"/>
      <c r="D143" s="2562"/>
    </row>
    <row r="144" spans="1:16" s="2489" customFormat="1" ht="17.25" customHeight="1" x14ac:dyDescent="0.2">
      <c r="A144" s="2559" t="s">
        <v>680</v>
      </c>
      <c r="B144" s="2560"/>
      <c r="C144" s="2561"/>
      <c r="D144" s="2562"/>
      <c r="P144" s="2563"/>
    </row>
    <row r="145" spans="1:10" s="2489" customFormat="1" x14ac:dyDescent="0.2">
      <c r="A145" s="2559"/>
      <c r="B145" s="2560"/>
      <c r="C145" s="2561"/>
      <c r="D145" s="2562"/>
    </row>
    <row r="146" spans="1:10" ht="21.75" x14ac:dyDescent="0.2">
      <c r="A146" s="2564" t="s">
        <v>4298</v>
      </c>
      <c r="B146" s="2565"/>
      <c r="C146" s="2565"/>
      <c r="D146" s="2565"/>
      <c r="E146" s="2565"/>
      <c r="F146" s="2566"/>
      <c r="G146" s="2567"/>
      <c r="H146" s="2567"/>
      <c r="I146" s="2567"/>
      <c r="J146" s="2567"/>
    </row>
    <row r="147" spans="1:10" ht="18.75" x14ac:dyDescent="0.2">
      <c r="A147" s="2564" t="s">
        <v>4058</v>
      </c>
      <c r="B147" s="2565"/>
      <c r="C147" s="2565"/>
      <c r="D147" s="2565"/>
      <c r="E147" s="2565"/>
      <c r="F147" s="2566"/>
      <c r="G147" s="2567"/>
      <c r="H147" s="2567"/>
      <c r="I147" s="2567"/>
      <c r="J147" s="2567"/>
    </row>
    <row r="148" spans="1:10" ht="15.75" thickBot="1" x14ac:dyDescent="0.25">
      <c r="A148" s="2568"/>
      <c r="B148" s="2568"/>
      <c r="C148" s="2568"/>
      <c r="D148" s="2568"/>
      <c r="E148" s="2568"/>
      <c r="F148" s="2568"/>
      <c r="G148" s="2567"/>
      <c r="H148" s="2567"/>
      <c r="I148" s="2567"/>
      <c r="J148" s="2567"/>
    </row>
    <row r="149" spans="1:10" ht="15.75" thickTop="1" x14ac:dyDescent="0.2">
      <c r="A149" s="2569"/>
      <c r="B149" s="2570"/>
      <c r="C149" s="2571"/>
      <c r="D149" s="2571"/>
      <c r="E149" s="2572"/>
      <c r="F149" s="2573"/>
      <c r="G149" s="2574"/>
      <c r="H149" s="2575"/>
      <c r="I149" s="2575"/>
      <c r="J149" s="2567"/>
    </row>
    <row r="150" spans="1:10" x14ac:dyDescent="0.2">
      <c r="A150" s="2576" t="s">
        <v>211</v>
      </c>
      <c r="B150" s="2577" t="s">
        <v>4299</v>
      </c>
      <c r="C150" s="2578" t="s">
        <v>4300</v>
      </c>
      <c r="D150" s="2579" t="s">
        <v>4301</v>
      </c>
      <c r="E150" s="2580" t="s">
        <v>4299</v>
      </c>
      <c r="F150" s="2578" t="s">
        <v>4300</v>
      </c>
      <c r="G150" s="2581" t="s">
        <v>4301</v>
      </c>
      <c r="H150" s="2575"/>
      <c r="I150" s="2575"/>
      <c r="J150" s="2582"/>
    </row>
    <row r="151" spans="1:10" x14ac:dyDescent="0.2">
      <c r="A151" s="2583"/>
      <c r="B151" s="3444" t="s">
        <v>4302</v>
      </c>
      <c r="C151" s="3444"/>
      <c r="D151" s="3444"/>
      <c r="E151" s="3445" t="s">
        <v>4303</v>
      </c>
      <c r="F151" s="3444"/>
      <c r="G151" s="3446"/>
      <c r="H151" s="2575"/>
      <c r="I151" s="2575"/>
      <c r="J151" s="2582"/>
    </row>
    <row r="152" spans="1:10" hidden="1" x14ac:dyDescent="0.2">
      <c r="A152" s="2584">
        <v>41275</v>
      </c>
      <c r="B152" s="2585">
        <v>30.430700000000002</v>
      </c>
      <c r="C152" s="2586">
        <v>41.271900000000002</v>
      </c>
      <c r="D152" s="2587">
        <v>48.303600000000003</v>
      </c>
      <c r="E152" s="2588">
        <v>30.603123809523812</v>
      </c>
      <c r="F152" s="2586">
        <v>40.656466666666653</v>
      </c>
      <c r="G152" s="2589">
        <v>48.939066666666662</v>
      </c>
      <c r="H152" s="2575"/>
      <c r="I152" s="2575"/>
      <c r="J152" s="2582"/>
    </row>
    <row r="153" spans="1:10" hidden="1" x14ac:dyDescent="0.2">
      <c r="A153" s="2584">
        <v>41306</v>
      </c>
      <c r="B153" s="2585">
        <v>30.850300000000001</v>
      </c>
      <c r="C153" s="2586">
        <v>40.475099999999998</v>
      </c>
      <c r="D153" s="2587">
        <v>46.942799999999998</v>
      </c>
      <c r="E153" s="2588">
        <v>30.654636842105255</v>
      </c>
      <c r="F153" s="2586">
        <v>40.882905263157895</v>
      </c>
      <c r="G153" s="2589">
        <v>47.462326315789475</v>
      </c>
      <c r="H153" s="2575"/>
      <c r="I153" s="2575"/>
      <c r="J153" s="2582"/>
    </row>
    <row r="154" spans="1:10" hidden="1" x14ac:dyDescent="0.2">
      <c r="A154" s="2584">
        <v>41334</v>
      </c>
      <c r="B154" s="2585">
        <v>31.3004</v>
      </c>
      <c r="C154" s="2586">
        <v>40.124299999999998</v>
      </c>
      <c r="D154" s="2587">
        <v>47.625500000000002</v>
      </c>
      <c r="E154" s="2588">
        <v>31.066909999999996</v>
      </c>
      <c r="F154" s="2586">
        <v>40.289155000000001</v>
      </c>
      <c r="G154" s="2589">
        <v>46.976050000000001</v>
      </c>
      <c r="H154" s="2575"/>
      <c r="I154" s="2575"/>
      <c r="J154" s="2582"/>
    </row>
    <row r="155" spans="1:10" hidden="1" x14ac:dyDescent="0.2">
      <c r="A155" s="2584">
        <v>41365</v>
      </c>
      <c r="B155" s="2585">
        <v>31.0306</v>
      </c>
      <c r="C155" s="2586">
        <v>40.616300000000003</v>
      </c>
      <c r="D155" s="2587">
        <v>48.115400000000001</v>
      </c>
      <c r="E155" s="2588">
        <v>31.116445000000006</v>
      </c>
      <c r="F155" s="2586">
        <v>40.532910000000001</v>
      </c>
      <c r="G155" s="2589">
        <v>47.664449999999995</v>
      </c>
      <c r="H155" s="2575"/>
      <c r="I155" s="2575"/>
      <c r="J155" s="2582"/>
    </row>
    <row r="156" spans="1:10" hidden="1" x14ac:dyDescent="0.2">
      <c r="A156" s="2584">
        <v>41395</v>
      </c>
      <c r="B156" s="2585">
        <v>31.124199999999998</v>
      </c>
      <c r="C156" s="2586">
        <v>40.674700000000001</v>
      </c>
      <c r="D156" s="2587">
        <v>47.593200000000003</v>
      </c>
      <c r="E156" s="2588">
        <v>31.167886363636363</v>
      </c>
      <c r="F156" s="2586">
        <v>40.473986363636371</v>
      </c>
      <c r="G156" s="2589">
        <v>47.741309090909091</v>
      </c>
      <c r="H156" s="2575"/>
      <c r="I156" s="2575"/>
      <c r="J156" s="2582"/>
    </row>
    <row r="157" spans="1:10" hidden="1" x14ac:dyDescent="0.2">
      <c r="A157" s="2584">
        <v>41426</v>
      </c>
      <c r="B157" s="2585">
        <v>31.184000000000001</v>
      </c>
      <c r="C157" s="2586">
        <v>40.688499999999998</v>
      </c>
      <c r="D157" s="2587">
        <v>47.794499999999999</v>
      </c>
      <c r="E157" s="2588">
        <v>30.964214999999996</v>
      </c>
      <c r="F157" s="2586">
        <v>40.875264999999999</v>
      </c>
      <c r="G157" s="2589">
        <v>48.045384999999996</v>
      </c>
      <c r="H157" s="2575"/>
      <c r="I157" s="2575"/>
      <c r="J157" s="2582"/>
    </row>
    <row r="158" spans="1:10" hidden="1" x14ac:dyDescent="0.2">
      <c r="A158" s="2584">
        <v>41456</v>
      </c>
      <c r="B158" s="2585">
        <v>30.9513</v>
      </c>
      <c r="C158" s="2586">
        <v>40.958199999999998</v>
      </c>
      <c r="D158" s="2587">
        <v>47.088099999999997</v>
      </c>
      <c r="E158" s="2588">
        <v>31.088491304347823</v>
      </c>
      <c r="F158" s="2586">
        <v>40.690691304347823</v>
      </c>
      <c r="G158" s="2589">
        <v>47.32544782608695</v>
      </c>
      <c r="H158" s="2575"/>
      <c r="I158" s="2575"/>
      <c r="J158" s="2582"/>
    </row>
    <row r="159" spans="1:10" hidden="1" x14ac:dyDescent="0.2">
      <c r="A159" s="2584">
        <v>41487</v>
      </c>
      <c r="B159" s="2585">
        <v>30.9194</v>
      </c>
      <c r="C159" s="2586">
        <v>40.973500000000001</v>
      </c>
      <c r="D159" s="2587">
        <v>48.167000000000002</v>
      </c>
      <c r="E159" s="2588">
        <v>30.870180952380956</v>
      </c>
      <c r="F159" s="2586">
        <v>41.119528571428582</v>
      </c>
      <c r="G159" s="2589">
        <v>47.858095238095245</v>
      </c>
      <c r="H159" s="2575"/>
      <c r="I159" s="2575"/>
      <c r="J159" s="2582"/>
    </row>
    <row r="160" spans="1:10" hidden="1" x14ac:dyDescent="0.2">
      <c r="A160" s="2584">
        <v>41518</v>
      </c>
      <c r="B160" s="2585">
        <v>30.5107</v>
      </c>
      <c r="C160" s="2586">
        <v>41.2699</v>
      </c>
      <c r="D160" s="2587">
        <v>49.3065</v>
      </c>
      <c r="E160" s="2588">
        <v>30.840750000000003</v>
      </c>
      <c r="F160" s="2586">
        <v>41.215094999999998</v>
      </c>
      <c r="G160" s="2589">
        <v>49.017115000000004</v>
      </c>
      <c r="H160" s="2575"/>
      <c r="I160" s="2575"/>
      <c r="J160" s="2582"/>
    </row>
    <row r="161" spans="1:10" hidden="1" x14ac:dyDescent="0.2">
      <c r="A161" s="2584">
        <v>41548</v>
      </c>
      <c r="B161" s="2585">
        <v>30.186</v>
      </c>
      <c r="C161" s="2586">
        <v>41.391800000000003</v>
      </c>
      <c r="D161" s="2587">
        <v>48.579700000000003</v>
      </c>
      <c r="E161" s="2588">
        <v>30.381</v>
      </c>
      <c r="F161" s="2586">
        <v>41.430999999999997</v>
      </c>
      <c r="G161" s="2589">
        <v>48.997</v>
      </c>
      <c r="H161" s="2575"/>
      <c r="I161" s="2575"/>
      <c r="J161" s="2590"/>
    </row>
    <row r="162" spans="1:10" hidden="1" x14ac:dyDescent="0.2">
      <c r="A162" s="2584">
        <v>41579</v>
      </c>
      <c r="B162" s="2585">
        <v>30.365400000000001</v>
      </c>
      <c r="C162" s="2586">
        <v>41.359900000000003</v>
      </c>
      <c r="D162" s="2587">
        <v>49.6</v>
      </c>
      <c r="E162" s="2588">
        <v>30.513550000000002</v>
      </c>
      <c r="F162" s="2586">
        <v>41.245615000000001</v>
      </c>
      <c r="G162" s="2589">
        <v>49.231155000000008</v>
      </c>
      <c r="H162" s="2575"/>
      <c r="I162" s="2575"/>
      <c r="J162" s="2590"/>
    </row>
    <row r="163" spans="1:10" hidden="1" x14ac:dyDescent="0.2">
      <c r="A163" s="2584">
        <v>41609</v>
      </c>
      <c r="B163" s="2585">
        <v>30.261500000000002</v>
      </c>
      <c r="C163" s="2586">
        <v>41.633800000000001</v>
      </c>
      <c r="D163" s="2587">
        <v>49.841200000000001</v>
      </c>
      <c r="E163" s="2588">
        <v>30.280761904761896</v>
      </c>
      <c r="F163" s="2586">
        <v>41.475899999999996</v>
      </c>
      <c r="G163" s="2589">
        <v>49.642990476190462</v>
      </c>
      <c r="H163" s="2575"/>
      <c r="I163" s="2575"/>
      <c r="J163" s="2590"/>
    </row>
    <row r="164" spans="1:10" hidden="1" x14ac:dyDescent="0.2">
      <c r="A164" s="2584">
        <v>41640</v>
      </c>
      <c r="B164" s="2585">
        <v>30.334599999999998</v>
      </c>
      <c r="C164" s="2586">
        <v>41.370199999999997</v>
      </c>
      <c r="D164" s="2587">
        <v>50.411900000000003</v>
      </c>
      <c r="E164" s="2588">
        <v>30.334347368421057</v>
      </c>
      <c r="F164" s="2586">
        <v>41.345510526315792</v>
      </c>
      <c r="G164" s="2589">
        <v>50.067547368421039</v>
      </c>
      <c r="H164" s="2575"/>
      <c r="I164" s="2575"/>
      <c r="J164" s="2582"/>
    </row>
    <row r="165" spans="1:10" hidden="1" x14ac:dyDescent="0.2">
      <c r="A165" s="2584">
        <v>41671</v>
      </c>
      <c r="B165" s="2585">
        <v>30.182300000000001</v>
      </c>
      <c r="C165" s="2586">
        <v>41.464199999999998</v>
      </c>
      <c r="D165" s="2587">
        <v>50.6616</v>
      </c>
      <c r="E165" s="2588">
        <v>30.301788888888893</v>
      </c>
      <c r="F165" s="2586">
        <v>41.413055555555559</v>
      </c>
      <c r="G165" s="2589">
        <v>50.306766666666668</v>
      </c>
      <c r="H165" s="2575"/>
      <c r="I165" s="2575"/>
      <c r="J165" s="2582"/>
    </row>
    <row r="166" spans="1:10" hidden="1" x14ac:dyDescent="0.2">
      <c r="A166" s="2584">
        <v>41699</v>
      </c>
      <c r="B166" s="2585">
        <v>30.196400000000001</v>
      </c>
      <c r="C166" s="2586">
        <v>41.5411</v>
      </c>
      <c r="D166" s="2587">
        <v>50.4268</v>
      </c>
      <c r="E166" s="2588">
        <v>30.107694736842106</v>
      </c>
      <c r="F166" s="2586">
        <v>41.639631578947366</v>
      </c>
      <c r="G166" s="2589">
        <v>50.17263157894736</v>
      </c>
      <c r="H166" s="2575"/>
      <c r="I166" s="2575"/>
      <c r="J166" s="2582"/>
    </row>
    <row r="167" spans="1:10" hidden="1" x14ac:dyDescent="0.2">
      <c r="A167" s="2584">
        <v>41730</v>
      </c>
      <c r="B167" s="2585">
        <v>30.079899999999999</v>
      </c>
      <c r="C167" s="2586">
        <v>41.506999999999998</v>
      </c>
      <c r="D167" s="2587">
        <v>50.912799999999997</v>
      </c>
      <c r="E167" s="2588">
        <v>30.104427272727275</v>
      </c>
      <c r="F167" s="2586">
        <v>41.582795454545455</v>
      </c>
      <c r="G167" s="2589">
        <v>50.567418181818191</v>
      </c>
      <c r="H167" s="2575"/>
      <c r="I167" s="2575"/>
      <c r="J167" s="2582"/>
    </row>
    <row r="168" spans="1:10" hidden="1" x14ac:dyDescent="0.2">
      <c r="A168" s="2584">
        <v>41760</v>
      </c>
      <c r="B168" s="2585">
        <v>30.342099999999999</v>
      </c>
      <c r="C168" s="2586">
        <v>41.297800000000002</v>
      </c>
      <c r="D168" s="2587">
        <v>50.977800000000002</v>
      </c>
      <c r="E168" s="2588">
        <v>30.180161904761899</v>
      </c>
      <c r="F168" s="2586">
        <v>41.459180952380954</v>
      </c>
      <c r="G168" s="2589">
        <v>51.058476190476192</v>
      </c>
      <c r="H168" s="2575"/>
      <c r="I168" s="2575"/>
      <c r="J168" s="2582"/>
    </row>
    <row r="169" spans="1:10" hidden="1" x14ac:dyDescent="0.2">
      <c r="A169" s="2584">
        <v>41791</v>
      </c>
      <c r="B169" s="2585">
        <v>30.352499999999999</v>
      </c>
      <c r="C169" s="2586">
        <v>41.417000000000002</v>
      </c>
      <c r="D169" s="2587">
        <v>51.6494</v>
      </c>
      <c r="E169" s="2588">
        <v>30.390471428571427</v>
      </c>
      <c r="F169" s="2586">
        <v>41.325047619047623</v>
      </c>
      <c r="G169" s="2589">
        <v>51.443295238095246</v>
      </c>
      <c r="H169" s="2575"/>
      <c r="I169" s="2575"/>
      <c r="J169" s="2582"/>
    </row>
    <row r="170" spans="1:10" hidden="1" x14ac:dyDescent="0.2">
      <c r="A170" s="2584">
        <v>41821</v>
      </c>
      <c r="B170" s="2585">
        <v>30.631799999999998</v>
      </c>
      <c r="C170" s="2586">
        <v>40.9527</v>
      </c>
      <c r="D170" s="2587">
        <v>51.8</v>
      </c>
      <c r="E170" s="2588">
        <v>30.387900000000002</v>
      </c>
      <c r="F170" s="2586">
        <v>41.174877272727265</v>
      </c>
      <c r="G170" s="2589">
        <v>52.062963636363634</v>
      </c>
      <c r="H170" s="2575"/>
      <c r="I170" s="2575"/>
      <c r="J170" s="2582"/>
    </row>
    <row r="171" spans="1:10" hidden="1" x14ac:dyDescent="0.2">
      <c r="A171" s="2584">
        <v>41852</v>
      </c>
      <c r="B171" s="2585">
        <v>30.990300000000001</v>
      </c>
      <c r="C171" s="2586">
        <v>40.837899999999998</v>
      </c>
      <c r="D171" s="2587">
        <v>51.498899999999999</v>
      </c>
      <c r="E171" s="2588">
        <v>30.730385000000002</v>
      </c>
      <c r="F171" s="2586">
        <v>40.936310000000006</v>
      </c>
      <c r="G171" s="2589">
        <v>51.490829999999995</v>
      </c>
      <c r="H171" s="2575"/>
      <c r="I171" s="2575"/>
      <c r="J171" s="2582"/>
    </row>
    <row r="172" spans="1:10" hidden="1" x14ac:dyDescent="0.2">
      <c r="A172" s="2584">
        <v>41883</v>
      </c>
      <c r="B172" s="2585">
        <v>31.4359</v>
      </c>
      <c r="C172" s="2586">
        <v>39.856200000000001</v>
      </c>
      <c r="D172" s="2587">
        <v>51.328800000000001</v>
      </c>
      <c r="E172" s="2588">
        <v>31.273809090909094</v>
      </c>
      <c r="F172" s="2586">
        <v>40.420631818181818</v>
      </c>
      <c r="G172" s="2589">
        <v>51.156013636363632</v>
      </c>
      <c r="H172" s="2575"/>
      <c r="I172" s="2575"/>
      <c r="J172" s="2582"/>
    </row>
    <row r="173" spans="1:10" hidden="1" x14ac:dyDescent="0.2">
      <c r="A173" s="2584">
        <v>41913</v>
      </c>
      <c r="B173" s="2585">
        <v>31.444500000000001</v>
      </c>
      <c r="C173" s="2586">
        <v>39.494900000000001</v>
      </c>
      <c r="D173" s="2587">
        <v>50.3752</v>
      </c>
      <c r="E173" s="2588">
        <v>31.450813636363645</v>
      </c>
      <c r="F173" s="2586">
        <v>39.92524090909091</v>
      </c>
      <c r="G173" s="2589">
        <v>50.720499999999994</v>
      </c>
      <c r="H173" s="2575"/>
      <c r="I173" s="2575"/>
      <c r="J173" s="2582"/>
    </row>
    <row r="174" spans="1:10" hidden="1" x14ac:dyDescent="0.2">
      <c r="A174" s="2584">
        <v>41944</v>
      </c>
      <c r="B174" s="2585">
        <v>31.5869</v>
      </c>
      <c r="C174" s="2586">
        <v>39.469000000000001</v>
      </c>
      <c r="D174" s="2587">
        <v>49.673000000000002</v>
      </c>
      <c r="E174" s="2588">
        <v>31.606960000000004</v>
      </c>
      <c r="F174" s="2586">
        <v>39.470185000000001</v>
      </c>
      <c r="G174" s="2589">
        <v>50.003565000000002</v>
      </c>
      <c r="H174" s="2575"/>
      <c r="I174" s="2575"/>
      <c r="J174" s="2582"/>
    </row>
    <row r="175" spans="1:10" hidden="1" x14ac:dyDescent="0.2">
      <c r="A175" s="2584">
        <v>41974</v>
      </c>
      <c r="B175" s="2585">
        <v>31.883600000000001</v>
      </c>
      <c r="C175" s="2586">
        <v>38.831400000000002</v>
      </c>
      <c r="D175" s="2587">
        <v>49.82</v>
      </c>
      <c r="E175" s="2588">
        <v>31.681861904761906</v>
      </c>
      <c r="F175" s="2586">
        <v>39.086842857142855</v>
      </c>
      <c r="G175" s="2589">
        <v>49.587885714285711</v>
      </c>
      <c r="H175" s="2575"/>
      <c r="I175" s="2575"/>
      <c r="J175" s="2582"/>
    </row>
    <row r="176" spans="1:10" hidden="1" x14ac:dyDescent="0.2">
      <c r="A176" s="2584">
        <v>42005</v>
      </c>
      <c r="B176" s="2585">
        <v>32.769100000000002</v>
      </c>
      <c r="C176" s="2586">
        <v>37.204700000000003</v>
      </c>
      <c r="D176" s="2587">
        <v>49.795200000000001</v>
      </c>
      <c r="E176" s="2588">
        <v>32.44679</v>
      </c>
      <c r="F176" s="2586">
        <v>37.734644999999986</v>
      </c>
      <c r="G176" s="2589">
        <v>49.31915</v>
      </c>
      <c r="H176" s="2575"/>
      <c r="I176" s="2575"/>
      <c r="J176" s="2582"/>
    </row>
    <row r="177" spans="1:10" hidden="1" x14ac:dyDescent="0.2">
      <c r="A177" s="2584">
        <v>42036</v>
      </c>
      <c r="B177" s="2585">
        <v>33.496000000000002</v>
      </c>
      <c r="C177" s="2586">
        <v>37.521999999999998</v>
      </c>
      <c r="D177" s="2587">
        <v>51.804000000000002</v>
      </c>
      <c r="E177" s="2588">
        <v>33.163241176470585</v>
      </c>
      <c r="F177" s="2586">
        <v>37.696670588235293</v>
      </c>
      <c r="G177" s="2589">
        <v>50.946335294117652</v>
      </c>
      <c r="H177" s="2575"/>
      <c r="I177" s="2575"/>
      <c r="J177" s="2582"/>
    </row>
    <row r="178" spans="1:10" hidden="1" x14ac:dyDescent="0.2">
      <c r="A178" s="2584">
        <v>42064</v>
      </c>
      <c r="B178" s="2585">
        <v>36.533700000000003</v>
      </c>
      <c r="C178" s="2586">
        <v>39.396999999999998</v>
      </c>
      <c r="D178" s="2587">
        <v>54.261800000000001</v>
      </c>
      <c r="E178" s="2588">
        <v>35.711238095238095</v>
      </c>
      <c r="F178" s="2586">
        <v>38.783804761904761</v>
      </c>
      <c r="G178" s="2589">
        <v>53.618961904761917</v>
      </c>
      <c r="H178" s="2575"/>
      <c r="I178" s="2575"/>
      <c r="J178" s="2582"/>
    </row>
    <row r="179" spans="1:10" hidden="1" x14ac:dyDescent="0.2">
      <c r="A179" s="2584">
        <v>42095</v>
      </c>
      <c r="B179" s="2585">
        <v>35.067300000000003</v>
      </c>
      <c r="C179" s="2586">
        <v>39.120899999999999</v>
      </c>
      <c r="D179" s="2587">
        <v>55.087499999999999</v>
      </c>
      <c r="E179" s="2588">
        <v>36.152000000000001</v>
      </c>
      <c r="F179" s="2586">
        <v>39.0839</v>
      </c>
      <c r="G179" s="2589">
        <v>54.255818181818178</v>
      </c>
      <c r="H179" s="2575"/>
      <c r="I179" s="2575"/>
      <c r="J179" s="2582"/>
    </row>
    <row r="180" spans="1:10" x14ac:dyDescent="0.2">
      <c r="A180" s="2584">
        <v>42125</v>
      </c>
      <c r="B180" s="2585">
        <v>35.526299999999999</v>
      </c>
      <c r="C180" s="2586">
        <v>39.037300000000002</v>
      </c>
      <c r="D180" s="2587">
        <v>54.902900000000002</v>
      </c>
      <c r="E180" s="2588">
        <v>35.10493000000001</v>
      </c>
      <c r="F180" s="2586">
        <v>39.225574999999992</v>
      </c>
      <c r="G180" s="2589">
        <v>54.551184999999997</v>
      </c>
      <c r="H180" s="2575"/>
      <c r="I180" s="2575"/>
      <c r="J180" s="2582"/>
    </row>
    <row r="181" spans="1:10" x14ac:dyDescent="0.2">
      <c r="A181" s="2584">
        <v>42156</v>
      </c>
      <c r="B181" s="2585">
        <v>35.245600000000003</v>
      </c>
      <c r="C181" s="2586">
        <v>39.340800000000002</v>
      </c>
      <c r="D181" s="2587">
        <v>55.643099999999997</v>
      </c>
      <c r="E181" s="2588">
        <v>35.211413636363638</v>
      </c>
      <c r="F181" s="2586">
        <v>39.550413636363629</v>
      </c>
      <c r="G181" s="2589">
        <v>55.049790909090916</v>
      </c>
      <c r="H181" s="2575"/>
      <c r="I181" s="2575"/>
      <c r="J181" s="2582"/>
    </row>
    <row r="182" spans="1:10" x14ac:dyDescent="0.2">
      <c r="A182" s="2584">
        <v>42186</v>
      </c>
      <c r="B182" s="2585">
        <v>35.602400000000003</v>
      </c>
      <c r="C182" s="2586">
        <v>38.931100000000001</v>
      </c>
      <c r="D182" s="2587">
        <v>55.432600000000001</v>
      </c>
      <c r="E182" s="2588">
        <v>35.541395652173911</v>
      </c>
      <c r="F182" s="2586">
        <v>39.164904347826088</v>
      </c>
      <c r="G182" s="2589">
        <v>55.623243478260868</v>
      </c>
      <c r="H182" s="2575"/>
      <c r="I182" s="2575"/>
      <c r="J182" s="2582"/>
    </row>
    <row r="183" spans="1:10" x14ac:dyDescent="0.2">
      <c r="A183" s="2584">
        <v>42217</v>
      </c>
      <c r="B183" s="2585">
        <v>35.357999999999997</v>
      </c>
      <c r="C183" s="2586">
        <v>39.658099999999997</v>
      </c>
      <c r="D183" s="2587">
        <v>54.506999999999998</v>
      </c>
      <c r="E183" s="2588">
        <v>35.451128571428569</v>
      </c>
      <c r="F183" s="2586">
        <v>39.56780952380953</v>
      </c>
      <c r="G183" s="2589">
        <v>55.555642857142857</v>
      </c>
      <c r="H183" s="2575"/>
      <c r="I183" s="2575"/>
      <c r="J183" s="2582"/>
    </row>
    <row r="184" spans="1:10" x14ac:dyDescent="0.2">
      <c r="A184" s="2584">
        <v>42248</v>
      </c>
      <c r="B184" s="2585">
        <v>35.625900000000001</v>
      </c>
      <c r="C184" s="2586">
        <v>40.204599999999999</v>
      </c>
      <c r="D184" s="2587">
        <v>54.518000000000001</v>
      </c>
      <c r="E184" s="2588">
        <v>35.461142857142853</v>
      </c>
      <c r="F184" s="2586">
        <v>39.864480952380951</v>
      </c>
      <c r="G184" s="2589">
        <v>54.687228571428577</v>
      </c>
      <c r="H184" s="2575"/>
      <c r="I184" s="2575"/>
      <c r="J184" s="2582"/>
    </row>
    <row r="185" spans="1:10" x14ac:dyDescent="0.2">
      <c r="A185" s="2584">
        <v>42278</v>
      </c>
      <c r="B185" s="2585">
        <v>35.912100000000002</v>
      </c>
      <c r="C185" s="2586">
        <v>39.531799999999997</v>
      </c>
      <c r="D185" s="2587">
        <v>55.803100000000001</v>
      </c>
      <c r="E185" s="2588">
        <v>35.613545454545445</v>
      </c>
      <c r="F185" s="2586">
        <v>40.071904545454544</v>
      </c>
      <c r="G185" s="2589">
        <v>55.075572727272721</v>
      </c>
      <c r="H185" s="2575"/>
      <c r="I185" s="2575"/>
      <c r="J185" s="2582"/>
    </row>
    <row r="186" spans="1:10" x14ac:dyDescent="0.2">
      <c r="A186" s="2584">
        <v>42309</v>
      </c>
      <c r="B186" s="2585">
        <v>36.3431</v>
      </c>
      <c r="C186" s="2586">
        <v>38.615200000000002</v>
      </c>
      <c r="D186" s="2587">
        <v>55.118699999999997</v>
      </c>
      <c r="E186" s="2588">
        <v>36.209136842105274</v>
      </c>
      <c r="F186" s="2586">
        <v>38.965699999999998</v>
      </c>
      <c r="G186" s="2589">
        <v>55.402447368421058</v>
      </c>
      <c r="H186" s="2575"/>
      <c r="I186" s="2575"/>
      <c r="J186" s="2582"/>
    </row>
    <row r="187" spans="1:10" x14ac:dyDescent="0.2">
      <c r="A187" s="2584">
        <v>42339</v>
      </c>
      <c r="B187" s="2585">
        <v>36.090899999999998</v>
      </c>
      <c r="C187" s="2586">
        <v>39.706899999999997</v>
      </c>
      <c r="D187" s="2587">
        <v>54.100499999999997</v>
      </c>
      <c r="E187" s="2588">
        <v>36.171272727272729</v>
      </c>
      <c r="F187" s="2586">
        <v>39.432181818181817</v>
      </c>
      <c r="G187" s="2589">
        <v>54.526572727272722</v>
      </c>
      <c r="H187" s="2575"/>
      <c r="I187" s="2575"/>
      <c r="J187" s="2582"/>
    </row>
    <row r="188" spans="1:10" x14ac:dyDescent="0.2">
      <c r="A188" s="2584">
        <v>42370</v>
      </c>
      <c r="B188" s="2585">
        <v>36.0886</v>
      </c>
      <c r="C188" s="2586">
        <v>39.447200000000002</v>
      </c>
      <c r="D188" s="2587">
        <v>52.2577</v>
      </c>
      <c r="E188" s="2588">
        <v>36.175170000000008</v>
      </c>
      <c r="F188" s="2586">
        <v>39.370570000000001</v>
      </c>
      <c r="G188" s="2589">
        <v>52.425730000000001</v>
      </c>
      <c r="H188" s="2575"/>
      <c r="I188" s="2575"/>
      <c r="J188" s="2582"/>
    </row>
    <row r="189" spans="1:10" x14ac:dyDescent="0.2">
      <c r="A189" s="2584">
        <v>42401</v>
      </c>
      <c r="B189" s="2585">
        <v>35.965800000000002</v>
      </c>
      <c r="C189" s="2586">
        <v>39.363300000000002</v>
      </c>
      <c r="D189" s="2587">
        <v>50.029600000000002</v>
      </c>
      <c r="E189" s="2588">
        <v>35.814689473684197</v>
      </c>
      <c r="F189" s="2586">
        <v>39.801199999999994</v>
      </c>
      <c r="G189" s="2589">
        <v>51.539510526315794</v>
      </c>
      <c r="H189" s="2575"/>
      <c r="I189" s="2575"/>
      <c r="J189" s="2582"/>
    </row>
    <row r="190" spans="1:10" x14ac:dyDescent="0.2">
      <c r="A190" s="2584">
        <v>42430</v>
      </c>
      <c r="B190" s="2585">
        <v>35.294499999999999</v>
      </c>
      <c r="C190" s="2586">
        <v>40.366399999999999</v>
      </c>
      <c r="D190" s="2587">
        <v>50.775799999999997</v>
      </c>
      <c r="E190" s="2588">
        <v>35.691613636363634</v>
      </c>
      <c r="F190" s="2586">
        <v>39.740290909090909</v>
      </c>
      <c r="G190" s="2589">
        <v>51.059077272727272</v>
      </c>
      <c r="H190" s="2575"/>
      <c r="I190" s="2575"/>
      <c r="J190" s="2582"/>
    </row>
    <row r="191" spans="1:10" x14ac:dyDescent="0.2">
      <c r="A191" s="2584">
        <v>42461</v>
      </c>
      <c r="B191" s="2585">
        <v>35.105600000000003</v>
      </c>
      <c r="C191" s="2586">
        <v>39.954999999999998</v>
      </c>
      <c r="D191" s="2587">
        <v>52.022500000000001</v>
      </c>
      <c r="E191" s="2588">
        <v>35.208295</v>
      </c>
      <c r="F191" s="2586">
        <v>40.0227</v>
      </c>
      <c r="G191" s="2589">
        <v>50.73481000000001</v>
      </c>
      <c r="H191" s="2575"/>
      <c r="I191" s="2575"/>
      <c r="J191" s="2582"/>
    </row>
    <row r="192" spans="1:10" ht="15.75" thickBot="1" x14ac:dyDescent="0.25">
      <c r="A192" s="2591">
        <v>42491</v>
      </c>
      <c r="B192" s="2592">
        <v>35.6126</v>
      </c>
      <c r="C192" s="2593">
        <v>39.799799999999998</v>
      </c>
      <c r="D192" s="2594">
        <v>52.490400000000001</v>
      </c>
      <c r="E192" s="2595">
        <v>35.301159090909088</v>
      </c>
      <c r="F192" s="2593">
        <v>39.967968181818186</v>
      </c>
      <c r="G192" s="2596">
        <v>51.646972727272718</v>
      </c>
      <c r="H192" s="2575"/>
      <c r="I192" s="2575"/>
      <c r="J192" s="2582"/>
    </row>
    <row r="193" spans="1:10" ht="18.75" thickTop="1" x14ac:dyDescent="0.2">
      <c r="A193" s="2597" t="s">
        <v>4304</v>
      </c>
      <c r="B193" s="2598"/>
      <c r="C193" s="2598"/>
      <c r="D193" s="2598"/>
      <c r="E193" s="2599"/>
      <c r="F193" s="2600"/>
      <c r="G193" s="2600"/>
      <c r="H193" s="2600"/>
      <c r="I193" s="2600"/>
      <c r="J193" s="2567"/>
    </row>
    <row r="194" spans="1:10" ht="18" x14ac:dyDescent="0.2">
      <c r="A194" s="2601" t="s">
        <v>4305</v>
      </c>
      <c r="B194" s="2599"/>
      <c r="C194" s="2599"/>
      <c r="D194" s="2599"/>
      <c r="E194" s="2599"/>
      <c r="F194" s="2600"/>
      <c r="G194" s="2600"/>
      <c r="H194" s="2600"/>
      <c r="I194" s="2600"/>
      <c r="J194" s="2567"/>
    </row>
    <row r="195" spans="1:10" x14ac:dyDescent="0.2">
      <c r="A195" s="2599" t="s">
        <v>680</v>
      </c>
      <c r="B195" s="2600"/>
      <c r="C195" s="2600"/>
      <c r="D195" s="2600"/>
      <c r="E195" s="2600"/>
      <c r="F195" s="2600"/>
      <c r="G195" s="2600"/>
      <c r="H195" s="2600"/>
      <c r="I195" s="2600"/>
      <c r="J195" s="2567"/>
    </row>
  </sheetData>
  <mergeCells count="9">
    <mergeCell ref="L6:L7"/>
    <mergeCell ref="B151:D151"/>
    <mergeCell ref="E151:G151"/>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L290"/>
  <sheetViews>
    <sheetView showGridLines="0" zoomScaleNormal="100" workbookViewId="0">
      <selection sqref="A1:FI41"/>
    </sheetView>
  </sheetViews>
  <sheetFormatPr defaultRowHeight="15" x14ac:dyDescent="0.25"/>
  <cols>
    <col min="1" max="1" width="18.42578125" style="2604" customWidth="1"/>
    <col min="2" max="2" width="9.5703125" style="2660" hidden="1" customWidth="1"/>
    <col min="3" max="37" width="9.140625" style="2604" hidden="1" customWidth="1"/>
    <col min="38" max="38" width="9.7109375" style="2604" hidden="1" customWidth="1"/>
    <col min="39" max="39" width="10.140625" style="2604" hidden="1" customWidth="1"/>
    <col min="40" max="41" width="9.28515625" style="2604" hidden="1" customWidth="1"/>
    <col min="42" max="42" width="9.85546875" style="2604" hidden="1" customWidth="1"/>
    <col min="43" max="43" width="9.140625" style="2604" hidden="1" customWidth="1"/>
    <col min="44" max="44" width="7.7109375" style="2604" hidden="1" customWidth="1"/>
    <col min="45" max="45" width="9.85546875" style="2604" hidden="1" customWidth="1"/>
    <col min="46" max="46" width="9.7109375" style="2604" hidden="1" customWidth="1"/>
    <col min="47" max="47" width="9.42578125" style="2604" hidden="1" customWidth="1"/>
    <col min="48" max="48" width="10" style="2604" hidden="1" customWidth="1"/>
    <col min="49" max="49" width="10.28515625" style="2604" hidden="1" customWidth="1"/>
    <col min="50" max="50" width="10" style="2604" hidden="1" customWidth="1"/>
    <col min="51" max="51" width="10.5703125" style="2604" hidden="1" customWidth="1"/>
    <col min="52" max="52" width="9.5703125" style="2604" hidden="1" customWidth="1"/>
    <col min="53" max="53" width="9.42578125" style="2604" hidden="1" customWidth="1"/>
    <col min="54" max="54" width="10.140625" style="2604" hidden="1" customWidth="1"/>
    <col min="55" max="55" width="10" style="2604" hidden="1" customWidth="1"/>
    <col min="56" max="56" width="9.85546875" style="2604" hidden="1" customWidth="1"/>
    <col min="57" max="57" width="10.28515625" style="2604" hidden="1" customWidth="1"/>
    <col min="58" max="58" width="10" style="2604" hidden="1" customWidth="1"/>
    <col min="59" max="59" width="9.42578125" style="2604" hidden="1" customWidth="1"/>
    <col min="60" max="60" width="10" style="2604" hidden="1" customWidth="1"/>
    <col min="61" max="61" width="10.140625" style="2604" hidden="1" customWidth="1"/>
    <col min="62" max="62" width="9.85546875" style="2604" hidden="1" customWidth="1"/>
    <col min="63" max="63" width="10.28515625" style="2604" hidden="1" customWidth="1"/>
    <col min="64" max="65" width="9.42578125" style="2604" hidden="1" customWidth="1"/>
    <col min="66" max="66" width="10" style="2604" hidden="1" customWidth="1"/>
    <col min="67" max="67" width="9.85546875" style="2604" hidden="1" customWidth="1"/>
    <col min="68" max="68" width="9.5703125" style="2604" hidden="1" customWidth="1"/>
    <col min="69" max="69" width="9.85546875" style="2604" hidden="1" customWidth="1"/>
    <col min="70" max="70" width="9.7109375" style="2604" hidden="1" customWidth="1"/>
    <col min="71" max="94" width="9.140625" style="2604" hidden="1" customWidth="1"/>
    <col min="95" max="95" width="6.5703125" style="2604" hidden="1" customWidth="1"/>
    <col min="96" max="106" width="7.42578125" style="2604" hidden="1" customWidth="1"/>
    <col min="107" max="114" width="9.140625" style="2604" hidden="1" customWidth="1"/>
    <col min="115" max="144" width="0" style="2604" hidden="1" customWidth="1"/>
    <col min="145" max="152" width="8.85546875" style="2604" hidden="1" customWidth="1"/>
    <col min="153" max="165" width="8.85546875" style="2604" customWidth="1"/>
    <col min="166" max="273" width="9.140625" style="2604"/>
    <col min="274" max="274" width="18.42578125" style="2604" customWidth="1"/>
    <col min="275" max="398" width="0" style="2604" hidden="1" customWidth="1"/>
    <col min="399" max="529" width="9.140625" style="2604"/>
    <col min="530" max="530" width="18.42578125" style="2604" customWidth="1"/>
    <col min="531" max="654" width="0" style="2604" hidden="1" customWidth="1"/>
    <col min="655" max="785" width="9.140625" style="2604"/>
    <col min="786" max="786" width="18.42578125" style="2604" customWidth="1"/>
    <col min="787" max="910" width="0" style="2604" hidden="1" customWidth="1"/>
    <col min="911" max="1041" width="9.140625" style="2604"/>
    <col min="1042" max="1042" width="18.42578125" style="2604" customWidth="1"/>
    <col min="1043" max="1166" width="0" style="2604" hidden="1" customWidth="1"/>
    <col min="1167" max="1297" width="9.140625" style="2604"/>
    <col min="1298" max="1298" width="18.42578125" style="2604" customWidth="1"/>
    <col min="1299" max="1422" width="0" style="2604" hidden="1" customWidth="1"/>
    <col min="1423" max="1553" width="9.140625" style="2604"/>
    <col min="1554" max="1554" width="18.42578125" style="2604" customWidth="1"/>
    <col min="1555" max="1678" width="0" style="2604" hidden="1" customWidth="1"/>
    <col min="1679" max="1809" width="9.140625" style="2604"/>
    <col min="1810" max="1810" width="18.42578125" style="2604" customWidth="1"/>
    <col min="1811" max="1934" width="0" style="2604" hidden="1" customWidth="1"/>
    <col min="1935" max="2065" width="9.140625" style="2604"/>
    <col min="2066" max="2066" width="18.42578125" style="2604" customWidth="1"/>
    <col min="2067" max="2190" width="0" style="2604" hidden="1" customWidth="1"/>
    <col min="2191" max="2321" width="9.140625" style="2604"/>
    <col min="2322" max="2322" width="18.42578125" style="2604" customWidth="1"/>
    <col min="2323" max="2446" width="0" style="2604" hidden="1" customWidth="1"/>
    <col min="2447" max="2577" width="9.140625" style="2604"/>
    <col min="2578" max="2578" width="18.42578125" style="2604" customWidth="1"/>
    <col min="2579" max="2702" width="0" style="2604" hidden="1" customWidth="1"/>
    <col min="2703" max="2833" width="9.140625" style="2604"/>
    <col min="2834" max="2834" width="18.42578125" style="2604" customWidth="1"/>
    <col min="2835" max="2958" width="0" style="2604" hidden="1" customWidth="1"/>
    <col min="2959" max="3089" width="9.140625" style="2604"/>
    <col min="3090" max="3090" width="18.42578125" style="2604" customWidth="1"/>
    <col min="3091" max="3214" width="0" style="2604" hidden="1" customWidth="1"/>
    <col min="3215" max="3345" width="9.140625" style="2604"/>
    <col min="3346" max="3346" width="18.42578125" style="2604" customWidth="1"/>
    <col min="3347" max="3470" width="0" style="2604" hidden="1" customWidth="1"/>
    <col min="3471" max="3601" width="9.140625" style="2604"/>
    <col min="3602" max="3602" width="18.42578125" style="2604" customWidth="1"/>
    <col min="3603" max="3726" width="0" style="2604" hidden="1" customWidth="1"/>
    <col min="3727" max="3857" width="9.140625" style="2604"/>
    <col min="3858" max="3858" width="18.42578125" style="2604" customWidth="1"/>
    <col min="3859" max="3982" width="0" style="2604" hidden="1" customWidth="1"/>
    <col min="3983" max="4113" width="9.140625" style="2604"/>
    <col min="4114" max="4114" width="18.42578125" style="2604" customWidth="1"/>
    <col min="4115" max="4238" width="0" style="2604" hidden="1" customWidth="1"/>
    <col min="4239" max="4369" width="9.140625" style="2604"/>
    <col min="4370" max="4370" width="18.42578125" style="2604" customWidth="1"/>
    <col min="4371" max="4494" width="0" style="2604" hidden="1" customWidth="1"/>
    <col min="4495" max="4625" width="9.140625" style="2604"/>
    <col min="4626" max="4626" width="18.42578125" style="2604" customWidth="1"/>
    <col min="4627" max="4750" width="0" style="2604" hidden="1" customWidth="1"/>
    <col min="4751" max="4881" width="9.140625" style="2604"/>
    <col min="4882" max="4882" width="18.42578125" style="2604" customWidth="1"/>
    <col min="4883" max="5006" width="0" style="2604" hidden="1" customWidth="1"/>
    <col min="5007" max="5137" width="9.140625" style="2604"/>
    <col min="5138" max="5138" width="18.42578125" style="2604" customWidth="1"/>
    <col min="5139" max="5262" width="0" style="2604" hidden="1" customWidth="1"/>
    <col min="5263" max="5393" width="9.140625" style="2604"/>
    <col min="5394" max="5394" width="18.42578125" style="2604" customWidth="1"/>
    <col min="5395" max="5518" width="0" style="2604" hidden="1" customWidth="1"/>
    <col min="5519" max="5649" width="9.140625" style="2604"/>
    <col min="5650" max="5650" width="18.42578125" style="2604" customWidth="1"/>
    <col min="5651" max="5774" width="0" style="2604" hidden="1" customWidth="1"/>
    <col min="5775" max="5905" width="9.140625" style="2604"/>
    <col min="5906" max="5906" width="18.42578125" style="2604" customWidth="1"/>
    <col min="5907" max="6030" width="0" style="2604" hidden="1" customWidth="1"/>
    <col min="6031" max="6161" width="9.140625" style="2604"/>
    <col min="6162" max="6162" width="18.42578125" style="2604" customWidth="1"/>
    <col min="6163" max="6286" width="0" style="2604" hidden="1" customWidth="1"/>
    <col min="6287" max="6417" width="9.140625" style="2604"/>
    <col min="6418" max="6418" width="18.42578125" style="2604" customWidth="1"/>
    <col min="6419" max="6542" width="0" style="2604" hidden="1" customWidth="1"/>
    <col min="6543" max="6673" width="9.140625" style="2604"/>
    <col min="6674" max="6674" width="18.42578125" style="2604" customWidth="1"/>
    <col min="6675" max="6798" width="0" style="2604" hidden="1" customWidth="1"/>
    <col min="6799" max="6929" width="9.140625" style="2604"/>
    <col min="6930" max="6930" width="18.42578125" style="2604" customWidth="1"/>
    <col min="6931" max="7054" width="0" style="2604" hidden="1" customWidth="1"/>
    <col min="7055" max="7185" width="9.140625" style="2604"/>
    <col min="7186" max="7186" width="18.42578125" style="2604" customWidth="1"/>
    <col min="7187" max="7310" width="0" style="2604" hidden="1" customWidth="1"/>
    <col min="7311" max="7441" width="9.140625" style="2604"/>
    <col min="7442" max="7442" width="18.42578125" style="2604" customWidth="1"/>
    <col min="7443" max="7566" width="0" style="2604" hidden="1" customWidth="1"/>
    <col min="7567" max="7697" width="9.140625" style="2604"/>
    <col min="7698" max="7698" width="18.42578125" style="2604" customWidth="1"/>
    <col min="7699" max="7822" width="0" style="2604" hidden="1" customWidth="1"/>
    <col min="7823" max="7953" width="9.140625" style="2604"/>
    <col min="7954" max="7954" width="18.42578125" style="2604" customWidth="1"/>
    <col min="7955" max="8078" width="0" style="2604" hidden="1" customWidth="1"/>
    <col min="8079" max="8209" width="9.140625" style="2604"/>
    <col min="8210" max="8210" width="18.42578125" style="2604" customWidth="1"/>
    <col min="8211" max="8334" width="0" style="2604" hidden="1" customWidth="1"/>
    <col min="8335" max="8465" width="9.140625" style="2604"/>
    <col min="8466" max="8466" width="18.42578125" style="2604" customWidth="1"/>
    <col min="8467" max="8590" width="0" style="2604" hidden="1" customWidth="1"/>
    <col min="8591" max="8721" width="9.140625" style="2604"/>
    <col min="8722" max="8722" width="18.42578125" style="2604" customWidth="1"/>
    <col min="8723" max="8846" width="0" style="2604" hidden="1" customWidth="1"/>
    <col min="8847" max="8977" width="9.140625" style="2604"/>
    <col min="8978" max="8978" width="18.42578125" style="2604" customWidth="1"/>
    <col min="8979" max="9102" width="0" style="2604" hidden="1" customWidth="1"/>
    <col min="9103" max="9233" width="9.140625" style="2604"/>
    <col min="9234" max="9234" width="18.42578125" style="2604" customWidth="1"/>
    <col min="9235" max="9358" width="0" style="2604" hidden="1" customWidth="1"/>
    <col min="9359" max="9489" width="9.140625" style="2604"/>
    <col min="9490" max="9490" width="18.42578125" style="2604" customWidth="1"/>
    <col min="9491" max="9614" width="0" style="2604" hidden="1" customWidth="1"/>
    <col min="9615" max="9745" width="9.140625" style="2604"/>
    <col min="9746" max="9746" width="18.42578125" style="2604" customWidth="1"/>
    <col min="9747" max="9870" width="0" style="2604" hidden="1" customWidth="1"/>
    <col min="9871" max="10001" width="9.140625" style="2604"/>
    <col min="10002" max="10002" width="18.42578125" style="2604" customWidth="1"/>
    <col min="10003" max="10126" width="0" style="2604" hidden="1" customWidth="1"/>
    <col min="10127" max="10257" width="9.140625" style="2604"/>
    <col min="10258" max="10258" width="18.42578125" style="2604" customWidth="1"/>
    <col min="10259" max="10382" width="0" style="2604" hidden="1" customWidth="1"/>
    <col min="10383" max="10513" width="9.140625" style="2604"/>
    <col min="10514" max="10514" width="18.42578125" style="2604" customWidth="1"/>
    <col min="10515" max="10638" width="0" style="2604" hidden="1" customWidth="1"/>
    <col min="10639" max="10769" width="9.140625" style="2604"/>
    <col min="10770" max="10770" width="18.42578125" style="2604" customWidth="1"/>
    <col min="10771" max="10894" width="0" style="2604" hidden="1" customWidth="1"/>
    <col min="10895" max="11025" width="9.140625" style="2604"/>
    <col min="11026" max="11026" width="18.42578125" style="2604" customWidth="1"/>
    <col min="11027" max="11150" width="0" style="2604" hidden="1" customWidth="1"/>
    <col min="11151" max="11281" width="9.140625" style="2604"/>
    <col min="11282" max="11282" width="18.42578125" style="2604" customWidth="1"/>
    <col min="11283" max="11406" width="0" style="2604" hidden="1" customWidth="1"/>
    <col min="11407" max="11537" width="9.140625" style="2604"/>
    <col min="11538" max="11538" width="18.42578125" style="2604" customWidth="1"/>
    <col min="11539" max="11662" width="0" style="2604" hidden="1" customWidth="1"/>
    <col min="11663" max="11793" width="9.140625" style="2604"/>
    <col min="11794" max="11794" width="18.42578125" style="2604" customWidth="1"/>
    <col min="11795" max="11918" width="0" style="2604" hidden="1" customWidth="1"/>
    <col min="11919" max="12049" width="9.140625" style="2604"/>
    <col min="12050" max="12050" width="18.42578125" style="2604" customWidth="1"/>
    <col min="12051" max="12174" width="0" style="2604" hidden="1" customWidth="1"/>
    <col min="12175" max="12305" width="9.140625" style="2604"/>
    <col min="12306" max="12306" width="18.42578125" style="2604" customWidth="1"/>
    <col min="12307" max="12430" width="0" style="2604" hidden="1" customWidth="1"/>
    <col min="12431" max="12561" width="9.140625" style="2604"/>
    <col min="12562" max="12562" width="18.42578125" style="2604" customWidth="1"/>
    <col min="12563" max="12686" width="0" style="2604" hidden="1" customWidth="1"/>
    <col min="12687" max="12817" width="9.140625" style="2604"/>
    <col min="12818" max="12818" width="18.42578125" style="2604" customWidth="1"/>
    <col min="12819" max="12942" width="0" style="2604" hidden="1" customWidth="1"/>
    <col min="12943" max="13073" width="9.140625" style="2604"/>
    <col min="13074" max="13074" width="18.42578125" style="2604" customWidth="1"/>
    <col min="13075" max="13198" width="0" style="2604" hidden="1" customWidth="1"/>
    <col min="13199" max="13329" width="9.140625" style="2604"/>
    <col min="13330" max="13330" width="18.42578125" style="2604" customWidth="1"/>
    <col min="13331" max="13454" width="0" style="2604" hidden="1" customWidth="1"/>
    <col min="13455" max="13585" width="9.140625" style="2604"/>
    <col min="13586" max="13586" width="18.42578125" style="2604" customWidth="1"/>
    <col min="13587" max="13710" width="0" style="2604" hidden="1" customWidth="1"/>
    <col min="13711" max="13841" width="9.140625" style="2604"/>
    <col min="13842" max="13842" width="18.42578125" style="2604" customWidth="1"/>
    <col min="13843" max="13966" width="0" style="2604" hidden="1" customWidth="1"/>
    <col min="13967" max="14097" width="9.140625" style="2604"/>
    <col min="14098" max="14098" width="18.42578125" style="2604" customWidth="1"/>
    <col min="14099" max="14222" width="0" style="2604" hidden="1" customWidth="1"/>
    <col min="14223" max="14353" width="9.140625" style="2604"/>
    <col min="14354" max="14354" width="18.42578125" style="2604" customWidth="1"/>
    <col min="14355" max="14478" width="0" style="2604" hidden="1" customWidth="1"/>
    <col min="14479" max="14609" width="9.140625" style="2604"/>
    <col min="14610" max="14610" width="18.42578125" style="2604" customWidth="1"/>
    <col min="14611" max="14734" width="0" style="2604" hidden="1" customWidth="1"/>
    <col min="14735" max="14865" width="9.140625" style="2604"/>
    <col min="14866" max="14866" width="18.42578125" style="2604" customWidth="1"/>
    <col min="14867" max="14990" width="0" style="2604" hidden="1" customWidth="1"/>
    <col min="14991" max="15121" width="9.140625" style="2604"/>
    <col min="15122" max="15122" width="18.42578125" style="2604" customWidth="1"/>
    <col min="15123" max="15246" width="0" style="2604" hidden="1" customWidth="1"/>
    <col min="15247" max="15377" width="9.140625" style="2604"/>
    <col min="15378" max="15378" width="18.42578125" style="2604" customWidth="1"/>
    <col min="15379" max="15502" width="0" style="2604" hidden="1" customWidth="1"/>
    <col min="15503" max="15633" width="9.140625" style="2604"/>
    <col min="15634" max="15634" width="18.42578125" style="2604" customWidth="1"/>
    <col min="15635" max="15758" width="0" style="2604" hidden="1" customWidth="1"/>
    <col min="15759" max="15889" width="9.140625" style="2604"/>
    <col min="15890" max="15890" width="18.42578125" style="2604" customWidth="1"/>
    <col min="15891" max="16014" width="0" style="2604" hidden="1" customWidth="1"/>
    <col min="16015" max="16145" width="9.140625" style="2604"/>
    <col min="16146" max="16146" width="18.42578125" style="2604" customWidth="1"/>
    <col min="16147" max="16270" width="0" style="2604" hidden="1" customWidth="1"/>
    <col min="16271" max="16384" width="9.140625" style="2604"/>
  </cols>
  <sheetData>
    <row r="1" spans="1:167" ht="19.899999999999999" customHeight="1" x14ac:dyDescent="0.3">
      <c r="A1" s="2602" t="s">
        <v>4306</v>
      </c>
      <c r="B1" s="2603"/>
    </row>
    <row r="2" spans="1:167" ht="12.75" customHeight="1" thickBot="1" x14ac:dyDescent="0.3">
      <c r="B2" s="2605"/>
    </row>
    <row r="3" spans="1:167" ht="12.75" customHeight="1" thickTop="1" thickBot="1" x14ac:dyDescent="0.3">
      <c r="B3" s="2603"/>
    </row>
    <row r="4" spans="1:167" x14ac:dyDescent="0.25">
      <c r="A4" s="2606" t="s">
        <v>4307</v>
      </c>
      <c r="B4" s="2607">
        <v>37258</v>
      </c>
      <c r="C4" s="2608">
        <v>37348</v>
      </c>
      <c r="D4" s="2608">
        <v>37378</v>
      </c>
      <c r="E4" s="2608">
        <v>37409</v>
      </c>
      <c r="F4" s="2608">
        <v>37439</v>
      </c>
      <c r="G4" s="2608">
        <v>37470</v>
      </c>
      <c r="H4" s="2608">
        <v>37501</v>
      </c>
      <c r="I4" s="2608">
        <v>37531</v>
      </c>
      <c r="J4" s="2608">
        <v>37562</v>
      </c>
      <c r="K4" s="2608">
        <v>37592</v>
      </c>
      <c r="L4" s="2608">
        <v>37623</v>
      </c>
      <c r="M4" s="2608">
        <v>37654</v>
      </c>
      <c r="N4" s="2608">
        <v>37682</v>
      </c>
      <c r="O4" s="2608">
        <v>37713</v>
      </c>
      <c r="P4" s="2608">
        <v>37743</v>
      </c>
      <c r="Q4" s="2608">
        <v>37774</v>
      </c>
      <c r="R4" s="2608">
        <v>37804</v>
      </c>
      <c r="S4" s="2608">
        <v>37835</v>
      </c>
      <c r="T4" s="2608">
        <v>37866</v>
      </c>
      <c r="U4" s="2608">
        <v>37896</v>
      </c>
      <c r="V4" s="2608">
        <v>37927</v>
      </c>
      <c r="W4" s="2608">
        <v>37957</v>
      </c>
      <c r="X4" s="2609">
        <v>37988</v>
      </c>
      <c r="Y4" s="2609">
        <v>38019</v>
      </c>
      <c r="Z4" s="2609">
        <v>38048</v>
      </c>
      <c r="AA4" s="2609">
        <v>38079</v>
      </c>
      <c r="AB4" s="2609">
        <v>38109</v>
      </c>
      <c r="AC4" s="2610">
        <v>38140</v>
      </c>
      <c r="AD4" s="2611">
        <v>38170</v>
      </c>
      <c r="AE4" s="2611">
        <v>38201</v>
      </c>
      <c r="AF4" s="2611">
        <v>38232</v>
      </c>
      <c r="AG4" s="2611">
        <v>38262</v>
      </c>
      <c r="AH4" s="2611">
        <v>38293</v>
      </c>
      <c r="AI4" s="2611">
        <v>38323</v>
      </c>
      <c r="AJ4" s="2611">
        <v>38354</v>
      </c>
      <c r="AK4" s="2611">
        <v>38413</v>
      </c>
      <c r="AL4" s="2612">
        <v>38444</v>
      </c>
      <c r="AM4" s="2611">
        <v>38474</v>
      </c>
      <c r="AN4" s="2611">
        <v>38505</v>
      </c>
      <c r="AO4" s="2611">
        <v>38535</v>
      </c>
      <c r="AP4" s="2611">
        <v>38565</v>
      </c>
      <c r="AQ4" s="2613">
        <v>38596</v>
      </c>
      <c r="AR4" s="2611">
        <v>38626</v>
      </c>
      <c r="AS4" s="2613">
        <v>38657</v>
      </c>
      <c r="AT4" s="2612">
        <v>38687</v>
      </c>
      <c r="AU4" s="2612">
        <v>38718</v>
      </c>
      <c r="AV4" s="2611">
        <v>38749</v>
      </c>
      <c r="AW4" s="2614">
        <v>38777</v>
      </c>
      <c r="AX4" s="2613">
        <v>38808</v>
      </c>
      <c r="AY4" s="2612">
        <v>38838</v>
      </c>
      <c r="AZ4" s="2611">
        <v>38869</v>
      </c>
      <c r="BA4" s="2613">
        <v>38899</v>
      </c>
      <c r="BB4" s="2612">
        <v>38930</v>
      </c>
      <c r="BC4" s="2611">
        <v>38961</v>
      </c>
      <c r="BD4" s="2613">
        <v>38991</v>
      </c>
      <c r="BE4" s="2612">
        <v>39022</v>
      </c>
      <c r="BF4" s="2612">
        <v>39052</v>
      </c>
      <c r="BG4" s="2612">
        <v>39083</v>
      </c>
      <c r="BH4" s="2612">
        <v>39114</v>
      </c>
      <c r="BI4" s="2612">
        <v>39142</v>
      </c>
      <c r="BJ4" s="2612">
        <v>39173</v>
      </c>
      <c r="BK4" s="2612">
        <v>39203</v>
      </c>
      <c r="BL4" s="2612">
        <v>39234</v>
      </c>
      <c r="BM4" s="2612">
        <v>39264</v>
      </c>
      <c r="BN4" s="2611">
        <v>39295</v>
      </c>
      <c r="BO4" s="2611">
        <v>39326</v>
      </c>
      <c r="BP4" s="2611">
        <v>39356</v>
      </c>
      <c r="BQ4" s="2611">
        <v>39387</v>
      </c>
      <c r="BR4" s="2611">
        <v>39417</v>
      </c>
      <c r="BS4" s="2611">
        <v>39448</v>
      </c>
      <c r="BT4" s="2611">
        <v>39479</v>
      </c>
      <c r="BU4" s="2612">
        <v>39508</v>
      </c>
      <c r="BV4" s="2612">
        <v>39539</v>
      </c>
      <c r="BW4" s="2612">
        <v>39569</v>
      </c>
      <c r="BX4" s="2612">
        <v>39600</v>
      </c>
      <c r="BY4" s="2612">
        <v>39630</v>
      </c>
      <c r="BZ4" s="2611">
        <v>39661</v>
      </c>
      <c r="CA4" s="2611">
        <v>39692</v>
      </c>
      <c r="CB4" s="2611">
        <v>39722</v>
      </c>
      <c r="CC4" s="2611">
        <v>39753</v>
      </c>
      <c r="CD4" s="2611">
        <v>39783</v>
      </c>
      <c r="CE4" s="2611">
        <v>39814</v>
      </c>
      <c r="CF4" s="2611">
        <v>39845</v>
      </c>
      <c r="CG4" s="2611">
        <v>39873</v>
      </c>
      <c r="CH4" s="2611">
        <v>39904</v>
      </c>
      <c r="CI4" s="2615">
        <v>39934</v>
      </c>
      <c r="CJ4" s="2615">
        <v>39965</v>
      </c>
      <c r="CK4" s="2615">
        <v>39995</v>
      </c>
      <c r="CL4" s="2609">
        <v>40026</v>
      </c>
      <c r="CM4" s="2609">
        <v>40057</v>
      </c>
      <c r="CN4" s="2609">
        <v>40087</v>
      </c>
      <c r="CO4" s="2609">
        <v>40118</v>
      </c>
      <c r="CP4" s="2609">
        <v>40299</v>
      </c>
      <c r="CQ4" s="2609">
        <v>40360</v>
      </c>
      <c r="CR4" s="2609">
        <v>40391</v>
      </c>
      <c r="CS4" s="2609">
        <v>40422</v>
      </c>
      <c r="CT4" s="2609">
        <v>40452</v>
      </c>
      <c r="CU4" s="2609">
        <v>40483</v>
      </c>
      <c r="CV4" s="2609">
        <v>40513</v>
      </c>
      <c r="CW4" s="2609">
        <v>40544</v>
      </c>
      <c r="CX4" s="2609">
        <v>40575</v>
      </c>
      <c r="CY4" s="2609">
        <v>40603</v>
      </c>
      <c r="CZ4" s="2609">
        <v>40634</v>
      </c>
      <c r="DA4" s="2609">
        <v>40664</v>
      </c>
      <c r="DB4" s="2609">
        <v>40695</v>
      </c>
      <c r="DC4" s="2609">
        <v>40725</v>
      </c>
      <c r="DD4" s="2609">
        <v>40756</v>
      </c>
      <c r="DE4" s="2609">
        <v>40787</v>
      </c>
      <c r="DF4" s="2609">
        <v>40817</v>
      </c>
      <c r="DG4" s="2609">
        <v>40848</v>
      </c>
      <c r="DH4" s="2609">
        <v>40878</v>
      </c>
      <c r="DI4" s="2609">
        <v>40909</v>
      </c>
      <c r="DJ4" s="2609">
        <v>40940</v>
      </c>
      <c r="DK4" s="2609">
        <v>40969</v>
      </c>
      <c r="DL4" s="2609">
        <v>41000</v>
      </c>
      <c r="DM4" s="2609">
        <v>41030</v>
      </c>
      <c r="DN4" s="2609">
        <v>41061</v>
      </c>
      <c r="DO4" s="2609">
        <v>41091</v>
      </c>
      <c r="DP4" s="2609">
        <v>41122</v>
      </c>
      <c r="DQ4" s="2609">
        <v>41153</v>
      </c>
      <c r="DR4" s="2616">
        <v>41183</v>
      </c>
      <c r="DS4" s="2611">
        <f t="shared" ref="DS4:FI4" si="0">DR4+31</f>
        <v>41214</v>
      </c>
      <c r="DT4" s="2611">
        <f t="shared" si="0"/>
        <v>41245</v>
      </c>
      <c r="DU4" s="2611">
        <f t="shared" si="0"/>
        <v>41276</v>
      </c>
      <c r="DV4" s="2611">
        <f t="shared" si="0"/>
        <v>41307</v>
      </c>
      <c r="DW4" s="2611">
        <f t="shared" si="0"/>
        <v>41338</v>
      </c>
      <c r="DX4" s="2611">
        <f t="shared" si="0"/>
        <v>41369</v>
      </c>
      <c r="DY4" s="2611">
        <f t="shared" si="0"/>
        <v>41400</v>
      </c>
      <c r="DZ4" s="2611">
        <f t="shared" si="0"/>
        <v>41431</v>
      </c>
      <c r="EA4" s="2611">
        <f t="shared" si="0"/>
        <v>41462</v>
      </c>
      <c r="EB4" s="2611">
        <f t="shared" si="0"/>
        <v>41493</v>
      </c>
      <c r="EC4" s="2617">
        <f t="shared" si="0"/>
        <v>41524</v>
      </c>
      <c r="ED4" s="2617">
        <f t="shared" si="0"/>
        <v>41555</v>
      </c>
      <c r="EE4" s="2617">
        <f t="shared" si="0"/>
        <v>41586</v>
      </c>
      <c r="EF4" s="2617">
        <f t="shared" si="0"/>
        <v>41617</v>
      </c>
      <c r="EG4" s="2617">
        <f t="shared" si="0"/>
        <v>41648</v>
      </c>
      <c r="EH4" s="2617">
        <f t="shared" si="0"/>
        <v>41679</v>
      </c>
      <c r="EI4" s="2617">
        <f t="shared" si="0"/>
        <v>41710</v>
      </c>
      <c r="EJ4" s="2617">
        <f t="shared" si="0"/>
        <v>41741</v>
      </c>
      <c r="EK4" s="2617">
        <f t="shared" si="0"/>
        <v>41772</v>
      </c>
      <c r="EL4" s="2617">
        <f t="shared" si="0"/>
        <v>41803</v>
      </c>
      <c r="EM4" s="2617">
        <f t="shared" si="0"/>
        <v>41834</v>
      </c>
      <c r="EN4" s="2617">
        <f t="shared" si="0"/>
        <v>41865</v>
      </c>
      <c r="EO4" s="2617">
        <f t="shared" si="0"/>
        <v>41896</v>
      </c>
      <c r="EP4" s="2617">
        <f t="shared" si="0"/>
        <v>41927</v>
      </c>
      <c r="EQ4" s="2617">
        <f t="shared" si="0"/>
        <v>41958</v>
      </c>
      <c r="ER4" s="2617">
        <f t="shared" si="0"/>
        <v>41989</v>
      </c>
      <c r="ES4" s="2617">
        <f t="shared" si="0"/>
        <v>42020</v>
      </c>
      <c r="ET4" s="2617">
        <f t="shared" si="0"/>
        <v>42051</v>
      </c>
      <c r="EU4" s="2617">
        <f t="shared" si="0"/>
        <v>42082</v>
      </c>
      <c r="EV4" s="2617">
        <f t="shared" si="0"/>
        <v>42113</v>
      </c>
      <c r="EW4" s="2617">
        <f t="shared" si="0"/>
        <v>42144</v>
      </c>
      <c r="EX4" s="2617">
        <f t="shared" si="0"/>
        <v>42175</v>
      </c>
      <c r="EY4" s="2617">
        <f t="shared" si="0"/>
        <v>42206</v>
      </c>
      <c r="EZ4" s="2617">
        <f t="shared" si="0"/>
        <v>42237</v>
      </c>
      <c r="FA4" s="2617">
        <f t="shared" si="0"/>
        <v>42268</v>
      </c>
      <c r="FB4" s="2617">
        <f t="shared" si="0"/>
        <v>42299</v>
      </c>
      <c r="FC4" s="2617">
        <f t="shared" si="0"/>
        <v>42330</v>
      </c>
      <c r="FD4" s="2617">
        <f t="shared" si="0"/>
        <v>42361</v>
      </c>
      <c r="FE4" s="2617">
        <f t="shared" si="0"/>
        <v>42392</v>
      </c>
      <c r="FF4" s="2617">
        <f t="shared" si="0"/>
        <v>42423</v>
      </c>
      <c r="FG4" s="2617">
        <f t="shared" si="0"/>
        <v>42454</v>
      </c>
      <c r="FH4" s="2617">
        <f t="shared" si="0"/>
        <v>42485</v>
      </c>
      <c r="FI4" s="2618">
        <f t="shared" si="0"/>
        <v>42516</v>
      </c>
    </row>
    <row r="5" spans="1:167" ht="13.5" customHeight="1" thickBot="1" x14ac:dyDescent="0.3">
      <c r="A5" s="2619" t="s">
        <v>4308</v>
      </c>
      <c r="B5" s="2620"/>
      <c r="C5" s="2621"/>
      <c r="D5" s="2621"/>
      <c r="E5" s="2621"/>
      <c r="F5" s="2621"/>
      <c r="G5" s="2621"/>
      <c r="H5" s="2621"/>
      <c r="I5" s="2621"/>
      <c r="J5" s="2621"/>
      <c r="K5" s="2621"/>
      <c r="L5" s="2621"/>
      <c r="M5" s="2621"/>
      <c r="N5" s="2621"/>
      <c r="O5" s="2621"/>
      <c r="P5" s="2621"/>
      <c r="Q5" s="2621"/>
      <c r="R5" s="2621"/>
      <c r="S5" s="2621"/>
      <c r="T5" s="2621"/>
      <c r="U5" s="2621"/>
      <c r="V5" s="2621"/>
      <c r="W5" s="2621"/>
      <c r="X5" s="2622"/>
      <c r="Y5" s="2622"/>
      <c r="Z5" s="2622"/>
      <c r="AA5" s="2622"/>
      <c r="AB5" s="2622"/>
      <c r="AC5" s="2623"/>
      <c r="AD5" s="2624"/>
      <c r="AE5" s="2624"/>
      <c r="AF5" s="2624"/>
      <c r="AG5" s="2624"/>
      <c r="AH5" s="2624"/>
      <c r="AI5" s="2624"/>
      <c r="AJ5" s="2624"/>
      <c r="AK5" s="2624"/>
      <c r="AL5" s="2625"/>
      <c r="AM5" s="2624"/>
      <c r="AN5" s="2624"/>
      <c r="AO5" s="2624"/>
      <c r="AP5" s="2624"/>
      <c r="AQ5" s="2626"/>
      <c r="AR5" s="2624"/>
      <c r="AS5" s="2626"/>
      <c r="AT5" s="2625"/>
      <c r="AU5" s="2625"/>
      <c r="AV5" s="2624"/>
      <c r="AW5" s="2627"/>
      <c r="AX5" s="2626"/>
      <c r="AY5" s="2625"/>
      <c r="AZ5" s="2624"/>
      <c r="BA5" s="2626"/>
      <c r="BB5" s="2625"/>
      <c r="BC5" s="2624"/>
      <c r="BD5" s="2624"/>
      <c r="BE5" s="2626"/>
      <c r="BF5" s="2625"/>
      <c r="BG5" s="2625"/>
      <c r="BH5" s="2625"/>
      <c r="BI5" s="2625"/>
      <c r="BJ5" s="2625"/>
      <c r="BK5" s="2625"/>
      <c r="BL5" s="2625"/>
      <c r="BM5" s="2625"/>
      <c r="BN5" s="2624"/>
      <c r="BO5" s="2624"/>
      <c r="BP5" s="2624"/>
      <c r="BQ5" s="2624"/>
      <c r="BR5" s="2624"/>
      <c r="BS5" s="2624"/>
      <c r="BT5" s="2624"/>
      <c r="BU5" s="2625"/>
      <c r="BV5" s="2625"/>
      <c r="BW5" s="2625"/>
      <c r="BX5" s="2625"/>
      <c r="BY5" s="2625"/>
      <c r="BZ5" s="2624"/>
      <c r="CA5" s="2624"/>
      <c r="CB5" s="2624"/>
      <c r="CC5" s="2624"/>
      <c r="CD5" s="2624"/>
      <c r="CE5" s="2624"/>
      <c r="CF5" s="2624"/>
      <c r="CG5" s="2624"/>
      <c r="CH5" s="2624"/>
      <c r="CI5" s="2628"/>
      <c r="CJ5" s="2628"/>
      <c r="CK5" s="2628"/>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9"/>
      <c r="DS5" s="2624"/>
      <c r="DT5" s="2624"/>
      <c r="DU5" s="2624"/>
      <c r="DV5" s="2624"/>
      <c r="DW5" s="2624"/>
      <c r="DX5" s="2624"/>
      <c r="DY5" s="2624"/>
      <c r="DZ5" s="2624"/>
      <c r="EA5" s="2624"/>
      <c r="EB5" s="2624"/>
      <c r="EC5" s="2624"/>
      <c r="ED5" s="2624"/>
      <c r="EE5" s="2624"/>
      <c r="EF5" s="2624"/>
      <c r="EG5" s="2624"/>
      <c r="EH5" s="2624"/>
      <c r="EI5" s="2624"/>
      <c r="EJ5" s="2624"/>
      <c r="EK5" s="2624"/>
      <c r="EL5" s="2624"/>
      <c r="EM5" s="2624"/>
      <c r="EN5" s="2624"/>
      <c r="EO5" s="2624"/>
      <c r="EP5" s="2624"/>
      <c r="EQ5" s="2624"/>
      <c r="ER5" s="2624"/>
      <c r="ES5" s="2624"/>
      <c r="ET5" s="2624"/>
      <c r="EU5" s="2624"/>
      <c r="EV5" s="2624"/>
      <c r="EW5" s="2624"/>
      <c r="EX5" s="2624"/>
      <c r="EY5" s="2624"/>
      <c r="EZ5" s="2624"/>
      <c r="FA5" s="2624"/>
      <c r="FB5" s="2624"/>
      <c r="FC5" s="2624"/>
      <c r="FD5" s="2624"/>
      <c r="FE5" s="2624"/>
      <c r="FF5" s="2624"/>
      <c r="FG5" s="2624"/>
      <c r="FH5" s="2624"/>
      <c r="FI5" s="2630"/>
      <c r="FJ5" s="2631"/>
      <c r="FK5" s="2631"/>
    </row>
    <row r="6" spans="1:167" ht="21.75" customHeight="1" x14ac:dyDescent="0.25">
      <c r="A6" s="2632" t="s">
        <v>4309</v>
      </c>
      <c r="B6" s="2633">
        <v>15.56</v>
      </c>
      <c r="C6" s="2634">
        <v>16.52</v>
      </c>
      <c r="D6" s="2634">
        <v>17.329999999999998</v>
      </c>
      <c r="E6" s="2634">
        <v>17.13</v>
      </c>
      <c r="F6" s="2634">
        <v>16.48</v>
      </c>
      <c r="G6" s="2634">
        <v>16.59</v>
      </c>
      <c r="H6" s="2634">
        <v>16.309999999999999</v>
      </c>
      <c r="I6" s="2634">
        <v>16.600000000000001</v>
      </c>
      <c r="J6" s="2634">
        <v>16.739999999999998</v>
      </c>
      <c r="K6" s="2634">
        <v>16.73</v>
      </c>
      <c r="L6" s="2634">
        <v>16.89</v>
      </c>
      <c r="M6" s="2634">
        <v>17.05</v>
      </c>
      <c r="N6" s="2634">
        <v>16.79</v>
      </c>
      <c r="O6" s="2634">
        <v>17.3</v>
      </c>
      <c r="P6" s="2634">
        <v>18.260000000000002</v>
      </c>
      <c r="Q6" s="2634">
        <v>19.75</v>
      </c>
      <c r="R6" s="2634">
        <v>19.510000000000002</v>
      </c>
      <c r="S6" s="2634">
        <v>18.89</v>
      </c>
      <c r="T6" s="2634">
        <v>19.77</v>
      </c>
      <c r="U6" s="2634">
        <v>20.38</v>
      </c>
      <c r="V6" s="2634">
        <v>20.54</v>
      </c>
      <c r="W6" s="2634">
        <v>20.149999999999999</v>
      </c>
      <c r="X6" s="2634">
        <v>20.03</v>
      </c>
      <c r="Y6" s="2634">
        <v>20.13</v>
      </c>
      <c r="Z6" s="2634">
        <v>20.420000000000002</v>
      </c>
      <c r="AA6" s="2634">
        <v>20.190000000000001</v>
      </c>
      <c r="AB6" s="2634">
        <v>20.37</v>
      </c>
      <c r="AC6" s="2635">
        <v>19.649999999999999</v>
      </c>
      <c r="AD6" s="2636">
        <v>20.03</v>
      </c>
      <c r="AE6" s="2636">
        <v>20.239999999999998</v>
      </c>
      <c r="AF6" s="2636">
        <v>20.7</v>
      </c>
      <c r="AG6" s="2636">
        <v>21.53</v>
      </c>
      <c r="AH6" s="2636">
        <v>22.38</v>
      </c>
      <c r="AI6" s="2636">
        <v>22.26</v>
      </c>
      <c r="AJ6" s="2636">
        <v>22.38</v>
      </c>
      <c r="AK6" s="2636">
        <v>22.68</v>
      </c>
      <c r="AL6" s="2637">
        <v>22.9</v>
      </c>
      <c r="AM6" s="2638">
        <v>22.36</v>
      </c>
      <c r="AN6" s="2636">
        <v>22.69</v>
      </c>
      <c r="AO6" s="2636">
        <v>22.76</v>
      </c>
      <c r="AP6" s="2636">
        <v>22.49</v>
      </c>
      <c r="AQ6" s="2639">
        <v>23.29</v>
      </c>
      <c r="AR6" s="2638">
        <v>22.97</v>
      </c>
      <c r="AS6" s="2639">
        <v>22.82</v>
      </c>
      <c r="AT6" s="2640">
        <v>22.69</v>
      </c>
      <c r="AU6" s="2640">
        <v>23.25</v>
      </c>
      <c r="AV6" s="2636">
        <v>22.91</v>
      </c>
      <c r="AW6" s="2641">
        <v>22.29</v>
      </c>
      <c r="AX6" s="2639">
        <v>23.52</v>
      </c>
      <c r="AY6" s="2640">
        <v>23.79</v>
      </c>
      <c r="AZ6" s="2636">
        <v>23.13</v>
      </c>
      <c r="BA6" s="2639">
        <v>24.28</v>
      </c>
      <c r="BB6" s="2640">
        <v>25.02</v>
      </c>
      <c r="BC6" s="2636">
        <v>24.76</v>
      </c>
      <c r="BD6" s="2636">
        <v>25.8</v>
      </c>
      <c r="BE6" s="2639">
        <v>26.61</v>
      </c>
      <c r="BF6" s="2640">
        <v>26.95</v>
      </c>
      <c r="BG6" s="2640">
        <v>26.36</v>
      </c>
      <c r="BH6" s="2640">
        <v>26.64</v>
      </c>
      <c r="BI6" s="2640">
        <v>26.78</v>
      </c>
      <c r="BJ6" s="2640">
        <v>26.87</v>
      </c>
      <c r="BK6" s="2640">
        <v>26.29</v>
      </c>
      <c r="BL6" s="2640">
        <v>27.22</v>
      </c>
      <c r="BM6" s="2640">
        <v>27.39</v>
      </c>
      <c r="BN6" s="2636">
        <v>26.0532</v>
      </c>
      <c r="BO6" s="2636">
        <v>27.4922</v>
      </c>
      <c r="BP6" s="2636">
        <v>28.593599999999999</v>
      </c>
      <c r="BQ6" s="2636">
        <v>27.143999999999998</v>
      </c>
      <c r="BR6" s="2636">
        <v>25.668299999999999</v>
      </c>
      <c r="BS6" s="2636">
        <v>26.1235</v>
      </c>
      <c r="BT6" s="2636">
        <v>26.605399999999999</v>
      </c>
      <c r="BU6" s="2640">
        <v>24.6096</v>
      </c>
      <c r="BV6" s="2640">
        <v>24.8872</v>
      </c>
      <c r="BW6" s="2640">
        <v>27.118300000000001</v>
      </c>
      <c r="BX6" s="2640">
        <v>26.8184</v>
      </c>
      <c r="BY6" s="2640">
        <v>25.786799999999999</v>
      </c>
      <c r="BZ6" s="2636">
        <v>24.9757</v>
      </c>
      <c r="CA6" s="2636">
        <v>23.229199999999999</v>
      </c>
      <c r="CB6" s="2636">
        <v>22.044899999999998</v>
      </c>
      <c r="CC6" s="2636">
        <v>21.433499999999999</v>
      </c>
      <c r="CD6" s="2636">
        <v>22.654699999999998</v>
      </c>
      <c r="CE6" s="2636">
        <v>21.716699999999999</v>
      </c>
      <c r="CF6" s="2636">
        <v>22.553599999999999</v>
      </c>
      <c r="CG6" s="2636">
        <v>23.6126</v>
      </c>
      <c r="CH6" s="2636">
        <v>25.0962</v>
      </c>
      <c r="CI6" s="2636">
        <v>26.360900000000001</v>
      </c>
      <c r="CJ6" s="2636">
        <v>26.9573</v>
      </c>
      <c r="CK6" s="2636">
        <v>27.3185</v>
      </c>
      <c r="CL6" s="2642">
        <v>27.529699999999998</v>
      </c>
      <c r="CM6" s="2642">
        <v>27.882899999999999</v>
      </c>
      <c r="CN6" s="2642">
        <v>28.681100000000001</v>
      </c>
      <c r="CO6" s="2642">
        <v>28.164999999999999</v>
      </c>
      <c r="CP6" s="2642">
        <v>29.251000000000001</v>
      </c>
      <c r="CQ6" s="2642">
        <v>28.16612344759616</v>
      </c>
      <c r="CR6" s="2642">
        <v>28.499452496458929</v>
      </c>
      <c r="CS6" s="2642">
        <v>30.072427729575537</v>
      </c>
      <c r="CT6" s="2642">
        <v>29.940966177511076</v>
      </c>
      <c r="CU6" s="2642">
        <v>30.225972652943568</v>
      </c>
      <c r="CV6" s="2642">
        <v>31.850720017085713</v>
      </c>
      <c r="CW6" s="2642">
        <v>30.407761025539997</v>
      </c>
      <c r="CX6" s="2642">
        <v>30.856948067410002</v>
      </c>
      <c r="CY6" s="2642">
        <v>30.524032067954291</v>
      </c>
      <c r="CZ6" s="2642">
        <v>31.015875573434645</v>
      </c>
      <c r="DA6" s="2642">
        <v>30.808352357991776</v>
      </c>
      <c r="DB6" s="2642">
        <v>31.199055418040707</v>
      </c>
      <c r="DC6" s="2642">
        <v>31.640197820362499</v>
      </c>
      <c r="DD6" s="2642">
        <v>30.636825936685359</v>
      </c>
      <c r="DE6" s="2642">
        <v>29.047015291165362</v>
      </c>
      <c r="DF6" s="2642">
        <v>31.14696479228607</v>
      </c>
      <c r="DG6" s="2642">
        <v>30.016604410962859</v>
      </c>
      <c r="DH6" s="2642">
        <v>30.653454635537496</v>
      </c>
      <c r="DI6" s="2642">
        <v>31.78951233469142</v>
      </c>
      <c r="DJ6" s="2642">
        <v>32.031724399628217</v>
      </c>
      <c r="DK6" s="2642">
        <v>30.898686488191782</v>
      </c>
      <c r="DL6" s="2642">
        <v>31.132376976534285</v>
      </c>
      <c r="DM6" s="2642">
        <v>29.776268937628931</v>
      </c>
      <c r="DN6" s="2642">
        <v>32.116625134594635</v>
      </c>
      <c r="DO6" s="2642">
        <v>33.371623722129996</v>
      </c>
      <c r="DP6" s="2642">
        <v>32.202497256828565</v>
      </c>
      <c r="DQ6" s="2642">
        <v>32.544694504626854</v>
      </c>
      <c r="DR6" s="2642">
        <v>32.824064693024859</v>
      </c>
      <c r="DS6" s="2642">
        <v>32.862170824724437</v>
      </c>
      <c r="DT6" s="2642">
        <v>32.391319341800006</v>
      </c>
      <c r="DU6" s="2642">
        <v>32.120387970051432</v>
      </c>
      <c r="DV6" s="2642">
        <v>32.161973845968575</v>
      </c>
      <c r="DW6" s="2642">
        <v>33.017899227804911</v>
      </c>
      <c r="DX6" s="2642">
        <v>32.650179029661359</v>
      </c>
      <c r="DY6" s="2642">
        <v>30.508328271160714</v>
      </c>
      <c r="DZ6" s="2642">
        <v>29.219234642313637</v>
      </c>
      <c r="EA6" s="2642">
        <v>28.402400038163925</v>
      </c>
      <c r="EB6" s="2642">
        <v>28.121851271808289</v>
      </c>
      <c r="EC6" s="2642">
        <v>29.030171696165354</v>
      </c>
      <c r="ED6" s="2642">
        <v>29.197605977405573</v>
      </c>
      <c r="EE6" s="2642">
        <v>28.093810899874203</v>
      </c>
      <c r="EF6" s="2642">
        <v>27.423530487067431</v>
      </c>
      <c r="EG6" s="2642">
        <v>26.868356833097202</v>
      </c>
      <c r="EH6" s="2642">
        <v>27.51289510131857</v>
      </c>
      <c r="EI6" s="2642">
        <v>28.447808963130882</v>
      </c>
      <c r="EJ6" s="2642">
        <v>28.441322898389053</v>
      </c>
      <c r="EK6" s="2642">
        <v>28.738349329908999</v>
      </c>
      <c r="EL6" s="2642">
        <v>29.040735419048563</v>
      </c>
      <c r="EM6" s="2642">
        <v>28.91185272831196</v>
      </c>
      <c r="EN6" s="2642">
        <v>29.269448482517515</v>
      </c>
      <c r="EO6" s="2642">
        <v>27.939253139383428</v>
      </c>
      <c r="EP6" s="2642">
        <v>28.124029890492597</v>
      </c>
      <c r="EQ6" s="2642">
        <v>27.226541314789852</v>
      </c>
      <c r="ER6" s="2642">
        <v>26.439216729061425</v>
      </c>
      <c r="ES6" s="2642">
        <v>25.899436039495431</v>
      </c>
      <c r="ET6" s="2642">
        <v>26.375192937004499</v>
      </c>
      <c r="EU6" s="2642">
        <v>28.266616249922805</v>
      </c>
      <c r="EV6" s="2642">
        <v>28.6661</v>
      </c>
      <c r="EW6" s="2642">
        <v>27.625614285714281</v>
      </c>
      <c r="EX6" s="2642">
        <v>27.537492857142901</v>
      </c>
      <c r="EY6" s="2642">
        <v>26.409199999999998</v>
      </c>
      <c r="EZ6" s="2642">
        <v>25.694435714285699</v>
      </c>
      <c r="FA6" s="2642">
        <v>25.462199999999999</v>
      </c>
      <c r="FB6" s="2642">
        <v>26.114100000000001</v>
      </c>
      <c r="FC6" s="2642">
        <v>26.594899999999999</v>
      </c>
      <c r="FD6" s="2642">
        <v>26.756599999999999</v>
      </c>
      <c r="FE6" s="2642">
        <v>26.073399999999999</v>
      </c>
      <c r="FF6" s="2642">
        <v>26.177199999999999</v>
      </c>
      <c r="FG6" s="2642">
        <v>27.6374</v>
      </c>
      <c r="FH6" s="2642">
        <v>27.498899999999999</v>
      </c>
      <c r="FI6" s="2643">
        <v>26.2941</v>
      </c>
    </row>
    <row r="7" spans="1:167" ht="21" customHeight="1" x14ac:dyDescent="0.25">
      <c r="A7" s="2632" t="s">
        <v>4310</v>
      </c>
      <c r="B7" s="2633">
        <v>3.95</v>
      </c>
      <c r="C7" s="2634">
        <v>3.94</v>
      </c>
      <c r="D7" s="2644">
        <v>3.93</v>
      </c>
      <c r="E7" s="2644">
        <v>3.9</v>
      </c>
      <c r="F7" s="2645">
        <v>3.88</v>
      </c>
      <c r="G7" s="2645">
        <v>3.87</v>
      </c>
      <c r="H7" s="2644">
        <v>3.87</v>
      </c>
      <c r="I7" s="2644">
        <v>3.87</v>
      </c>
      <c r="J7" s="2644">
        <v>3.85</v>
      </c>
      <c r="K7" s="2644">
        <v>3.81</v>
      </c>
      <c r="L7" s="2644">
        <v>3.7</v>
      </c>
      <c r="M7" s="2644">
        <v>3.63</v>
      </c>
      <c r="N7" s="2644">
        <v>3.59</v>
      </c>
      <c r="O7" s="2644">
        <v>3.58</v>
      </c>
      <c r="P7" s="2644">
        <v>3.61</v>
      </c>
      <c r="Q7" s="2644">
        <v>3.82</v>
      </c>
      <c r="R7" s="2644">
        <v>3.85</v>
      </c>
      <c r="S7" s="2644">
        <v>3.81</v>
      </c>
      <c r="T7" s="2644">
        <v>3.78</v>
      </c>
      <c r="U7" s="2644">
        <v>3.75</v>
      </c>
      <c r="V7" s="2644">
        <v>3.69</v>
      </c>
      <c r="W7" s="2644">
        <v>3.5</v>
      </c>
      <c r="X7" s="2644">
        <v>3.41</v>
      </c>
      <c r="Y7" s="2644">
        <v>3.39</v>
      </c>
      <c r="Z7" s="2644">
        <v>3.48</v>
      </c>
      <c r="AA7" s="2644">
        <v>3.62</v>
      </c>
      <c r="AB7" s="2644">
        <v>3.69</v>
      </c>
      <c r="AC7" s="2646">
        <v>3.68</v>
      </c>
      <c r="AD7" s="2647">
        <v>3.7</v>
      </c>
      <c r="AE7" s="2647">
        <v>3.72</v>
      </c>
      <c r="AF7" s="2647">
        <v>3.73</v>
      </c>
      <c r="AG7" s="2647">
        <v>3.74</v>
      </c>
      <c r="AH7" s="2647">
        <v>3.73</v>
      </c>
      <c r="AI7" s="2647">
        <v>3.7</v>
      </c>
      <c r="AJ7" s="2647">
        <v>3.73</v>
      </c>
      <c r="AK7" s="2647">
        <v>3.79</v>
      </c>
      <c r="AL7" s="2648">
        <v>3.8</v>
      </c>
      <c r="AM7" s="2647">
        <v>3.82</v>
      </c>
      <c r="AN7" s="2647">
        <v>3.85</v>
      </c>
      <c r="AO7" s="2647">
        <v>3.88</v>
      </c>
      <c r="AP7" s="2647">
        <v>3.9</v>
      </c>
      <c r="AQ7" s="2649">
        <v>3.96</v>
      </c>
      <c r="AR7" s="2647">
        <v>3.99</v>
      </c>
      <c r="AS7" s="2649">
        <v>4.0199999999999996</v>
      </c>
      <c r="AT7" s="2648">
        <v>4.03</v>
      </c>
      <c r="AU7" s="2648">
        <v>4.03</v>
      </c>
      <c r="AV7" s="2647">
        <v>4.04</v>
      </c>
      <c r="AW7" s="2650">
        <v>4.05</v>
      </c>
      <c r="AX7" s="2649">
        <v>4.0599999999999996</v>
      </c>
      <c r="AY7" s="2648">
        <v>4.05</v>
      </c>
      <c r="AZ7" s="2647">
        <v>4.0599999999999996</v>
      </c>
      <c r="BA7" s="2649">
        <v>4.1100000000000003</v>
      </c>
      <c r="BB7" s="2648">
        <v>4.25</v>
      </c>
      <c r="BC7" s="2647">
        <v>4.26</v>
      </c>
      <c r="BD7" s="2647">
        <v>4.3099999999999996</v>
      </c>
      <c r="BE7" s="2649">
        <v>4.34</v>
      </c>
      <c r="BF7" s="2648">
        <v>4.37</v>
      </c>
      <c r="BG7" s="2648">
        <v>4.3499999999999996</v>
      </c>
      <c r="BH7" s="2648">
        <v>4.3099999999999996</v>
      </c>
      <c r="BI7" s="2648">
        <v>4.2699999999999996</v>
      </c>
      <c r="BJ7" s="2648">
        <v>4.18</v>
      </c>
      <c r="BK7" s="2648">
        <v>4.12</v>
      </c>
      <c r="BL7" s="2648">
        <v>4.13</v>
      </c>
      <c r="BM7" s="2648">
        <v>4.09</v>
      </c>
      <c r="BN7" s="2647">
        <v>4.0932000000000004</v>
      </c>
      <c r="BO7" s="2647">
        <v>4.0366999999999997</v>
      </c>
      <c r="BP7" s="2647">
        <v>4.0175999999999998</v>
      </c>
      <c r="BQ7" s="2647">
        <v>3.948</v>
      </c>
      <c r="BR7" s="2647">
        <v>3.7471999999999999</v>
      </c>
      <c r="BS7" s="2647">
        <v>3.7690999999999999</v>
      </c>
      <c r="BT7" s="2647">
        <v>3.6236000000000002</v>
      </c>
      <c r="BU7" s="2648">
        <v>3.4592000000000001</v>
      </c>
      <c r="BV7" s="2648">
        <v>3.4264999999999999</v>
      </c>
      <c r="BW7" s="2648">
        <v>3.6351</v>
      </c>
      <c r="BX7" s="2648">
        <v>3.5863999999999998</v>
      </c>
      <c r="BY7" s="2648">
        <v>3.5167000000000002</v>
      </c>
      <c r="BZ7" s="2647">
        <v>3.7092000000000001</v>
      </c>
      <c r="CA7" s="2647">
        <v>3.7442000000000002</v>
      </c>
      <c r="CB7" s="2647">
        <v>4.2183999999999999</v>
      </c>
      <c r="CC7" s="2647">
        <v>4.2065000000000001</v>
      </c>
      <c r="CD7" s="2647">
        <v>4.2130000000000001</v>
      </c>
      <c r="CE7" s="2647">
        <v>4.3268000000000004</v>
      </c>
      <c r="CF7" s="2647">
        <v>4.5053999999999998</v>
      </c>
      <c r="CG7" s="2647">
        <v>4.4272</v>
      </c>
      <c r="CH7" s="2647">
        <v>4.4598000000000004</v>
      </c>
      <c r="CI7" s="2647">
        <v>4.3163</v>
      </c>
      <c r="CJ7" s="2647">
        <v>4.2948000000000004</v>
      </c>
      <c r="CK7" s="2647">
        <v>4.2535999999999996</v>
      </c>
      <c r="CL7" s="2651">
        <v>4.2291999999999996</v>
      </c>
      <c r="CM7" s="2651">
        <v>4.0975999999999999</v>
      </c>
      <c r="CN7" s="2651">
        <v>4.0427</v>
      </c>
      <c r="CO7" s="2651">
        <v>3.9632999999999998</v>
      </c>
      <c r="CP7" s="2651">
        <v>4.4180000000000001</v>
      </c>
      <c r="CQ7" s="2651">
        <v>4.032487560373756</v>
      </c>
      <c r="CR7" s="2651">
        <v>4.0969714264583965</v>
      </c>
      <c r="CS7" s="2651">
        <v>4.0047722008282394</v>
      </c>
      <c r="CT7" s="2651">
        <v>3.9543564370945878</v>
      </c>
      <c r="CU7" s="2651">
        <v>4.0426005138951515</v>
      </c>
      <c r="CV7" s="2651">
        <v>4.0278040434054869</v>
      </c>
      <c r="CW7" s="2651">
        <v>3.9279889267950394</v>
      </c>
      <c r="CX7" s="2651">
        <v>3.8959044275968897</v>
      </c>
      <c r="CY7" s="2651">
        <v>3.7942924247204624</v>
      </c>
      <c r="CZ7" s="2651">
        <v>3.6576214562405553</v>
      </c>
      <c r="DA7" s="2651">
        <v>3.6971726456905682</v>
      </c>
      <c r="DB7" s="2651">
        <v>3.7294413698932494</v>
      </c>
      <c r="DC7" s="2651">
        <v>3.6934897257530364</v>
      </c>
      <c r="DD7" s="2651">
        <v>3.6818912762427973</v>
      </c>
      <c r="DE7" s="2651">
        <v>3.8179949005074763</v>
      </c>
      <c r="DF7" s="2651">
        <v>3.8047301396428601</v>
      </c>
      <c r="DG7" s="2651">
        <v>3.8422869353282501</v>
      </c>
      <c r="DH7" s="2651">
        <v>3.8844088727125103</v>
      </c>
      <c r="DI7" s="2651">
        <v>3.8513244997920633</v>
      </c>
      <c r="DJ7" s="2651">
        <v>3.8175666094278706</v>
      </c>
      <c r="DK7" s="2651">
        <v>3.8251777537822003</v>
      </c>
      <c r="DL7" s="2651">
        <v>3.8342347896408513</v>
      </c>
      <c r="DM7" s="2651">
        <v>3.9417741110028013</v>
      </c>
      <c r="DN7" s="2651">
        <v>4.0708354957761896</v>
      </c>
      <c r="DO7" s="2651">
        <v>4.0905709470138962</v>
      </c>
      <c r="DP7" s="2651">
        <v>4.030456479785907</v>
      </c>
      <c r="DQ7" s="2651">
        <v>4.0078231107034785</v>
      </c>
      <c r="DR7" s="2651">
        <v>4.0806980113313447</v>
      </c>
      <c r="DS7" s="2651">
        <v>4.0671373455316617</v>
      </c>
      <c r="DT7" s="2651">
        <v>4.0231595015807393</v>
      </c>
      <c r="DU7" s="2651">
        <v>3.9837583570262205</v>
      </c>
      <c r="DV7" s="2651">
        <v>4.028247168938881</v>
      </c>
      <c r="DW7" s="2651">
        <v>4.0768341388566833</v>
      </c>
      <c r="DX7" s="2651">
        <v>4.0628685596363976</v>
      </c>
      <c r="DY7" s="2651">
        <v>4.0762222476361059</v>
      </c>
      <c r="DZ7" s="2651">
        <v>4.0615859662385274</v>
      </c>
      <c r="EA7" s="2651">
        <v>4.0526861410180075</v>
      </c>
      <c r="EB7" s="2651">
        <v>4.0540417623135312</v>
      </c>
      <c r="EC7" s="2651">
        <v>4.0257424481660626</v>
      </c>
      <c r="ED7" s="2651">
        <v>3.9721481226092061</v>
      </c>
      <c r="EE7" s="2651">
        <v>3.9915340622676623</v>
      </c>
      <c r="EF7" s="2651">
        <v>3.961008416987966</v>
      </c>
      <c r="EG7" s="2651">
        <v>3.96232685422873</v>
      </c>
      <c r="EH7" s="2651">
        <v>3.9605346166013895</v>
      </c>
      <c r="EI7" s="2651">
        <v>3.9588024734141762</v>
      </c>
      <c r="EJ7" s="2651">
        <v>3.9540965649064481</v>
      </c>
      <c r="EK7" s="2651">
        <v>3.9757805111719478</v>
      </c>
      <c r="EL7" s="2651">
        <v>3.9760763116678146</v>
      </c>
      <c r="EM7" s="2651">
        <v>4.0028902580014192</v>
      </c>
      <c r="EN7" s="2651">
        <v>4.0383165436656885</v>
      </c>
      <c r="EO7" s="2651">
        <v>4.1052129778189883</v>
      </c>
      <c r="EP7" s="2651">
        <v>4.1152610216866359</v>
      </c>
      <c r="EQ7" s="2651">
        <v>4.1406034676737535</v>
      </c>
      <c r="ER7" s="2651">
        <v>4.1598926892904453</v>
      </c>
      <c r="ES7" s="2651">
        <v>4.296523799351375</v>
      </c>
      <c r="ET7" s="2651">
        <v>4.3693169590461753</v>
      </c>
      <c r="EU7" s="2651">
        <v>4.7795437239206731</v>
      </c>
      <c r="EV7" s="2651">
        <v>4.6391923076923076</v>
      </c>
      <c r="EW7" s="2651">
        <v>4.6524538461538461</v>
      </c>
      <c r="EX7" s="2651">
        <v>4.6358846153846196</v>
      </c>
      <c r="EY7" s="2651">
        <v>4.6719999999999997</v>
      </c>
      <c r="EZ7" s="2651">
        <v>4.6441499999999998</v>
      </c>
      <c r="FA7" s="2651">
        <v>4.6896000000000004</v>
      </c>
      <c r="FB7" s="2651">
        <v>4.7465999999999999</v>
      </c>
      <c r="FC7" s="2651">
        <v>4.7805999999999997</v>
      </c>
      <c r="FD7" s="2651">
        <v>4.7352999999999996</v>
      </c>
      <c r="FE7" s="2651">
        <v>4.7266000000000004</v>
      </c>
      <c r="FF7" s="2651">
        <v>4.7249999999999996</v>
      </c>
      <c r="FG7" s="2651">
        <v>4.6643999999999997</v>
      </c>
      <c r="FH7" s="2651">
        <v>4.6374000000000004</v>
      </c>
      <c r="FI7" s="2652">
        <v>4.6788999999999996</v>
      </c>
    </row>
    <row r="8" spans="1:167" ht="21" customHeight="1" x14ac:dyDescent="0.25">
      <c r="A8" s="2632" t="s">
        <v>4311</v>
      </c>
      <c r="B8" s="2633">
        <v>64</v>
      </c>
      <c r="C8" s="2644">
        <v>64</v>
      </c>
      <c r="D8" s="2644">
        <v>63</v>
      </c>
      <c r="E8" s="2644">
        <v>63</v>
      </c>
      <c r="F8" s="2645">
        <v>63</v>
      </c>
      <c r="G8" s="2644">
        <v>63</v>
      </c>
      <c r="H8" s="2644">
        <v>63</v>
      </c>
      <c r="I8" s="2644">
        <v>63</v>
      </c>
      <c r="J8" s="2644">
        <v>63</v>
      </c>
      <c r="K8" s="2644">
        <v>63</v>
      </c>
      <c r="L8" s="2644">
        <v>61</v>
      </c>
      <c r="M8" s="2644">
        <v>60</v>
      </c>
      <c r="N8" s="2644">
        <v>60</v>
      </c>
      <c r="O8" s="2644">
        <v>60</v>
      </c>
      <c r="P8" s="2644">
        <v>60</v>
      </c>
      <c r="Q8" s="2644">
        <v>65</v>
      </c>
      <c r="R8" s="2644">
        <v>66</v>
      </c>
      <c r="S8" s="2644">
        <v>65</v>
      </c>
      <c r="T8" s="2644">
        <v>64</v>
      </c>
      <c r="U8" s="2644">
        <v>65</v>
      </c>
      <c r="V8" s="2644">
        <v>63</v>
      </c>
      <c r="W8" s="2644">
        <v>60</v>
      </c>
      <c r="X8" s="2644">
        <v>59</v>
      </c>
      <c r="Y8" s="2644">
        <v>59</v>
      </c>
      <c r="Z8" s="2644">
        <v>62</v>
      </c>
      <c r="AA8" s="2644">
        <v>64</v>
      </c>
      <c r="AB8" s="2644">
        <v>64</v>
      </c>
      <c r="AC8" s="2646">
        <v>63</v>
      </c>
      <c r="AD8" s="2647">
        <v>63</v>
      </c>
      <c r="AE8" s="2647">
        <v>63</v>
      </c>
      <c r="AF8" s="2647">
        <v>64</v>
      </c>
      <c r="AG8" s="2647">
        <v>64</v>
      </c>
      <c r="AH8" s="2647">
        <v>65</v>
      </c>
      <c r="AI8" s="2647">
        <v>67</v>
      </c>
      <c r="AJ8" s="2647">
        <v>67</v>
      </c>
      <c r="AK8" s="2647">
        <v>68</v>
      </c>
      <c r="AL8" s="2648">
        <v>68</v>
      </c>
      <c r="AM8" s="2647">
        <v>69</v>
      </c>
      <c r="AN8" s="2647">
        <v>69</v>
      </c>
      <c r="AO8" s="2647">
        <v>70</v>
      </c>
      <c r="AP8" s="2647">
        <v>69</v>
      </c>
      <c r="AQ8" s="2649">
        <v>71</v>
      </c>
      <c r="AR8" s="2647">
        <v>69</v>
      </c>
      <c r="AS8" s="2649">
        <v>68</v>
      </c>
      <c r="AT8" s="2648">
        <v>69</v>
      </c>
      <c r="AU8" s="2648">
        <v>71</v>
      </c>
      <c r="AV8" s="2647">
        <v>71</v>
      </c>
      <c r="AW8" s="2650">
        <v>71</v>
      </c>
      <c r="AX8" s="2649">
        <v>70</v>
      </c>
      <c r="AY8" s="2648">
        <v>68</v>
      </c>
      <c r="AZ8" s="2647">
        <v>68</v>
      </c>
      <c r="BA8" s="2649">
        <v>69</v>
      </c>
      <c r="BB8" s="2648">
        <v>71</v>
      </c>
      <c r="BC8" s="2647">
        <v>72</v>
      </c>
      <c r="BD8" s="2647">
        <v>74</v>
      </c>
      <c r="BE8" s="2649">
        <v>76</v>
      </c>
      <c r="BF8" s="2648">
        <v>77</v>
      </c>
      <c r="BG8" s="2648">
        <v>77</v>
      </c>
      <c r="BH8" s="2648">
        <v>76</v>
      </c>
      <c r="BI8" s="2648">
        <v>77</v>
      </c>
      <c r="BJ8" s="2648">
        <v>79</v>
      </c>
      <c r="BK8" s="2648">
        <v>79</v>
      </c>
      <c r="BL8" s="2648">
        <v>79</v>
      </c>
      <c r="BM8" s="2648">
        <v>79</v>
      </c>
      <c r="BN8" s="2647">
        <v>78.05</v>
      </c>
      <c r="BO8" s="2647">
        <v>78.83</v>
      </c>
      <c r="BP8" s="2647">
        <v>79.45</v>
      </c>
      <c r="BQ8" s="2647">
        <v>77.67</v>
      </c>
      <c r="BR8" s="2647">
        <v>74.400000000000006</v>
      </c>
      <c r="BS8" s="2647">
        <v>74.81</v>
      </c>
      <c r="BT8" s="2647">
        <v>70.86</v>
      </c>
      <c r="BU8" s="2648">
        <v>67.650000000000006</v>
      </c>
      <c r="BV8" s="2648">
        <v>66.27</v>
      </c>
      <c r="BW8" s="2648">
        <v>66.94</v>
      </c>
      <c r="BX8" s="2648">
        <v>65.48</v>
      </c>
      <c r="BY8" s="2648">
        <v>64.739999999999995</v>
      </c>
      <c r="BZ8" s="2647">
        <v>66.5</v>
      </c>
      <c r="CA8" s="2647">
        <v>62.61</v>
      </c>
      <c r="CB8" s="2647">
        <v>66.86</v>
      </c>
      <c r="CC8" s="2647">
        <v>66.55</v>
      </c>
      <c r="CD8" s="2647">
        <v>68.040000000000006</v>
      </c>
      <c r="CE8" s="2647">
        <v>69.03</v>
      </c>
      <c r="CF8" s="2647">
        <v>69.55</v>
      </c>
      <c r="CG8" s="2647">
        <v>67.95</v>
      </c>
      <c r="CH8" s="2647">
        <v>69.77</v>
      </c>
      <c r="CI8" s="2647">
        <v>70.95</v>
      </c>
      <c r="CJ8" s="2647">
        <v>70.099999999999994</v>
      </c>
      <c r="CK8" s="2647">
        <v>68.75</v>
      </c>
      <c r="CL8" s="2651">
        <v>67.5</v>
      </c>
      <c r="CM8" s="2651">
        <v>66.58</v>
      </c>
      <c r="CN8" s="2651">
        <v>67.03</v>
      </c>
      <c r="CO8" s="2651">
        <v>66.52</v>
      </c>
      <c r="CP8" s="2651">
        <v>74.162000000000006</v>
      </c>
      <c r="CQ8" s="2651">
        <v>67.621465930757452</v>
      </c>
      <c r="CR8" s="2651">
        <v>68.015153579793093</v>
      </c>
      <c r="CS8" s="2651">
        <v>69.901770337746854</v>
      </c>
      <c r="CT8" s="2651">
        <v>69.083785246121522</v>
      </c>
      <c r="CU8" s="2651">
        <v>68.509426016998361</v>
      </c>
      <c r="CV8" s="2651">
        <v>69.996160890346346</v>
      </c>
      <c r="CW8" s="2651">
        <v>66.909526631273181</v>
      </c>
      <c r="CX8" s="2651">
        <v>67.264028800817499</v>
      </c>
      <c r="CY8" s="2651">
        <v>66.332525645814272</v>
      </c>
      <c r="CZ8" s="2651">
        <v>64.215241661898332</v>
      </c>
      <c r="DA8" s="2651">
        <v>64.096356697877539</v>
      </c>
      <c r="DB8" s="2651">
        <v>65.064923392718725</v>
      </c>
      <c r="DC8" s="2651">
        <v>65.514984532269622</v>
      </c>
      <c r="DD8" s="2651">
        <v>62.609482794946224</v>
      </c>
      <c r="DE8" s="2651">
        <v>60.925183705943788</v>
      </c>
      <c r="DF8" s="2651">
        <v>60.805336797674201</v>
      </c>
      <c r="DG8" s="2651">
        <v>57.766111715162715</v>
      </c>
      <c r="DH8" s="2651">
        <v>56.978143790512256</v>
      </c>
      <c r="DI8" s="2651">
        <v>60.469953757124337</v>
      </c>
      <c r="DJ8" s="2651">
        <v>60.776811663977739</v>
      </c>
      <c r="DK8" s="2651">
        <v>58.417736942427155</v>
      </c>
      <c r="DL8" s="2651">
        <v>56.970322258528853</v>
      </c>
      <c r="DM8" s="2651">
        <v>54.647744322051103</v>
      </c>
      <c r="DN8" s="2651">
        <v>56.436876067778485</v>
      </c>
      <c r="DO8" s="2651">
        <v>57.51169353670614</v>
      </c>
      <c r="DP8" s="2651">
        <v>56.436974802987415</v>
      </c>
      <c r="DQ8" s="2651">
        <v>59.337635921788724</v>
      </c>
      <c r="DR8" s="2651">
        <v>58.708532587011099</v>
      </c>
      <c r="DS8" s="2651">
        <v>57.981841042910823</v>
      </c>
      <c r="DT8" s="2651">
        <v>57.267521762874281</v>
      </c>
      <c r="DU8" s="2651">
        <v>58.453915276575344</v>
      </c>
      <c r="DV8" s="2651">
        <v>58.559244870373362</v>
      </c>
      <c r="DW8" s="2651">
        <v>58.55820232609873</v>
      </c>
      <c r="DX8" s="2651">
        <v>58.431138629502399</v>
      </c>
      <c r="DY8" s="2651">
        <v>56.22528491220492</v>
      </c>
      <c r="DZ8" s="2651">
        <v>52.989112348896327</v>
      </c>
      <c r="EA8" s="2651">
        <v>51.85604770778842</v>
      </c>
      <c r="EB8" s="2651">
        <v>47.221571906416195</v>
      </c>
      <c r="EC8" s="2651">
        <v>50.014158464413903</v>
      </c>
      <c r="ED8" s="2651">
        <v>50.409903941346613</v>
      </c>
      <c r="EE8" s="2651">
        <v>49.914315470957582</v>
      </c>
      <c r="EF8" s="2651">
        <v>49.837389293521611</v>
      </c>
      <c r="EG8" s="2651">
        <v>49.299081949840065</v>
      </c>
      <c r="EH8" s="2651">
        <v>49.786150536251107</v>
      </c>
      <c r="EI8" s="2651">
        <v>51.347800238420724</v>
      </c>
      <c r="EJ8" s="2651">
        <v>51.08716923012463</v>
      </c>
      <c r="EK8" s="2651">
        <v>52.503314757371811</v>
      </c>
      <c r="EL8" s="2651">
        <v>51.54664824967994</v>
      </c>
      <c r="EM8" s="2651">
        <v>51.75824170232719</v>
      </c>
      <c r="EN8" s="2651">
        <v>51.987331807788294</v>
      </c>
      <c r="EO8" s="2651">
        <v>52.084141875639226</v>
      </c>
      <c r="EP8" s="2651">
        <v>52.278968496050794</v>
      </c>
      <c r="EQ8" s="2651">
        <v>52.124514593445383</v>
      </c>
      <c r="ER8" s="2651">
        <v>51.169495620222129</v>
      </c>
      <c r="ES8" s="2651">
        <v>54.180032315431234</v>
      </c>
      <c r="ET8" s="2651">
        <v>55.02539100202879</v>
      </c>
      <c r="EU8" s="2651">
        <v>59.454253902015317</v>
      </c>
      <c r="EV8" s="2651">
        <v>56.837500000000006</v>
      </c>
      <c r="EW8" s="2651">
        <v>56.959230769230771</v>
      </c>
      <c r="EX8" s="2651">
        <v>56.67</v>
      </c>
      <c r="EY8" s="2651">
        <v>56.9130769230769</v>
      </c>
      <c r="EZ8" s="2651">
        <v>54.547692307692294</v>
      </c>
      <c r="FA8" s="2651">
        <v>55.540769230769207</v>
      </c>
      <c r="FB8" s="2651">
        <v>56.65</v>
      </c>
      <c r="FC8" s="2651">
        <v>55.789999999999992</v>
      </c>
      <c r="FD8" s="2651">
        <v>55.589999999999996</v>
      </c>
      <c r="FE8" s="2651">
        <v>54.390000000000008</v>
      </c>
      <c r="FF8" s="2651">
        <v>53.93</v>
      </c>
      <c r="FG8" s="2651">
        <v>54.92</v>
      </c>
      <c r="FH8" s="2651">
        <v>54.43</v>
      </c>
      <c r="FI8" s="2652">
        <v>54.410000000000004</v>
      </c>
    </row>
    <row r="9" spans="1:167" ht="21" customHeight="1" x14ac:dyDescent="0.25">
      <c r="A9" s="2632" t="s">
        <v>4312</v>
      </c>
      <c r="B9" s="2633">
        <v>23.05</v>
      </c>
      <c r="C9" s="2634">
        <v>23.86</v>
      </c>
      <c r="D9" s="2634">
        <v>24.71</v>
      </c>
      <c r="E9" s="2634">
        <v>25.31</v>
      </c>
      <c r="F9" s="2634">
        <v>25.07</v>
      </c>
      <c r="G9" s="2634">
        <v>25.44</v>
      </c>
      <c r="H9" s="2653">
        <v>24.65</v>
      </c>
      <c r="I9" s="2653">
        <v>24.4</v>
      </c>
      <c r="J9" s="2653">
        <v>24.37</v>
      </c>
      <c r="K9" s="2653">
        <v>24.87</v>
      </c>
      <c r="L9" s="2653">
        <v>24.09</v>
      </c>
      <c r="M9" s="2653">
        <v>23.88</v>
      </c>
      <c r="N9" s="2653">
        <v>23.26</v>
      </c>
      <c r="O9" s="2653">
        <v>23.22</v>
      </c>
      <c r="P9" s="2653">
        <v>23.6</v>
      </c>
      <c r="Q9" s="2653">
        <v>24.66</v>
      </c>
      <c r="R9" s="2653">
        <v>24.82</v>
      </c>
      <c r="S9" s="2653">
        <v>25.17</v>
      </c>
      <c r="T9" s="2653">
        <v>26.15</v>
      </c>
      <c r="U9" s="2653">
        <v>26.51</v>
      </c>
      <c r="V9" s="2653">
        <v>25.98</v>
      </c>
      <c r="W9" s="2653">
        <v>25.21</v>
      </c>
      <c r="X9" s="2653">
        <v>24.75</v>
      </c>
      <c r="Y9" s="2653">
        <v>23.83</v>
      </c>
      <c r="Z9" s="2653">
        <v>25.83</v>
      </c>
      <c r="AA9" s="2653">
        <v>25.41</v>
      </c>
      <c r="AB9" s="2653">
        <v>25.96</v>
      </c>
      <c r="AC9" s="2654">
        <v>26.24</v>
      </c>
      <c r="AD9" s="2651">
        <v>25.55</v>
      </c>
      <c r="AE9" s="2651">
        <v>26.25</v>
      </c>
      <c r="AF9" s="2651">
        <v>26.03</v>
      </c>
      <c r="AG9" s="2651">
        <v>27.15</v>
      </c>
      <c r="AH9" s="2651">
        <v>27.88</v>
      </c>
      <c r="AI9" s="2651">
        <v>27.79</v>
      </c>
      <c r="AJ9" s="2651">
        <v>27.89</v>
      </c>
      <c r="AK9" s="2651">
        <v>27.36</v>
      </c>
      <c r="AL9" s="2655">
        <v>27.78</v>
      </c>
      <c r="AM9" s="2651">
        <v>27.29</v>
      </c>
      <c r="AN9" s="2651">
        <v>26.92</v>
      </c>
      <c r="AO9" s="2651">
        <v>26.67</v>
      </c>
      <c r="AP9" s="2651">
        <v>27.01</v>
      </c>
      <c r="AQ9" s="2656">
        <v>27.02</v>
      </c>
      <c r="AR9" s="2651">
        <v>26.48</v>
      </c>
      <c r="AS9" s="2656">
        <v>25.83</v>
      </c>
      <c r="AT9" s="2655">
        <v>26.37</v>
      </c>
      <c r="AU9" s="2655">
        <v>26.32</v>
      </c>
      <c r="AV9" s="2651">
        <v>26.66</v>
      </c>
      <c r="AW9" s="2657">
        <v>26.52</v>
      </c>
      <c r="AX9" s="2656">
        <v>27.26</v>
      </c>
      <c r="AY9" s="2655">
        <v>27.8</v>
      </c>
      <c r="AZ9" s="2651">
        <v>27.19</v>
      </c>
      <c r="BA9" s="2656">
        <v>27.76</v>
      </c>
      <c r="BB9" s="2655">
        <v>28.02</v>
      </c>
      <c r="BC9" s="2651">
        <v>28.11</v>
      </c>
      <c r="BD9" s="2651">
        <v>28.6</v>
      </c>
      <c r="BE9" s="2656">
        <v>29.37</v>
      </c>
      <c r="BF9" s="2655">
        <v>28.84</v>
      </c>
      <c r="BG9" s="2655">
        <v>28.25</v>
      </c>
      <c r="BH9" s="2655">
        <v>28.58</v>
      </c>
      <c r="BI9" s="2655">
        <v>28.46</v>
      </c>
      <c r="BJ9" s="2655">
        <v>27.4</v>
      </c>
      <c r="BK9" s="2655">
        <v>26.4</v>
      </c>
      <c r="BL9" s="2655">
        <v>26.07</v>
      </c>
      <c r="BM9" s="2655">
        <v>26.84</v>
      </c>
      <c r="BN9" s="2651">
        <v>27.363700000000001</v>
      </c>
      <c r="BO9" s="2651">
        <v>27.070799999999998</v>
      </c>
      <c r="BP9" s="2651">
        <v>27.028600000000001</v>
      </c>
      <c r="BQ9" s="2651">
        <v>27.75</v>
      </c>
      <c r="BR9" s="2651">
        <v>26.030200000000001</v>
      </c>
      <c r="BS9" s="2651">
        <v>27.543900000000001</v>
      </c>
      <c r="BT9" s="2651">
        <v>26.832599999999999</v>
      </c>
      <c r="BU9" s="2655">
        <v>26.9102</v>
      </c>
      <c r="BV9" s="2655">
        <v>25.618500000000001</v>
      </c>
      <c r="BW9" s="2655">
        <v>26.8565</v>
      </c>
      <c r="BX9" s="2655">
        <v>26.243600000000001</v>
      </c>
      <c r="BY9" s="2655">
        <v>25.290500000000002</v>
      </c>
      <c r="BZ9" s="2651">
        <v>26.493600000000001</v>
      </c>
      <c r="CA9" s="2651">
        <v>27.8292</v>
      </c>
      <c r="CB9" s="2651">
        <v>33.240400000000001</v>
      </c>
      <c r="CC9" s="2651">
        <v>34.240400000000001</v>
      </c>
      <c r="CD9" s="2651">
        <v>36.168199999999999</v>
      </c>
      <c r="CE9" s="2651">
        <v>37.496499999999997</v>
      </c>
      <c r="CF9" s="2651">
        <v>35.847799999999999</v>
      </c>
      <c r="CG9" s="2651">
        <v>34.9191</v>
      </c>
      <c r="CH9" s="2651">
        <v>35.516800000000003</v>
      </c>
      <c r="CI9" s="2651">
        <v>34.719099999999997</v>
      </c>
      <c r="CJ9" s="2651">
        <v>34.7348</v>
      </c>
      <c r="CK9" s="2651">
        <v>34.563699999999997</v>
      </c>
      <c r="CL9" s="2651">
        <v>35.354500000000002</v>
      </c>
      <c r="CM9" s="2651">
        <v>35.363900000000001</v>
      </c>
      <c r="CN9" s="2651">
        <v>34.321399999999997</v>
      </c>
      <c r="CO9" s="2651">
        <v>35.4818</v>
      </c>
      <c r="CP9" s="2651">
        <v>37.631</v>
      </c>
      <c r="CQ9" s="2651">
        <v>36.192216935872509</v>
      </c>
      <c r="CR9" s="2651">
        <v>37.821877308377502</v>
      </c>
      <c r="CS9" s="2651">
        <v>37.219917508368873</v>
      </c>
      <c r="CT9" s="2651">
        <v>38.030318317742591</v>
      </c>
      <c r="CU9" s="2651">
        <v>37.397090542433666</v>
      </c>
      <c r="CV9" s="2651">
        <v>38.398233090495204</v>
      </c>
      <c r="CW9" s="2651">
        <v>37.330712340682318</v>
      </c>
      <c r="CX9" s="2651">
        <v>37.162393104391363</v>
      </c>
      <c r="CY9" s="2651">
        <v>35.747713129363255</v>
      </c>
      <c r="CZ9" s="2651">
        <v>34.869090701984298</v>
      </c>
      <c r="DA9" s="2651">
        <v>35.450514349747344</v>
      </c>
      <c r="DB9" s="2651">
        <v>36.120491087199873</v>
      </c>
      <c r="DC9" s="2651">
        <v>37.154141270855305</v>
      </c>
      <c r="DD9" s="2651">
        <v>37.349127179501671</v>
      </c>
      <c r="DE9" s="2651">
        <v>38.851794048499187</v>
      </c>
      <c r="DF9" s="2651">
        <v>37.451097051576163</v>
      </c>
      <c r="DG9" s="2651">
        <v>38.436976986220429</v>
      </c>
      <c r="DH9" s="2651">
        <v>38.923089766284477</v>
      </c>
      <c r="DI9" s="2651">
        <v>39.202769408927452</v>
      </c>
      <c r="DJ9" s="2651">
        <v>36.854965424509523</v>
      </c>
      <c r="DK9" s="2651">
        <v>36.236119514273106</v>
      </c>
      <c r="DL9" s="2651">
        <v>37.138350371748196</v>
      </c>
      <c r="DM9" s="2651">
        <v>38.936352352371884</v>
      </c>
      <c r="DN9" s="2651">
        <v>39.920747363666543</v>
      </c>
      <c r="DO9" s="2651">
        <v>40.605514524767266</v>
      </c>
      <c r="DP9" s="2651">
        <v>39.877171772575444</v>
      </c>
      <c r="DQ9" s="2651">
        <v>40.135376081692662</v>
      </c>
      <c r="DR9" s="2651">
        <v>39.767120968869634</v>
      </c>
      <c r="DS9" s="2651">
        <v>38.236477661312456</v>
      </c>
      <c r="DT9" s="2651">
        <v>36.266761483454907</v>
      </c>
      <c r="DU9" s="2651">
        <v>34.07411397709302</v>
      </c>
      <c r="DV9" s="2651">
        <v>33.970538491751711</v>
      </c>
      <c r="DW9" s="2651">
        <v>33.697482595387164</v>
      </c>
      <c r="DX9" s="2651">
        <v>32.230965810489437</v>
      </c>
      <c r="DY9" s="2651">
        <v>31.388335783391476</v>
      </c>
      <c r="DZ9" s="2651">
        <v>31.92442258285098</v>
      </c>
      <c r="EA9" s="2651">
        <v>32.110977551623179</v>
      </c>
      <c r="EB9" s="2651">
        <v>32.027660234362443</v>
      </c>
      <c r="EC9" s="2651">
        <v>31.884550718549914</v>
      </c>
      <c r="ED9" s="2651">
        <v>31.347868020467789</v>
      </c>
      <c r="EE9" s="2651">
        <v>30.27992693005519</v>
      </c>
      <c r="EF9" s="2651">
        <v>29.302344743655862</v>
      </c>
      <c r="EG9" s="2651">
        <v>30.1024054923767</v>
      </c>
      <c r="EH9" s="2651">
        <v>30.254649525692013</v>
      </c>
      <c r="EI9" s="2651">
        <v>30.114528189356157</v>
      </c>
      <c r="EJ9" s="2651">
        <v>29.979010822972629</v>
      </c>
      <c r="EK9" s="2651">
        <v>30.401556704455686</v>
      </c>
      <c r="EL9" s="2651">
        <v>30.473484408435827</v>
      </c>
      <c r="EM9" s="2651">
        <v>30.239180374258986</v>
      </c>
      <c r="EN9" s="2651">
        <v>30.220516284028687</v>
      </c>
      <c r="EO9" s="2651">
        <v>29.244391751543585</v>
      </c>
      <c r="EP9" s="2651">
        <v>29.131282976020845</v>
      </c>
      <c r="EQ9" s="2651">
        <v>27.189367636533095</v>
      </c>
      <c r="ER9" s="2651">
        <v>27.052096734483751</v>
      </c>
      <c r="ES9" s="2651">
        <v>28.263223244574245</v>
      </c>
      <c r="ET9" s="2651">
        <v>28.452828945854574</v>
      </c>
      <c r="EU9" s="2651">
        <v>30.898646839001891</v>
      </c>
      <c r="EV9" s="2651">
        <v>30.2958</v>
      </c>
      <c r="EW9" s="2651">
        <v>29.172507142857143</v>
      </c>
      <c r="EX9" s="2651">
        <v>29.384114285714301</v>
      </c>
      <c r="EY9" s="2651">
        <v>29.230035714285702</v>
      </c>
      <c r="EZ9" s="2651">
        <v>29.7573857142857</v>
      </c>
      <c r="FA9" s="2651">
        <v>30.322835714285699</v>
      </c>
      <c r="FB9" s="2651">
        <v>30.3886</v>
      </c>
      <c r="FC9" s="2651">
        <v>30.203600000000002</v>
      </c>
      <c r="FD9" s="2651">
        <v>30.495799999999999</v>
      </c>
      <c r="FE9" s="2651">
        <v>30.7272</v>
      </c>
      <c r="FF9" s="2651">
        <v>32.443199999999997</v>
      </c>
      <c r="FG9" s="2651">
        <v>32.218899999999998</v>
      </c>
      <c r="FH9" s="2651">
        <v>33.5443</v>
      </c>
      <c r="FI9" s="2652">
        <v>32.682299999999998</v>
      </c>
    </row>
    <row r="10" spans="1:167" ht="21" customHeight="1" x14ac:dyDescent="0.25">
      <c r="A10" s="2632" t="s">
        <v>4313</v>
      </c>
      <c r="B10" s="2633">
        <v>39.5</v>
      </c>
      <c r="C10" s="2634">
        <v>39.53</v>
      </c>
      <c r="D10" s="2634">
        <v>39.369999999999997</v>
      </c>
      <c r="E10" s="2634">
        <v>38.880000000000003</v>
      </c>
      <c r="F10" s="2634">
        <v>38.69</v>
      </c>
      <c r="G10" s="2653">
        <v>38.61</v>
      </c>
      <c r="H10" s="2658">
        <v>38.42</v>
      </c>
      <c r="I10" s="2658">
        <v>38.11</v>
      </c>
      <c r="J10" s="2658">
        <v>37.68</v>
      </c>
      <c r="K10" s="2658">
        <v>38.72</v>
      </c>
      <c r="L10" s="2658">
        <v>37.39</v>
      </c>
      <c r="M10" s="2658">
        <v>37.200000000000003</v>
      </c>
      <c r="N10" s="2658">
        <v>36.71</v>
      </c>
      <c r="O10" s="2658">
        <v>37.770000000000003</v>
      </c>
      <c r="P10" s="2658">
        <v>39.159999999999997</v>
      </c>
      <c r="Q10" s="2658">
        <v>40.520000000000003</v>
      </c>
      <c r="R10" s="2658">
        <v>40.22</v>
      </c>
      <c r="S10" s="2658">
        <v>39.08</v>
      </c>
      <c r="T10" s="2658">
        <v>37.67</v>
      </c>
      <c r="U10" s="2658">
        <v>37.450000000000003</v>
      </c>
      <c r="V10" s="2658">
        <v>37.92</v>
      </c>
      <c r="W10" s="2658">
        <v>35.92</v>
      </c>
      <c r="X10" s="2658">
        <v>35.01</v>
      </c>
      <c r="Y10" s="2658">
        <v>34.89</v>
      </c>
      <c r="Z10" s="2658">
        <v>35.369999999999997</v>
      </c>
      <c r="AA10" s="2658">
        <v>36.479999999999997</v>
      </c>
      <c r="AB10" s="2658">
        <v>36.630000000000003</v>
      </c>
      <c r="AC10" s="2654">
        <v>36.6</v>
      </c>
      <c r="AD10" s="2651">
        <v>36.32</v>
      </c>
      <c r="AE10" s="2651">
        <v>36.69</v>
      </c>
      <c r="AF10" s="2651">
        <v>36.270000000000003</v>
      </c>
      <c r="AG10" s="2651">
        <v>36.159999999999997</v>
      </c>
      <c r="AH10" s="2651">
        <v>36.06</v>
      </c>
      <c r="AI10" s="2651">
        <v>37.68</v>
      </c>
      <c r="AJ10" s="2651">
        <v>38.229999999999997</v>
      </c>
      <c r="AK10" s="2651">
        <v>39.9</v>
      </c>
      <c r="AL10" s="2655">
        <v>39.07</v>
      </c>
      <c r="AM10" s="2651">
        <v>39.06</v>
      </c>
      <c r="AN10" s="2651">
        <v>39.67</v>
      </c>
      <c r="AO10" s="2651">
        <v>40.1</v>
      </c>
      <c r="AP10" s="2651">
        <v>40.44</v>
      </c>
      <c r="AQ10" s="2656">
        <v>41.97</v>
      </c>
      <c r="AR10" s="2651">
        <v>42.34</v>
      </c>
      <c r="AS10" s="2656">
        <v>42.2</v>
      </c>
      <c r="AT10" s="2655">
        <v>43.46</v>
      </c>
      <c r="AU10" s="2655">
        <v>43.72</v>
      </c>
      <c r="AV10" s="2651">
        <v>43.05</v>
      </c>
      <c r="AW10" s="2657">
        <v>44.19</v>
      </c>
      <c r="AX10" s="2656">
        <v>44.69</v>
      </c>
      <c r="AY10" s="2655">
        <v>43.96</v>
      </c>
      <c r="AZ10" s="2651">
        <v>43.06</v>
      </c>
      <c r="BA10" s="2656">
        <v>43.77</v>
      </c>
      <c r="BB10" s="2655">
        <v>46.09</v>
      </c>
      <c r="BC10" s="2651">
        <v>46.26</v>
      </c>
      <c r="BD10" s="2651">
        <v>46.86</v>
      </c>
      <c r="BE10" s="2656">
        <v>48.75</v>
      </c>
      <c r="BF10" s="2655">
        <v>49.24</v>
      </c>
      <c r="BG10" s="2655">
        <v>48.73</v>
      </c>
      <c r="BH10" s="2655">
        <v>48.8</v>
      </c>
      <c r="BI10" s="2655">
        <v>48.86</v>
      </c>
      <c r="BJ10" s="2655">
        <v>48.2</v>
      </c>
      <c r="BK10" s="2655">
        <v>48.52</v>
      </c>
      <c r="BL10" s="2655">
        <v>49.31</v>
      </c>
      <c r="BM10" s="2655">
        <v>47.73</v>
      </c>
      <c r="BN10" s="2651">
        <v>48.086100000000002</v>
      </c>
      <c r="BO10" s="2651">
        <v>46.983499999999999</v>
      </c>
      <c r="BP10" s="2651">
        <v>46.712400000000002</v>
      </c>
      <c r="BQ10" s="2651">
        <v>48.061999999999998</v>
      </c>
      <c r="BR10" s="2651">
        <v>46.351199999999999</v>
      </c>
      <c r="BS10" s="2651">
        <v>42.833500000000001</v>
      </c>
      <c r="BT10" s="2651">
        <v>41.456099999999999</v>
      </c>
      <c r="BU10" s="2655">
        <v>43.562100000000001</v>
      </c>
      <c r="BV10" s="2655">
        <v>43.444899999999997</v>
      </c>
      <c r="BW10" s="2655">
        <v>46.621499999999997</v>
      </c>
      <c r="BX10" s="2655">
        <v>43.881500000000003</v>
      </c>
      <c r="BY10" s="2655">
        <v>41.286200000000001</v>
      </c>
      <c r="BZ10" s="2651">
        <v>42.832299999999996</v>
      </c>
      <c r="CA10" s="2651">
        <v>40.188099999999999</v>
      </c>
      <c r="CB10" s="2651">
        <v>41.925800000000002</v>
      </c>
      <c r="CC10" s="2651">
        <v>42.5319</v>
      </c>
      <c r="CD10" s="2651">
        <v>42.685299999999998</v>
      </c>
      <c r="CE10" s="2651">
        <v>42.953899999999997</v>
      </c>
      <c r="CF10" s="2651">
        <v>44.591799999999999</v>
      </c>
      <c r="CG10" s="2651">
        <v>43.173200000000001</v>
      </c>
      <c r="CH10" s="2651">
        <v>44.6023</v>
      </c>
      <c r="CI10" s="2651">
        <v>43.169600000000003</v>
      </c>
      <c r="CJ10" s="2651">
        <v>43.700699999999998</v>
      </c>
      <c r="CK10" s="2651">
        <v>43.552500000000002</v>
      </c>
      <c r="CL10" s="2651">
        <v>43.598599999999998</v>
      </c>
      <c r="CM10" s="2651">
        <v>42.632599999999996</v>
      </c>
      <c r="CN10" s="2651">
        <v>42.175199999999997</v>
      </c>
      <c r="CO10" s="2651">
        <v>41.384399999999999</v>
      </c>
      <c r="CP10" s="2651">
        <v>43.67</v>
      </c>
      <c r="CQ10" s="2651">
        <v>39.448201547168935</v>
      </c>
      <c r="CR10" s="2651">
        <v>39.807171491282311</v>
      </c>
      <c r="CS10" s="2651">
        <v>38.940702517048976</v>
      </c>
      <c r="CT10" s="2651">
        <v>38.357676988847587</v>
      </c>
      <c r="CU10" s="2651">
        <v>39.309670401978977</v>
      </c>
      <c r="CV10" s="2651">
        <v>39.246129680337006</v>
      </c>
      <c r="CW10" s="2651">
        <v>38.149468486249788</v>
      </c>
      <c r="CX10" s="2651">
        <v>37.183644760024301</v>
      </c>
      <c r="CY10" s="2651">
        <v>35.816256987951803</v>
      </c>
      <c r="CZ10" s="2651">
        <v>34.477882160048139</v>
      </c>
      <c r="DA10" s="2651">
        <v>33.865590774155997</v>
      </c>
      <c r="DB10" s="2651">
        <v>32.66852165460282</v>
      </c>
      <c r="DC10" s="2651">
        <v>31.954230491382464</v>
      </c>
      <c r="DD10" s="2651">
        <v>30.867356745335403</v>
      </c>
      <c r="DE10" s="2651">
        <v>30.221697560238344</v>
      </c>
      <c r="DF10" s="2651">
        <v>30.178709401172526</v>
      </c>
      <c r="DG10" s="2651">
        <v>33.62739457612939</v>
      </c>
      <c r="DH10" s="2651">
        <v>35.734081954259914</v>
      </c>
      <c r="DI10" s="2651">
        <v>35.48793805414352</v>
      </c>
      <c r="DJ10" s="2651">
        <v>36.013985038337374</v>
      </c>
      <c r="DK10" s="2651">
        <v>36.115987691686847</v>
      </c>
      <c r="DL10" s="2651">
        <v>36.033456365461852</v>
      </c>
      <c r="DM10" s="2651">
        <v>35.55844419374759</v>
      </c>
      <c r="DN10" s="2651">
        <v>37.986345356006368</v>
      </c>
      <c r="DO10" s="2651">
        <v>37.886444081551858</v>
      </c>
      <c r="DP10" s="2651">
        <v>37.308728804994054</v>
      </c>
      <c r="DQ10" s="2651">
        <v>36.717520231807505</v>
      </c>
      <c r="DR10" s="2651">
        <v>37.432022630238933</v>
      </c>
      <c r="DS10" s="2651">
        <v>36.767619413407822</v>
      </c>
      <c r="DT10" s="2651">
        <v>36.517736578751105</v>
      </c>
      <c r="DU10" s="2651">
        <v>35.514635228848817</v>
      </c>
      <c r="DV10" s="2651">
        <v>36.574475718197725</v>
      </c>
      <c r="DW10" s="2651">
        <v>37.291945083088955</v>
      </c>
      <c r="DX10" s="2651">
        <v>37.914640898203594</v>
      </c>
      <c r="DY10" s="2651">
        <v>37.485402302991581</v>
      </c>
      <c r="DZ10" s="2651">
        <v>36.943646837407833</v>
      </c>
      <c r="EA10" s="2651">
        <v>36.229906972916744</v>
      </c>
      <c r="EB10" s="2651">
        <v>36.115347599771439</v>
      </c>
      <c r="EC10" s="2651">
        <v>36.265731638744462</v>
      </c>
      <c r="ED10" s="2651">
        <v>36.433260847058826</v>
      </c>
      <c r="EE10" s="2651">
        <v>35.79830679178211</v>
      </c>
      <c r="EF10" s="2651">
        <v>35.808276566125294</v>
      </c>
      <c r="EG10" s="2651">
        <v>36.065237773776971</v>
      </c>
      <c r="EH10" s="2651">
        <v>35.872774966760751</v>
      </c>
      <c r="EI10" s="2651">
        <v>35.728443351112084</v>
      </c>
      <c r="EJ10" s="2651">
        <v>35.500689623456935</v>
      </c>
      <c r="EK10" s="2651">
        <v>35.38919677655678</v>
      </c>
      <c r="EL10" s="2651">
        <v>35.485694226741309</v>
      </c>
      <c r="EM10" s="2651">
        <v>35.611374769673148</v>
      </c>
      <c r="EN10" s="2651">
        <v>35.700639656787608</v>
      </c>
      <c r="EO10" s="2651">
        <v>35.993321870406305</v>
      </c>
      <c r="EP10" s="2651">
        <v>36.000137087200514</v>
      </c>
      <c r="EQ10" s="2651">
        <v>35.810162066397275</v>
      </c>
      <c r="ER10" s="2651">
        <v>35.841276067364639</v>
      </c>
      <c r="ES10" s="2651">
        <v>36.522306029154798</v>
      </c>
      <c r="ET10" s="2651">
        <v>37.280387021659237</v>
      </c>
      <c r="EU10" s="2651">
        <v>40.419455994428112</v>
      </c>
      <c r="EV10" s="2651">
        <v>37.976633333333332</v>
      </c>
      <c r="EW10" s="2651">
        <v>36.994566666666664</v>
      </c>
      <c r="EX10" s="2651">
        <v>36.639416666666698</v>
      </c>
      <c r="EY10" s="2651">
        <v>35.592550000000003</v>
      </c>
      <c r="EZ10" s="2651">
        <v>34.777000000000001</v>
      </c>
      <c r="FA10" s="2651">
        <v>34.794699999999999</v>
      </c>
      <c r="FB10" s="2651">
        <v>36.288499999999999</v>
      </c>
      <c r="FC10" s="2651">
        <v>36.440600000000003</v>
      </c>
      <c r="FD10" s="2651">
        <v>36.009500000000003</v>
      </c>
      <c r="FE10" s="2651">
        <v>36.143000000000001</v>
      </c>
      <c r="FF10" s="2651">
        <v>36.311799999999998</v>
      </c>
      <c r="FG10" s="2651">
        <v>35.845700000000001</v>
      </c>
      <c r="FH10" s="2651">
        <v>35.8232</v>
      </c>
      <c r="FI10" s="2652">
        <v>36.262</v>
      </c>
    </row>
    <row r="11" spans="1:167" ht="21" customHeight="1" x14ac:dyDescent="0.25">
      <c r="A11" s="2632" t="s">
        <v>4314</v>
      </c>
      <c r="B11" s="2633">
        <v>12.75</v>
      </c>
      <c r="C11" s="2634">
        <v>13.77</v>
      </c>
      <c r="D11" s="2634">
        <v>14.71</v>
      </c>
      <c r="E11" s="2634">
        <v>14.88</v>
      </c>
      <c r="F11" s="2653">
        <v>14.22</v>
      </c>
      <c r="G11" s="2658">
        <v>14.18</v>
      </c>
      <c r="H11" s="2658">
        <v>14.15</v>
      </c>
      <c r="I11" s="2658">
        <v>14.55</v>
      </c>
      <c r="J11" s="2658">
        <v>14.9</v>
      </c>
      <c r="K11" s="2658">
        <v>15.62</v>
      </c>
      <c r="L11" s="2658">
        <v>15.77</v>
      </c>
      <c r="M11" s="2658">
        <v>15.92</v>
      </c>
      <c r="N11" s="2658">
        <v>15.48</v>
      </c>
      <c r="O11" s="2658">
        <v>15.59</v>
      </c>
      <c r="P11" s="2658">
        <v>16.22</v>
      </c>
      <c r="Q11" s="2658">
        <v>17.29</v>
      </c>
      <c r="R11" s="2658">
        <v>17.46</v>
      </c>
      <c r="S11" s="2658">
        <v>16.96</v>
      </c>
      <c r="T11" s="2658">
        <v>17.38</v>
      </c>
      <c r="U11" s="2658">
        <v>17.75</v>
      </c>
      <c r="V11" s="2658">
        <v>18.29</v>
      </c>
      <c r="W11" s="2658">
        <v>17.739999999999998</v>
      </c>
      <c r="X11" s="2658">
        <v>17.7</v>
      </c>
      <c r="Y11" s="2658">
        <v>18.079999999999998</v>
      </c>
      <c r="Z11" s="2658">
        <v>17.95</v>
      </c>
      <c r="AA11" s="2658">
        <v>17.57</v>
      </c>
      <c r="AB11" s="2658">
        <v>18.11</v>
      </c>
      <c r="AC11" s="2654">
        <v>18.02</v>
      </c>
      <c r="AD11" s="2651">
        <v>18.239999999999998</v>
      </c>
      <c r="AE11" s="2651">
        <v>18.899999999999999</v>
      </c>
      <c r="AF11" s="2651">
        <v>19.440000000000001</v>
      </c>
      <c r="AG11" s="2651">
        <v>19.8</v>
      </c>
      <c r="AH11" s="2651">
        <v>20.64</v>
      </c>
      <c r="AI11" s="2651">
        <v>20.65</v>
      </c>
      <c r="AJ11" s="2651">
        <v>20.65</v>
      </c>
      <c r="AK11" s="2651">
        <v>20.91</v>
      </c>
      <c r="AL11" s="2655">
        <v>21.53</v>
      </c>
      <c r="AM11" s="2651">
        <v>21.03</v>
      </c>
      <c r="AN11" s="2651">
        <v>20.93</v>
      </c>
      <c r="AO11" s="2651">
        <v>20.56</v>
      </c>
      <c r="AP11" s="2651">
        <v>20.84</v>
      </c>
      <c r="AQ11" s="2656">
        <v>21.28</v>
      </c>
      <c r="AR11" s="2651">
        <v>21.66</v>
      </c>
      <c r="AS11" s="2656">
        <v>21.78</v>
      </c>
      <c r="AT11" s="2655">
        <v>21.26</v>
      </c>
      <c r="AU11" s="2655">
        <v>21.21</v>
      </c>
      <c r="AV11" s="2651">
        <v>20.61</v>
      </c>
      <c r="AW11" s="2657">
        <v>19.170000000000002</v>
      </c>
      <c r="AX11" s="2656">
        <v>19.87</v>
      </c>
      <c r="AY11" s="2655">
        <v>20.12</v>
      </c>
      <c r="AZ11" s="2651">
        <v>19.09</v>
      </c>
      <c r="BA11" s="2656">
        <v>19.739999999999998</v>
      </c>
      <c r="BB11" s="2655">
        <v>21.42</v>
      </c>
      <c r="BC11" s="2651">
        <v>21.56</v>
      </c>
      <c r="BD11" s="2651">
        <v>22.13</v>
      </c>
      <c r="BE11" s="2656">
        <v>22.78</v>
      </c>
      <c r="BF11" s="2655">
        <v>23.78</v>
      </c>
      <c r="BG11" s="2655">
        <v>23.25</v>
      </c>
      <c r="BH11" s="2655">
        <v>23.43</v>
      </c>
      <c r="BI11" s="2655">
        <v>23.61</v>
      </c>
      <c r="BJ11" s="2655">
        <v>23.96</v>
      </c>
      <c r="BK11" s="2655">
        <v>23.37</v>
      </c>
      <c r="BL11" s="2655">
        <v>24.71</v>
      </c>
      <c r="BM11" s="2655">
        <v>24.59</v>
      </c>
      <c r="BN11" s="2651">
        <v>22.378499999999999</v>
      </c>
      <c r="BO11" s="2651">
        <v>23.5595</v>
      </c>
      <c r="BP11" s="2651">
        <v>23.744900000000001</v>
      </c>
      <c r="BQ11" s="2651">
        <v>23.664000000000001</v>
      </c>
      <c r="BR11" s="2651">
        <v>22.620100000000001</v>
      </c>
      <c r="BS11" s="2651">
        <v>22.884499999999999</v>
      </c>
      <c r="BT11" s="2651">
        <v>22.8843</v>
      </c>
      <c r="BU11" s="2655">
        <v>21.301300000000001</v>
      </c>
      <c r="BV11" s="2655">
        <v>20.659300000000002</v>
      </c>
      <c r="BW11" s="2655">
        <v>22.065799999999999</v>
      </c>
      <c r="BX11" s="2655">
        <v>21.183299999999999</v>
      </c>
      <c r="BY11" s="2655">
        <v>19.969200000000001</v>
      </c>
      <c r="BZ11" s="2651">
        <v>20.2379</v>
      </c>
      <c r="CA11" s="2651">
        <v>19.410599999999999</v>
      </c>
      <c r="CB11" s="2651">
        <v>19.113299999999999</v>
      </c>
      <c r="CC11" s="2651">
        <v>17.889099999999999</v>
      </c>
      <c r="CD11" s="2651">
        <v>18.799499999999998</v>
      </c>
      <c r="CE11" s="2651">
        <v>17.034300000000002</v>
      </c>
      <c r="CF11" s="2651">
        <v>17.554300000000001</v>
      </c>
      <c r="CG11" s="2651">
        <v>19.397200000000002</v>
      </c>
      <c r="CH11" s="2651">
        <v>19.4407</v>
      </c>
      <c r="CI11" s="2651">
        <v>20.904</v>
      </c>
      <c r="CJ11" s="2651">
        <v>21.625800000000002</v>
      </c>
      <c r="CK11" s="2651">
        <v>21.570499999999999</v>
      </c>
      <c r="CL11" s="2651">
        <v>22.291499999999999</v>
      </c>
      <c r="CM11" s="2651">
        <v>22.784600000000001</v>
      </c>
      <c r="CN11" s="2651">
        <v>22.831800000000001</v>
      </c>
      <c r="CO11" s="2651">
        <v>22.0383</v>
      </c>
      <c r="CP11" s="2651">
        <v>23.433</v>
      </c>
      <c r="CQ11" s="2651">
        <v>22.51049273070306</v>
      </c>
      <c r="CR11" s="2651">
        <v>22.336767871231114</v>
      </c>
      <c r="CS11" s="2651">
        <v>22.793092906244446</v>
      </c>
      <c r="CT11" s="2651">
        <v>23.060329477308553</v>
      </c>
      <c r="CU11" s="2651">
        <v>23.337104069673778</v>
      </c>
      <c r="CV11" s="2651">
        <v>24.118294648096278</v>
      </c>
      <c r="CW11" s="2651">
        <v>23.589894136371111</v>
      </c>
      <c r="CX11" s="2651">
        <v>22.795094819590112</v>
      </c>
      <c r="CY11" s="2651">
        <v>22.416091104349775</v>
      </c>
      <c r="CZ11" s="2651">
        <v>22.725342012365555</v>
      </c>
      <c r="DA11" s="2651">
        <v>23.661131014326443</v>
      </c>
      <c r="DB11" s="2651">
        <v>24.056207648872835</v>
      </c>
      <c r="DC11" s="2651">
        <v>24.924314847970226</v>
      </c>
      <c r="DD11" s="2651">
        <v>24.388963015491996</v>
      </c>
      <c r="DE11" s="2651">
        <v>22.70873714052378</v>
      </c>
      <c r="DF11" s="2651">
        <v>23.871387011537891</v>
      </c>
      <c r="DG11" s="2651">
        <v>22.792030638855557</v>
      </c>
      <c r="DH11" s="2651">
        <v>23.24533933484139</v>
      </c>
      <c r="DI11" s="2651">
        <v>24.529134306086224</v>
      </c>
      <c r="DJ11" s="2651">
        <v>24.848610985568889</v>
      </c>
      <c r="DK11" s="2651">
        <v>24.240495011753776</v>
      </c>
      <c r="DL11" s="2651">
        <v>24.386561242900221</v>
      </c>
      <c r="DM11" s="2651">
        <v>22.994650279172497</v>
      </c>
      <c r="DN11" s="2651">
        <v>25.090290364783996</v>
      </c>
      <c r="DO11" s="2651">
        <v>25.666515317183556</v>
      </c>
      <c r="DP11" s="2651">
        <v>24.988856378657555</v>
      </c>
      <c r="DQ11" s="2651">
        <v>25.917974672244668</v>
      </c>
      <c r="DR11" s="2651">
        <v>25.930719278911337</v>
      </c>
      <c r="DS11" s="2651">
        <v>25.869438811000002</v>
      </c>
      <c r="DT11" s="2651">
        <v>25.712930900833335</v>
      </c>
      <c r="DU11" s="2651">
        <v>25.786687684722221</v>
      </c>
      <c r="DV11" s="2651">
        <v>25.993485631277778</v>
      </c>
      <c r="DW11" s="2651">
        <v>26.439144016611113</v>
      </c>
      <c r="DX11" s="2651">
        <v>26.966896213611111</v>
      </c>
      <c r="DY11" s="2651">
        <v>25.538747780277777</v>
      </c>
      <c r="DZ11" s="2651">
        <v>24.589657090833335</v>
      </c>
      <c r="EA11" s="2651">
        <v>25.075136399722222</v>
      </c>
      <c r="EB11" s="2651">
        <v>24.438111794388888</v>
      </c>
      <c r="EC11" s="2651">
        <v>25.846341576055554</v>
      </c>
      <c r="ED11" s="2651">
        <v>25.441311304833334</v>
      </c>
      <c r="EE11" s="2651">
        <v>25.097562516388887</v>
      </c>
      <c r="EF11" s="2651">
        <v>25.265607173611116</v>
      </c>
      <c r="EG11" s="2651">
        <v>25.208304772833337</v>
      </c>
      <c r="EH11" s="2651">
        <v>25.829731957499998</v>
      </c>
      <c r="EI11" s="2651">
        <v>26.674977349277782</v>
      </c>
      <c r="EJ11" s="2651">
        <v>26.255111351833335</v>
      </c>
      <c r="EK11" s="2651">
        <v>26.230697952915552</v>
      </c>
      <c r="EL11" s="2651">
        <v>27.007198896257776</v>
      </c>
      <c r="EM11" s="2651">
        <v>26.397489492166667</v>
      </c>
      <c r="EN11" s="2651">
        <v>26.24299726927778</v>
      </c>
      <c r="EO11" s="2651">
        <v>24.955523281944444</v>
      </c>
      <c r="EP11" s="2651">
        <v>25.060287828</v>
      </c>
      <c r="EQ11" s="2651">
        <v>25.157002229314816</v>
      </c>
      <c r="ER11" s="2651">
        <v>25.316669506111111</v>
      </c>
      <c r="ES11" s="2651">
        <v>24.275116100962965</v>
      </c>
      <c r="ET11" s="2651">
        <v>25.584405469518515</v>
      </c>
      <c r="EU11" s="2651">
        <v>27.762022222222225</v>
      </c>
      <c r="EV11" s="2651">
        <v>27.3523</v>
      </c>
      <c r="EW11" s="2651">
        <v>25.777077777777784</v>
      </c>
      <c r="EX11" s="2651">
        <v>24.469088888888901</v>
      </c>
      <c r="EY11" s="2651">
        <v>23.854211111111098</v>
      </c>
      <c r="EZ11" s="2651">
        <v>23.145122222222199</v>
      </c>
      <c r="FA11" s="2651">
        <v>23.173088888888898</v>
      </c>
      <c r="FB11" s="2651">
        <v>24.788699999999999</v>
      </c>
      <c r="FC11" s="2651">
        <v>24.2318</v>
      </c>
      <c r="FD11" s="2651">
        <v>25.1433</v>
      </c>
      <c r="FE11" s="2651">
        <v>23.898800000000001</v>
      </c>
      <c r="FF11" s="2651">
        <v>24.179200000000002</v>
      </c>
      <c r="FG11" s="2651">
        <v>24.9588</v>
      </c>
      <c r="FH11" s="2651">
        <v>25.107399999999998</v>
      </c>
      <c r="FI11" s="2652">
        <v>24.468599999999999</v>
      </c>
    </row>
    <row r="12" spans="1:167" ht="21" customHeight="1" x14ac:dyDescent="0.25">
      <c r="A12" s="2632" t="s">
        <v>4315</v>
      </c>
      <c r="B12" s="2633">
        <v>16.850000000000001</v>
      </c>
      <c r="C12" s="2634">
        <v>17.010000000000002</v>
      </c>
      <c r="D12" s="2634">
        <v>17.2</v>
      </c>
      <c r="E12" s="2653">
        <v>17.27</v>
      </c>
      <c r="F12" s="2658">
        <v>17.170000000000002</v>
      </c>
      <c r="G12" s="2658">
        <v>17.29</v>
      </c>
      <c r="H12" s="2658">
        <v>16.989999999999998</v>
      </c>
      <c r="I12" s="2658">
        <v>17.09</v>
      </c>
      <c r="J12" s="2658">
        <v>17.05</v>
      </c>
      <c r="K12" s="2658">
        <v>17.14</v>
      </c>
      <c r="L12" s="2658">
        <v>16.64</v>
      </c>
      <c r="M12" s="2658">
        <v>16.309999999999999</v>
      </c>
      <c r="N12" s="2658">
        <v>15.88</v>
      </c>
      <c r="O12" s="2658">
        <v>15.78</v>
      </c>
      <c r="P12" s="2658">
        <v>16.29</v>
      </c>
      <c r="Q12" s="2658">
        <v>16.98</v>
      </c>
      <c r="R12" s="2658">
        <v>17.11</v>
      </c>
      <c r="S12" s="2658">
        <v>16.95</v>
      </c>
      <c r="T12" s="2658">
        <v>16.96</v>
      </c>
      <c r="U12" s="2658">
        <v>16.8</v>
      </c>
      <c r="V12" s="2658">
        <v>16.64</v>
      </c>
      <c r="W12" s="2658">
        <v>16.010000000000002</v>
      </c>
      <c r="X12" s="2658">
        <v>15.57</v>
      </c>
      <c r="Y12" s="2658">
        <v>15.47</v>
      </c>
      <c r="Z12" s="2658">
        <v>16.2</v>
      </c>
      <c r="AA12" s="2658">
        <v>16.579999999999998</v>
      </c>
      <c r="AB12" s="2658">
        <v>16.940000000000001</v>
      </c>
      <c r="AC12" s="2654">
        <v>16.760000000000002</v>
      </c>
      <c r="AD12" s="2651">
        <v>16.75</v>
      </c>
      <c r="AE12" s="2651">
        <v>16.95</v>
      </c>
      <c r="AF12" s="2651">
        <v>17.22</v>
      </c>
      <c r="AG12" s="2651">
        <v>17.48</v>
      </c>
      <c r="AH12" s="2651">
        <v>17.66</v>
      </c>
      <c r="AI12" s="2651">
        <v>17.62</v>
      </c>
      <c r="AJ12" s="2651">
        <v>17.760000000000002</v>
      </c>
      <c r="AK12" s="2651">
        <v>17.940000000000001</v>
      </c>
      <c r="AL12" s="2655">
        <v>18</v>
      </c>
      <c r="AM12" s="2651">
        <v>17.89</v>
      </c>
      <c r="AN12" s="2651">
        <v>17.77</v>
      </c>
      <c r="AO12" s="2651">
        <v>18.16</v>
      </c>
      <c r="AP12" s="2651">
        <v>17.98</v>
      </c>
      <c r="AQ12" s="2656">
        <v>18.22</v>
      </c>
      <c r="AR12" s="2651">
        <v>18.25</v>
      </c>
      <c r="AS12" s="2656">
        <v>18.37</v>
      </c>
      <c r="AT12" s="2655">
        <v>18.72</v>
      </c>
      <c r="AU12" s="2655">
        <v>19.16</v>
      </c>
      <c r="AV12" s="2651">
        <v>19.239999999999998</v>
      </c>
      <c r="AW12" s="2657">
        <v>19.36</v>
      </c>
      <c r="AX12" s="2656">
        <v>19.82</v>
      </c>
      <c r="AY12" s="2655">
        <v>19.899999999999999</v>
      </c>
      <c r="AZ12" s="2651">
        <v>19.75</v>
      </c>
      <c r="BA12" s="2656">
        <v>20.18</v>
      </c>
      <c r="BB12" s="2655">
        <v>20.92</v>
      </c>
      <c r="BC12" s="2651">
        <v>20.84</v>
      </c>
      <c r="BD12" s="2651">
        <v>21.32</v>
      </c>
      <c r="BE12" s="2656">
        <v>21.82</v>
      </c>
      <c r="BF12" s="2655">
        <v>22.09</v>
      </c>
      <c r="BG12" s="2655">
        <v>22.16</v>
      </c>
      <c r="BH12" s="2655">
        <v>22.06</v>
      </c>
      <c r="BI12" s="2655">
        <v>22.04</v>
      </c>
      <c r="BJ12" s="2655">
        <v>21.58</v>
      </c>
      <c r="BK12" s="2655">
        <v>21.06</v>
      </c>
      <c r="BL12" s="2655">
        <v>21.09</v>
      </c>
      <c r="BM12" s="2655">
        <v>21.22</v>
      </c>
      <c r="BN12" s="2651">
        <v>20.9954</v>
      </c>
      <c r="BO12" s="2651">
        <v>21.017099999999999</v>
      </c>
      <c r="BP12" s="2651">
        <v>21.5122</v>
      </c>
      <c r="BQ12" s="2651">
        <v>21.28</v>
      </c>
      <c r="BR12" s="2651">
        <v>20.305299999999999</v>
      </c>
      <c r="BS12" s="2651">
        <v>20.776700000000002</v>
      </c>
      <c r="BT12" s="2651">
        <v>20.2807</v>
      </c>
      <c r="BU12" s="2655">
        <v>19.541499999999999</v>
      </c>
      <c r="BV12" s="2655">
        <v>19.653500000000001</v>
      </c>
      <c r="BW12" s="2655">
        <v>20.8475</v>
      </c>
      <c r="BX12" s="2655">
        <v>20.518699999999999</v>
      </c>
      <c r="BY12" s="2655">
        <v>20.022099999999998</v>
      </c>
      <c r="BZ12" s="2651">
        <v>20.439599999999999</v>
      </c>
      <c r="CA12" s="2651">
        <v>20.322500000000002</v>
      </c>
      <c r="CB12" s="2651">
        <v>22.139800000000001</v>
      </c>
      <c r="CC12" s="2651">
        <v>21.678899999999999</v>
      </c>
      <c r="CD12" s="2651">
        <v>22.704000000000001</v>
      </c>
      <c r="CE12" s="2651">
        <v>22.2697</v>
      </c>
      <c r="CF12" s="2651">
        <v>22.7026</v>
      </c>
      <c r="CG12" s="2651">
        <v>22.583300000000001</v>
      </c>
      <c r="CH12" s="2651">
        <v>23.343699999999998</v>
      </c>
      <c r="CI12" s="2651">
        <v>23.0563</v>
      </c>
      <c r="CJ12" s="2651">
        <v>22.9482</v>
      </c>
      <c r="CK12" s="2651">
        <v>22.869599999999998</v>
      </c>
      <c r="CL12" s="2651">
        <v>22.714200000000002</v>
      </c>
      <c r="CM12" s="2651">
        <v>22.4344</v>
      </c>
      <c r="CN12" s="2651">
        <v>22.424900000000001</v>
      </c>
      <c r="CO12" s="2651">
        <v>22.178899999999999</v>
      </c>
      <c r="CP12" s="2651">
        <v>24.553999999999998</v>
      </c>
      <c r="CQ12" s="2651">
        <v>22.979750736309903</v>
      </c>
      <c r="CR12" s="2651">
        <v>23.495568976502462</v>
      </c>
      <c r="CS12" s="2651">
        <v>23.604589318060253</v>
      </c>
      <c r="CT12" s="2651">
        <v>23.620461858123285</v>
      </c>
      <c r="CU12" s="2651">
        <v>23.824710124065025</v>
      </c>
      <c r="CV12" s="2651">
        <v>24.344978340879724</v>
      </c>
      <c r="CW12" s="2651">
        <v>23.827363422350967</v>
      </c>
      <c r="CX12" s="2651">
        <v>23.861557086273912</v>
      </c>
      <c r="CY12" s="2651">
        <v>23.450030409655408</v>
      </c>
      <c r="CZ12" s="2651">
        <v>23.184874091554882</v>
      </c>
      <c r="DA12" s="2651">
        <v>23.349825866339689</v>
      </c>
      <c r="DB12" s="2651">
        <v>23.635256762272142</v>
      </c>
      <c r="DC12" s="2651">
        <v>23.940245247973078</v>
      </c>
      <c r="DD12" s="2651">
        <v>23.82665098114591</v>
      </c>
      <c r="DE12" s="2651">
        <v>22.950400022204978</v>
      </c>
      <c r="DF12" s="2651">
        <v>23.632280686171832</v>
      </c>
      <c r="DG12" s="2651">
        <v>23.13748750823979</v>
      </c>
      <c r="DH12" s="2651">
        <v>23.213978027797367</v>
      </c>
      <c r="DI12" s="2651">
        <v>23.817876536408367</v>
      </c>
      <c r="DJ12" s="2651">
        <v>23.753362621030423</v>
      </c>
      <c r="DK12" s="2651">
        <v>23.642961968781471</v>
      </c>
      <c r="DL12" s="2651">
        <v>24.061781927536874</v>
      </c>
      <c r="DM12" s="2651">
        <v>23.806851042410237</v>
      </c>
      <c r="DN12" s="2651">
        <v>24.851950656125886</v>
      </c>
      <c r="DO12" s="2651">
        <v>25.472975659131631</v>
      </c>
      <c r="DP12" s="2651">
        <v>24.990812427548175</v>
      </c>
      <c r="DQ12" s="2651">
        <v>25.397186926426055</v>
      </c>
      <c r="DR12" s="2651">
        <v>25.915181864363976</v>
      </c>
      <c r="DS12" s="2651">
        <v>25.816646508587684</v>
      </c>
      <c r="DT12" s="2651">
        <v>25.538142405657677</v>
      </c>
      <c r="DU12" s="2651">
        <v>24.982501117539673</v>
      </c>
      <c r="DV12" s="2651">
        <v>25.290554705950132</v>
      </c>
      <c r="DW12" s="2651">
        <v>25.58136703605134</v>
      </c>
      <c r="DX12" s="2651">
        <v>25.598557554753821</v>
      </c>
      <c r="DY12" s="2651">
        <v>25.1295938683676</v>
      </c>
      <c r="DZ12" s="2651">
        <v>24.989095079094763</v>
      </c>
      <c r="EA12" s="2651">
        <v>24.77068293294829</v>
      </c>
      <c r="EB12" s="2651">
        <v>24.706018811918657</v>
      </c>
      <c r="EC12" s="2651">
        <v>24.888127646674622</v>
      </c>
      <c r="ED12" s="2651">
        <v>24.91482989172415</v>
      </c>
      <c r="EE12" s="2651">
        <v>24.70227848317171</v>
      </c>
      <c r="EF12" s="2651">
        <v>24.312816946908935</v>
      </c>
      <c r="EG12" s="2651">
        <v>24.179187798932041</v>
      </c>
      <c r="EH12" s="2651">
        <v>24.302293572645016</v>
      </c>
      <c r="EI12" s="2651">
        <v>24.406026689994746</v>
      </c>
      <c r="EJ12" s="2651">
        <v>24.457851961206529</v>
      </c>
      <c r="EK12" s="2651">
        <v>24.635790605659434</v>
      </c>
      <c r="EL12" s="2651">
        <v>24.749635173370081</v>
      </c>
      <c r="EM12" s="2651">
        <v>24.966644486821696</v>
      </c>
      <c r="EN12" s="2651">
        <v>25.140169893714752</v>
      </c>
      <c r="EO12" s="2651">
        <v>25.119507805074029</v>
      </c>
      <c r="EP12" s="2651">
        <v>25.024942088192258</v>
      </c>
      <c r="EQ12" s="2651">
        <v>24.666615786501861</v>
      </c>
      <c r="ER12" s="2651">
        <v>24.469160197967962</v>
      </c>
      <c r="ES12" s="2651">
        <v>24.69420624172421</v>
      </c>
      <c r="ET12" s="2651">
        <v>25.025246252105951</v>
      </c>
      <c r="EU12" s="2651">
        <v>27.000790426380341</v>
      </c>
      <c r="EV12" s="2651">
        <v>27.2225</v>
      </c>
      <c r="EW12" s="2651">
        <v>26.839264285714282</v>
      </c>
      <c r="EX12" s="2651">
        <v>26.736764285714301</v>
      </c>
      <c r="EY12" s="2651">
        <v>26.4370642857143</v>
      </c>
      <c r="EZ12" s="2651">
        <v>25.530464285714299</v>
      </c>
      <c r="FA12" s="2651">
        <v>25.565721428571401</v>
      </c>
      <c r="FB12" s="2651">
        <v>26.311399999999999</v>
      </c>
      <c r="FC12" s="2651">
        <v>26.285799999999998</v>
      </c>
      <c r="FD12" s="2651">
        <v>26.028400000000001</v>
      </c>
      <c r="FE12" s="2651">
        <v>25.8611</v>
      </c>
      <c r="FF12" s="2651">
        <v>26.150500000000001</v>
      </c>
      <c r="FG12" s="2651">
        <v>26.811499999999999</v>
      </c>
      <c r="FH12" s="2651">
        <v>26.834199999999999</v>
      </c>
      <c r="FI12" s="2652">
        <v>26.410399999999999</v>
      </c>
    </row>
    <row r="13" spans="1:167" ht="21" customHeight="1" x14ac:dyDescent="0.25">
      <c r="A13" s="2632" t="s">
        <v>4316</v>
      </c>
      <c r="B13" s="2633">
        <v>2.71</v>
      </c>
      <c r="C13" s="2634">
        <v>2.92</v>
      </c>
      <c r="D13" s="2634">
        <v>3.18</v>
      </c>
      <c r="E13" s="2653">
        <v>2.95</v>
      </c>
      <c r="F13" s="2658">
        <v>3</v>
      </c>
      <c r="G13" s="2658">
        <v>2.85</v>
      </c>
      <c r="H13" s="2658">
        <v>2.87</v>
      </c>
      <c r="I13" s="2658">
        <v>3</v>
      </c>
      <c r="J13" s="2658">
        <v>3.25</v>
      </c>
      <c r="K13" s="2658">
        <v>3.46</v>
      </c>
      <c r="L13" s="2658">
        <v>3.38</v>
      </c>
      <c r="M13" s="2658">
        <v>3.55</v>
      </c>
      <c r="N13" s="2658">
        <v>3.52</v>
      </c>
      <c r="O13" s="2658">
        <v>3.96</v>
      </c>
      <c r="P13" s="2658">
        <v>3.57</v>
      </c>
      <c r="Q13" s="2658">
        <v>4</v>
      </c>
      <c r="R13" s="2658">
        <v>4.0999999999999996</v>
      </c>
      <c r="S13" s="2658">
        <v>4.0599999999999996</v>
      </c>
      <c r="T13" s="2658">
        <v>4.13</v>
      </c>
      <c r="U13" s="2658">
        <v>4.2300000000000004</v>
      </c>
      <c r="V13" s="2658">
        <v>4.5</v>
      </c>
      <c r="W13" s="2658">
        <v>4.12</v>
      </c>
      <c r="X13" s="2658">
        <v>3.79</v>
      </c>
      <c r="Y13" s="2658">
        <v>3.99</v>
      </c>
      <c r="Z13" s="2658">
        <v>4.33</v>
      </c>
      <c r="AA13" s="2658">
        <v>4.13</v>
      </c>
      <c r="AB13" s="2658">
        <v>4.47</v>
      </c>
      <c r="AC13" s="2654">
        <v>4.63</v>
      </c>
      <c r="AD13" s="2651">
        <v>4.66</v>
      </c>
      <c r="AE13" s="2651">
        <v>4.37</v>
      </c>
      <c r="AF13" s="2651">
        <v>4.5599999999999996</v>
      </c>
      <c r="AG13" s="2651">
        <v>4.8099999999999996</v>
      </c>
      <c r="AH13" s="2651">
        <v>5.04</v>
      </c>
      <c r="AI13" s="2651">
        <v>5.15</v>
      </c>
      <c r="AJ13" s="2651">
        <v>4.95</v>
      </c>
      <c r="AK13" s="2651">
        <v>4.75</v>
      </c>
      <c r="AL13" s="2655">
        <v>4.87</v>
      </c>
      <c r="AM13" s="2651">
        <v>4.49</v>
      </c>
      <c r="AN13" s="2651">
        <v>4.5199999999999996</v>
      </c>
      <c r="AO13" s="2651">
        <v>4.59</v>
      </c>
      <c r="AP13" s="2651">
        <v>4.67</v>
      </c>
      <c r="AQ13" s="2656">
        <v>4.88</v>
      </c>
      <c r="AR13" s="2651">
        <v>4.6500000000000004</v>
      </c>
      <c r="AS13" s="2656">
        <v>4.83</v>
      </c>
      <c r="AT13" s="2655">
        <v>4.9800000000000004</v>
      </c>
      <c r="AU13" s="2655">
        <v>5.15</v>
      </c>
      <c r="AV13" s="2651">
        <v>5.12</v>
      </c>
      <c r="AW13" s="2657">
        <v>5.13</v>
      </c>
      <c r="AX13" s="2656">
        <v>5.14</v>
      </c>
      <c r="AY13" s="2655">
        <v>4.74</v>
      </c>
      <c r="AZ13" s="2651">
        <v>4.4800000000000004</v>
      </c>
      <c r="BA13" s="2656">
        <v>4.7</v>
      </c>
      <c r="BB13" s="2655">
        <v>4.72</v>
      </c>
      <c r="BC13" s="2651">
        <v>4.41</v>
      </c>
      <c r="BD13" s="2651">
        <v>4.54</v>
      </c>
      <c r="BE13" s="2656">
        <v>4.83</v>
      </c>
      <c r="BF13" s="2655">
        <v>4.97</v>
      </c>
      <c r="BG13" s="2655">
        <v>4.7699999999999996</v>
      </c>
      <c r="BH13" s="2655">
        <v>4.75</v>
      </c>
      <c r="BI13" s="2655">
        <v>4.6399999999999997</v>
      </c>
      <c r="BJ13" s="2655">
        <v>4.6399999999999997</v>
      </c>
      <c r="BK13" s="2655">
        <v>4.5599999999999996</v>
      </c>
      <c r="BL13" s="2655">
        <v>4.6100000000000003</v>
      </c>
      <c r="BM13" s="2655">
        <v>4.5599999999999996</v>
      </c>
      <c r="BN13" s="2651">
        <v>4.5206999999999997</v>
      </c>
      <c r="BO13" s="2651">
        <v>4.5956000000000001</v>
      </c>
      <c r="BP13" s="2651">
        <v>4.8032000000000004</v>
      </c>
      <c r="BQ13" s="2651">
        <v>4.5529999999999999</v>
      </c>
      <c r="BR13" s="2651">
        <v>4.3357000000000001</v>
      </c>
      <c r="BS13" s="2651">
        <v>4.0781999999999998</v>
      </c>
      <c r="BT13" s="2651">
        <v>3.7519</v>
      </c>
      <c r="BU13" s="2655">
        <v>3.3517999999999999</v>
      </c>
      <c r="BV13" s="2655">
        <v>3.5573999999999999</v>
      </c>
      <c r="BW13" s="2655">
        <v>3.7837999999999998</v>
      </c>
      <c r="BX13" s="2655">
        <v>3.5583</v>
      </c>
      <c r="BY13" s="2655">
        <v>3.7401</v>
      </c>
      <c r="BZ13" s="2651">
        <v>3.7854000000000001</v>
      </c>
      <c r="CA13" s="2651">
        <v>3.5169000000000001</v>
      </c>
      <c r="CB13" s="2651">
        <v>3.3273000000000001</v>
      </c>
      <c r="CC13" s="2651">
        <v>3.3462999999999998</v>
      </c>
      <c r="CD13" s="2651">
        <v>3.5257999999999998</v>
      </c>
      <c r="CE13" s="2651">
        <v>3.3893</v>
      </c>
      <c r="CF13" s="2651">
        <v>3.5701000000000001</v>
      </c>
      <c r="CG13" s="2651">
        <v>3.6092</v>
      </c>
      <c r="CH13" s="2651">
        <v>4.0724</v>
      </c>
      <c r="CI13" s="2651">
        <v>4.1806000000000001</v>
      </c>
      <c r="CJ13" s="2651">
        <v>4.2778</v>
      </c>
      <c r="CK13" s="2651">
        <v>4.2488999999999999</v>
      </c>
      <c r="CL13" s="2651">
        <v>4.2328000000000001</v>
      </c>
      <c r="CM13" s="2651">
        <v>4.3078000000000003</v>
      </c>
      <c r="CN13" s="2651">
        <v>4.08</v>
      </c>
      <c r="CO13" s="2651">
        <v>4.1981000000000002</v>
      </c>
      <c r="CP13" s="2651">
        <v>4.5529999999999999</v>
      </c>
      <c r="CQ13" s="2651">
        <v>4.2662881482292896</v>
      </c>
      <c r="CR13" s="2651">
        <v>4.3535725233239067</v>
      </c>
      <c r="CS13" s="2651">
        <v>4.4865622356295907</v>
      </c>
      <c r="CT13" s="2651">
        <v>4.3900698063661805</v>
      </c>
      <c r="CU13" s="2651">
        <v>4.4187592485586178</v>
      </c>
      <c r="CV13" s="2651">
        <v>4.7503250125142289</v>
      </c>
      <c r="CW13" s="2651">
        <v>4.2975873036653569</v>
      </c>
      <c r="CX13" s="2651">
        <v>4.3563444364321553</v>
      </c>
      <c r="CY13" s="2651">
        <v>4.3519041504246037</v>
      </c>
      <c r="CZ13" s="2651">
        <v>4.3385934646244273</v>
      </c>
      <c r="DA13" s="2651">
        <v>4.1803338495633389</v>
      </c>
      <c r="DB13" s="2651">
        <v>4.3043798954782542</v>
      </c>
      <c r="DC13" s="2651">
        <v>4.3045015357541692</v>
      </c>
      <c r="DD13" s="2651">
        <v>4.0919531515976555</v>
      </c>
      <c r="DE13" s="2651">
        <v>3.7402603868307662</v>
      </c>
      <c r="DF13" s="2651">
        <v>3.8001448787588425</v>
      </c>
      <c r="DG13" s="2651">
        <v>3.620326359587414</v>
      </c>
      <c r="DH13" s="2651">
        <v>3.7169001136883479</v>
      </c>
      <c r="DI13" s="2651">
        <v>3.8416332838487675</v>
      </c>
      <c r="DJ13" s="2651">
        <v>3.9856940794946629</v>
      </c>
      <c r="DK13" s="2651">
        <v>3.8804111840386954</v>
      </c>
      <c r="DL13" s="2651">
        <v>3.8606235174531576</v>
      </c>
      <c r="DM13" s="2651">
        <v>3.6140125567878885</v>
      </c>
      <c r="DN13" s="2651">
        <v>3.8222119233774383</v>
      </c>
      <c r="DO13" s="2651">
        <v>3.8982737788837141</v>
      </c>
      <c r="DP13" s="2651">
        <v>3.7075567501245077</v>
      </c>
      <c r="DQ13" s="2651">
        <v>3.8035214549025018</v>
      </c>
      <c r="DR13" s="2651">
        <v>3.6821802638359498</v>
      </c>
      <c r="DS13" s="2651">
        <v>3.6104313236909489</v>
      </c>
      <c r="DT13" s="2651">
        <v>3.7007841237688299</v>
      </c>
      <c r="DU13" s="2651">
        <v>3.4514575122022371</v>
      </c>
      <c r="DV13" s="2651">
        <v>3.5684358295906375</v>
      </c>
      <c r="DW13" s="2651">
        <v>3.4586282264401969</v>
      </c>
      <c r="DX13" s="2651">
        <v>3.5433765177716734</v>
      </c>
      <c r="DY13" s="2651">
        <v>3.1577101274674666</v>
      </c>
      <c r="DZ13" s="2651">
        <v>3.1948623579755697</v>
      </c>
      <c r="EA13" s="2651">
        <v>3.2216301226697301</v>
      </c>
      <c r="EB13" s="2651">
        <v>3.0618062191133828</v>
      </c>
      <c r="EC13" s="2651">
        <v>3.1069691383618969</v>
      </c>
      <c r="ED13" s="2651">
        <v>3.1246810292932805</v>
      </c>
      <c r="EE13" s="2651">
        <v>3.0611223955103966</v>
      </c>
      <c r="EF13" s="2651">
        <v>2.9708024823330113</v>
      </c>
      <c r="EG13" s="2651">
        <v>2.7589730951480038</v>
      </c>
      <c r="EH13" s="2651">
        <v>2.8939377336566787</v>
      </c>
      <c r="EI13" s="2651">
        <v>2.9199374237218771</v>
      </c>
      <c r="EJ13" s="2651">
        <v>2.9219567255974672</v>
      </c>
      <c r="EK13" s="2651">
        <v>2.9761863492894265</v>
      </c>
      <c r="EL13" s="2651">
        <v>2.9283808905926496</v>
      </c>
      <c r="EM13" s="2651">
        <v>2.9214277143540328</v>
      </c>
      <c r="EN13" s="2651">
        <v>2.9595329964046955</v>
      </c>
      <c r="EO13" s="2651">
        <v>2.8501250640782794</v>
      </c>
      <c r="EP13" s="2651">
        <v>2.9477639444256361</v>
      </c>
      <c r="EQ13" s="2651">
        <v>2.9278357367228431</v>
      </c>
      <c r="ER13" s="2651">
        <v>2.8050403330500502</v>
      </c>
      <c r="ES13" s="2651">
        <v>2.8945578415356863</v>
      </c>
      <c r="ET13" s="2651">
        <v>2.9460658295365638</v>
      </c>
      <c r="EU13" s="2651">
        <v>3.0635138642632573</v>
      </c>
      <c r="EV13" s="2651">
        <v>3.0590000000000002</v>
      </c>
      <c r="EW13" s="2651">
        <v>2.9862785714285707</v>
      </c>
      <c r="EX13" s="2651">
        <v>2.9436285714285702</v>
      </c>
      <c r="EY13" s="2651">
        <v>2.86625714285714</v>
      </c>
      <c r="EZ13" s="2651">
        <v>2.7198214285714299</v>
      </c>
      <c r="FA13" s="2651">
        <v>2.6221357142857098</v>
      </c>
      <c r="FB13" s="2651">
        <v>2.6720000000000002</v>
      </c>
      <c r="FC13" s="2651">
        <v>2.5907</v>
      </c>
      <c r="FD13" s="2651">
        <v>2.3746</v>
      </c>
      <c r="FE13" s="2651">
        <v>2.2907000000000002</v>
      </c>
      <c r="FF13" s="2651">
        <v>2.2873999999999999</v>
      </c>
      <c r="FG13" s="2651">
        <v>2.4315000000000002</v>
      </c>
      <c r="FH13" s="2651">
        <v>2.5362</v>
      </c>
      <c r="FI13" s="2652">
        <v>2.3243999999999998</v>
      </c>
    </row>
    <row r="14" spans="1:167" ht="21" customHeight="1" x14ac:dyDescent="0.25">
      <c r="A14" s="2632" t="s">
        <v>4317</v>
      </c>
      <c r="B14" s="2633">
        <v>17.87</v>
      </c>
      <c r="C14" s="2634">
        <v>18.78</v>
      </c>
      <c r="D14" s="2653">
        <v>19.48</v>
      </c>
      <c r="E14" s="2658">
        <v>20.260000000000002</v>
      </c>
      <c r="F14" s="2658">
        <v>20.239999999999998</v>
      </c>
      <c r="G14" s="2658">
        <v>20.03</v>
      </c>
      <c r="H14" s="2658">
        <v>20.07</v>
      </c>
      <c r="I14" s="2658">
        <v>20.16</v>
      </c>
      <c r="J14" s="2658">
        <v>20.02</v>
      </c>
      <c r="K14" s="2658">
        <v>21.23</v>
      </c>
      <c r="L14" s="2658">
        <v>21.08</v>
      </c>
      <c r="M14" s="2658">
        <v>20.61</v>
      </c>
      <c r="N14" s="2658">
        <v>20.32</v>
      </c>
      <c r="O14" s="2658">
        <v>20.34</v>
      </c>
      <c r="P14" s="2658">
        <v>21.62</v>
      </c>
      <c r="Q14" s="2658">
        <v>21.81</v>
      </c>
      <c r="R14" s="2658">
        <v>21.77</v>
      </c>
      <c r="S14" s="2658">
        <v>20.79</v>
      </c>
      <c r="T14" s="2658">
        <v>21.87</v>
      </c>
      <c r="U14" s="2658">
        <v>21.61</v>
      </c>
      <c r="V14" s="2658">
        <v>21.84</v>
      </c>
      <c r="W14" s="2658">
        <v>21.6</v>
      </c>
      <c r="X14" s="2658">
        <v>20.73</v>
      </c>
      <c r="Y14" s="2658">
        <v>20.5</v>
      </c>
      <c r="Z14" s="2658">
        <v>21.07</v>
      </c>
      <c r="AA14" s="2658">
        <v>21.66</v>
      </c>
      <c r="AB14" s="2658">
        <v>22.72</v>
      </c>
      <c r="AC14" s="2654">
        <v>22.5</v>
      </c>
      <c r="AD14" s="2651">
        <v>22.32</v>
      </c>
      <c r="AE14" s="2651">
        <v>22.56</v>
      </c>
      <c r="AF14" s="2651">
        <v>22.87</v>
      </c>
      <c r="AG14" s="2651">
        <v>23.97</v>
      </c>
      <c r="AH14" s="2651">
        <v>25.13</v>
      </c>
      <c r="AI14" s="2651">
        <v>25.15</v>
      </c>
      <c r="AJ14" s="2651">
        <v>24.23</v>
      </c>
      <c r="AK14" s="2651">
        <v>24.43</v>
      </c>
      <c r="AL14" s="2655">
        <v>24.63</v>
      </c>
      <c r="AM14" s="2651">
        <v>23.67</v>
      </c>
      <c r="AN14" s="2651">
        <v>23.14</v>
      </c>
      <c r="AO14" s="2651">
        <v>23.22</v>
      </c>
      <c r="AP14" s="2651">
        <v>23.64</v>
      </c>
      <c r="AQ14" s="2656">
        <v>23.58</v>
      </c>
      <c r="AR14" s="2651">
        <v>23.85</v>
      </c>
      <c r="AS14" s="2656">
        <v>23.42</v>
      </c>
      <c r="AT14" s="2655">
        <v>23.52</v>
      </c>
      <c r="AU14" s="2655">
        <v>24.02</v>
      </c>
      <c r="AV14" s="2651">
        <v>23.42</v>
      </c>
      <c r="AW14" s="2657">
        <v>23.9</v>
      </c>
      <c r="AX14" s="2656">
        <v>24.65</v>
      </c>
      <c r="AY14" s="2655">
        <v>25.64</v>
      </c>
      <c r="AZ14" s="2651">
        <v>25.23</v>
      </c>
      <c r="BA14" s="2656">
        <v>25.63</v>
      </c>
      <c r="BB14" s="2655">
        <v>26.68</v>
      </c>
      <c r="BC14" s="2651">
        <v>26.42</v>
      </c>
      <c r="BD14" s="2651">
        <v>26.56</v>
      </c>
      <c r="BE14" s="2656">
        <v>27.71</v>
      </c>
      <c r="BF14" s="2655">
        <v>27.56</v>
      </c>
      <c r="BG14" s="2655">
        <v>26.95</v>
      </c>
      <c r="BH14" s="2655">
        <v>27.48</v>
      </c>
      <c r="BI14" s="2655">
        <v>27.2</v>
      </c>
      <c r="BJ14" s="2655">
        <v>26.9</v>
      </c>
      <c r="BK14" s="2655">
        <v>26.01</v>
      </c>
      <c r="BL14" s="2655">
        <v>26.04</v>
      </c>
      <c r="BM14" s="2655">
        <v>26.46</v>
      </c>
      <c r="BN14" s="2651">
        <v>26.400200000000002</v>
      </c>
      <c r="BO14" s="2651">
        <v>26.584900000000001</v>
      </c>
      <c r="BP14" s="2651">
        <v>26.7209</v>
      </c>
      <c r="BQ14" s="2651">
        <v>27.303999999999998</v>
      </c>
      <c r="BR14" s="2651">
        <v>25.878499999999999</v>
      </c>
      <c r="BS14" s="2651">
        <v>27.0215</v>
      </c>
      <c r="BT14" s="2651">
        <v>26.695599999999999</v>
      </c>
      <c r="BU14" s="2655">
        <v>26.8569</v>
      </c>
      <c r="BV14" s="2655">
        <v>25.628499999999999</v>
      </c>
      <c r="BW14" s="2655">
        <v>26.9651</v>
      </c>
      <c r="BX14" s="2655">
        <v>27.309100000000001</v>
      </c>
      <c r="BY14" s="2655">
        <v>26.000499999999999</v>
      </c>
      <c r="BZ14" s="2651">
        <v>26.302299999999999</v>
      </c>
      <c r="CA14" s="2651">
        <v>26.456700000000001</v>
      </c>
      <c r="CB14" s="2651">
        <v>28.609500000000001</v>
      </c>
      <c r="CC14" s="2651">
        <v>27.107099999999999</v>
      </c>
      <c r="CD14" s="2651">
        <v>30.787600000000001</v>
      </c>
      <c r="CE14" s="2651">
        <v>29.009</v>
      </c>
      <c r="CF14" s="2651">
        <v>29.9011</v>
      </c>
      <c r="CG14" s="2651">
        <v>29.859300000000001</v>
      </c>
      <c r="CH14" s="2651">
        <v>30.399699999999999</v>
      </c>
      <c r="CI14" s="2651">
        <v>30.834900000000001</v>
      </c>
      <c r="CJ14" s="2651">
        <v>30.603999999999999</v>
      </c>
      <c r="CK14" s="2651">
        <v>30.225899999999999</v>
      </c>
      <c r="CL14" s="2651">
        <v>30.743400000000001</v>
      </c>
      <c r="CM14" s="2651">
        <v>30.523499999999999</v>
      </c>
      <c r="CN14" s="2651">
        <v>29.996300000000002</v>
      </c>
      <c r="CO14" s="2651">
        <v>30.463799999999999</v>
      </c>
      <c r="CP14" s="2651">
        <v>29.658999999999999</v>
      </c>
      <c r="CQ14" s="2651">
        <v>29.932387020470024</v>
      </c>
      <c r="CR14" s="2651">
        <v>31.006065967336447</v>
      </c>
      <c r="CS14" s="2651">
        <v>31.667320192111127</v>
      </c>
      <c r="CT14" s="2651">
        <v>31.002429732801833</v>
      </c>
      <c r="CU14" s="2651">
        <v>31.312560317647158</v>
      </c>
      <c r="CV14" s="2651">
        <v>33.26648573910277</v>
      </c>
      <c r="CW14" s="2651">
        <v>32.417885079418781</v>
      </c>
      <c r="CX14" s="2651">
        <v>32.648237071259658</v>
      </c>
      <c r="CY14" s="2651">
        <v>32.119593530142126</v>
      </c>
      <c r="CZ14" s="2651">
        <v>32.453339202412096</v>
      </c>
      <c r="DA14" s="2651">
        <v>33.7003869210346</v>
      </c>
      <c r="DB14" s="2651">
        <v>34.802824043659051</v>
      </c>
      <c r="DC14" s="2651">
        <v>35.848340580052046</v>
      </c>
      <c r="DD14" s="2651">
        <v>34.942476068757806</v>
      </c>
      <c r="DE14" s="2651">
        <v>32.858827248066497</v>
      </c>
      <c r="DF14" s="2651">
        <v>33.739890855462278</v>
      </c>
      <c r="DG14" s="2651">
        <v>32.419063314337926</v>
      </c>
      <c r="DH14" s="2651">
        <v>31.944445927649429</v>
      </c>
      <c r="DI14" s="2651">
        <v>32.549865851118632</v>
      </c>
      <c r="DJ14" s="2651">
        <v>32.988249011225641</v>
      </c>
      <c r="DK14" s="2651">
        <v>32.769669209929454</v>
      </c>
      <c r="DL14" s="2651">
        <v>32.673095466142037</v>
      </c>
      <c r="DM14" s="2651">
        <v>31.46935338162195</v>
      </c>
      <c r="DN14" s="2651">
        <v>32.985705936886248</v>
      </c>
      <c r="DO14" s="2651">
        <v>32.286280264023411</v>
      </c>
      <c r="DP14" s="2651">
        <v>32.461569632904229</v>
      </c>
      <c r="DQ14" s="2651">
        <v>33.12353255262245</v>
      </c>
      <c r="DR14" s="2651">
        <v>33.804537399921053</v>
      </c>
      <c r="DS14" s="2651">
        <v>33.900937943332458</v>
      </c>
      <c r="DT14" s="2651">
        <v>34.000860569091984</v>
      </c>
      <c r="DU14" s="2651">
        <v>33.880883901578464</v>
      </c>
      <c r="DV14" s="2651">
        <v>33.598031437847332</v>
      </c>
      <c r="DW14" s="2651">
        <v>33.295861056000511</v>
      </c>
      <c r="DX14" s="2651">
        <v>33.545808047010063</v>
      </c>
      <c r="DY14" s="2651">
        <v>33.049334960454381</v>
      </c>
      <c r="DZ14" s="2651">
        <v>33.338557746409883</v>
      </c>
      <c r="EA14" s="2651">
        <v>33.741992337888043</v>
      </c>
      <c r="EB14" s="2651">
        <v>33.692889019657507</v>
      </c>
      <c r="EC14" s="2651">
        <v>34.366963186970331</v>
      </c>
      <c r="ED14" s="2651">
        <v>34.099848636950199</v>
      </c>
      <c r="EE14" s="2651">
        <v>34.089317010338014</v>
      </c>
      <c r="EF14" s="2651">
        <v>34.493984546866109</v>
      </c>
      <c r="EG14" s="2651">
        <v>34.265764580679743</v>
      </c>
      <c r="EH14" s="2651">
        <v>34.519829125290215</v>
      </c>
      <c r="EI14" s="2651">
        <v>34.543414154852449</v>
      </c>
      <c r="EJ14" s="2651">
        <v>34.616587209475725</v>
      </c>
      <c r="EK14" s="2651">
        <v>34.275326012044609</v>
      </c>
      <c r="EL14" s="2651">
        <v>34.512134630468196</v>
      </c>
      <c r="EM14" s="2651">
        <v>34.071467668531454</v>
      </c>
      <c r="EN14" s="2651">
        <v>34.108328458431558</v>
      </c>
      <c r="EO14" s="2651">
        <v>33.506337416692084</v>
      </c>
      <c r="EP14" s="2651">
        <v>33.280490755568088</v>
      </c>
      <c r="EQ14" s="2651">
        <v>33.150796174633285</v>
      </c>
      <c r="ER14" s="2651">
        <v>32.553019100693419</v>
      </c>
      <c r="ES14" s="2651">
        <v>36.063031378199504</v>
      </c>
      <c r="ET14" s="2651">
        <v>35.536138469291238</v>
      </c>
      <c r="EU14" s="2651">
        <v>38.169667996803135</v>
      </c>
      <c r="EV14" s="2651">
        <v>38.182985714285714</v>
      </c>
      <c r="EW14" s="2651">
        <v>38.26246428571428</v>
      </c>
      <c r="EX14" s="2651">
        <v>38.563585714285701</v>
      </c>
      <c r="EY14" s="2651">
        <v>37.409700000000001</v>
      </c>
      <c r="EZ14" s="2651">
        <v>37.461314285714302</v>
      </c>
      <c r="FA14" s="2651">
        <v>37.356064285714297</v>
      </c>
      <c r="FB14" s="2651">
        <v>37.1175</v>
      </c>
      <c r="FC14" s="2651">
        <v>35.9041</v>
      </c>
      <c r="FD14" s="2651">
        <v>37.100099999999998</v>
      </c>
      <c r="FE14" s="2651">
        <v>36.229300000000002</v>
      </c>
      <c r="FF14" s="2651">
        <v>36.792400000000001</v>
      </c>
      <c r="FG14" s="2651">
        <v>37.400599999999997</v>
      </c>
      <c r="FH14" s="2651">
        <v>37.299900000000001</v>
      </c>
      <c r="FI14" s="2652">
        <v>36.595799999999997</v>
      </c>
    </row>
    <row r="15" spans="1:167" ht="21" customHeight="1" x14ac:dyDescent="0.25">
      <c r="A15" s="2632" t="s">
        <v>4318</v>
      </c>
      <c r="B15" s="2633">
        <v>30.524999999999999</v>
      </c>
      <c r="C15" s="2634">
        <v>30.447800000000001</v>
      </c>
      <c r="D15" s="2653">
        <v>30.369299999999999</v>
      </c>
      <c r="E15" s="2658">
        <v>30.158100000000001</v>
      </c>
      <c r="F15" s="2658">
        <v>29.989899999999999</v>
      </c>
      <c r="G15" s="2658">
        <v>29.904</v>
      </c>
      <c r="H15" s="2658">
        <v>29.880700000000001</v>
      </c>
      <c r="I15" s="2658">
        <v>29.8596</v>
      </c>
      <c r="J15" s="2658">
        <v>29.727</v>
      </c>
      <c r="K15" s="2658">
        <v>29.448899999999998</v>
      </c>
      <c r="L15" s="2658">
        <v>28.6342</v>
      </c>
      <c r="M15" s="2658">
        <v>28.0688</v>
      </c>
      <c r="N15" s="2658">
        <v>27.745000000000001</v>
      </c>
      <c r="O15" s="2658">
        <v>27.694099999999999</v>
      </c>
      <c r="P15" s="2658">
        <v>27.87</v>
      </c>
      <c r="Q15" s="2658">
        <v>29.495999999999999</v>
      </c>
      <c r="R15" s="2658">
        <v>29.777999999999999</v>
      </c>
      <c r="S15" s="2658">
        <v>29.445</v>
      </c>
      <c r="T15" s="2658">
        <v>28.992000000000001</v>
      </c>
      <c r="U15" s="2658">
        <v>28.841999999999999</v>
      </c>
      <c r="V15" s="2658">
        <v>28.405000000000001</v>
      </c>
      <c r="W15" s="2658">
        <v>26.8216</v>
      </c>
      <c r="X15" s="2658">
        <v>26.234999999999999</v>
      </c>
      <c r="Y15" s="2658">
        <v>26.097000000000001</v>
      </c>
      <c r="Z15" s="2658">
        <v>26.909300000000002</v>
      </c>
      <c r="AA15" s="2658">
        <v>27.959599999999998</v>
      </c>
      <c r="AB15" s="2658">
        <v>28.475999999999999</v>
      </c>
      <c r="AC15" s="2654">
        <v>28.454999999999998</v>
      </c>
      <c r="AD15" s="2651">
        <v>28.556000000000001</v>
      </c>
      <c r="AE15" s="2651">
        <v>28.727</v>
      </c>
      <c r="AF15" s="2651">
        <v>28.8154</v>
      </c>
      <c r="AG15" s="2651">
        <v>28.775500000000001</v>
      </c>
      <c r="AH15" s="2651">
        <v>28.696999999999999</v>
      </c>
      <c r="AI15" s="2651">
        <v>28.486999999999998</v>
      </c>
      <c r="AJ15" s="2651">
        <v>28.808</v>
      </c>
      <c r="AK15" s="2651">
        <v>29.294</v>
      </c>
      <c r="AL15" s="2655">
        <v>29.3139</v>
      </c>
      <c r="AM15" s="2651">
        <v>29.457999999999998</v>
      </c>
      <c r="AN15" s="2651">
        <v>29.6083</v>
      </c>
      <c r="AO15" s="2651">
        <v>29.8581</v>
      </c>
      <c r="AP15" s="2651">
        <v>29.977499999999999</v>
      </c>
      <c r="AQ15" s="2656">
        <v>30.4557</v>
      </c>
      <c r="AR15" s="2651">
        <v>30.542400000000001</v>
      </c>
      <c r="AS15" s="2656">
        <v>30.7453</v>
      </c>
      <c r="AT15" s="2655">
        <v>30.7883</v>
      </c>
      <c r="AU15" s="2655">
        <v>30.813199999999998</v>
      </c>
      <c r="AV15" s="2651">
        <v>30.8841</v>
      </c>
      <c r="AW15" s="2657">
        <v>30.957999999999998</v>
      </c>
      <c r="AX15" s="2656">
        <v>30.9801</v>
      </c>
      <c r="AY15" s="2655">
        <v>30.9785</v>
      </c>
      <c r="AZ15" s="2651">
        <v>31.011800000000001</v>
      </c>
      <c r="BA15" s="2656">
        <v>31.5261</v>
      </c>
      <c r="BB15" s="2655">
        <v>32.523099999999999</v>
      </c>
      <c r="BC15" s="2651">
        <v>32.689799999999998</v>
      </c>
      <c r="BD15" s="2651">
        <v>32.935400000000001</v>
      </c>
      <c r="BE15" s="2656">
        <v>33.223300000000002</v>
      </c>
      <c r="BF15" s="2655">
        <v>33.424599999999998</v>
      </c>
      <c r="BG15" s="2655">
        <v>33.630299999999998</v>
      </c>
      <c r="BH15" s="2655">
        <v>33.241900000000001</v>
      </c>
      <c r="BI15" s="2655">
        <v>32.928400000000003</v>
      </c>
      <c r="BJ15" s="2655">
        <v>32.288200000000003</v>
      </c>
      <c r="BK15" s="2655">
        <v>31.929099999999998</v>
      </c>
      <c r="BL15" s="2655">
        <v>32.023899999999998</v>
      </c>
      <c r="BM15" s="2655">
        <v>31.774100000000001</v>
      </c>
      <c r="BN15" s="2651">
        <v>31.686900000000001</v>
      </c>
      <c r="BO15" s="2651">
        <v>31.081499999999998</v>
      </c>
      <c r="BP15" s="2651">
        <v>30.901299999999999</v>
      </c>
      <c r="BQ15" s="2651">
        <v>30.527000000000001</v>
      </c>
      <c r="BR15" s="2651">
        <v>29.049900000000001</v>
      </c>
      <c r="BS15" s="2651">
        <v>29.220500000000001</v>
      </c>
      <c r="BT15" s="2651">
        <v>28.053999999999998</v>
      </c>
      <c r="BU15" s="2655">
        <v>26.780799999999999</v>
      </c>
      <c r="BV15" s="2655">
        <v>26.6051</v>
      </c>
      <c r="BW15" s="2655">
        <v>28.183700000000002</v>
      </c>
      <c r="BX15" s="2655">
        <v>27.7088</v>
      </c>
      <c r="BY15" s="2655">
        <v>27.177299999999999</v>
      </c>
      <c r="BZ15" s="2651">
        <v>28.766400000000001</v>
      </c>
      <c r="CA15" s="2651">
        <v>28.901900000000001</v>
      </c>
      <c r="CB15" s="2651">
        <v>32.505499999999998</v>
      </c>
      <c r="CC15" s="2651">
        <v>32.383499999999998</v>
      </c>
      <c r="CD15" s="2651">
        <v>32.446300000000001</v>
      </c>
      <c r="CE15" s="2651">
        <v>33.317</v>
      </c>
      <c r="CF15" s="2651">
        <v>34.681100000000001</v>
      </c>
      <c r="CG15" s="2651">
        <v>34.050600000000003</v>
      </c>
      <c r="CH15" s="2651">
        <v>34.295999999999999</v>
      </c>
      <c r="CI15" s="2651">
        <v>33.1843</v>
      </c>
      <c r="CJ15" s="2651">
        <v>33.032400000000003</v>
      </c>
      <c r="CK15" s="2651">
        <v>32.719000000000001</v>
      </c>
      <c r="CL15" s="2651">
        <v>32.546700000000001</v>
      </c>
      <c r="CM15" s="2651">
        <v>31.5246</v>
      </c>
      <c r="CN15" s="2651">
        <v>31.084399999999999</v>
      </c>
      <c r="CO15" s="2651">
        <v>30.486699999999999</v>
      </c>
      <c r="CP15" s="2651">
        <v>34.206000000000003</v>
      </c>
      <c r="CQ15" s="2651">
        <v>31.098413933076927</v>
      </c>
      <c r="CR15" s="2651">
        <v>31.691057399999998</v>
      </c>
      <c r="CS15" s="2651">
        <v>30.924607939999998</v>
      </c>
      <c r="CT15" s="2651">
        <v>30.510382406428576</v>
      </c>
      <c r="CU15" s="2651">
        <v>31.298728171071428</v>
      </c>
      <c r="CV15" s="2651">
        <v>31.171405866428568</v>
      </c>
      <c r="CW15" s="2651">
        <v>30.495615851785715</v>
      </c>
      <c r="CX15" s="2651">
        <v>30.221834158571429</v>
      </c>
      <c r="CY15" s="2651">
        <v>29.437642964285711</v>
      </c>
      <c r="CZ15" s="2651">
        <v>28.309520411071425</v>
      </c>
      <c r="DA15" s="2651">
        <v>28.633557865714288</v>
      </c>
      <c r="DB15" s="2651">
        <v>28.897772164999999</v>
      </c>
      <c r="DC15" s="2651">
        <v>28.670885417857143</v>
      </c>
      <c r="DD15" s="2651">
        <v>28.550806060714283</v>
      </c>
      <c r="DE15" s="2651">
        <v>29.588867412142861</v>
      </c>
      <c r="DF15" s="2651">
        <v>29.426150412142853</v>
      </c>
      <c r="DG15" s="2651">
        <v>29.811181982142852</v>
      </c>
      <c r="DH15" s="2651">
        <v>30.044272552857141</v>
      </c>
      <c r="DI15" s="2651">
        <v>29.734324928571425</v>
      </c>
      <c r="DJ15" s="2651">
        <v>29.492417607142862</v>
      </c>
      <c r="DK15" s="2651">
        <v>29.576342892857145</v>
      </c>
      <c r="DL15" s="2651">
        <v>29.638123822857136</v>
      </c>
      <c r="DM15" s="2651">
        <v>30.495616589285721</v>
      </c>
      <c r="DN15" s="2651">
        <v>31.517259767857144</v>
      </c>
      <c r="DO15" s="2651">
        <v>31.602478607142853</v>
      </c>
      <c r="DP15" s="2651">
        <v>31.095365642857143</v>
      </c>
      <c r="DQ15" s="2651">
        <v>30.958002892857138</v>
      </c>
      <c r="DR15" s="2651">
        <v>31.488185839285709</v>
      </c>
      <c r="DS15" s="2651">
        <v>31.369702410714286</v>
      </c>
      <c r="DT15" s="2651">
        <v>31.019555</v>
      </c>
      <c r="DU15" s="2651">
        <v>30.764621428571427</v>
      </c>
      <c r="DV15" s="2651">
        <v>31.144433571428571</v>
      </c>
      <c r="DW15" s="2651">
        <v>31.512893214285715</v>
      </c>
      <c r="DX15" s="2651">
        <v>31.359302499999995</v>
      </c>
      <c r="DY15" s="2651">
        <v>31.460323214285715</v>
      </c>
      <c r="DZ15" s="2651">
        <v>31.397255714285713</v>
      </c>
      <c r="EA15" s="2651">
        <v>31.29974285714286</v>
      </c>
      <c r="EB15" s="2651">
        <v>31.289606785714287</v>
      </c>
      <c r="EC15" s="2651">
        <v>31.063426428571436</v>
      </c>
      <c r="ED15" s="2651">
        <v>30.695694000000003</v>
      </c>
      <c r="EE15" s="2651">
        <v>30.848288999999998</v>
      </c>
      <c r="EF15" s="2651">
        <v>30.594651428571431</v>
      </c>
      <c r="EG15" s="2651">
        <v>30.699379642857146</v>
      </c>
      <c r="EH15" s="2651">
        <v>30.636903571428572</v>
      </c>
      <c r="EI15" s="2651">
        <v>30.61483464285714</v>
      </c>
      <c r="EJ15" s="2651">
        <v>30.532384714285719</v>
      </c>
      <c r="EK15" s="2651">
        <v>30.724977142857146</v>
      </c>
      <c r="EL15" s="2651">
        <v>30.710060499999994</v>
      </c>
      <c r="EM15" s="2651">
        <v>30.907627796571425</v>
      </c>
      <c r="EN15" s="2651">
        <v>31.164286348999998</v>
      </c>
      <c r="EO15" s="2651">
        <v>31.730047428571428</v>
      </c>
      <c r="EP15" s="2651">
        <v>31.747250407142854</v>
      </c>
      <c r="EQ15" s="2651">
        <v>31.903080589285715</v>
      </c>
      <c r="ER15" s="2651">
        <v>32.097679571428571</v>
      </c>
      <c r="ES15" s="2651">
        <v>33.123232842857142</v>
      </c>
      <c r="ET15" s="2651">
        <v>33.661349539285716</v>
      </c>
      <c r="EU15" s="2651">
        <v>36.814109928571433</v>
      </c>
      <c r="EV15" s="2651">
        <v>35.702300000000001</v>
      </c>
      <c r="EW15" s="2651">
        <v>35.877392857142858</v>
      </c>
      <c r="EX15" s="2651">
        <v>35.744807142857098</v>
      </c>
      <c r="EY15" s="2651">
        <v>36.0229</v>
      </c>
      <c r="EZ15" s="2651">
        <v>35.800971428571401</v>
      </c>
      <c r="FA15" s="2651">
        <v>36.150064285714301</v>
      </c>
      <c r="FB15" s="2651">
        <v>36.5837</v>
      </c>
      <c r="FC15" s="2651">
        <v>36.865000000000002</v>
      </c>
      <c r="FD15" s="2651">
        <v>36.531199999999998</v>
      </c>
      <c r="FE15" s="2651">
        <v>36.616900000000001</v>
      </c>
      <c r="FF15" s="2651">
        <v>36.545900000000003</v>
      </c>
      <c r="FG15" s="2651">
        <v>35.995600000000003</v>
      </c>
      <c r="FH15" s="2651">
        <v>35.8185</v>
      </c>
      <c r="FI15" s="2652">
        <v>36.176699999999997</v>
      </c>
    </row>
    <row r="16" spans="1:167" ht="21" customHeight="1" x14ac:dyDescent="0.25">
      <c r="A16" s="2632" t="s">
        <v>4319</v>
      </c>
      <c r="B16" s="2633">
        <v>43.18</v>
      </c>
      <c r="C16" s="2659">
        <v>44.386000000000003</v>
      </c>
      <c r="D16" s="2660">
        <v>44.524999999999999</v>
      </c>
      <c r="E16" s="2660">
        <v>46.073999999999998</v>
      </c>
      <c r="F16" s="2660">
        <v>47.101999999999997</v>
      </c>
      <c r="G16" s="2660">
        <v>46.304000000000002</v>
      </c>
      <c r="H16" s="2660">
        <v>46.771000000000001</v>
      </c>
      <c r="I16" s="2658">
        <v>46.61</v>
      </c>
      <c r="J16" s="2658">
        <v>46.116999999999997</v>
      </c>
      <c r="K16" s="2658">
        <v>47.216000000000001</v>
      </c>
      <c r="L16" s="2658">
        <v>47.295000000000002</v>
      </c>
      <c r="M16" s="2658">
        <v>44.259</v>
      </c>
      <c r="N16" s="2658">
        <v>43.691000000000003</v>
      </c>
      <c r="O16" s="2658">
        <v>44.118000000000002</v>
      </c>
      <c r="P16" s="2658">
        <v>45.951000000000001</v>
      </c>
      <c r="Q16" s="2658">
        <v>48.694000000000003</v>
      </c>
      <c r="R16" s="2658">
        <v>48.04</v>
      </c>
      <c r="S16" s="2658">
        <v>46.353999999999999</v>
      </c>
      <c r="T16" s="2658">
        <v>48.322000000000003</v>
      </c>
      <c r="U16" s="2658">
        <v>48.853000000000002</v>
      </c>
      <c r="V16" s="2658">
        <v>48.627000000000002</v>
      </c>
      <c r="W16" s="2658">
        <v>47.731999999999999</v>
      </c>
      <c r="X16" s="2658">
        <v>47.548000000000002</v>
      </c>
      <c r="Y16" s="2658">
        <v>48.542000000000002</v>
      </c>
      <c r="Z16" s="2658">
        <v>49.323999999999998</v>
      </c>
      <c r="AA16" s="2658">
        <v>49.692</v>
      </c>
      <c r="AB16" s="2658">
        <v>52.329000000000001</v>
      </c>
      <c r="AC16" s="2654">
        <v>51.55</v>
      </c>
      <c r="AD16" s="2651">
        <v>52.045000000000002</v>
      </c>
      <c r="AE16" s="2651">
        <v>51.734000000000002</v>
      </c>
      <c r="AF16" s="2651">
        <v>51.884</v>
      </c>
      <c r="AG16" s="2651">
        <v>52.762</v>
      </c>
      <c r="AH16" s="2651">
        <v>54.296999999999997</v>
      </c>
      <c r="AI16" s="2651">
        <v>54.890999999999998</v>
      </c>
      <c r="AJ16" s="2651">
        <v>54.314999999999998</v>
      </c>
      <c r="AK16" s="2651">
        <v>55.073</v>
      </c>
      <c r="AL16" s="2655">
        <v>55.978999999999999</v>
      </c>
      <c r="AM16" s="2651">
        <v>53.478000000000002</v>
      </c>
      <c r="AN16" s="2651">
        <v>53.539000000000001</v>
      </c>
      <c r="AO16" s="2651">
        <v>52.404000000000003</v>
      </c>
      <c r="AP16" s="2651">
        <v>53.588000000000001</v>
      </c>
      <c r="AQ16" s="2656">
        <v>53.716000000000001</v>
      </c>
      <c r="AR16" s="2651">
        <v>54.262999999999998</v>
      </c>
      <c r="AS16" s="2656">
        <v>52.902000000000001</v>
      </c>
      <c r="AT16" s="2655">
        <v>53.271999999999998</v>
      </c>
      <c r="AU16" s="2655">
        <v>54.683</v>
      </c>
      <c r="AV16" s="2651">
        <v>53.929000000000002</v>
      </c>
      <c r="AW16" s="2657">
        <v>54.22</v>
      </c>
      <c r="AX16" s="2656">
        <v>56.003</v>
      </c>
      <c r="AY16" s="2655">
        <v>58.566000000000003</v>
      </c>
      <c r="AZ16" s="2651">
        <v>57.018999999999998</v>
      </c>
      <c r="BA16" s="2656">
        <v>59.027999999999999</v>
      </c>
      <c r="BB16" s="2655">
        <v>62.463000000000001</v>
      </c>
      <c r="BC16" s="2651">
        <v>62.011000000000003</v>
      </c>
      <c r="BD16" s="2651">
        <v>63.615000000000002</v>
      </c>
      <c r="BE16" s="2656">
        <v>66.048000000000002</v>
      </c>
      <c r="BF16" s="2655">
        <v>66.947999999999993</v>
      </c>
      <c r="BG16" s="2655">
        <v>66.697999999999993</v>
      </c>
      <c r="BH16" s="2655">
        <v>65.614000000000004</v>
      </c>
      <c r="BI16" s="2655">
        <v>64.734999999999999</v>
      </c>
      <c r="BJ16" s="2655">
        <v>64.495999999999995</v>
      </c>
      <c r="BK16" s="2655">
        <v>62.920999999999999</v>
      </c>
      <c r="BL16" s="2655">
        <v>64.143000000000001</v>
      </c>
      <c r="BM16" s="2655">
        <v>64.445999999999998</v>
      </c>
      <c r="BN16" s="2651">
        <v>63.834200000000003</v>
      </c>
      <c r="BO16" s="2651">
        <v>62.857300000000002</v>
      </c>
      <c r="BP16" s="2651">
        <v>63.932000000000002</v>
      </c>
      <c r="BQ16" s="2651">
        <v>62.945999999999998</v>
      </c>
      <c r="BR16" s="2651">
        <v>57.971699999999998</v>
      </c>
      <c r="BS16" s="2651">
        <v>58.133299999999998</v>
      </c>
      <c r="BT16" s="2651">
        <v>55.6599</v>
      </c>
      <c r="BU16" s="2655">
        <v>53.235599999999998</v>
      </c>
      <c r="BV16" s="2655">
        <v>52.2166</v>
      </c>
      <c r="BW16" s="2655">
        <v>55.817300000000003</v>
      </c>
      <c r="BX16" s="2655">
        <v>55.3277</v>
      </c>
      <c r="BY16" s="2655">
        <v>53.9086</v>
      </c>
      <c r="BZ16" s="2651">
        <v>52.817399999999999</v>
      </c>
      <c r="CA16" s="2651">
        <v>52.112699999999997</v>
      </c>
      <c r="CB16" s="2651">
        <v>53.389299999999999</v>
      </c>
      <c r="CC16" s="2651">
        <v>50.124200000000002</v>
      </c>
      <c r="CD16" s="2651">
        <v>47.036299999999997</v>
      </c>
      <c r="CE16" s="2651">
        <v>47.578200000000002</v>
      </c>
      <c r="CF16" s="2651">
        <v>49.756799999999998</v>
      </c>
      <c r="CG16" s="2651">
        <v>48.8322</v>
      </c>
      <c r="CH16" s="2651">
        <v>50.966900000000003</v>
      </c>
      <c r="CI16" s="2651">
        <v>53.001100000000001</v>
      </c>
      <c r="CJ16" s="2651">
        <v>54.921500000000002</v>
      </c>
      <c r="CK16" s="2651">
        <v>54.136899999999997</v>
      </c>
      <c r="CL16" s="2651">
        <v>52.886899999999997</v>
      </c>
      <c r="CM16" s="2651">
        <v>50.505400000000002</v>
      </c>
      <c r="CN16" s="2651">
        <v>51.4604</v>
      </c>
      <c r="CO16" s="2651">
        <v>50.496299999999998</v>
      </c>
      <c r="CP16" s="2651">
        <v>49.55</v>
      </c>
      <c r="CQ16" s="2651">
        <v>48.587814802792302</v>
      </c>
      <c r="CR16" s="2651">
        <v>48.981586617321433</v>
      </c>
      <c r="CS16" s="2651">
        <v>48.966664830478564</v>
      </c>
      <c r="CT16" s="2651">
        <v>48.637702474021424</v>
      </c>
      <c r="CU16" s="2651">
        <v>48.625294256664276</v>
      </c>
      <c r="CV16" s="2651">
        <v>48.12643753362142</v>
      </c>
      <c r="CW16" s="2651">
        <v>48.370444436303565</v>
      </c>
      <c r="CX16" s="2651">
        <v>48.661779718099993</v>
      </c>
      <c r="CY16" s="2651">
        <v>47.340736482496425</v>
      </c>
      <c r="CZ16" s="2651">
        <v>47.190617604623206</v>
      </c>
      <c r="DA16" s="2651">
        <v>47.380979298199989</v>
      </c>
      <c r="DB16" s="2651">
        <v>46.549084587582136</v>
      </c>
      <c r="DC16" s="2651">
        <v>46.872216986271432</v>
      </c>
      <c r="DD16" s="2651">
        <v>46.860547210771422</v>
      </c>
      <c r="DE16" s="2651">
        <v>46.209313203796412</v>
      </c>
      <c r="DF16" s="2651">
        <v>47.012618907300002</v>
      </c>
      <c r="DG16" s="2651">
        <v>46.467314002428566</v>
      </c>
      <c r="DH16" s="2651">
        <v>46.292920075242861</v>
      </c>
      <c r="DI16" s="2651">
        <v>46.765990060400007</v>
      </c>
      <c r="DJ16" s="2651">
        <v>46.955281256471423</v>
      </c>
      <c r="DK16" s="2651">
        <v>47.236627918985711</v>
      </c>
      <c r="DL16" s="2651">
        <v>48.2266464617</v>
      </c>
      <c r="DM16" s="2651">
        <v>47.181287631271424</v>
      </c>
      <c r="DN16" s="2651">
        <v>49.111795523014294</v>
      </c>
      <c r="DO16" s="2651">
        <v>49.63146250165714</v>
      </c>
      <c r="DP16" s="2651">
        <v>49.102599088457147</v>
      </c>
      <c r="DQ16" s="2651">
        <v>50.330642255371437</v>
      </c>
      <c r="DR16" s="2651">
        <v>50.629900554928568</v>
      </c>
      <c r="DS16" s="2651">
        <v>50.352595541100008</v>
      </c>
      <c r="DT16" s="2651">
        <v>50.113020677514285</v>
      </c>
      <c r="DU16" s="2651">
        <v>48.579095241225716</v>
      </c>
      <c r="DV16" s="2651">
        <v>47.207986411474288</v>
      </c>
      <c r="DW16" s="2651">
        <v>47.915250278286997</v>
      </c>
      <c r="DX16" s="2651">
        <v>48.583635174580913</v>
      </c>
      <c r="DY16" s="2651">
        <v>47.913722834848215</v>
      </c>
      <c r="DZ16" s="2651">
        <v>47.96572247854386</v>
      </c>
      <c r="EA16" s="2651">
        <v>47.653405013778219</v>
      </c>
      <c r="EB16" s="2651">
        <v>48.541106597875583</v>
      </c>
      <c r="EC16" s="2651">
        <v>50.168646486396469</v>
      </c>
      <c r="ED16" s="2651">
        <v>49.056532251360579</v>
      </c>
      <c r="EE16" s="2651">
        <v>50.342079243689867</v>
      </c>
      <c r="EF16" s="2651">
        <v>50.325583764873144</v>
      </c>
      <c r="EG16" s="2651">
        <v>50.72126809093561</v>
      </c>
      <c r="EH16" s="2651">
        <v>51.004097996633398</v>
      </c>
      <c r="EI16" s="2651">
        <v>50.735561352640353</v>
      </c>
      <c r="EJ16" s="2651">
        <v>51.252853766102774</v>
      </c>
      <c r="EK16" s="2651">
        <v>51.289893658692144</v>
      </c>
      <c r="EL16" s="2651">
        <v>52.172424024731058</v>
      </c>
      <c r="EM16" s="2651">
        <v>52.169690267036849</v>
      </c>
      <c r="EN16" s="2651">
        <v>51.626303118861593</v>
      </c>
      <c r="EO16" s="2651">
        <v>51.628338585041242</v>
      </c>
      <c r="EP16" s="2651">
        <v>50.772412170343372</v>
      </c>
      <c r="EQ16" s="2651">
        <v>50.118145790247247</v>
      </c>
      <c r="ER16" s="2651">
        <v>49.940272977390698</v>
      </c>
      <c r="ES16" s="2651">
        <v>49.93993427772142</v>
      </c>
      <c r="ET16" s="2651">
        <v>52.027201670143597</v>
      </c>
      <c r="EU16" s="2651">
        <v>54.543888858919495</v>
      </c>
      <c r="EV16" s="2651">
        <v>55.057200000000002</v>
      </c>
      <c r="EW16" s="2651">
        <v>55.000778571428569</v>
      </c>
      <c r="EX16" s="2651">
        <v>56.199135714285703</v>
      </c>
      <c r="EY16" s="2651">
        <v>56.227649999999997</v>
      </c>
      <c r="EZ16" s="2651">
        <v>55.235821428571398</v>
      </c>
      <c r="FA16" s="2651">
        <v>54.813821428571401</v>
      </c>
      <c r="FB16" s="2651">
        <v>56.055199999999999</v>
      </c>
      <c r="FC16" s="2651">
        <v>55.4039</v>
      </c>
      <c r="FD16" s="2651">
        <v>54.146799999999999</v>
      </c>
      <c r="FE16" s="2651">
        <v>52.590899999999998</v>
      </c>
      <c r="FF16" s="2651">
        <v>50.658299999999997</v>
      </c>
      <c r="FG16" s="2651">
        <v>51.6297</v>
      </c>
      <c r="FH16" s="2651">
        <v>52.458300000000001</v>
      </c>
      <c r="FI16" s="2652">
        <v>53.108699999999999</v>
      </c>
    </row>
    <row r="17" spans="1:168" s="2603" customFormat="1" ht="21" customHeight="1" x14ac:dyDescent="0.25">
      <c r="A17" s="2632" t="s">
        <v>3558</v>
      </c>
      <c r="B17" s="2633">
        <v>26.338999999999999</v>
      </c>
      <c r="C17" s="2653">
        <v>27.518699999999999</v>
      </c>
      <c r="D17" s="2658">
        <v>28.536300000000001</v>
      </c>
      <c r="E17" s="2658">
        <v>29.829899999999999</v>
      </c>
      <c r="F17" s="2658">
        <v>29.496200000000002</v>
      </c>
      <c r="G17" s="2658">
        <v>29.462499999999999</v>
      </c>
      <c r="H17" s="2658">
        <v>29.4025</v>
      </c>
      <c r="I17" s="2658">
        <v>29.5045</v>
      </c>
      <c r="J17" s="2658">
        <v>29.545999999999999</v>
      </c>
      <c r="K17" s="2658">
        <v>30.859100000000002</v>
      </c>
      <c r="L17" s="2658">
        <v>30.937000000000001</v>
      </c>
      <c r="M17" s="2658">
        <v>30.142800000000001</v>
      </c>
      <c r="N17" s="2658">
        <v>30.0062</v>
      </c>
      <c r="O17" s="2658">
        <v>30.721</v>
      </c>
      <c r="P17" s="2658">
        <v>33.030999999999999</v>
      </c>
      <c r="Q17" s="2658">
        <v>33.676000000000002</v>
      </c>
      <c r="R17" s="2658">
        <v>33.713000000000001</v>
      </c>
      <c r="S17" s="2658">
        <v>31.965</v>
      </c>
      <c r="T17" s="2658">
        <v>33.642000000000003</v>
      </c>
      <c r="U17" s="2658">
        <v>33.475999999999999</v>
      </c>
      <c r="V17" s="2658">
        <v>33.796999999999997</v>
      </c>
      <c r="W17" s="2658">
        <v>33.689300000000003</v>
      </c>
      <c r="X17" s="2658">
        <v>32.340000000000003</v>
      </c>
      <c r="Y17" s="2658">
        <v>32.271000000000001</v>
      </c>
      <c r="Z17" s="2658">
        <v>32.844099999999997</v>
      </c>
      <c r="AA17" s="2658">
        <v>33.470300000000002</v>
      </c>
      <c r="AB17" s="2658">
        <v>34.741999999999997</v>
      </c>
      <c r="AC17" s="2654">
        <v>34.414999999999999</v>
      </c>
      <c r="AD17" s="2651">
        <v>34.444000000000003</v>
      </c>
      <c r="AE17" s="2651">
        <v>34.755000000000003</v>
      </c>
      <c r="AF17" s="2651">
        <v>35.546500000000002</v>
      </c>
      <c r="AG17" s="2651">
        <v>36.704000000000001</v>
      </c>
      <c r="AH17" s="2651">
        <v>38.103999999999999</v>
      </c>
      <c r="AI17" s="2651">
        <v>38.814</v>
      </c>
      <c r="AJ17" s="2651">
        <v>37.548999999999999</v>
      </c>
      <c r="AK17" s="2651">
        <v>37.868000000000002</v>
      </c>
      <c r="AL17" s="2655">
        <v>37.916200000000003</v>
      </c>
      <c r="AM17" s="2651">
        <v>36.561100000000003</v>
      </c>
      <c r="AN17" s="2651">
        <v>35.816800000000001</v>
      </c>
      <c r="AO17" s="2651">
        <v>36.225999999999999</v>
      </c>
      <c r="AP17" s="2651">
        <v>36.662199999999999</v>
      </c>
      <c r="AQ17" s="2656">
        <v>36.7258</v>
      </c>
      <c r="AR17" s="2651">
        <v>36.864400000000003</v>
      </c>
      <c r="AS17" s="2656">
        <v>36.273400000000002</v>
      </c>
      <c r="AT17" s="2655">
        <v>36.654299999999999</v>
      </c>
      <c r="AU17" s="2655">
        <v>37.408700000000003</v>
      </c>
      <c r="AV17" s="2651">
        <v>36.766199999999998</v>
      </c>
      <c r="AW17" s="2657">
        <v>37.799599999999998</v>
      </c>
      <c r="AX17" s="2656">
        <v>38.997700000000002</v>
      </c>
      <c r="AY17" s="2655">
        <v>40.0535</v>
      </c>
      <c r="AZ17" s="2651">
        <v>39.732999999999997</v>
      </c>
      <c r="BA17" s="2656">
        <v>40.588200000000001</v>
      </c>
      <c r="BB17" s="2655">
        <v>42.280900000000003</v>
      </c>
      <c r="BC17" s="2651">
        <v>42.276699999999998</v>
      </c>
      <c r="BD17" s="2651">
        <v>42.838099999999997</v>
      </c>
      <c r="BE17" s="2656">
        <v>44.976599999999998</v>
      </c>
      <c r="BF17" s="2655">
        <v>45.2014</v>
      </c>
      <c r="BG17" s="2655">
        <v>44.018900000000002</v>
      </c>
      <c r="BH17" s="2655">
        <v>44.060600000000001</v>
      </c>
      <c r="BI17" s="2655">
        <v>43.934800000000003</v>
      </c>
      <c r="BJ17" s="2655">
        <v>44.017800000000001</v>
      </c>
      <c r="BK17" s="2655">
        <v>42.677900000000001</v>
      </c>
      <c r="BL17" s="2655">
        <v>43.055100000000003</v>
      </c>
      <c r="BM17" s="2655">
        <v>43.5075</v>
      </c>
      <c r="BN17" s="2651">
        <v>43.31</v>
      </c>
      <c r="BO17" s="2651">
        <v>44.014000000000003</v>
      </c>
      <c r="BP17" s="2651">
        <v>44.644500000000001</v>
      </c>
      <c r="BQ17" s="2651">
        <v>44.981000000000002</v>
      </c>
      <c r="BR17" s="2651">
        <v>42.744599999999998</v>
      </c>
      <c r="BS17" s="2651">
        <v>43.457900000000002</v>
      </c>
      <c r="BT17" s="2651">
        <v>42.442700000000002</v>
      </c>
      <c r="BU17" s="2655">
        <v>42.131100000000004</v>
      </c>
      <c r="BV17" s="2655">
        <v>41.3</v>
      </c>
      <c r="BW17" s="2655">
        <v>43.816899999999997</v>
      </c>
      <c r="BX17" s="2655">
        <v>43.8369</v>
      </c>
      <c r="BY17" s="2655">
        <v>42.416699999999999</v>
      </c>
      <c r="BZ17" s="2651">
        <v>42.512700000000002</v>
      </c>
      <c r="CA17" s="2651">
        <v>41.542099999999998</v>
      </c>
      <c r="CB17" s="2651">
        <v>41.881700000000002</v>
      </c>
      <c r="CC17" s="2651">
        <v>42.017099999999999</v>
      </c>
      <c r="CD17" s="2651">
        <v>45.8855</v>
      </c>
      <c r="CE17" s="2651">
        <v>43.244900000000001</v>
      </c>
      <c r="CF17" s="2651">
        <v>44.335299999999997</v>
      </c>
      <c r="CG17" s="2651">
        <v>45.1967</v>
      </c>
      <c r="CH17" s="2651">
        <v>45.727699999999999</v>
      </c>
      <c r="CI17" s="2651">
        <v>46.409599999999998</v>
      </c>
      <c r="CJ17" s="2651">
        <v>46.553400000000003</v>
      </c>
      <c r="CK17" s="2651">
        <v>46.226500000000001</v>
      </c>
      <c r="CL17" s="2651">
        <v>46.473300000000002</v>
      </c>
      <c r="CM17" s="2651">
        <v>46.006399999999999</v>
      </c>
      <c r="CN17" s="2651">
        <v>46.085799999999999</v>
      </c>
      <c r="CO17" s="2651">
        <v>45.865099999999998</v>
      </c>
      <c r="CP17" s="2651">
        <v>42.158999999999999</v>
      </c>
      <c r="CQ17" s="2651">
        <v>40.622972605876917</v>
      </c>
      <c r="CR17" s="2651">
        <v>40.087579830928568</v>
      </c>
      <c r="CS17" s="2651">
        <v>41.991412514764285</v>
      </c>
      <c r="CT17" s="2651">
        <v>42.374601034849995</v>
      </c>
      <c r="CU17" s="2651">
        <v>40.968014155464289</v>
      </c>
      <c r="CV17" s="2651">
        <v>41.46114882847143</v>
      </c>
      <c r="CW17" s="2651">
        <v>41.505838961249992</v>
      </c>
      <c r="CX17" s="2651">
        <v>41.59055171262856</v>
      </c>
      <c r="CY17" s="2651">
        <v>41.591498532192865</v>
      </c>
      <c r="CZ17" s="2651">
        <v>41.958064683475712</v>
      </c>
      <c r="DA17" s="2651">
        <v>41.162790416385725</v>
      </c>
      <c r="DB17" s="2651">
        <v>41.929360814999995</v>
      </c>
      <c r="DC17" s="2651">
        <v>41.108748995942854</v>
      </c>
      <c r="DD17" s="2651">
        <v>41.469267576242849</v>
      </c>
      <c r="DE17" s="2651">
        <v>40.051926928689284</v>
      </c>
      <c r="DF17" s="2651">
        <v>41.231816091221425</v>
      </c>
      <c r="DG17" s="2651">
        <v>39.73811034642857</v>
      </c>
      <c r="DH17" s="2651">
        <v>38.891305696657142</v>
      </c>
      <c r="DI17" s="2651">
        <v>39.216950931907142</v>
      </c>
      <c r="DJ17" s="2651">
        <v>39.755935543153569</v>
      </c>
      <c r="DK17" s="2651">
        <v>39.49447556677142</v>
      </c>
      <c r="DL17" s="2651">
        <v>39.25653294364286</v>
      </c>
      <c r="DM17" s="2651">
        <v>37.778190084602144</v>
      </c>
      <c r="DN17" s="2651">
        <v>39.623347659744645</v>
      </c>
      <c r="DO17" s="2651">
        <v>38.805086212804284</v>
      </c>
      <c r="DP17" s="2651">
        <v>38.929039212390009</v>
      </c>
      <c r="DQ17" s="2651">
        <v>40.039116003607141</v>
      </c>
      <c r="DR17" s="2651">
        <v>40.815382433249987</v>
      </c>
      <c r="DS17" s="2651">
        <v>40.787190317571422</v>
      </c>
      <c r="DT17" s="2651">
        <v>40.959065943753714</v>
      </c>
      <c r="DU17" s="2651">
        <v>41.667635898698862</v>
      </c>
      <c r="DV17" s="2651">
        <v>40.910784850588001</v>
      </c>
      <c r="DW17" s="2651">
        <v>40.417067676165935</v>
      </c>
      <c r="DX17" s="2651">
        <v>41.063542470582533</v>
      </c>
      <c r="DY17" s="2651">
        <v>41.032046511723209</v>
      </c>
      <c r="DZ17" s="2651">
        <v>41.014782706131861</v>
      </c>
      <c r="EA17" s="2651">
        <v>41.482777248362858</v>
      </c>
      <c r="EB17" s="2651">
        <v>41.468139454924597</v>
      </c>
      <c r="EC17" s="2651">
        <v>41.91562775355758</v>
      </c>
      <c r="ED17" s="2651">
        <v>41.98481148966755</v>
      </c>
      <c r="EE17" s="2651">
        <v>41.871151829096327</v>
      </c>
      <c r="EF17" s="2651">
        <v>42.109469035381949</v>
      </c>
      <c r="EG17" s="2651">
        <v>41.79894451240056</v>
      </c>
      <c r="EH17" s="2651">
        <v>41.888804510271434</v>
      </c>
      <c r="EI17" s="2651">
        <v>41.992796924623619</v>
      </c>
      <c r="EJ17" s="2651">
        <v>42.073712382800309</v>
      </c>
      <c r="EK17" s="2651">
        <v>41.690934236403209</v>
      </c>
      <c r="EL17" s="2651">
        <v>41.808072754420678</v>
      </c>
      <c r="EM17" s="2651">
        <v>41.30187515609429</v>
      </c>
      <c r="EN17" s="2651">
        <v>41.052703753629608</v>
      </c>
      <c r="EO17" s="2651">
        <v>40.313736930036661</v>
      </c>
      <c r="EP17" s="2651">
        <v>40.003648085912339</v>
      </c>
      <c r="EQ17" s="2651">
        <v>39.71930690080422</v>
      </c>
      <c r="ER17" s="2651">
        <v>39.017671124151313</v>
      </c>
      <c r="ES17" s="2651">
        <v>37.517692214466059</v>
      </c>
      <c r="ET17" s="2651">
        <v>37.78567505676876</v>
      </c>
      <c r="EU17" s="2651">
        <v>39.846689167127863</v>
      </c>
      <c r="EV17" s="2651">
        <v>39.6736</v>
      </c>
      <c r="EW17" s="2651">
        <v>39.295942857142855</v>
      </c>
      <c r="EX17" s="2651">
        <v>39.986150000000002</v>
      </c>
      <c r="EY17" s="2651">
        <v>39.430678571428601</v>
      </c>
      <c r="EZ17" s="2651">
        <v>40.297685714285699</v>
      </c>
      <c r="FA17" s="2651">
        <v>40.700814285714301</v>
      </c>
      <c r="FB17" s="2651">
        <v>40.186700000000002</v>
      </c>
      <c r="FC17" s="2651">
        <v>39.035400000000003</v>
      </c>
      <c r="FD17" s="2651">
        <v>39.929099999999998</v>
      </c>
      <c r="FE17" s="2651">
        <v>40.027200000000001</v>
      </c>
      <c r="FF17" s="2651">
        <v>39.921900000000001</v>
      </c>
      <c r="FG17" s="2651">
        <v>40.753599999999999</v>
      </c>
      <c r="FH17" s="2651">
        <v>40.814100000000003</v>
      </c>
      <c r="FI17" s="2652">
        <v>40.286299999999997</v>
      </c>
      <c r="FK17" s="2604"/>
      <c r="FL17" s="2604"/>
    </row>
    <row r="18" spans="1:168" ht="9.75" customHeight="1" thickBot="1" x14ac:dyDescent="0.3">
      <c r="A18" s="2661"/>
      <c r="B18" s="2662"/>
      <c r="C18" s="2663"/>
      <c r="D18" s="2664"/>
      <c r="E18" s="2664"/>
      <c r="F18" s="2664"/>
      <c r="G18" s="2664"/>
      <c r="H18" s="2664"/>
      <c r="I18" s="2664"/>
      <c r="J18" s="2664"/>
      <c r="K18" s="2664"/>
      <c r="L18" s="2664"/>
      <c r="M18" s="2664"/>
      <c r="N18" s="2664"/>
      <c r="O18" s="2664"/>
      <c r="P18" s="2664"/>
      <c r="Q18" s="2664"/>
      <c r="R18" s="2664"/>
      <c r="S18" s="2664"/>
      <c r="T18" s="2664"/>
      <c r="U18" s="2664"/>
      <c r="V18" s="2664"/>
      <c r="W18" s="2664"/>
      <c r="X18" s="2664"/>
      <c r="Y18" s="2664"/>
      <c r="Z18" s="2664"/>
      <c r="AA18" s="2664"/>
      <c r="AB18" s="2664"/>
      <c r="AC18" s="2665"/>
      <c r="AD18" s="2666"/>
      <c r="AE18" s="2666"/>
      <c r="AF18" s="2666"/>
      <c r="AG18" s="2666"/>
      <c r="AH18" s="2666"/>
      <c r="AI18" s="2666"/>
      <c r="AJ18" s="2666"/>
      <c r="AK18" s="2666"/>
      <c r="AL18" s="2667"/>
      <c r="AM18" s="2666"/>
      <c r="AN18" s="2666"/>
      <c r="AO18" s="2666"/>
      <c r="AP18" s="2666"/>
      <c r="AQ18" s="2668"/>
      <c r="AR18" s="2666"/>
      <c r="AS18" s="2668"/>
      <c r="AT18" s="2667"/>
      <c r="AU18" s="2669"/>
      <c r="AV18" s="2670"/>
      <c r="AW18" s="2671"/>
      <c r="AX18" s="2672"/>
      <c r="AY18" s="2669"/>
      <c r="AZ18" s="2670"/>
      <c r="BA18" s="2672"/>
      <c r="BB18" s="2669"/>
      <c r="BC18" s="2670"/>
      <c r="BD18" s="2670"/>
      <c r="BE18" s="2672"/>
      <c r="BF18" s="2669"/>
      <c r="BG18" s="2669"/>
      <c r="BH18" s="2669"/>
      <c r="BI18" s="2669"/>
      <c r="BJ18" s="2669"/>
      <c r="BK18" s="2669"/>
      <c r="BL18" s="2669"/>
      <c r="BM18" s="2667"/>
      <c r="BN18" s="2666"/>
      <c r="BO18" s="2666"/>
      <c r="BP18" s="2666"/>
      <c r="BQ18" s="2666"/>
      <c r="BR18" s="2666"/>
      <c r="BS18" s="2666"/>
      <c r="BT18" s="2666"/>
      <c r="BU18" s="2667"/>
      <c r="BV18" s="2667"/>
      <c r="BW18" s="2667"/>
      <c r="BX18" s="2667"/>
      <c r="BY18" s="2667"/>
      <c r="BZ18" s="2666"/>
      <c r="CA18" s="2666"/>
      <c r="CB18" s="2666"/>
      <c r="CC18" s="2666"/>
      <c r="CD18" s="2666"/>
      <c r="CE18" s="2666"/>
      <c r="CF18" s="2666"/>
      <c r="CG18" s="2666"/>
      <c r="CH18" s="2666"/>
      <c r="CI18" s="2668"/>
      <c r="CJ18" s="2666"/>
      <c r="CK18" s="2666"/>
      <c r="CL18" s="2666"/>
      <c r="CM18" s="2666"/>
      <c r="CN18" s="2666"/>
      <c r="CO18" s="2666"/>
      <c r="CP18" s="2666"/>
      <c r="CQ18" s="2666"/>
      <c r="CR18" s="2666"/>
      <c r="CS18" s="2666"/>
      <c r="CT18" s="2666"/>
      <c r="CU18" s="2666"/>
      <c r="CV18" s="2666"/>
      <c r="CW18" s="2666"/>
      <c r="CX18" s="2666"/>
      <c r="CY18" s="2666"/>
      <c r="CZ18" s="2666"/>
      <c r="DA18" s="2666"/>
      <c r="DB18" s="2666"/>
      <c r="DC18" s="2666"/>
      <c r="DD18" s="2666"/>
      <c r="DE18" s="2666"/>
      <c r="DF18" s="2666"/>
      <c r="DG18" s="2666"/>
      <c r="DH18" s="2666"/>
      <c r="DI18" s="2666"/>
      <c r="DJ18" s="2666"/>
      <c r="DK18" s="2666"/>
      <c r="DL18" s="2666"/>
      <c r="DM18" s="2666"/>
      <c r="DN18" s="2666"/>
      <c r="DO18" s="2666"/>
      <c r="DP18" s="2666"/>
      <c r="DQ18" s="2666"/>
      <c r="DR18" s="2666"/>
      <c r="DS18" s="2666"/>
      <c r="DT18" s="2666"/>
      <c r="DU18" s="2666"/>
      <c r="DV18" s="2666"/>
      <c r="DW18" s="2666"/>
      <c r="DX18" s="2666"/>
      <c r="DY18" s="2666"/>
      <c r="DZ18" s="2666"/>
      <c r="EA18" s="2666"/>
      <c r="EB18" s="2666"/>
      <c r="EC18" s="2666"/>
      <c r="ED18" s="2666"/>
      <c r="EE18" s="2666"/>
      <c r="EF18" s="2666"/>
      <c r="EG18" s="2666"/>
      <c r="EH18" s="2666"/>
      <c r="EI18" s="2666"/>
      <c r="EJ18" s="2666"/>
      <c r="EK18" s="2666"/>
      <c r="EL18" s="2666"/>
      <c r="EM18" s="2666"/>
      <c r="EN18" s="2666"/>
      <c r="EO18" s="2666"/>
      <c r="EP18" s="2666"/>
      <c r="EQ18" s="2666"/>
      <c r="ER18" s="2666"/>
      <c r="ES18" s="2666"/>
      <c r="ET18" s="2666"/>
      <c r="EU18" s="2666"/>
      <c r="EV18" s="2666"/>
      <c r="EW18" s="2666"/>
      <c r="EX18" s="2666"/>
      <c r="EY18" s="2666"/>
      <c r="EZ18" s="2666"/>
      <c r="FA18" s="2666"/>
      <c r="FB18" s="2666"/>
      <c r="FC18" s="2666"/>
      <c r="FD18" s="2666"/>
      <c r="FE18" s="2666"/>
      <c r="FF18" s="2666"/>
      <c r="FG18" s="2666"/>
      <c r="FH18" s="2666"/>
      <c r="FI18" s="2673"/>
    </row>
    <row r="19" spans="1:168" ht="24" x14ac:dyDescent="0.3">
      <c r="A19" s="2674" t="s">
        <v>4320</v>
      </c>
      <c r="B19" s="2675"/>
      <c r="C19" s="2676"/>
      <c r="D19" s="2676"/>
      <c r="E19" s="2676"/>
      <c r="F19" s="2676"/>
      <c r="G19" s="2676"/>
      <c r="H19" s="2676"/>
      <c r="I19" s="2676"/>
      <c r="J19" s="2676"/>
      <c r="K19" s="2676"/>
      <c r="L19" s="2676"/>
      <c r="M19" s="2676"/>
      <c r="N19" s="2676"/>
      <c r="O19" s="2676"/>
      <c r="P19" s="2677"/>
      <c r="Q19" s="2677"/>
      <c r="R19" s="2677"/>
      <c r="S19" s="2677"/>
      <c r="T19" s="2677"/>
      <c r="U19" s="2677"/>
      <c r="V19" s="2677"/>
      <c r="W19" s="2677"/>
      <c r="X19" s="2677"/>
      <c r="Y19" s="2677"/>
      <c r="Z19" s="2677"/>
      <c r="AA19" s="2677"/>
      <c r="AB19" s="2677"/>
      <c r="AC19" s="2677"/>
      <c r="AD19" s="2677"/>
      <c r="AE19" s="2677"/>
      <c r="AF19" s="2677"/>
      <c r="AG19" s="2677"/>
      <c r="AH19" s="2677"/>
      <c r="AI19" s="2677"/>
      <c r="AJ19" s="2677"/>
      <c r="AK19" s="2677"/>
      <c r="AL19" s="2677"/>
      <c r="AM19" s="2676"/>
      <c r="AN19" s="2676"/>
      <c r="AO19" s="2676"/>
      <c r="AP19" s="2676"/>
      <c r="AQ19" s="2676"/>
      <c r="AR19" s="2676"/>
      <c r="AS19" s="2676"/>
      <c r="AT19" s="2676"/>
      <c r="AU19" s="2676"/>
      <c r="AV19" s="2676"/>
      <c r="AW19" s="2676"/>
      <c r="AX19" s="2676"/>
      <c r="AY19" s="2676"/>
      <c r="AZ19" s="2676"/>
      <c r="BA19" s="2676"/>
      <c r="BB19" s="2676"/>
      <c r="BC19" s="2676"/>
      <c r="BD19" s="2676"/>
      <c r="BE19" s="2676"/>
      <c r="BF19" s="2676"/>
      <c r="BG19" s="2676"/>
      <c r="BH19" s="2676"/>
      <c r="BI19" s="2676"/>
      <c r="BJ19" s="2676"/>
      <c r="BK19" s="2676"/>
      <c r="BL19" s="2676"/>
      <c r="BM19" s="2676"/>
      <c r="BN19" s="2676"/>
      <c r="BO19" s="2676"/>
      <c r="BP19" s="2676"/>
      <c r="BQ19" s="2676"/>
      <c r="BR19" s="2676"/>
      <c r="BS19" s="2676"/>
      <c r="BT19" s="2676"/>
      <c r="BU19" s="2676"/>
      <c r="BV19" s="2676"/>
      <c r="BW19" s="2676"/>
      <c r="BX19" s="2676"/>
      <c r="BY19" s="2676"/>
      <c r="BZ19" s="2676"/>
      <c r="CA19" s="2676"/>
      <c r="CB19" s="2676"/>
      <c r="CC19" s="2676"/>
      <c r="CD19" s="2676"/>
      <c r="CE19" s="2676"/>
      <c r="CF19" s="2676"/>
      <c r="CG19" s="2676"/>
      <c r="CH19" s="2676"/>
      <c r="CI19" s="2676"/>
      <c r="CJ19" s="2676"/>
      <c r="CK19" s="2676"/>
      <c r="CL19" s="2676"/>
      <c r="CM19" s="2676"/>
      <c r="CN19" s="2676"/>
      <c r="CO19" s="2676"/>
      <c r="CP19" s="2676"/>
      <c r="CQ19" s="2676"/>
      <c r="CR19" s="2676"/>
      <c r="CS19" s="2676"/>
      <c r="CT19" s="2676"/>
      <c r="CU19" s="2676"/>
      <c r="CV19" s="2676"/>
      <c r="CW19" s="2676"/>
      <c r="CX19" s="2676"/>
      <c r="CY19" s="2676"/>
      <c r="CZ19" s="2676"/>
      <c r="DA19" s="2676"/>
      <c r="DB19" s="2676"/>
      <c r="DC19" s="2676"/>
      <c r="DD19" s="2676"/>
      <c r="DE19" s="2676"/>
      <c r="DF19" s="2676"/>
      <c r="DG19" s="2676"/>
      <c r="DH19" s="2676"/>
      <c r="DI19" s="2676"/>
      <c r="DJ19" s="2676"/>
      <c r="DK19" s="2676"/>
      <c r="DL19" s="2676"/>
      <c r="DM19" s="2676"/>
      <c r="DN19" s="2676"/>
      <c r="DO19" s="2676"/>
      <c r="DP19" s="2676"/>
      <c r="DQ19" s="2676"/>
      <c r="DR19" s="2676"/>
      <c r="DS19" s="2676"/>
      <c r="DT19" s="2676"/>
      <c r="DU19" s="2676"/>
      <c r="DV19" s="2676"/>
      <c r="DW19" s="2676"/>
      <c r="DX19" s="2676"/>
      <c r="DY19" s="2678"/>
      <c r="DZ19" s="2678"/>
      <c r="EA19" s="2678"/>
      <c r="EB19" s="2679"/>
      <c r="EC19" s="2679"/>
      <c r="ED19" s="2680"/>
      <c r="EE19" s="2681"/>
      <c r="EF19" s="2681"/>
      <c r="EG19" s="2681"/>
      <c r="EH19" s="2681"/>
    </row>
    <row r="20" spans="1:168" ht="15.75" x14ac:dyDescent="0.25">
      <c r="A20" s="2682" t="s">
        <v>680</v>
      </c>
      <c r="B20" s="2683"/>
      <c r="C20" s="2684"/>
      <c r="D20" s="2684"/>
      <c r="E20" s="2684"/>
      <c r="F20" s="2684"/>
      <c r="G20" s="2684"/>
      <c r="H20" s="2684"/>
      <c r="I20" s="2684"/>
      <c r="J20" s="2684"/>
      <c r="K20" s="2684"/>
      <c r="L20" s="2684"/>
      <c r="M20" s="2684"/>
      <c r="N20" s="2684"/>
      <c r="O20" s="2684"/>
      <c r="P20" s="2684"/>
      <c r="Q20" s="2684"/>
      <c r="R20" s="2684"/>
      <c r="S20" s="2684"/>
      <c r="T20" s="2684"/>
      <c r="U20" s="2684"/>
      <c r="V20" s="2684"/>
      <c r="W20" s="2684"/>
      <c r="X20" s="2684"/>
      <c r="Y20" s="2684"/>
      <c r="Z20" s="2684"/>
      <c r="AA20" s="2684"/>
      <c r="AB20" s="2684"/>
      <c r="AC20" s="2684"/>
      <c r="AD20" s="2684"/>
      <c r="AE20" s="2684"/>
      <c r="AF20" s="2684"/>
      <c r="AG20" s="2684"/>
      <c r="AH20" s="2684"/>
      <c r="AI20" s="2684"/>
      <c r="AJ20" s="2684"/>
      <c r="AK20" s="2684"/>
      <c r="AL20" s="2684"/>
      <c r="AM20" s="2684"/>
      <c r="AN20" s="2684"/>
      <c r="AO20" s="2684"/>
      <c r="AP20" s="2684"/>
      <c r="AQ20" s="2684"/>
      <c r="AR20" s="2684"/>
      <c r="AS20" s="2684"/>
      <c r="AT20" s="2684"/>
      <c r="AU20" s="2684"/>
      <c r="AV20" s="2684"/>
      <c r="AW20" s="2684"/>
      <c r="AX20" s="2684"/>
      <c r="AY20" s="2684"/>
      <c r="AZ20" s="2684"/>
      <c r="BA20" s="2684"/>
      <c r="BB20" s="2684"/>
      <c r="BC20" s="2684"/>
      <c r="BD20" s="2684"/>
      <c r="BE20" s="2684"/>
      <c r="BF20" s="2684"/>
      <c r="BG20" s="2684"/>
      <c r="BH20" s="2684"/>
      <c r="BI20" s="2684"/>
      <c r="BJ20" s="2684"/>
      <c r="BK20" s="2684"/>
      <c r="BL20" s="2684"/>
      <c r="BM20" s="2684"/>
      <c r="BN20" s="2684"/>
      <c r="BO20" s="2684"/>
      <c r="BP20" s="2684"/>
      <c r="BQ20" s="2684"/>
      <c r="BR20" s="2684"/>
      <c r="BS20" s="2684"/>
      <c r="BT20" s="2684"/>
      <c r="BU20" s="2684"/>
      <c r="BV20" s="2684"/>
      <c r="BW20" s="2684"/>
      <c r="BX20" s="2684"/>
      <c r="BY20" s="2684"/>
      <c r="BZ20" s="2684"/>
      <c r="CA20" s="2684"/>
      <c r="CB20" s="2684"/>
      <c r="CC20" s="2684"/>
      <c r="CD20" s="2684"/>
      <c r="CE20" s="2684"/>
      <c r="CF20" s="2684"/>
      <c r="CG20" s="2684"/>
      <c r="CH20" s="2684"/>
      <c r="CI20" s="2684"/>
      <c r="CJ20" s="2684"/>
      <c r="CK20" s="2684"/>
      <c r="CL20" s="2684"/>
      <c r="CM20" s="2684"/>
      <c r="CN20" s="2684"/>
      <c r="CO20" s="2684"/>
      <c r="CP20" s="2684"/>
      <c r="CQ20" s="2684"/>
      <c r="CR20" s="2684"/>
      <c r="CS20" s="2684"/>
      <c r="CT20" s="2684"/>
      <c r="CU20" s="2684"/>
      <c r="CV20" s="2684"/>
      <c r="CW20" s="2684"/>
      <c r="CX20" s="2684"/>
      <c r="CY20" s="2684"/>
      <c r="CZ20" s="2684"/>
      <c r="DA20" s="2684"/>
      <c r="DB20" s="2684"/>
      <c r="DC20" s="2684"/>
      <c r="DD20" s="2684"/>
      <c r="DE20" s="2684"/>
      <c r="DF20" s="2684"/>
      <c r="DG20" s="2684"/>
      <c r="DH20" s="2684"/>
      <c r="DI20" s="2684"/>
      <c r="DJ20" s="2684"/>
      <c r="DK20" s="2684"/>
      <c r="DL20" s="2684"/>
      <c r="DM20" s="2684"/>
      <c r="DN20" s="2684"/>
      <c r="DO20" s="2684"/>
      <c r="DP20" s="2684"/>
      <c r="DQ20" s="2684"/>
      <c r="DR20" s="2684"/>
      <c r="DS20" s="2684"/>
      <c r="DT20" s="2684"/>
      <c r="DU20" s="2684"/>
      <c r="DV20" s="2684"/>
      <c r="DW20" s="2684"/>
      <c r="DX20" s="2684"/>
      <c r="DY20" s="2679"/>
      <c r="DZ20" s="2679"/>
      <c r="EA20" s="2679"/>
      <c r="EB20" s="2679"/>
      <c r="EC20" s="2679"/>
      <c r="ED20" s="2680"/>
      <c r="EE20" s="2681"/>
      <c r="EF20" s="2681"/>
      <c r="EG20" s="2681"/>
      <c r="EH20" s="2681"/>
    </row>
    <row r="21" spans="1:168" x14ac:dyDescent="0.25">
      <c r="A21" s="2685"/>
      <c r="B21" s="2686"/>
      <c r="C21" s="2681"/>
      <c r="D21" s="2681"/>
      <c r="E21" s="2681"/>
      <c r="F21" s="2681"/>
      <c r="G21" s="2681"/>
      <c r="H21" s="2686"/>
      <c r="I21" s="2686"/>
      <c r="J21" s="2681"/>
      <c r="K21" s="2681"/>
      <c r="L21" s="2681"/>
      <c r="M21" s="2681"/>
      <c r="N21" s="2681"/>
      <c r="O21" s="2681"/>
      <c r="P21" s="2681"/>
      <c r="Q21" s="2681"/>
      <c r="R21" s="2681"/>
      <c r="S21" s="2681"/>
      <c r="T21" s="2681"/>
      <c r="U21" s="2681"/>
      <c r="V21" s="2681"/>
      <c r="W21" s="2681"/>
      <c r="X21" s="2681"/>
      <c r="Y21" s="2681"/>
      <c r="Z21" s="2681"/>
      <c r="AA21" s="2681"/>
      <c r="AB21" s="2681"/>
      <c r="AC21" s="2681"/>
      <c r="AD21" s="2681"/>
      <c r="AE21" s="2681"/>
      <c r="AF21" s="2681"/>
      <c r="AG21" s="2681"/>
      <c r="AH21" s="2681"/>
      <c r="AI21" s="2681"/>
      <c r="AJ21" s="2681"/>
      <c r="AK21" s="2681"/>
      <c r="AL21" s="2681"/>
      <c r="AM21" s="2681"/>
      <c r="AN21" s="2681"/>
      <c r="AO21" s="2681"/>
      <c r="AP21" s="2681"/>
      <c r="AQ21" s="2681"/>
      <c r="AR21" s="2681"/>
      <c r="AS21" s="2681"/>
      <c r="AT21" s="2681"/>
      <c r="AU21" s="2681"/>
      <c r="AV21" s="2681"/>
      <c r="AW21" s="2681"/>
      <c r="AX21" s="2681"/>
      <c r="AY21" s="2681"/>
      <c r="AZ21" s="2681"/>
      <c r="BA21" s="2681"/>
      <c r="BB21" s="2681"/>
      <c r="BC21" s="2681"/>
      <c r="BD21" s="2681"/>
      <c r="BE21" s="2681"/>
      <c r="BF21" s="2681"/>
      <c r="BG21" s="2681"/>
      <c r="BH21" s="2681"/>
      <c r="BI21" s="2681"/>
      <c r="BJ21" s="2681"/>
      <c r="BK21" s="2681"/>
      <c r="BL21" s="2681"/>
      <c r="BM21" s="2681"/>
      <c r="BN21" s="2681"/>
      <c r="BO21" s="2681"/>
      <c r="BP21" s="2681"/>
      <c r="BQ21" s="2681"/>
      <c r="BR21" s="2681"/>
      <c r="BS21" s="2681"/>
      <c r="BT21" s="2681"/>
      <c r="BU21" s="2681"/>
      <c r="BV21" s="2681"/>
      <c r="BW21" s="2681"/>
      <c r="BX21" s="2681"/>
      <c r="BY21" s="2681"/>
      <c r="BZ21" s="2681"/>
      <c r="CA21" s="2681"/>
      <c r="CB21" s="2681"/>
      <c r="CC21" s="2681"/>
      <c r="CD21" s="2681"/>
      <c r="CE21" s="2681"/>
      <c r="CF21" s="2681"/>
      <c r="CG21" s="2681"/>
      <c r="CH21" s="2681"/>
      <c r="CI21" s="2681"/>
      <c r="CJ21" s="2681"/>
      <c r="CK21" s="2681"/>
      <c r="CL21" s="2681"/>
      <c r="CM21" s="2681"/>
      <c r="CN21" s="2681"/>
      <c r="CO21" s="2681"/>
      <c r="CP21" s="2681"/>
      <c r="CQ21" s="2681"/>
      <c r="CR21" s="2681"/>
      <c r="CS21" s="2681"/>
      <c r="CT21" s="2681"/>
      <c r="CU21" s="2681"/>
      <c r="CV21" s="2681"/>
      <c r="CW21" s="2681"/>
      <c r="CX21" s="2681"/>
      <c r="CY21" s="2681"/>
      <c r="CZ21" s="2681"/>
      <c r="DA21" s="2681"/>
      <c r="DB21" s="2681"/>
      <c r="DC21" s="2681"/>
      <c r="DD21" s="2681"/>
      <c r="DE21" s="2681"/>
      <c r="DF21" s="2681"/>
      <c r="DG21" s="2681"/>
      <c r="DH21" s="2681"/>
      <c r="DI21" s="2681"/>
      <c r="DJ21" s="2681"/>
      <c r="DK21" s="2681"/>
      <c r="DL21" s="2681"/>
      <c r="DM21" s="2681"/>
      <c r="DN21" s="2681"/>
      <c r="DO21" s="2681"/>
      <c r="DP21" s="2681"/>
      <c r="DQ21" s="2681"/>
      <c r="DR21" s="2681"/>
      <c r="DS21" s="2681"/>
      <c r="DT21" s="2681"/>
      <c r="DU21" s="2681"/>
      <c r="DV21" s="2681"/>
      <c r="DW21" s="2681"/>
      <c r="DX21" s="2681"/>
      <c r="DY21" s="2681"/>
      <c r="DZ21" s="2681"/>
      <c r="EA21" s="2681"/>
      <c r="EB21" s="2681"/>
      <c r="EC21" s="2681"/>
      <c r="ED21" s="2681"/>
      <c r="EE21" s="2681"/>
      <c r="EF21" s="2681"/>
      <c r="EG21" s="2681"/>
      <c r="EH21" s="2681"/>
    </row>
    <row r="22" spans="1:168" x14ac:dyDescent="0.25">
      <c r="A22" s="2687"/>
      <c r="B22" s="2603"/>
      <c r="H22" s="2603"/>
      <c r="I22" s="2603"/>
    </row>
    <row r="23" spans="1:168" s="2603" customFormat="1" ht="18.75" x14ac:dyDescent="0.3">
      <c r="A23" s="2602" t="s">
        <v>4321</v>
      </c>
      <c r="B23" s="2604"/>
      <c r="C23" s="2604"/>
      <c r="D23" s="2604"/>
      <c r="E23" s="2604"/>
      <c r="F23" s="2604"/>
      <c r="G23" s="2604"/>
      <c r="H23" s="2604"/>
      <c r="I23" s="2604"/>
      <c r="J23" s="2604"/>
      <c r="K23" s="2604"/>
      <c r="L23" s="2604"/>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row>
    <row r="24" spans="1:168" s="2603" customFormat="1" ht="15.75" thickBot="1" x14ac:dyDescent="0.3">
      <c r="A24" s="2604"/>
      <c r="B24" s="2604"/>
      <c r="C24" s="2604"/>
      <c r="D24" s="2604"/>
      <c r="E24" s="2604"/>
      <c r="F24" s="2604"/>
      <c r="G24" s="2604"/>
      <c r="H24" s="2604"/>
      <c r="I24" s="2604"/>
      <c r="J24" s="2604"/>
      <c r="K24" s="2604"/>
      <c r="L24" s="2604"/>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row>
    <row r="25" spans="1:168" s="2603" customFormat="1" x14ac:dyDescent="0.25">
      <c r="A25" s="2606" t="s">
        <v>4307</v>
      </c>
      <c r="B25" s="2688">
        <v>37258</v>
      </c>
      <c r="C25" s="2689">
        <v>37289</v>
      </c>
      <c r="D25" s="2689">
        <v>37378</v>
      </c>
      <c r="E25" s="2689">
        <v>37409</v>
      </c>
      <c r="F25" s="2689">
        <v>37439</v>
      </c>
      <c r="G25" s="2689">
        <v>37470</v>
      </c>
      <c r="H25" s="2689">
        <v>37501</v>
      </c>
      <c r="I25" s="2689">
        <v>37531</v>
      </c>
      <c r="J25" s="2689">
        <v>37562</v>
      </c>
      <c r="K25" s="2689">
        <v>37592</v>
      </c>
      <c r="L25" s="2689">
        <v>37623</v>
      </c>
      <c r="M25" s="2689">
        <v>37654</v>
      </c>
      <c r="N25" s="2689">
        <v>37682</v>
      </c>
      <c r="O25" s="2689">
        <v>37713</v>
      </c>
      <c r="P25" s="2689">
        <v>37743</v>
      </c>
      <c r="Q25" s="2689">
        <v>37774</v>
      </c>
      <c r="R25" s="2689">
        <v>37804</v>
      </c>
      <c r="S25" s="2689">
        <v>37835</v>
      </c>
      <c r="T25" s="2689">
        <v>37866</v>
      </c>
      <c r="U25" s="2689">
        <v>37896</v>
      </c>
      <c r="V25" s="2689">
        <v>37927</v>
      </c>
      <c r="W25" s="2689">
        <v>37957</v>
      </c>
      <c r="X25" s="2690">
        <v>37988</v>
      </c>
      <c r="Y25" s="2617">
        <v>38019</v>
      </c>
      <c r="Z25" s="2691">
        <v>38048</v>
      </c>
      <c r="AA25" s="2617">
        <v>38079</v>
      </c>
      <c r="AB25" s="2691">
        <v>38109</v>
      </c>
      <c r="AC25" s="2617">
        <v>38140</v>
      </c>
      <c r="AD25" s="2691">
        <v>38170</v>
      </c>
      <c r="AE25" s="2617">
        <v>38201</v>
      </c>
      <c r="AF25" s="2691">
        <v>38232</v>
      </c>
      <c r="AG25" s="2617">
        <v>38262</v>
      </c>
      <c r="AH25" s="2691">
        <v>38293</v>
      </c>
      <c r="AI25" s="2617">
        <v>38323</v>
      </c>
      <c r="AJ25" s="2691">
        <v>38354</v>
      </c>
      <c r="AK25" s="2692">
        <v>38413</v>
      </c>
      <c r="AL25" s="2692">
        <v>38444</v>
      </c>
      <c r="AM25" s="2617">
        <v>38474</v>
      </c>
      <c r="AN25" s="2617">
        <v>38505</v>
      </c>
      <c r="AO25" s="2617">
        <v>38535</v>
      </c>
      <c r="AP25" s="2691">
        <v>38565</v>
      </c>
      <c r="AQ25" s="2617">
        <v>38596</v>
      </c>
      <c r="AR25" s="2617">
        <v>38626</v>
      </c>
      <c r="AS25" s="2691">
        <v>38657</v>
      </c>
      <c r="AT25" s="2692">
        <v>38687</v>
      </c>
      <c r="AU25" s="2692">
        <v>38718</v>
      </c>
      <c r="AV25" s="2617">
        <v>38749</v>
      </c>
      <c r="AW25" s="2617">
        <v>38777</v>
      </c>
      <c r="AX25" s="2691">
        <v>38808</v>
      </c>
      <c r="AY25" s="2692">
        <v>38838</v>
      </c>
      <c r="AZ25" s="2617">
        <v>38869</v>
      </c>
      <c r="BA25" s="2691">
        <v>38899</v>
      </c>
      <c r="BB25" s="2692">
        <v>38930</v>
      </c>
      <c r="BC25" s="2692">
        <v>38961</v>
      </c>
      <c r="BD25" s="2617">
        <v>38991</v>
      </c>
      <c r="BE25" s="2691">
        <v>39022</v>
      </c>
      <c r="BF25" s="2692">
        <v>39052</v>
      </c>
      <c r="BG25" s="2617">
        <v>39083</v>
      </c>
      <c r="BH25" s="2691">
        <v>39114</v>
      </c>
      <c r="BI25" s="2692">
        <v>39142</v>
      </c>
      <c r="BJ25" s="2692">
        <v>39173</v>
      </c>
      <c r="BK25" s="2692">
        <v>39203</v>
      </c>
      <c r="BL25" s="2692">
        <v>39234</v>
      </c>
      <c r="BM25" s="2692">
        <v>39264</v>
      </c>
      <c r="BN25" s="2617">
        <v>39295</v>
      </c>
      <c r="BO25" s="2617">
        <v>39326</v>
      </c>
      <c r="BP25" s="2617">
        <v>39356</v>
      </c>
      <c r="BQ25" s="2617">
        <v>39387</v>
      </c>
      <c r="BR25" s="2617">
        <v>39417</v>
      </c>
      <c r="BS25" s="2617">
        <v>39448</v>
      </c>
      <c r="BT25" s="2617">
        <v>39479</v>
      </c>
      <c r="BU25" s="2617">
        <v>39508</v>
      </c>
      <c r="BV25" s="2617">
        <v>39539</v>
      </c>
      <c r="BW25" s="2692">
        <v>39569</v>
      </c>
      <c r="BX25" s="2692">
        <v>39600</v>
      </c>
      <c r="BY25" s="2692">
        <v>39630</v>
      </c>
      <c r="BZ25" s="2617">
        <v>39661</v>
      </c>
      <c r="CA25" s="2617">
        <v>39692</v>
      </c>
      <c r="CB25" s="2617">
        <v>39722</v>
      </c>
      <c r="CC25" s="2617">
        <v>39753</v>
      </c>
      <c r="CD25" s="2617">
        <v>39783</v>
      </c>
      <c r="CE25" s="2617">
        <v>39814</v>
      </c>
      <c r="CF25" s="2617">
        <v>39845</v>
      </c>
      <c r="CG25" s="2617">
        <v>39873</v>
      </c>
      <c r="CH25" s="2617">
        <v>39904</v>
      </c>
      <c r="CI25" s="2618">
        <v>39934</v>
      </c>
      <c r="CJ25" s="2618">
        <v>39965</v>
      </c>
      <c r="CK25" s="2618">
        <v>39995</v>
      </c>
      <c r="CL25" s="2693">
        <v>40026</v>
      </c>
      <c r="CM25" s="2693">
        <v>40057</v>
      </c>
      <c r="CN25" s="2693">
        <v>40087</v>
      </c>
      <c r="CO25" s="2693">
        <v>40118</v>
      </c>
      <c r="CP25" s="2693">
        <v>40299</v>
      </c>
      <c r="CQ25" s="2693">
        <v>40360</v>
      </c>
      <c r="CR25" s="2693">
        <v>40391</v>
      </c>
      <c r="CS25" s="2693">
        <v>40422</v>
      </c>
      <c r="CT25" s="2693">
        <v>40452</v>
      </c>
      <c r="CU25" s="2693">
        <v>40483</v>
      </c>
      <c r="CV25" s="2693">
        <v>40513</v>
      </c>
      <c r="CW25" s="2693">
        <v>40544</v>
      </c>
      <c r="CX25" s="2693">
        <v>40575</v>
      </c>
      <c r="CY25" s="2693">
        <v>40603</v>
      </c>
      <c r="CZ25" s="2693">
        <v>40634</v>
      </c>
      <c r="DA25" s="2693">
        <v>40664</v>
      </c>
      <c r="DB25" s="2693">
        <v>40695</v>
      </c>
      <c r="DC25" s="2693">
        <v>40725</v>
      </c>
      <c r="DD25" s="2693">
        <v>40756</v>
      </c>
      <c r="DE25" s="2693">
        <v>40787</v>
      </c>
      <c r="DF25" s="2693">
        <f t="shared" ref="DF25:FI25" si="1">DF4</f>
        <v>40817</v>
      </c>
      <c r="DG25" s="2693">
        <f t="shared" si="1"/>
        <v>40848</v>
      </c>
      <c r="DH25" s="2693">
        <f t="shared" si="1"/>
        <v>40878</v>
      </c>
      <c r="DI25" s="2693">
        <f t="shared" si="1"/>
        <v>40909</v>
      </c>
      <c r="DJ25" s="2693">
        <f t="shared" si="1"/>
        <v>40940</v>
      </c>
      <c r="DK25" s="2693">
        <f t="shared" si="1"/>
        <v>40969</v>
      </c>
      <c r="DL25" s="2693">
        <f t="shared" si="1"/>
        <v>41000</v>
      </c>
      <c r="DM25" s="2693">
        <f t="shared" si="1"/>
        <v>41030</v>
      </c>
      <c r="DN25" s="2693">
        <f t="shared" si="1"/>
        <v>41061</v>
      </c>
      <c r="DO25" s="2693">
        <f t="shared" si="1"/>
        <v>41091</v>
      </c>
      <c r="DP25" s="2693">
        <f t="shared" si="1"/>
        <v>41122</v>
      </c>
      <c r="DQ25" s="2693">
        <f t="shared" si="1"/>
        <v>41153</v>
      </c>
      <c r="DR25" s="2690">
        <f t="shared" si="1"/>
        <v>41183</v>
      </c>
      <c r="DS25" s="2617">
        <f t="shared" si="1"/>
        <v>41214</v>
      </c>
      <c r="DT25" s="2617">
        <f t="shared" si="1"/>
        <v>41245</v>
      </c>
      <c r="DU25" s="2617">
        <f t="shared" si="1"/>
        <v>41276</v>
      </c>
      <c r="DV25" s="2617">
        <f t="shared" si="1"/>
        <v>41307</v>
      </c>
      <c r="DW25" s="2617">
        <f t="shared" si="1"/>
        <v>41338</v>
      </c>
      <c r="DX25" s="2617">
        <f t="shared" si="1"/>
        <v>41369</v>
      </c>
      <c r="DY25" s="2617">
        <f t="shared" si="1"/>
        <v>41400</v>
      </c>
      <c r="DZ25" s="2617">
        <f t="shared" si="1"/>
        <v>41431</v>
      </c>
      <c r="EA25" s="2617">
        <f t="shared" si="1"/>
        <v>41462</v>
      </c>
      <c r="EB25" s="2617">
        <f t="shared" si="1"/>
        <v>41493</v>
      </c>
      <c r="EC25" s="2617">
        <f t="shared" si="1"/>
        <v>41524</v>
      </c>
      <c r="ED25" s="2617">
        <f t="shared" si="1"/>
        <v>41555</v>
      </c>
      <c r="EE25" s="2617">
        <f t="shared" si="1"/>
        <v>41586</v>
      </c>
      <c r="EF25" s="2617">
        <f t="shared" si="1"/>
        <v>41617</v>
      </c>
      <c r="EG25" s="2617">
        <f t="shared" si="1"/>
        <v>41648</v>
      </c>
      <c r="EH25" s="2617">
        <f t="shared" si="1"/>
        <v>41679</v>
      </c>
      <c r="EI25" s="2617">
        <f t="shared" si="1"/>
        <v>41710</v>
      </c>
      <c r="EJ25" s="2617">
        <f t="shared" si="1"/>
        <v>41741</v>
      </c>
      <c r="EK25" s="2617">
        <f t="shared" si="1"/>
        <v>41772</v>
      </c>
      <c r="EL25" s="2617">
        <f t="shared" si="1"/>
        <v>41803</v>
      </c>
      <c r="EM25" s="2617">
        <f t="shared" si="1"/>
        <v>41834</v>
      </c>
      <c r="EN25" s="2617">
        <f t="shared" si="1"/>
        <v>41865</v>
      </c>
      <c r="EO25" s="2617">
        <f t="shared" si="1"/>
        <v>41896</v>
      </c>
      <c r="EP25" s="2617">
        <f t="shared" si="1"/>
        <v>41927</v>
      </c>
      <c r="EQ25" s="2617">
        <f t="shared" si="1"/>
        <v>41958</v>
      </c>
      <c r="ER25" s="2617">
        <f t="shared" si="1"/>
        <v>41989</v>
      </c>
      <c r="ES25" s="2617">
        <f t="shared" si="1"/>
        <v>42020</v>
      </c>
      <c r="ET25" s="2617">
        <f t="shared" si="1"/>
        <v>42051</v>
      </c>
      <c r="EU25" s="2617">
        <f t="shared" si="1"/>
        <v>42082</v>
      </c>
      <c r="EV25" s="2617">
        <f t="shared" si="1"/>
        <v>42113</v>
      </c>
      <c r="EW25" s="2617">
        <f t="shared" si="1"/>
        <v>42144</v>
      </c>
      <c r="EX25" s="2617">
        <f t="shared" si="1"/>
        <v>42175</v>
      </c>
      <c r="EY25" s="2617">
        <f t="shared" si="1"/>
        <v>42206</v>
      </c>
      <c r="EZ25" s="2617">
        <f t="shared" si="1"/>
        <v>42237</v>
      </c>
      <c r="FA25" s="2617">
        <f t="shared" si="1"/>
        <v>42268</v>
      </c>
      <c r="FB25" s="2617">
        <f t="shared" si="1"/>
        <v>42299</v>
      </c>
      <c r="FC25" s="2617">
        <f t="shared" si="1"/>
        <v>42330</v>
      </c>
      <c r="FD25" s="2617">
        <f t="shared" si="1"/>
        <v>42361</v>
      </c>
      <c r="FE25" s="2617">
        <f t="shared" si="1"/>
        <v>42392</v>
      </c>
      <c r="FF25" s="2617">
        <f t="shared" si="1"/>
        <v>42423</v>
      </c>
      <c r="FG25" s="2617">
        <f t="shared" si="1"/>
        <v>42454</v>
      </c>
      <c r="FH25" s="2617">
        <f t="shared" si="1"/>
        <v>42485</v>
      </c>
      <c r="FI25" s="2618">
        <f t="shared" si="1"/>
        <v>42516</v>
      </c>
      <c r="FJ25" s="2694"/>
      <c r="FK25" s="2694"/>
    </row>
    <row r="26" spans="1:168" s="2603" customFormat="1" ht="15.75" thickBot="1" x14ac:dyDescent="0.3">
      <c r="A26" s="2695" t="s">
        <v>4308</v>
      </c>
      <c r="B26" s="2696"/>
      <c r="C26" s="2696"/>
      <c r="D26" s="2696"/>
      <c r="E26" s="2696"/>
      <c r="F26" s="2696"/>
      <c r="G26" s="2696"/>
      <c r="H26" s="2696"/>
      <c r="I26" s="2696"/>
      <c r="J26" s="2696"/>
      <c r="K26" s="2696"/>
      <c r="L26" s="2696"/>
      <c r="M26" s="2696"/>
      <c r="N26" s="2696"/>
      <c r="O26" s="2696"/>
      <c r="P26" s="2696"/>
      <c r="Q26" s="2696"/>
      <c r="R26" s="2696"/>
      <c r="S26" s="2696"/>
      <c r="T26" s="2696"/>
      <c r="U26" s="2696"/>
      <c r="V26" s="2696"/>
      <c r="W26" s="2696"/>
      <c r="X26" s="2697"/>
      <c r="Y26" s="2698"/>
      <c r="Z26" s="2697"/>
      <c r="AA26" s="2698"/>
      <c r="AB26" s="2697"/>
      <c r="AC26" s="2698"/>
      <c r="AD26" s="2697"/>
      <c r="AE26" s="2698"/>
      <c r="AF26" s="2697"/>
      <c r="AG26" s="2698"/>
      <c r="AH26" s="2697"/>
      <c r="AI26" s="2698"/>
      <c r="AJ26" s="2697"/>
      <c r="AK26" s="2699"/>
      <c r="AL26" s="2699"/>
      <c r="AM26" s="2698"/>
      <c r="AN26" s="2698"/>
      <c r="AO26" s="2698"/>
      <c r="AP26" s="2697"/>
      <c r="AQ26" s="2698"/>
      <c r="AR26" s="2698"/>
      <c r="AS26" s="2697"/>
      <c r="AT26" s="2699"/>
      <c r="AU26" s="2699"/>
      <c r="AV26" s="2698"/>
      <c r="AW26" s="2698"/>
      <c r="AX26" s="2697"/>
      <c r="AY26" s="2699"/>
      <c r="AZ26" s="2698"/>
      <c r="BA26" s="2697"/>
      <c r="BB26" s="2699"/>
      <c r="BC26" s="2699"/>
      <c r="BD26" s="2698"/>
      <c r="BE26" s="2697"/>
      <c r="BF26" s="2699"/>
      <c r="BG26" s="2698"/>
      <c r="BH26" s="2697"/>
      <c r="BI26" s="2699"/>
      <c r="BJ26" s="2699"/>
      <c r="BK26" s="2699"/>
      <c r="BL26" s="2699"/>
      <c r="BM26" s="2699"/>
      <c r="BN26" s="2698"/>
      <c r="BO26" s="2698"/>
      <c r="BP26" s="2698"/>
      <c r="BQ26" s="2698"/>
      <c r="BR26" s="2698"/>
      <c r="BS26" s="2698"/>
      <c r="BT26" s="2698"/>
      <c r="BU26" s="2698"/>
      <c r="BV26" s="2698"/>
      <c r="BW26" s="2699"/>
      <c r="BX26" s="2699"/>
      <c r="BY26" s="2699"/>
      <c r="BZ26" s="2698"/>
      <c r="CA26" s="2698"/>
      <c r="CB26" s="2698"/>
      <c r="CC26" s="2698"/>
      <c r="CD26" s="2698"/>
      <c r="CE26" s="2698"/>
      <c r="CF26" s="2698"/>
      <c r="CG26" s="2698"/>
      <c r="CH26" s="2698"/>
      <c r="CI26" s="2700"/>
      <c r="CJ26" s="2700"/>
      <c r="CK26" s="2700"/>
      <c r="CL26" s="2695"/>
      <c r="CM26" s="2695"/>
      <c r="CN26" s="2695"/>
      <c r="CO26" s="2695"/>
      <c r="CP26" s="2695"/>
      <c r="CQ26" s="2695"/>
      <c r="CR26" s="2695"/>
      <c r="CS26" s="2695"/>
      <c r="CT26" s="2695"/>
      <c r="CU26" s="2695"/>
      <c r="CV26" s="2695"/>
      <c r="CW26" s="2695"/>
      <c r="CX26" s="2695"/>
      <c r="CY26" s="2695"/>
      <c r="CZ26" s="2695"/>
      <c r="DA26" s="2695"/>
      <c r="DB26" s="2695"/>
      <c r="DC26" s="2695"/>
      <c r="DD26" s="2695"/>
      <c r="DE26" s="2695"/>
      <c r="DF26" s="2695"/>
      <c r="DG26" s="2695"/>
      <c r="DH26" s="2695"/>
      <c r="DI26" s="2695"/>
      <c r="DJ26" s="2695"/>
      <c r="DK26" s="2695"/>
      <c r="DL26" s="2695"/>
      <c r="DM26" s="2695"/>
      <c r="DN26" s="2695"/>
      <c r="DO26" s="2695"/>
      <c r="DP26" s="2695"/>
      <c r="DQ26" s="2695"/>
      <c r="DR26" s="2701"/>
      <c r="DS26" s="2698"/>
      <c r="DT26" s="2698"/>
      <c r="DU26" s="2698"/>
      <c r="DV26" s="2698"/>
      <c r="DW26" s="2698"/>
      <c r="DX26" s="2698"/>
      <c r="DY26" s="2698"/>
      <c r="DZ26" s="2698"/>
      <c r="EA26" s="2698"/>
      <c r="EB26" s="2698"/>
      <c r="EC26" s="2698"/>
      <c r="ED26" s="2698"/>
      <c r="EE26" s="2698"/>
      <c r="EF26" s="2698"/>
      <c r="EG26" s="2698"/>
      <c r="EH26" s="2698"/>
      <c r="EI26" s="2698"/>
      <c r="EJ26" s="2698"/>
      <c r="EK26" s="2698"/>
      <c r="EL26" s="2698"/>
      <c r="EM26" s="2698"/>
      <c r="EN26" s="2698"/>
      <c r="EO26" s="2698"/>
      <c r="EP26" s="2698"/>
      <c r="EQ26" s="2698"/>
      <c r="ER26" s="2698"/>
      <c r="ES26" s="2698"/>
      <c r="ET26" s="2698"/>
      <c r="EU26" s="2698"/>
      <c r="EV26" s="2698"/>
      <c r="EW26" s="2698"/>
      <c r="EX26" s="2698"/>
      <c r="EY26" s="2698"/>
      <c r="EZ26" s="2698"/>
      <c r="FA26" s="2698"/>
      <c r="FB26" s="2698"/>
      <c r="FC26" s="2698"/>
      <c r="FD26" s="2698"/>
      <c r="FE26" s="2698"/>
      <c r="FF26" s="2698"/>
      <c r="FG26" s="2698"/>
      <c r="FH26" s="2698"/>
      <c r="FI26" s="2700"/>
    </row>
    <row r="27" spans="1:168" s="2603" customFormat="1" ht="21.75" customHeight="1" x14ac:dyDescent="0.25">
      <c r="A27" s="2632" t="s">
        <v>4309</v>
      </c>
      <c r="B27" s="2702">
        <v>15.824999999999999</v>
      </c>
      <c r="C27" s="2702">
        <v>15.736000000000001</v>
      </c>
      <c r="D27" s="2702">
        <v>16.807727272727274</v>
      </c>
      <c r="E27" s="2702">
        <v>17.321000000000002</v>
      </c>
      <c r="F27" s="2702">
        <v>16.746521739130436</v>
      </c>
      <c r="G27" s="2702">
        <v>16.2985714285714</v>
      </c>
      <c r="H27" s="2702">
        <v>16.420500000000001</v>
      </c>
      <c r="I27" s="2702">
        <v>16.502600000000001</v>
      </c>
      <c r="J27" s="2702">
        <v>16.757999999999999</v>
      </c>
      <c r="K27" s="2702">
        <v>16.746500000000001</v>
      </c>
      <c r="L27" s="2702">
        <v>17.021000000000001</v>
      </c>
      <c r="M27" s="2702">
        <v>16.774999999999999</v>
      </c>
      <c r="N27" s="2702">
        <v>16.820499999999999</v>
      </c>
      <c r="O27" s="2702">
        <v>16.925000000000001</v>
      </c>
      <c r="P27" s="2702">
        <v>18.078099999999999</v>
      </c>
      <c r="Q27" s="2702">
        <v>19.045000000000002</v>
      </c>
      <c r="R27" s="2702">
        <v>19.766999999999999</v>
      </c>
      <c r="S27" s="2702">
        <v>19.231999999999999</v>
      </c>
      <c r="T27" s="2702">
        <v>19.481000000000002</v>
      </c>
      <c r="U27" s="2702">
        <v>20.094999999999999</v>
      </c>
      <c r="V27" s="2702">
        <v>20.541</v>
      </c>
      <c r="W27" s="2702">
        <v>20.177</v>
      </c>
      <c r="X27" s="2703">
        <v>20.393000000000001</v>
      </c>
      <c r="Y27" s="2638">
        <v>20.273</v>
      </c>
      <c r="Z27" s="2703">
        <v>19.875</v>
      </c>
      <c r="AA27" s="2638">
        <v>20.445</v>
      </c>
      <c r="AB27" s="2703">
        <v>19.911999999999999</v>
      </c>
      <c r="AC27" s="2638">
        <v>19.760000000000002</v>
      </c>
      <c r="AD27" s="2703">
        <v>20.459</v>
      </c>
      <c r="AE27" s="2638">
        <v>20.385999999999999</v>
      </c>
      <c r="AF27" s="2703">
        <v>20.271999999999998</v>
      </c>
      <c r="AG27" s="2638">
        <v>21.173999999999999</v>
      </c>
      <c r="AH27" s="2703">
        <v>22.21</v>
      </c>
      <c r="AI27" s="2638">
        <v>22.016999999999999</v>
      </c>
      <c r="AJ27" s="2703">
        <v>21.998999999999999</v>
      </c>
      <c r="AK27" s="2640">
        <v>22.949000000000002</v>
      </c>
      <c r="AL27" s="2640">
        <v>22.725000000000001</v>
      </c>
      <c r="AM27" s="2636">
        <v>22.585999999999999</v>
      </c>
      <c r="AN27" s="2704">
        <v>22.712700000000002</v>
      </c>
      <c r="AO27" s="2642">
        <v>22.446000000000002</v>
      </c>
      <c r="AP27" s="2705">
        <v>22.8643</v>
      </c>
      <c r="AQ27" s="2651">
        <v>23.132400000000001</v>
      </c>
      <c r="AR27" s="2656">
        <v>23.1129</v>
      </c>
      <c r="AS27" s="2704">
        <v>22.605799999999999</v>
      </c>
      <c r="AT27" s="2704">
        <v>22.9314</v>
      </c>
      <c r="AU27" s="2704">
        <v>23.199000000000002</v>
      </c>
      <c r="AV27" s="2642">
        <v>22.966000000000001</v>
      </c>
      <c r="AW27" s="2642">
        <v>22.6386</v>
      </c>
      <c r="AX27" s="2705">
        <v>22.902999999999999</v>
      </c>
      <c r="AY27" s="2704">
        <v>23.784500000000001</v>
      </c>
      <c r="AZ27" s="2642">
        <v>23.0745</v>
      </c>
      <c r="BA27" s="2705">
        <v>23.6295</v>
      </c>
      <c r="BB27" s="2704">
        <v>24.693300000000001</v>
      </c>
      <c r="BC27" s="2655">
        <v>24.946200000000001</v>
      </c>
      <c r="BD27" s="2651">
        <v>25.091899999999999</v>
      </c>
      <c r="BE27" s="2656">
        <v>26.064</v>
      </c>
      <c r="BF27" s="2655">
        <v>26.707999999999998</v>
      </c>
      <c r="BG27" s="2636">
        <v>26.759499999999999</v>
      </c>
      <c r="BH27" s="2639">
        <v>26.646100000000001</v>
      </c>
      <c r="BI27" s="2640">
        <v>26.481000000000002</v>
      </c>
      <c r="BJ27" s="2640">
        <v>27.138999999999999</v>
      </c>
      <c r="BK27" s="2640">
        <v>26.309100000000001</v>
      </c>
      <c r="BL27" s="2640">
        <v>26.992000000000001</v>
      </c>
      <c r="BM27" s="2640">
        <v>27.722300000000001</v>
      </c>
      <c r="BN27" s="2636">
        <v>26.2166</v>
      </c>
      <c r="BO27" s="2636">
        <v>26.647600000000001</v>
      </c>
      <c r="BP27" s="2636">
        <v>27.867799999999999</v>
      </c>
      <c r="BQ27" s="2636">
        <v>27.524999999999999</v>
      </c>
      <c r="BR27" s="2636">
        <v>26.2134</v>
      </c>
      <c r="BS27" s="2636">
        <v>25.8324</v>
      </c>
      <c r="BT27" s="2636">
        <v>26.4071</v>
      </c>
      <c r="BU27" s="2636">
        <v>25.279800000000002</v>
      </c>
      <c r="BV27" s="2636">
        <v>24.8523</v>
      </c>
      <c r="BW27" s="2640">
        <v>26.385000000000002</v>
      </c>
      <c r="BX27" s="2640">
        <v>26.586300000000001</v>
      </c>
      <c r="BY27" s="2640">
        <v>26.410699999999999</v>
      </c>
      <c r="BZ27" s="2636">
        <v>24.974799999999998</v>
      </c>
      <c r="CA27" s="2636">
        <v>24.301400000000001</v>
      </c>
      <c r="CB27" s="2636">
        <v>21.485099999999999</v>
      </c>
      <c r="CC27" s="2636">
        <v>21.5411</v>
      </c>
      <c r="CD27" s="2636">
        <v>22.0108</v>
      </c>
      <c r="CE27" s="2636">
        <v>22.5198</v>
      </c>
      <c r="CF27" s="2636">
        <v>22.138999999999999</v>
      </c>
      <c r="CG27" s="2636">
        <v>23.0684</v>
      </c>
      <c r="CH27" s="2636">
        <v>24.5871</v>
      </c>
      <c r="CI27" s="2636">
        <v>25.926429999999993</v>
      </c>
      <c r="CJ27" s="2636">
        <v>26.753404545454554</v>
      </c>
      <c r="CK27" s="2636">
        <v>26.610808695652167</v>
      </c>
      <c r="CL27" s="2636">
        <v>27.443220000000007</v>
      </c>
      <c r="CM27" s="2636">
        <v>27.693085714285708</v>
      </c>
      <c r="CN27" s="2636">
        <v>28.572818181818182</v>
      </c>
      <c r="CO27" s="2636">
        <v>28.594170000000002</v>
      </c>
      <c r="CP27" s="2636">
        <v>29.11</v>
      </c>
      <c r="CQ27" s="2636">
        <v>28.145677124721249</v>
      </c>
      <c r="CR27" s="2636">
        <v>28.351412763083577</v>
      </c>
      <c r="CS27" s="2636">
        <v>29.51271716679905</v>
      </c>
      <c r="CT27" s="2636">
        <v>30.112859290085709</v>
      </c>
      <c r="CU27" s="2636">
        <v>30.62334452555762</v>
      </c>
      <c r="CV27" s="2636">
        <v>31.222964875904054</v>
      </c>
      <c r="CW27" s="2636">
        <v>30.973330877776778</v>
      </c>
      <c r="CX27" s="2636">
        <v>30.766630119998712</v>
      </c>
      <c r="CY27" s="2636">
        <v>30.185050539688721</v>
      </c>
      <c r="CZ27" s="2636">
        <v>30.626423231730449</v>
      </c>
      <c r="DA27" s="2636">
        <v>30.63291965911311</v>
      </c>
      <c r="DB27" s="2636">
        <v>30.588510575347904</v>
      </c>
      <c r="DC27" s="2642">
        <v>31.257842370683864</v>
      </c>
      <c r="DD27" s="2642">
        <v>30.338127937876607</v>
      </c>
      <c r="DE27" s="2642">
        <v>30.012847556634835</v>
      </c>
      <c r="DF27" s="2642">
        <v>30.044773087857056</v>
      </c>
      <c r="DG27" s="2642">
        <v>30.051936631125955</v>
      </c>
      <c r="DH27" s="2642">
        <v>30.448734150137327</v>
      </c>
      <c r="DI27" s="2642">
        <v>31.346826834617055</v>
      </c>
      <c r="DJ27" s="2642">
        <v>32.006741442801321</v>
      </c>
      <c r="DK27" s="2642">
        <v>31.463934301725295</v>
      </c>
      <c r="DL27" s="2642">
        <v>30.891312718159249</v>
      </c>
      <c r="DM27" s="2642">
        <v>30.139375669120376</v>
      </c>
      <c r="DN27" s="2642">
        <v>31.017520678579249</v>
      </c>
      <c r="DO27" s="2642">
        <v>32.716449988451366</v>
      </c>
      <c r="DP27" s="2642">
        <v>32.97830074259879</v>
      </c>
      <c r="DQ27" s="2642">
        <v>32.306321025177965</v>
      </c>
      <c r="DR27" s="2642">
        <v>32.379576310038559</v>
      </c>
      <c r="DS27" s="2642">
        <v>32.976346461467429</v>
      </c>
      <c r="DT27" s="2642">
        <v>32.787822204921696</v>
      </c>
      <c r="DU27" s="2642">
        <v>32.641434351236455</v>
      </c>
      <c r="DV27" s="2642">
        <v>32.049381330959399</v>
      </c>
      <c r="DW27" s="2642">
        <v>32.56816313380024</v>
      </c>
      <c r="DX27" s="2706">
        <v>32.750384317993891</v>
      </c>
      <c r="DY27" s="2706">
        <v>31.312009630054817</v>
      </c>
      <c r="DZ27" s="2706">
        <v>29.674019484442255</v>
      </c>
      <c r="EA27" s="2706">
        <v>28.972899921082785</v>
      </c>
      <c r="EB27" s="2706">
        <v>28.340327447582993</v>
      </c>
      <c r="EC27" s="2706">
        <v>29.093401423140858</v>
      </c>
      <c r="ED27" s="2706">
        <v>29.405447123024093</v>
      </c>
      <c r="EE27" s="2706">
        <v>28.924969813243415</v>
      </c>
      <c r="EF27" s="2706">
        <v>27.66930745943236</v>
      </c>
      <c r="EG27" s="2706">
        <v>27.309297484783777</v>
      </c>
      <c r="EH27" s="2706">
        <v>27.598533308154916</v>
      </c>
      <c r="EI27" s="2706">
        <v>27.774729092959443</v>
      </c>
      <c r="EJ27" s="2706">
        <v>28.54556493539835</v>
      </c>
      <c r="EK27" s="2706">
        <v>28.579737740632449</v>
      </c>
      <c r="EL27" s="2706">
        <v>28.885532443254988</v>
      </c>
      <c r="EM27" s="2706">
        <v>28.988925133151792</v>
      </c>
      <c r="EN27" s="2706">
        <v>28.948715285669369</v>
      </c>
      <c r="EO27" s="2706">
        <v>28.689527531565069</v>
      </c>
      <c r="EP27" s="2706">
        <v>28.005397208605316</v>
      </c>
      <c r="EQ27" s="2706">
        <v>27.699195397116664</v>
      </c>
      <c r="ER27" s="2706">
        <v>26.491476234877517</v>
      </c>
      <c r="ES27" s="2706">
        <v>26.539923631380638</v>
      </c>
      <c r="ET27" s="2706">
        <v>26.160875222559135</v>
      </c>
      <c r="EU27" s="2706">
        <v>27.911084673896259</v>
      </c>
      <c r="EV27" s="2706">
        <v>28.420718181818177</v>
      </c>
      <c r="EW27" s="2706">
        <v>28.224261699670471</v>
      </c>
      <c r="EX27" s="2706">
        <v>27.65150292207791</v>
      </c>
      <c r="EY27" s="2706">
        <v>26.826481987577637</v>
      </c>
      <c r="EZ27" s="2706">
        <v>26.326057142857138</v>
      </c>
      <c r="FA27" s="2706">
        <v>25.432307823129246</v>
      </c>
      <c r="FB27" s="2706">
        <v>26.195169155844159</v>
      </c>
      <c r="FC27" s="2706">
        <v>26.431757894736837</v>
      </c>
      <c r="FD27" s="2706">
        <v>26.652754545454549</v>
      </c>
      <c r="FE27" s="2706">
        <v>25.791029999999999</v>
      </c>
      <c r="FF27" s="2706">
        <v>26.042021052631579</v>
      </c>
      <c r="FG27" s="2706">
        <v>27.239104545454541</v>
      </c>
      <c r="FH27" s="2706">
        <v>27.604154999999999</v>
      </c>
      <c r="FI27" s="2707">
        <v>26.446367482517477</v>
      </c>
    </row>
    <row r="28" spans="1:168" s="2603" customFormat="1" ht="21" customHeight="1" x14ac:dyDescent="0.25">
      <c r="A28" s="2632" t="s">
        <v>4310</v>
      </c>
      <c r="B28" s="2702">
        <v>3.944</v>
      </c>
      <c r="C28" s="2702">
        <v>3.95</v>
      </c>
      <c r="D28" s="2708">
        <v>3.9350000000000001</v>
      </c>
      <c r="E28" s="2708">
        <v>3.92</v>
      </c>
      <c r="F28" s="2708">
        <v>3.89</v>
      </c>
      <c r="G28" s="2708">
        <v>3.8719047619047622</v>
      </c>
      <c r="H28" s="2708">
        <v>3.87</v>
      </c>
      <c r="I28" s="2708">
        <v>3.87</v>
      </c>
      <c r="J28" s="2708">
        <v>3.8490000000000002</v>
      </c>
      <c r="K28" s="2709">
        <v>3.8325</v>
      </c>
      <c r="L28" s="2709">
        <v>3.7559999999999998</v>
      </c>
      <c r="M28" s="2709">
        <v>3.6349999999999998</v>
      </c>
      <c r="N28" s="2709">
        <v>3.6</v>
      </c>
      <c r="O28" s="2709">
        <v>3.58</v>
      </c>
      <c r="P28" s="2709">
        <v>3.5979999999999999</v>
      </c>
      <c r="Q28" s="2709">
        <v>3.698</v>
      </c>
      <c r="R28" s="2709">
        <v>3.85</v>
      </c>
      <c r="S28" s="2709">
        <v>3.81</v>
      </c>
      <c r="T28" s="2709">
        <v>3.8029999999999999</v>
      </c>
      <c r="U28" s="2709">
        <v>3.7639999999999998</v>
      </c>
      <c r="V28" s="2709">
        <v>3.7170000000000001</v>
      </c>
      <c r="W28" s="2709">
        <v>3.552</v>
      </c>
      <c r="X28" s="2710">
        <v>3.444</v>
      </c>
      <c r="Y28" s="2651">
        <v>3.3879999999999999</v>
      </c>
      <c r="Z28" s="2656">
        <v>3.4289999999999998</v>
      </c>
      <c r="AA28" s="2651">
        <v>3.55</v>
      </c>
      <c r="AB28" s="2656">
        <v>3.653</v>
      </c>
      <c r="AC28" s="2651">
        <v>3.681</v>
      </c>
      <c r="AD28" s="2656">
        <v>3.69</v>
      </c>
      <c r="AE28" s="2651">
        <v>3.7050000000000001</v>
      </c>
      <c r="AF28" s="2656">
        <v>3.7280000000000002</v>
      </c>
      <c r="AG28" s="2651">
        <v>3.7370000000000001</v>
      </c>
      <c r="AH28" s="2656">
        <v>3.7330000000000001</v>
      </c>
      <c r="AI28" s="2651">
        <v>3.7090000000000001</v>
      </c>
      <c r="AJ28" s="2656">
        <v>3.7149999999999999</v>
      </c>
      <c r="AK28" s="2655">
        <v>3.7759999999999998</v>
      </c>
      <c r="AL28" s="2655">
        <v>3.7970000000000002</v>
      </c>
      <c r="AM28" s="2651">
        <v>3.8069999999999999</v>
      </c>
      <c r="AN28" s="2655">
        <v>3.8355000000000001</v>
      </c>
      <c r="AO28" s="2651">
        <v>3.8605</v>
      </c>
      <c r="AP28" s="2656">
        <v>3.8904000000000001</v>
      </c>
      <c r="AQ28" s="2651">
        <v>3.9195000000000002</v>
      </c>
      <c r="AR28" s="2656">
        <v>3.9857</v>
      </c>
      <c r="AS28" s="2655">
        <v>4.0057999999999998</v>
      </c>
      <c r="AT28" s="2655">
        <v>4.0217999999999998</v>
      </c>
      <c r="AU28" s="2655">
        <v>4.0262000000000002</v>
      </c>
      <c r="AV28" s="2651">
        <v>4.0309999999999997</v>
      </c>
      <c r="AW28" s="2651">
        <v>4.0414000000000003</v>
      </c>
      <c r="AX28" s="2656">
        <v>4.0540000000000003</v>
      </c>
      <c r="AY28" s="2655">
        <v>4.0590999999999999</v>
      </c>
      <c r="AZ28" s="2651">
        <v>4.0518000000000001</v>
      </c>
      <c r="BA28" s="2656">
        <v>4.0838000000000001</v>
      </c>
      <c r="BB28" s="2655">
        <v>4.1894999999999998</v>
      </c>
      <c r="BC28" s="2655">
        <v>4.2595000000000001</v>
      </c>
      <c r="BD28" s="2651">
        <v>4.2824</v>
      </c>
      <c r="BE28" s="2656">
        <v>4.3230000000000004</v>
      </c>
      <c r="BF28" s="2655">
        <v>4.3535000000000004</v>
      </c>
      <c r="BG28" s="2647">
        <v>4.3643000000000001</v>
      </c>
      <c r="BH28" s="2649">
        <v>4.3367000000000004</v>
      </c>
      <c r="BI28" s="2648">
        <v>4.29</v>
      </c>
      <c r="BJ28" s="2648">
        <v>4.2300000000000004</v>
      </c>
      <c r="BK28" s="2648">
        <v>4.1150000000000002</v>
      </c>
      <c r="BL28" s="2648">
        <v>4.1239999999999997</v>
      </c>
      <c r="BM28" s="2648">
        <v>4.1063999999999998</v>
      </c>
      <c r="BN28" s="2647">
        <v>4.0639000000000003</v>
      </c>
      <c r="BO28" s="2647">
        <v>4.0692000000000004</v>
      </c>
      <c r="BP28" s="2647">
        <v>4.0201000000000002</v>
      </c>
      <c r="BQ28" s="2647">
        <v>3.9750000000000001</v>
      </c>
      <c r="BR28" s="2647">
        <v>3.8677999999999999</v>
      </c>
      <c r="BS28" s="2647">
        <v>3.7618999999999998</v>
      </c>
      <c r="BT28" s="2647">
        <v>3.7162999999999999</v>
      </c>
      <c r="BU28" s="2647">
        <v>3.5333999999999999</v>
      </c>
      <c r="BV28" s="2647">
        <v>3.4279999999999999</v>
      </c>
      <c r="BW28" s="2648">
        <v>3.5682</v>
      </c>
      <c r="BX28" s="2648">
        <v>3.5886999999999998</v>
      </c>
      <c r="BY28" s="2648">
        <v>3.5314999999999999</v>
      </c>
      <c r="BZ28" s="2647">
        <v>3.6297999999999999</v>
      </c>
      <c r="CA28" s="2647">
        <v>3.8166000000000002</v>
      </c>
      <c r="CB28" s="2647">
        <v>4.0038999999999998</v>
      </c>
      <c r="CC28" s="2647">
        <v>4.2247000000000003</v>
      </c>
      <c r="CD28" s="2647">
        <v>4.2255000000000003</v>
      </c>
      <c r="CE28" s="2647">
        <v>4.2687999999999997</v>
      </c>
      <c r="CF28" s="2647">
        <v>4.3912000000000004</v>
      </c>
      <c r="CG28" s="2647">
        <v>4.4798</v>
      </c>
      <c r="CH28" s="2647">
        <v>4.4484000000000004</v>
      </c>
      <c r="CI28" s="2647">
        <v>4.3799949999999992</v>
      </c>
      <c r="CJ28" s="2647">
        <v>4.302868181818182</v>
      </c>
      <c r="CK28" s="2647">
        <v>4.2725304347826087</v>
      </c>
      <c r="CL28" s="2651">
        <v>4.2408299999999999</v>
      </c>
      <c r="CM28" s="2651">
        <v>4.154823809523811</v>
      </c>
      <c r="CN28" s="2651">
        <v>4.0675681818181815</v>
      </c>
      <c r="CO28" s="2651">
        <v>4.01098</v>
      </c>
      <c r="CP28" s="2651">
        <v>4.2949999999999999</v>
      </c>
      <c r="CQ28" s="2651">
        <v>4.1397233009506147</v>
      </c>
      <c r="CR28" s="2651">
        <v>4.0513598840255449</v>
      </c>
      <c r="CS28" s="2651">
        <v>4.0570222195653614</v>
      </c>
      <c r="CT28" s="2651">
        <v>3.9561081576010793</v>
      </c>
      <c r="CU28" s="2651">
        <v>3.9941304059057607</v>
      </c>
      <c r="CV28" s="2651">
        <v>4.0453675058209004</v>
      </c>
      <c r="CW28" s="2651">
        <v>4.0020943947118344</v>
      </c>
      <c r="CX28" s="2651">
        <v>3.9158040984083908</v>
      </c>
      <c r="CY28" s="2651">
        <v>3.8337018952404534</v>
      </c>
      <c r="CZ28" s="2651">
        <v>3.7226266249915567</v>
      </c>
      <c r="DA28" s="2651">
        <v>3.6846279947251364</v>
      </c>
      <c r="DB28" s="2651">
        <v>3.7038986978030337</v>
      </c>
      <c r="DC28" s="2651">
        <v>3.7242329538244947</v>
      </c>
      <c r="DD28" s="2651">
        <v>3.7013727373927763</v>
      </c>
      <c r="DE28" s="2651">
        <v>3.7653233678275151</v>
      </c>
      <c r="DF28" s="2651">
        <v>3.8225422460528868</v>
      </c>
      <c r="DG28" s="2651">
        <v>3.8303576279951685</v>
      </c>
      <c r="DH28" s="2651">
        <v>3.8659267781003384</v>
      </c>
      <c r="DI28" s="2651">
        <v>3.8776913305966039</v>
      </c>
      <c r="DJ28" s="2651">
        <v>3.8457417095633</v>
      </c>
      <c r="DK28" s="2651">
        <v>3.8394627452982077</v>
      </c>
      <c r="DL28" s="2651">
        <v>3.844529935446976</v>
      </c>
      <c r="DM28" s="2651">
        <v>3.8861132595433365</v>
      </c>
      <c r="DN28" s="2651">
        <v>3.9970594903172452</v>
      </c>
      <c r="DO28" s="2651">
        <v>4.0933269093644506</v>
      </c>
      <c r="DP28" s="2651">
        <v>4.0593048413268411</v>
      </c>
      <c r="DQ28" s="2651">
        <v>4.0065480539397695</v>
      </c>
      <c r="DR28" s="2651">
        <v>4.0518552961772629</v>
      </c>
      <c r="DS28" s="2651">
        <v>4.0853108383199217</v>
      </c>
      <c r="DT28" s="2651">
        <v>4.0428057794796608</v>
      </c>
      <c r="DU28" s="2651">
        <v>4.0093602332428988</v>
      </c>
      <c r="DV28" s="2651">
        <v>4.0029797157687179</v>
      </c>
      <c r="DW28" s="2651">
        <v>4.0531676688266911</v>
      </c>
      <c r="DX28" s="2711">
        <v>4.0658595276324272</v>
      </c>
      <c r="DY28" s="2711">
        <v>4.0734062964751097</v>
      </c>
      <c r="DZ28" s="2711">
        <v>4.0545434617280769</v>
      </c>
      <c r="EA28" s="2711">
        <v>4.0692461571548089</v>
      </c>
      <c r="EB28" s="2711">
        <v>4.0474646880086169</v>
      </c>
      <c r="EC28" s="2711">
        <v>4.0483060896194214</v>
      </c>
      <c r="ED28" s="2711">
        <v>3.994001043322748</v>
      </c>
      <c r="EE28" s="2711">
        <v>4.0024543721341335</v>
      </c>
      <c r="EF28" s="2711">
        <v>3.9741298950721502</v>
      </c>
      <c r="EG28" s="2711">
        <v>3.9709928615014882</v>
      </c>
      <c r="EH28" s="2711">
        <v>3.9690177476675097</v>
      </c>
      <c r="EI28" s="2711">
        <v>3.9491306510276805</v>
      </c>
      <c r="EJ28" s="2711">
        <v>3.9565069696744315</v>
      </c>
      <c r="EK28" s="2711">
        <v>3.9627021492662351</v>
      </c>
      <c r="EL28" s="2711">
        <v>3.9791333478303379</v>
      </c>
      <c r="EM28" s="2711">
        <v>3.9830000037749587</v>
      </c>
      <c r="EN28" s="2711">
        <v>4.0150017416178541</v>
      </c>
      <c r="EO28" s="2711">
        <v>4.0807757896613772</v>
      </c>
      <c r="EP28" s="2711">
        <v>4.1108433765428183</v>
      </c>
      <c r="EQ28" s="2711">
        <v>4.1321208584248721</v>
      </c>
      <c r="ER28" s="2711">
        <v>4.1473992686136985</v>
      </c>
      <c r="ES28" s="2711">
        <v>4.2397546115615823</v>
      </c>
      <c r="ET28" s="2711">
        <v>4.3296182219818471</v>
      </c>
      <c r="EU28" s="2711">
        <v>4.6509403101232278</v>
      </c>
      <c r="EV28" s="2711">
        <v>4.7499839766267886</v>
      </c>
      <c r="EW28" s="2711">
        <v>4.6146958416950827</v>
      </c>
      <c r="EX28" s="2711">
        <v>4.6288069930069931</v>
      </c>
      <c r="EY28" s="2711">
        <v>4.6684983277591963</v>
      </c>
      <c r="EZ28" s="2711">
        <v>4.6643828362114066</v>
      </c>
      <c r="FA28" s="2711">
        <v>4.6609353741496609</v>
      </c>
      <c r="FB28" s="2711">
        <v>4.6978584415584423</v>
      </c>
      <c r="FC28" s="2711">
        <v>4.7699999999999996</v>
      </c>
      <c r="FD28" s="2711">
        <v>4.7508954545454545</v>
      </c>
      <c r="FE28" s="2711">
        <v>4.7356900000000008</v>
      </c>
      <c r="FF28" s="2711">
        <v>4.6988210526315797</v>
      </c>
      <c r="FG28" s="2711">
        <v>4.6935227272727271</v>
      </c>
      <c r="FH28" s="2711">
        <v>4.6450799999999992</v>
      </c>
      <c r="FI28" s="2712">
        <v>4.6567716783216779</v>
      </c>
    </row>
    <row r="29" spans="1:168" s="2603" customFormat="1" ht="21" customHeight="1" x14ac:dyDescent="0.25">
      <c r="A29" s="2632" t="s">
        <v>4311</v>
      </c>
      <c r="B29" s="2702">
        <v>64</v>
      </c>
      <c r="C29" s="2702">
        <v>64</v>
      </c>
      <c r="D29" s="2708">
        <v>63.18181818181818</v>
      </c>
      <c r="E29" s="2708">
        <v>63</v>
      </c>
      <c r="F29" s="2708">
        <v>63</v>
      </c>
      <c r="G29" s="2708">
        <v>63</v>
      </c>
      <c r="H29" s="2708">
        <v>63</v>
      </c>
      <c r="I29" s="2708">
        <v>63</v>
      </c>
      <c r="J29" s="2708">
        <v>63</v>
      </c>
      <c r="K29" s="2709">
        <v>63</v>
      </c>
      <c r="L29" s="2709">
        <v>61.905000000000001</v>
      </c>
      <c r="M29" s="2709">
        <v>60.052999999999997</v>
      </c>
      <c r="N29" s="2709">
        <v>59.6</v>
      </c>
      <c r="O29" s="2709">
        <v>59.713999999999999</v>
      </c>
      <c r="P29" s="2709">
        <v>60.286000000000001</v>
      </c>
      <c r="Q29" s="2709">
        <v>62.332999999999998</v>
      </c>
      <c r="R29" s="2709">
        <v>65.652000000000001</v>
      </c>
      <c r="S29" s="2709">
        <v>65</v>
      </c>
      <c r="T29" s="2709">
        <v>64.951999999999998</v>
      </c>
      <c r="U29" s="2709">
        <v>64.912999999999997</v>
      </c>
      <c r="V29" s="2709">
        <v>64.052999999999997</v>
      </c>
      <c r="W29" s="2709">
        <v>60.908999999999999</v>
      </c>
      <c r="X29" s="2710">
        <v>59.158000000000001</v>
      </c>
      <c r="Y29" s="2651">
        <v>58.555999999999997</v>
      </c>
      <c r="Z29" s="2656">
        <v>59.908999999999999</v>
      </c>
      <c r="AA29" s="2651">
        <v>63.591000000000001</v>
      </c>
      <c r="AB29" s="2656">
        <v>63.619</v>
      </c>
      <c r="AC29" s="2651">
        <v>63.591000000000001</v>
      </c>
      <c r="AD29" s="2656">
        <v>63</v>
      </c>
      <c r="AE29" s="2651">
        <v>63</v>
      </c>
      <c r="AF29" s="2656">
        <v>63.591000000000001</v>
      </c>
      <c r="AG29" s="2651">
        <v>64</v>
      </c>
      <c r="AH29" s="2656">
        <v>64.95</v>
      </c>
      <c r="AI29" s="2651">
        <v>66</v>
      </c>
      <c r="AJ29" s="2656">
        <v>66.736999999999995</v>
      </c>
      <c r="AK29" s="2655">
        <v>68</v>
      </c>
      <c r="AL29" s="2655">
        <v>68.048000000000002</v>
      </c>
      <c r="AM29" s="2651">
        <v>68.817999999999998</v>
      </c>
      <c r="AN29" s="2655">
        <v>68.954499999999996</v>
      </c>
      <c r="AO29" s="2651">
        <v>69.238100000000003</v>
      </c>
      <c r="AP29" s="2656">
        <v>69.912999999999997</v>
      </c>
      <c r="AQ29" s="2651">
        <v>69.952399999999997</v>
      </c>
      <c r="AR29" s="2656">
        <v>69.285700000000006</v>
      </c>
      <c r="AS29" s="2655">
        <v>68.052599999999998</v>
      </c>
      <c r="AT29" s="2655">
        <v>68.590900000000005</v>
      </c>
      <c r="AU29" s="2655">
        <v>70.714299999999994</v>
      </c>
      <c r="AV29" s="2651">
        <v>70.947000000000003</v>
      </c>
      <c r="AW29" s="2651">
        <v>70.863600000000005</v>
      </c>
      <c r="AX29" s="2656">
        <v>70.3</v>
      </c>
      <c r="AY29" s="2655">
        <v>69.409099999999995</v>
      </c>
      <c r="AZ29" s="2651">
        <v>68.590900000000005</v>
      </c>
      <c r="BA29" s="2656">
        <v>68.523799999999994</v>
      </c>
      <c r="BB29" s="2655">
        <v>70.095200000000006</v>
      </c>
      <c r="BC29" s="2655">
        <v>71.952399999999997</v>
      </c>
      <c r="BD29" s="2651">
        <v>73.523799999999994</v>
      </c>
      <c r="BE29" s="2656">
        <v>75.429000000000002</v>
      </c>
      <c r="BF29" s="2655">
        <v>76.25</v>
      </c>
      <c r="BG29" s="2647">
        <v>77.333299999999994</v>
      </c>
      <c r="BH29" s="2649">
        <v>77</v>
      </c>
      <c r="BI29" s="2648">
        <v>76.400000000000006</v>
      </c>
      <c r="BJ29" s="2648">
        <v>78.285700000000006</v>
      </c>
      <c r="BK29" s="2648">
        <v>78.954499999999996</v>
      </c>
      <c r="BL29" s="2648">
        <v>79.286000000000001</v>
      </c>
      <c r="BM29" s="2648">
        <v>79.818200000000004</v>
      </c>
      <c r="BN29" s="2647">
        <v>77.960899999999995</v>
      </c>
      <c r="BO29" s="2647">
        <v>78.775000000000006</v>
      </c>
      <c r="BP29" s="2647">
        <v>79.109099999999998</v>
      </c>
      <c r="BQ29" s="2647">
        <v>78.573999999999998</v>
      </c>
      <c r="BR29" s="2647">
        <v>76.646000000000001</v>
      </c>
      <c r="BS29" s="2647">
        <v>74.816500000000005</v>
      </c>
      <c r="BT29" s="2647">
        <v>73.027900000000002</v>
      </c>
      <c r="BU29" s="2647">
        <v>68.251099999999994</v>
      </c>
      <c r="BV29" s="2647">
        <v>66.897599999999997</v>
      </c>
      <c r="BW29" s="2648">
        <v>66.310500000000005</v>
      </c>
      <c r="BX29" s="2648">
        <v>65.688999999999993</v>
      </c>
      <c r="BY29" s="2648">
        <v>64.503900000000002</v>
      </c>
      <c r="BZ29" s="2647">
        <v>66.189499999999995</v>
      </c>
      <c r="CA29" s="2647">
        <v>65.544300000000007</v>
      </c>
      <c r="CB29" s="2647">
        <v>64.2667</v>
      </c>
      <c r="CC29" s="2647">
        <v>67.496499999999997</v>
      </c>
      <c r="CD29" s="2647">
        <v>67.920500000000004</v>
      </c>
      <c r="CE29" s="2647">
        <v>68.508399999999995</v>
      </c>
      <c r="CF29" s="2647">
        <v>69.766300000000001</v>
      </c>
      <c r="CG29" s="2647">
        <v>68.474500000000006</v>
      </c>
      <c r="CH29" s="2647">
        <v>69.297700000000006</v>
      </c>
      <c r="CI29" s="2647">
        <v>70.414000000000001</v>
      </c>
      <c r="CJ29" s="2647">
        <v>70.378181818181801</v>
      </c>
      <c r="CK29" s="2647">
        <v>68.765652173913054</v>
      </c>
      <c r="CL29" s="2651">
        <v>68.421499999999995</v>
      </c>
      <c r="CM29" s="2651">
        <v>66.7895238095238</v>
      </c>
      <c r="CN29" s="2651">
        <v>67.749545454545455</v>
      </c>
      <c r="CO29" s="2651">
        <v>66.978500000000011</v>
      </c>
      <c r="CP29" s="2651">
        <v>73.066999999999993</v>
      </c>
      <c r="CQ29" s="2651">
        <v>68.86211647026289</v>
      </c>
      <c r="CR29" s="2651">
        <v>65.897031043300487</v>
      </c>
      <c r="CS29" s="2651">
        <v>68.7143630599695</v>
      </c>
      <c r="CT29" s="2651">
        <v>69.315748782257828</v>
      </c>
      <c r="CU29" s="2651">
        <v>69.015106149543314</v>
      </c>
      <c r="CV29" s="2651">
        <v>69.826788976955271</v>
      </c>
      <c r="CW29" s="2651">
        <v>68.781963729866419</v>
      </c>
      <c r="CX29" s="2651">
        <v>67.354186123825627</v>
      </c>
      <c r="CY29" s="2651">
        <v>66.600378798719831</v>
      </c>
      <c r="CZ29" s="2651">
        <v>65.435534396816664</v>
      </c>
      <c r="DA29" s="2651">
        <v>64.054022554769205</v>
      </c>
      <c r="DB29" s="2651">
        <v>64.523625062510192</v>
      </c>
      <c r="DC29" s="2651">
        <v>65.529838024875261</v>
      </c>
      <c r="DD29" s="2651">
        <v>63.960049655621326</v>
      </c>
      <c r="DE29" s="2651">
        <v>61.871562662503827</v>
      </c>
      <c r="DF29" s="2651">
        <v>60.68117150228219</v>
      </c>
      <c r="DG29" s="2651">
        <v>59.065912914166987</v>
      </c>
      <c r="DH29" s="2651">
        <v>57.524063303000275</v>
      </c>
      <c r="DI29" s="2651">
        <v>59.151084549498989</v>
      </c>
      <c r="DJ29" s="2651">
        <v>60.909380118662497</v>
      </c>
      <c r="DK29" s="2651">
        <v>59.521136390783639</v>
      </c>
      <c r="DL29" s="2651">
        <v>58.066947460780469</v>
      </c>
      <c r="DM29" s="2651">
        <v>55.803360862746779</v>
      </c>
      <c r="DN29" s="2651">
        <v>55.842307668425953</v>
      </c>
      <c r="DO29" s="2651">
        <v>57.697443963254521</v>
      </c>
      <c r="DP29" s="2651">
        <v>56.999271102326617</v>
      </c>
      <c r="DQ29" s="2651">
        <v>57.232107243719589</v>
      </c>
      <c r="DR29" s="2651">
        <v>59.58665711675684</v>
      </c>
      <c r="DS29" s="2651">
        <v>58.004173600543311</v>
      </c>
      <c r="DT29" s="2651">
        <v>57.638894749970497</v>
      </c>
      <c r="DU29" s="2651">
        <v>57.609843541962285</v>
      </c>
      <c r="DV29" s="2651">
        <v>58.055010188963131</v>
      </c>
      <c r="DW29" s="2651">
        <v>58.20180128203716</v>
      </c>
      <c r="DX29" s="2711">
        <v>58.300579408562825</v>
      </c>
      <c r="DY29" s="2711">
        <v>57.748225423895946</v>
      </c>
      <c r="DZ29" s="2711">
        <v>54.18540379427003</v>
      </c>
      <c r="EA29" s="2711">
        <v>53.167848544634005</v>
      </c>
      <c r="EB29" s="2711">
        <v>50.140160370057316</v>
      </c>
      <c r="EC29" s="2711">
        <v>49.463662008438085</v>
      </c>
      <c r="ED29" s="2711">
        <v>50.441485905898972</v>
      </c>
      <c r="EE29" s="2711">
        <v>49.82586874083551</v>
      </c>
      <c r="EF29" s="2711">
        <v>50.039273002512722</v>
      </c>
      <c r="EG29" s="2711">
        <v>49.909912047326046</v>
      </c>
      <c r="EH29" s="2711">
        <v>49.776925607413197</v>
      </c>
      <c r="EI29" s="2711">
        <v>50.468854333059326</v>
      </c>
      <c r="EJ29" s="2711">
        <v>51.115113666126312</v>
      </c>
      <c r="EK29" s="2711">
        <v>52.053061238770773</v>
      </c>
      <c r="EL29" s="2711">
        <v>51.921849129294024</v>
      </c>
      <c r="EM29" s="2711">
        <v>51.687319407542439</v>
      </c>
      <c r="EN29" s="2711">
        <v>51.404521458727785</v>
      </c>
      <c r="EO29" s="2711">
        <v>52.355809893256236</v>
      </c>
      <c r="EP29" s="2711">
        <v>52.292412944723353</v>
      </c>
      <c r="EQ29" s="2711">
        <v>52.25378799844195</v>
      </c>
      <c r="ER29" s="2711">
        <v>51.482302855878331</v>
      </c>
      <c r="ES29" s="2711">
        <v>53.229415132398096</v>
      </c>
      <c r="ET29" s="2711">
        <v>54.379256654384925</v>
      </c>
      <c r="EU29" s="2711">
        <v>58.065304680186152</v>
      </c>
      <c r="EV29" s="2711">
        <v>59.024381318498129</v>
      </c>
      <c r="EW29" s="2711">
        <v>56.433539082841584</v>
      </c>
      <c r="EX29" s="2711">
        <v>56.534195804195811</v>
      </c>
      <c r="EY29" s="2711">
        <v>57.16096989966556</v>
      </c>
      <c r="EZ29" s="2711">
        <v>55.885531135531131</v>
      </c>
      <c r="FA29" s="2711">
        <v>54.815384615384616</v>
      </c>
      <c r="FB29" s="2711">
        <v>56.26216783216784</v>
      </c>
      <c r="FC29" s="2711">
        <v>56.237368421052629</v>
      </c>
      <c r="FD29" s="2711">
        <v>55.68363636363636</v>
      </c>
      <c r="FE29" s="2711">
        <v>55.053500000000007</v>
      </c>
      <c r="FF29" s="2711">
        <v>53.870526315789469</v>
      </c>
      <c r="FG29" s="2711">
        <v>54.707727272727283</v>
      </c>
      <c r="FH29" s="2711">
        <v>54.536000000000016</v>
      </c>
      <c r="FI29" s="2712">
        <v>54.348333333333336</v>
      </c>
    </row>
    <row r="30" spans="1:168" s="2603" customFormat="1" ht="21" customHeight="1" x14ac:dyDescent="0.25">
      <c r="A30" s="2632" t="s">
        <v>4312</v>
      </c>
      <c r="B30" s="2702">
        <v>23.064</v>
      </c>
      <c r="C30" s="2702">
        <v>22.917999999999999</v>
      </c>
      <c r="D30" s="2702">
        <v>24.135454545454547</v>
      </c>
      <c r="E30" s="2702">
        <v>24.5855</v>
      </c>
      <c r="F30" s="2702">
        <v>25.547826086956523</v>
      </c>
      <c r="G30" s="2713">
        <v>25.21</v>
      </c>
      <c r="H30" s="2709">
        <v>24.834</v>
      </c>
      <c r="I30" s="2709">
        <v>24.187999999999999</v>
      </c>
      <c r="J30" s="2709">
        <v>24.542999999999999</v>
      </c>
      <c r="K30" s="2709">
        <v>24.344000000000001</v>
      </c>
      <c r="L30" s="2709">
        <v>24.503</v>
      </c>
      <c r="M30" s="2709">
        <v>23.597999999999999</v>
      </c>
      <c r="N30" s="2709">
        <v>23.508500000000002</v>
      </c>
      <c r="O30" s="2709">
        <v>23.114000000000001</v>
      </c>
      <c r="P30" s="2709">
        <v>23.763999999999999</v>
      </c>
      <c r="Q30" s="2709">
        <v>24.213999999999999</v>
      </c>
      <c r="R30" s="2709">
        <v>25.120999999999999</v>
      </c>
      <c r="S30" s="2709">
        <v>24.832999999999998</v>
      </c>
      <c r="T30" s="2709">
        <v>25.553999999999998</v>
      </c>
      <c r="U30" s="2709">
        <v>26.431000000000001</v>
      </c>
      <c r="V30" s="2709">
        <v>26.248000000000001</v>
      </c>
      <c r="W30" s="2709">
        <v>25.391999999999999</v>
      </c>
      <c r="X30" s="2710">
        <v>24.934999999999999</v>
      </c>
      <c r="Y30" s="2651">
        <v>24.466999999999999</v>
      </c>
      <c r="Z30" s="2656">
        <v>24.416</v>
      </c>
      <c r="AA30" s="2651">
        <v>25.539000000000001</v>
      </c>
      <c r="AB30" s="2656">
        <v>25.210999999999999</v>
      </c>
      <c r="AC30" s="2651">
        <v>26</v>
      </c>
      <c r="AD30" s="2656">
        <v>26.111999999999998</v>
      </c>
      <c r="AE30" s="2651">
        <v>25.981999999999999</v>
      </c>
      <c r="AF30" s="2656">
        <v>26.2</v>
      </c>
      <c r="AG30" s="2651">
        <v>26.487100000000002</v>
      </c>
      <c r="AH30" s="2656">
        <v>27.506</v>
      </c>
      <c r="AI30" s="2651">
        <v>27.577000000000002</v>
      </c>
      <c r="AJ30" s="2656">
        <v>27.818000000000001</v>
      </c>
      <c r="AK30" s="2655">
        <v>27.756</v>
      </c>
      <c r="AL30" s="2655">
        <v>27.359000000000002</v>
      </c>
      <c r="AM30" s="2651">
        <v>27.611000000000001</v>
      </c>
      <c r="AN30" s="2655">
        <v>27.252700000000001</v>
      </c>
      <c r="AO30" s="2651">
        <v>26.609000000000002</v>
      </c>
      <c r="AP30" s="2656">
        <v>27.1004</v>
      </c>
      <c r="AQ30" s="2651">
        <v>27.188099999999999</v>
      </c>
      <c r="AR30" s="2656">
        <v>26.686699999999998</v>
      </c>
      <c r="AS30" s="2655">
        <v>25.946300000000001</v>
      </c>
      <c r="AT30" s="2655">
        <v>26.076799999999999</v>
      </c>
      <c r="AU30" s="2655">
        <v>26.785699999999999</v>
      </c>
      <c r="AV30" s="2651">
        <v>26.277999999999999</v>
      </c>
      <c r="AW30" s="2651">
        <v>26.502300000000002</v>
      </c>
      <c r="AX30" s="2656">
        <v>26.616</v>
      </c>
      <c r="AY30" s="2655">
        <v>27.895900000000001</v>
      </c>
      <c r="AZ30" s="2651">
        <v>27.2209</v>
      </c>
      <c r="BA30" s="2656">
        <v>27.232900000000001</v>
      </c>
      <c r="BB30" s="2655">
        <v>27.9633</v>
      </c>
      <c r="BC30" s="2655">
        <v>28.203800000000001</v>
      </c>
      <c r="BD30" s="2651">
        <v>28.113800000000001</v>
      </c>
      <c r="BE30" s="2656">
        <v>28.952999999999999</v>
      </c>
      <c r="BF30" s="2655">
        <v>29.172499999999999</v>
      </c>
      <c r="BG30" s="2651">
        <v>28.543299999999999</v>
      </c>
      <c r="BH30" s="2656">
        <v>28.372199999999999</v>
      </c>
      <c r="BI30" s="2655">
        <v>28.734000000000002</v>
      </c>
      <c r="BJ30" s="2655">
        <v>27.9495</v>
      </c>
      <c r="BK30" s="2655">
        <v>26.569500000000001</v>
      </c>
      <c r="BL30" s="2655">
        <v>26.21</v>
      </c>
      <c r="BM30" s="2655">
        <v>26.345500000000001</v>
      </c>
      <c r="BN30" s="2651">
        <v>27.143699999999999</v>
      </c>
      <c r="BO30" s="2651">
        <v>27.432700000000001</v>
      </c>
      <c r="BP30" s="2651">
        <v>26.814900000000002</v>
      </c>
      <c r="BQ30" s="2651">
        <v>27.858000000000001</v>
      </c>
      <c r="BR30" s="2651">
        <v>26.7685</v>
      </c>
      <c r="BS30" s="2651">
        <v>27.181799999999999</v>
      </c>
      <c r="BT30" s="2651">
        <v>26.9299</v>
      </c>
      <c r="BU30" s="2651">
        <v>27.285499999999999</v>
      </c>
      <c r="BV30" s="2651">
        <v>25.956299999999999</v>
      </c>
      <c r="BW30" s="2655">
        <v>26.654499999999999</v>
      </c>
      <c r="BX30" s="2655">
        <v>26.114999999999998</v>
      </c>
      <c r="BY30" s="2655">
        <v>25.691700000000001</v>
      </c>
      <c r="BZ30" s="2651">
        <v>25.857199999999999</v>
      </c>
      <c r="CA30" s="2651">
        <v>27.831</v>
      </c>
      <c r="CB30" s="2651">
        <v>30.986899999999999</v>
      </c>
      <c r="CC30" s="2651">
        <v>33.819400000000002</v>
      </c>
      <c r="CD30" s="2651">
        <v>35.886499999999998</v>
      </c>
      <c r="CE30" s="2651">
        <v>36.633099999999999</v>
      </c>
      <c r="CF30" s="2651">
        <v>36.893300000000004</v>
      </c>
      <c r="CG30" s="2651">
        <v>35.534999999999997</v>
      </c>
      <c r="CH30" s="2651">
        <v>34.904299999999999</v>
      </c>
      <c r="CI30" s="2651">
        <v>35.160759999999996</v>
      </c>
      <c r="CJ30" s="2651">
        <v>34.542513636363637</v>
      </c>
      <c r="CK30" s="2651">
        <v>35.017826086956518</v>
      </c>
      <c r="CL30" s="2651">
        <v>34.668535000000006</v>
      </c>
      <c r="CM30" s="2651">
        <v>35.190357142857138</v>
      </c>
      <c r="CN30" s="2651">
        <v>34.917936363636365</v>
      </c>
      <c r="CO30" s="2651">
        <v>34.857955000000004</v>
      </c>
      <c r="CP30" s="2651">
        <v>36.341000000000001</v>
      </c>
      <c r="CQ30" s="2651">
        <v>36.692936567728495</v>
      </c>
      <c r="CR30" s="2651">
        <v>36.804159711674451</v>
      </c>
      <c r="CS30" s="2651">
        <v>37.304145467473447</v>
      </c>
      <c r="CT30" s="2651">
        <v>37.487636295544789</v>
      </c>
      <c r="CU30" s="2651">
        <v>37.514138550857908</v>
      </c>
      <c r="CV30" s="2651">
        <v>37.766634538297168</v>
      </c>
      <c r="CW30" s="2651">
        <v>37.671630673585121</v>
      </c>
      <c r="CX30" s="2651">
        <v>36.885271311999453</v>
      </c>
      <c r="CY30" s="2651">
        <v>36.555570874110728</v>
      </c>
      <c r="CZ30" s="2651">
        <v>34.779981581591322</v>
      </c>
      <c r="DA30" s="2651">
        <v>35.315543500984226</v>
      </c>
      <c r="DB30" s="2651">
        <v>35.837918929919418</v>
      </c>
      <c r="DC30" s="2651">
        <v>36.543245571885898</v>
      </c>
      <c r="DD30" s="2651">
        <v>37.429552990639543</v>
      </c>
      <c r="DE30" s="2651">
        <v>38.243639857628729</v>
      </c>
      <c r="DF30" s="2651">
        <v>38.736484118685929</v>
      </c>
      <c r="DG30" s="2651">
        <v>38.48350432443651</v>
      </c>
      <c r="DH30" s="2651">
        <v>38.625087226013278</v>
      </c>
      <c r="DI30" s="2651">
        <v>39.188945240356873</v>
      </c>
      <c r="DJ30" s="2651">
        <v>37.998642237088745</v>
      </c>
      <c r="DK30" s="2651">
        <v>36.183977166618781</v>
      </c>
      <c r="DL30" s="2651">
        <v>36.700277599609223</v>
      </c>
      <c r="DM30" s="2651">
        <v>37.906968637018529</v>
      </c>
      <c r="DN30" s="2651">
        <v>39.202847166653498</v>
      </c>
      <c r="DO30" s="2651">
        <v>40.254227585876507</v>
      </c>
      <c r="DP30" s="2651">
        <v>40.057874922647798</v>
      </c>
      <c r="DQ30" s="2651">
        <v>39.783699705703675</v>
      </c>
      <c r="DR30" s="2651">
        <v>39.872598431789662</v>
      </c>
      <c r="DS30" s="2651">
        <v>39.145606978037954</v>
      </c>
      <c r="DT30" s="2651">
        <v>37.462340886096506</v>
      </c>
      <c r="DU30" s="2651">
        <v>34.945188956792357</v>
      </c>
      <c r="DV30" s="2651">
        <v>33.399778495029103</v>
      </c>
      <c r="DW30" s="2651">
        <v>33.301104162296177</v>
      </c>
      <c r="DX30" s="2711">
        <v>32.350824463624043</v>
      </c>
      <c r="DY30" s="2711">
        <v>31.371727012550846</v>
      </c>
      <c r="DZ30" s="2711">
        <v>32.362808969993537</v>
      </c>
      <c r="EA30" s="2711">
        <v>31.750717539650321</v>
      </c>
      <c r="EB30" s="2711">
        <v>32.101845919306932</v>
      </c>
      <c r="EC30" s="2711">
        <v>31.690356082266469</v>
      </c>
      <c r="ED30" s="2711">
        <v>31.680007892852387</v>
      </c>
      <c r="EE30" s="2711">
        <v>31.080564652309043</v>
      </c>
      <c r="EF30" s="2711">
        <v>29.840342868529259</v>
      </c>
      <c r="EG30" s="2711">
        <v>29.696765803142085</v>
      </c>
      <c r="EH30" s="2711">
        <v>30.211728171016048</v>
      </c>
      <c r="EI30" s="2711">
        <v>30.02758163995486</v>
      </c>
      <c r="EJ30" s="2711">
        <v>29.965101993145879</v>
      </c>
      <c r="EK30" s="2711">
        <v>30.226598885773498</v>
      </c>
      <c r="EL30" s="2711">
        <v>30.29060766351046</v>
      </c>
      <c r="EM30" s="2711">
        <v>30.421112065951665</v>
      </c>
      <c r="EN30" s="2711">
        <v>30.287081348461829</v>
      </c>
      <c r="EO30" s="2711">
        <v>29.599232693570176</v>
      </c>
      <c r="EP30" s="2711">
        <v>29.610583457978592</v>
      </c>
      <c r="EQ30" s="2711">
        <v>27.66524845138121</v>
      </c>
      <c r="ER30" s="2711">
        <v>26.994365928296947</v>
      </c>
      <c r="ES30" s="2711">
        <v>27.837951303425388</v>
      </c>
      <c r="ET30" s="2711">
        <v>28.339993326350687</v>
      </c>
      <c r="EU30" s="2711">
        <v>30.05101365051954</v>
      </c>
      <c r="EV30" s="2711">
        <v>30.861281818181808</v>
      </c>
      <c r="EW30" s="2711">
        <v>29.640053883921961</v>
      </c>
      <c r="EX30" s="2711">
        <v>29.040578896103895</v>
      </c>
      <c r="EY30" s="2711">
        <v>29.371587267080734</v>
      </c>
      <c r="EZ30" s="2711">
        <v>29.353114285714273</v>
      </c>
      <c r="FA30" s="2711">
        <v>30.086576530612245</v>
      </c>
      <c r="FB30" s="2711">
        <v>30.332722727272721</v>
      </c>
      <c r="FC30" s="2711">
        <v>30.17728421052632</v>
      </c>
      <c r="FD30" s="2711">
        <v>30.2515</v>
      </c>
      <c r="FE30" s="2711">
        <v>31.204169999999998</v>
      </c>
      <c r="FF30" s="2711">
        <v>31.977263157894743</v>
      </c>
      <c r="FG30" s="2711">
        <v>32.257213636363637</v>
      </c>
      <c r="FH30" s="2711">
        <v>32.861810000000006</v>
      </c>
      <c r="FI30" s="2712">
        <v>33.21562902097903</v>
      </c>
    </row>
    <row r="31" spans="1:168" s="2603" customFormat="1" ht="21" customHeight="1" x14ac:dyDescent="0.25">
      <c r="A31" s="2632" t="s">
        <v>4313</v>
      </c>
      <c r="B31" s="2702">
        <v>39.436</v>
      </c>
      <c r="C31" s="2702">
        <v>39.646000000000001</v>
      </c>
      <c r="D31" s="2702">
        <v>39.457727272727276</v>
      </c>
      <c r="E31" s="2703">
        <v>39.142000000000003</v>
      </c>
      <c r="F31" s="2713">
        <v>38.796086956521734</v>
      </c>
      <c r="G31" s="2709">
        <v>38.712857142857146</v>
      </c>
      <c r="H31" s="2709">
        <v>38.537999999999997</v>
      </c>
      <c r="I31" s="2709">
        <v>38.296999999999997</v>
      </c>
      <c r="J31" s="2709">
        <v>37.993000000000002</v>
      </c>
      <c r="K31" s="2709">
        <v>37.825499999999998</v>
      </c>
      <c r="L31" s="2709">
        <v>38.017000000000003</v>
      </c>
      <c r="M31" s="2709">
        <v>37.140999999999998</v>
      </c>
      <c r="N31" s="2709">
        <v>36.915500000000002</v>
      </c>
      <c r="O31" s="2709">
        <v>37.182000000000002</v>
      </c>
      <c r="P31" s="2709">
        <v>39.506999999999998</v>
      </c>
      <c r="Q31" s="2709">
        <v>39.643999999999998</v>
      </c>
      <c r="R31" s="2709">
        <v>40.590000000000003</v>
      </c>
      <c r="S31" s="2709">
        <v>39.488999999999997</v>
      </c>
      <c r="T31" s="2709">
        <v>38.35</v>
      </c>
      <c r="U31" s="2709">
        <v>37.883000000000003</v>
      </c>
      <c r="V31" s="2709">
        <v>37.969000000000001</v>
      </c>
      <c r="W31" s="2709">
        <v>36.564</v>
      </c>
      <c r="X31" s="2710">
        <v>35.356999999999999</v>
      </c>
      <c r="Y31" s="2651">
        <v>34.877000000000002</v>
      </c>
      <c r="Z31" s="2656">
        <v>35.03</v>
      </c>
      <c r="AA31" s="2651">
        <v>35.975000000000001</v>
      </c>
      <c r="AB31" s="2656">
        <v>36.396999999999998</v>
      </c>
      <c r="AC31" s="2651">
        <v>36.655999999999999</v>
      </c>
      <c r="AD31" s="2656">
        <v>36.417999999999999</v>
      </c>
      <c r="AE31" s="2651">
        <v>36.195999999999998</v>
      </c>
      <c r="AF31" s="2656">
        <v>36.423000000000002</v>
      </c>
      <c r="AG31" s="2651">
        <v>36.216000000000001</v>
      </c>
      <c r="AH31" s="2656">
        <v>36.149000000000001</v>
      </c>
      <c r="AI31" s="2651">
        <v>36.567999999999998</v>
      </c>
      <c r="AJ31" s="2656">
        <v>37.551000000000002</v>
      </c>
      <c r="AK31" s="2655">
        <v>39.923999999999999</v>
      </c>
      <c r="AL31" s="2655">
        <v>39.326999999999998</v>
      </c>
      <c r="AM31" s="2651">
        <v>39.268999999999998</v>
      </c>
      <c r="AN31" s="2655">
        <v>39.335000000000001</v>
      </c>
      <c r="AO31" s="2651">
        <v>39.794800000000002</v>
      </c>
      <c r="AP31" s="2656">
        <v>40.283900000000003</v>
      </c>
      <c r="AQ31" s="2651">
        <v>41.495699999999999</v>
      </c>
      <c r="AR31" s="2656">
        <v>42.29</v>
      </c>
      <c r="AS31" s="2655">
        <v>41.866799999999998</v>
      </c>
      <c r="AT31" s="2655">
        <v>43.012700000000002</v>
      </c>
      <c r="AU31" s="2655">
        <v>43.567599999999999</v>
      </c>
      <c r="AV31" s="2651">
        <v>43.902999999999999</v>
      </c>
      <c r="AW31" s="2651">
        <v>43.833599999999997</v>
      </c>
      <c r="AX31" s="2656">
        <v>44.591000000000001</v>
      </c>
      <c r="AY31" s="2655">
        <v>44.249499999999998</v>
      </c>
      <c r="AZ31" s="2651">
        <v>43.354100000000003</v>
      </c>
      <c r="BA31" s="2656">
        <v>43.459499999999998</v>
      </c>
      <c r="BB31" s="2655">
        <v>45.168100000000003</v>
      </c>
      <c r="BC31" s="2655">
        <v>46.061</v>
      </c>
      <c r="BD31" s="2651">
        <v>46.639499999999998</v>
      </c>
      <c r="BE31" s="2656">
        <v>47.734000000000002</v>
      </c>
      <c r="BF31" s="2655">
        <v>48.984000000000002</v>
      </c>
      <c r="BG31" s="2651">
        <v>49.097099999999998</v>
      </c>
      <c r="BH31" s="2656">
        <v>49.232199999999999</v>
      </c>
      <c r="BI31" s="2655">
        <v>48.798499999999997</v>
      </c>
      <c r="BJ31" s="2655">
        <v>48.476199999999999</v>
      </c>
      <c r="BK31" s="2655">
        <v>48.274999999999999</v>
      </c>
      <c r="BL31" s="2655">
        <v>48.978999999999999</v>
      </c>
      <c r="BM31" s="2655">
        <v>48.316800000000001</v>
      </c>
      <c r="BN31" s="2651">
        <v>47.771099999999997</v>
      </c>
      <c r="BO31" s="2651">
        <v>47.591099999999997</v>
      </c>
      <c r="BP31" s="2651">
        <v>46.9343</v>
      </c>
      <c r="BQ31" s="2651">
        <v>47.74</v>
      </c>
      <c r="BR31" s="2651">
        <v>48.040500000000002</v>
      </c>
      <c r="BS31" s="2651">
        <v>43.557699999999997</v>
      </c>
      <c r="BT31" s="2651">
        <v>41.818800000000003</v>
      </c>
      <c r="BU31" s="2651">
        <v>43.066600000000001</v>
      </c>
      <c r="BV31" s="2651">
        <v>43.333599999999997</v>
      </c>
      <c r="BW31" s="2655">
        <v>45.686900000000001</v>
      </c>
      <c r="BX31" s="2655">
        <v>44.701799999999999</v>
      </c>
      <c r="BY31" s="2655">
        <v>41.885599999999997</v>
      </c>
      <c r="BZ31" s="2651">
        <v>42.515500000000003</v>
      </c>
      <c r="CA31" s="2651">
        <v>42.244399999999999</v>
      </c>
      <c r="CB31" s="2651">
        <v>41.433900000000001</v>
      </c>
      <c r="CC31" s="2651">
        <v>42.739100000000001</v>
      </c>
      <c r="CD31" s="2651">
        <v>42.6708</v>
      </c>
      <c r="CE31" s="2651">
        <v>42.601999999999997</v>
      </c>
      <c r="CF31" s="2651">
        <v>43.5608</v>
      </c>
      <c r="CG31" s="2651">
        <v>43.8474</v>
      </c>
      <c r="CH31" s="2651">
        <v>43.926299999999998</v>
      </c>
      <c r="CI31" s="2651">
        <v>44.148360000000004</v>
      </c>
      <c r="CJ31" s="2651">
        <v>43.427940909090907</v>
      </c>
      <c r="CK31" s="2651">
        <v>43.696795652173911</v>
      </c>
      <c r="CL31" s="2651">
        <v>43.597209999999997</v>
      </c>
      <c r="CM31" s="2651">
        <v>43.069500000000005</v>
      </c>
      <c r="CN31" s="2651">
        <v>42.462459090909086</v>
      </c>
      <c r="CO31" s="2651">
        <v>42.148665000000001</v>
      </c>
      <c r="CP31" s="2651">
        <v>43.081000000000003</v>
      </c>
      <c r="CQ31" s="2651">
        <v>39.937895645536898</v>
      </c>
      <c r="CR31" s="2651">
        <v>39.55914237400696</v>
      </c>
      <c r="CS31" s="2651">
        <v>39.417372924900988</v>
      </c>
      <c r="CT31" s="2651">
        <v>38.49104492208825</v>
      </c>
      <c r="CU31" s="2651">
        <v>38.97069638078392</v>
      </c>
      <c r="CV31" s="2651">
        <v>39.530661053928846</v>
      </c>
      <c r="CW31" s="2651">
        <v>38.868183072311083</v>
      </c>
      <c r="CX31" s="2651">
        <v>37.761709799743528</v>
      </c>
      <c r="CY31" s="2651">
        <v>35.791531683946189</v>
      </c>
      <c r="CZ31" s="2651">
        <v>34.818135279916362</v>
      </c>
      <c r="DA31" s="2651">
        <v>33.977819673215414</v>
      </c>
      <c r="DB31" s="2651">
        <v>32.883559788158692</v>
      </c>
      <c r="DC31" s="2651">
        <v>32.624999958574001</v>
      </c>
      <c r="DD31" s="2651">
        <v>31.386385145052337</v>
      </c>
      <c r="DE31" s="2651">
        <v>30.762696631073489</v>
      </c>
      <c r="DF31" s="2651">
        <v>29.640542669905425</v>
      </c>
      <c r="DG31" s="2651">
        <v>32.244454953418689</v>
      </c>
      <c r="DH31" s="2651">
        <v>34.977597749648723</v>
      </c>
      <c r="DI31" s="2651">
        <v>35.163721608102499</v>
      </c>
      <c r="DJ31" s="2651">
        <v>36.125749987164085</v>
      </c>
      <c r="DK31" s="2651">
        <v>36.220702657724836</v>
      </c>
      <c r="DL31" s="2651">
        <v>36.126301119529508</v>
      </c>
      <c r="DM31" s="2651">
        <v>36.049917131966311</v>
      </c>
      <c r="DN31" s="2651">
        <v>36.916167044965121</v>
      </c>
      <c r="DO31" s="2651">
        <v>38.064691042077662</v>
      </c>
      <c r="DP31" s="2651">
        <v>37.64769739794221</v>
      </c>
      <c r="DQ31" s="2651">
        <v>36.969313871329348</v>
      </c>
      <c r="DR31" s="2651">
        <v>37.225592061956483</v>
      </c>
      <c r="DS31" s="2651">
        <v>37.210445991888079</v>
      </c>
      <c r="DT31" s="2651">
        <v>36.666096770288704</v>
      </c>
      <c r="DU31" s="2651">
        <v>36.022249790839226</v>
      </c>
      <c r="DV31" s="2651">
        <v>35.806882000353134</v>
      </c>
      <c r="DW31" s="2651">
        <v>36.956361437067514</v>
      </c>
      <c r="DX31" s="2711">
        <v>37.708752624508335</v>
      </c>
      <c r="DY31" s="2711">
        <v>37.851470044382765</v>
      </c>
      <c r="DZ31" s="2711">
        <v>37.055406761635638</v>
      </c>
      <c r="EA31" s="2711">
        <v>36.636093107459786</v>
      </c>
      <c r="EB31" s="2711">
        <v>36.121856765613202</v>
      </c>
      <c r="EC31" s="2711">
        <v>36.139413997896391</v>
      </c>
      <c r="ED31" s="2711">
        <v>36.515088280192664</v>
      </c>
      <c r="EE31" s="2711">
        <v>36.267638309254338</v>
      </c>
      <c r="EF31" s="2711">
        <v>35.931483109352989</v>
      </c>
      <c r="EG31" s="2711">
        <v>36.00006798371323</v>
      </c>
      <c r="EH31" s="2711">
        <v>35.966403211027568</v>
      </c>
      <c r="EI31" s="2711">
        <v>35.681713379140021</v>
      </c>
      <c r="EJ31" s="2711">
        <v>35.600340719629031</v>
      </c>
      <c r="EK31" s="2711">
        <v>35.358600017449248</v>
      </c>
      <c r="EL31" s="2711">
        <v>35.483629022743216</v>
      </c>
      <c r="EM31" s="2711">
        <v>35.453118439564733</v>
      </c>
      <c r="EN31" s="2711">
        <v>35.593206610488338</v>
      </c>
      <c r="EO31" s="2711">
        <v>35.907769654866676</v>
      </c>
      <c r="EP31" s="2711">
        <v>36.029052333320266</v>
      </c>
      <c r="EQ31" s="2711">
        <v>35.879953383956739</v>
      </c>
      <c r="ER31" s="2711">
        <v>35.781862824863019</v>
      </c>
      <c r="ES31" s="2711">
        <v>36.209716382352909</v>
      </c>
      <c r="ET31" s="2711">
        <v>36.922384606408912</v>
      </c>
      <c r="EU31" s="2711">
        <v>39.596591888220843</v>
      </c>
      <c r="EV31" s="2711">
        <v>39.608453700802521</v>
      </c>
      <c r="EW31" s="2711">
        <v>37.190183892662176</v>
      </c>
      <c r="EX31" s="2711">
        <v>36.871540151515141</v>
      </c>
      <c r="EY31" s="2711">
        <v>35.93185869565216</v>
      </c>
      <c r="EZ31" s="2711">
        <v>35.439469047619063</v>
      </c>
      <c r="FA31" s="2711">
        <v>34.458628571428576</v>
      </c>
      <c r="FB31" s="2711">
        <v>35.583649242424244</v>
      </c>
      <c r="FC31" s="2711">
        <v>36.338905263157898</v>
      </c>
      <c r="FD31" s="2711">
        <v>36.179286363636351</v>
      </c>
      <c r="FE31" s="2711">
        <v>36.152335000000001</v>
      </c>
      <c r="FF31" s="2711">
        <v>36.042668421052632</v>
      </c>
      <c r="FG31" s="2711">
        <v>36.057649999999995</v>
      </c>
      <c r="FH31" s="2711">
        <v>35.791010000000007</v>
      </c>
      <c r="FI31" s="2712">
        <v>36.094162121212122</v>
      </c>
    </row>
    <row r="32" spans="1:168" s="2603" customFormat="1" ht="21" customHeight="1" x14ac:dyDescent="0.25">
      <c r="A32" s="2632" t="s">
        <v>4314</v>
      </c>
      <c r="B32" s="2702">
        <v>13.032999999999999</v>
      </c>
      <c r="C32" s="2702">
        <v>12.896000000000001</v>
      </c>
      <c r="D32" s="2702">
        <v>14.162727272727272</v>
      </c>
      <c r="E32" s="2702">
        <v>14.972999999999999</v>
      </c>
      <c r="F32" s="2709">
        <v>14.597826086956522</v>
      </c>
      <c r="G32" s="2709">
        <v>14.028095238095236</v>
      </c>
      <c r="H32" s="2709">
        <v>14.1715</v>
      </c>
      <c r="I32" s="2709">
        <v>14.493</v>
      </c>
      <c r="J32" s="2709">
        <v>14.914</v>
      </c>
      <c r="K32" s="2709">
        <v>15.263499999999999</v>
      </c>
      <c r="L32" s="2709">
        <v>15.872</v>
      </c>
      <c r="M32" s="2709">
        <v>15.72</v>
      </c>
      <c r="N32" s="2709">
        <v>15.5875</v>
      </c>
      <c r="O32" s="2709">
        <v>15.382999999999999</v>
      </c>
      <c r="P32" s="2709">
        <v>16.131</v>
      </c>
      <c r="Q32" s="2709">
        <v>16.722999999999999</v>
      </c>
      <c r="R32" s="2709">
        <v>17.559000000000001</v>
      </c>
      <c r="S32" s="2709">
        <v>17.260999999999999</v>
      </c>
      <c r="T32" s="2709">
        <v>17.262</v>
      </c>
      <c r="U32" s="2709">
        <v>17.518000000000001</v>
      </c>
      <c r="V32" s="2709">
        <v>18.094999999999999</v>
      </c>
      <c r="W32" s="2709">
        <v>17.77</v>
      </c>
      <c r="X32" s="2710">
        <v>17.911000000000001</v>
      </c>
      <c r="Y32" s="2651">
        <v>18.167000000000002</v>
      </c>
      <c r="Z32" s="2656">
        <v>17.675000000000001</v>
      </c>
      <c r="AA32" s="2651">
        <v>17.754999999999999</v>
      </c>
      <c r="AB32" s="2656">
        <v>17.506</v>
      </c>
      <c r="AC32" s="2651">
        <v>18.006</v>
      </c>
      <c r="AD32" s="2656">
        <v>18.602</v>
      </c>
      <c r="AE32" s="2651">
        <v>18.888000000000002</v>
      </c>
      <c r="AF32" s="2656">
        <v>19.125</v>
      </c>
      <c r="AG32" s="2651">
        <v>19.846</v>
      </c>
      <c r="AH32" s="2656">
        <v>20.285</v>
      </c>
      <c r="AI32" s="2651">
        <v>20.606000000000002</v>
      </c>
      <c r="AJ32" s="2656">
        <v>20.34</v>
      </c>
      <c r="AK32" s="2655">
        <v>21.437000000000001</v>
      </c>
      <c r="AL32" s="2655">
        <v>21.263000000000002</v>
      </c>
      <c r="AM32" s="2651">
        <v>21.292999999999999</v>
      </c>
      <c r="AN32" s="2655">
        <v>21.096800000000002</v>
      </c>
      <c r="AO32" s="2651">
        <v>20.357600000000001</v>
      </c>
      <c r="AP32" s="2656">
        <v>20.982199999999999</v>
      </c>
      <c r="AQ32" s="2651">
        <v>21.2376</v>
      </c>
      <c r="AR32" s="2656">
        <v>21.500499999999999</v>
      </c>
      <c r="AS32" s="2655">
        <v>21.2958</v>
      </c>
      <c r="AT32" s="2655">
        <v>21.538599999999999</v>
      </c>
      <c r="AU32" s="2655">
        <v>21.349499999999999</v>
      </c>
      <c r="AV32" s="2651">
        <v>20.96</v>
      </c>
      <c r="AW32" s="2651">
        <v>19.901399999999999</v>
      </c>
      <c r="AX32" s="2656">
        <v>19.489999999999998</v>
      </c>
      <c r="AY32" s="2655">
        <v>19.771799999999999</v>
      </c>
      <c r="AZ32" s="2651">
        <v>19.425000000000001</v>
      </c>
      <c r="BA32" s="2656">
        <v>19.514299999999999</v>
      </c>
      <c r="BB32" s="2655">
        <v>20.553799999999999</v>
      </c>
      <c r="BC32" s="2655">
        <v>21.561900000000001</v>
      </c>
      <c r="BD32" s="2651">
        <v>21.905200000000001</v>
      </c>
      <c r="BE32" s="2656">
        <v>22.344000000000001</v>
      </c>
      <c r="BF32" s="2655">
        <v>23.268999999999998</v>
      </c>
      <c r="BG32" s="2651">
        <v>23.484300000000001</v>
      </c>
      <c r="BH32" s="2656">
        <v>23.367799999999999</v>
      </c>
      <c r="BI32" s="2655">
        <v>23.218</v>
      </c>
      <c r="BJ32" s="2655">
        <v>24.038599999999999</v>
      </c>
      <c r="BK32" s="2655">
        <v>23.4041</v>
      </c>
      <c r="BL32" s="2655">
        <v>24.257000000000001</v>
      </c>
      <c r="BM32" s="2655">
        <v>25.135899999999999</v>
      </c>
      <c r="BN32" s="2651">
        <v>23.023800000000001</v>
      </c>
      <c r="BO32" s="2651">
        <v>22.616299999999999</v>
      </c>
      <c r="BP32" s="2651">
        <v>23.573699999999999</v>
      </c>
      <c r="BQ32" s="2651">
        <v>23.472000000000001</v>
      </c>
      <c r="BR32" s="2651">
        <v>23.108000000000001</v>
      </c>
      <c r="BS32" s="2651">
        <v>22.579000000000001</v>
      </c>
      <c r="BT32" s="2651">
        <v>22.976199999999999</v>
      </c>
      <c r="BU32" s="2651">
        <v>21.915099999999999</v>
      </c>
      <c r="BV32" s="2651">
        <v>21.020900000000001</v>
      </c>
      <c r="BW32" s="2655">
        <v>21.535699999999999</v>
      </c>
      <c r="BX32" s="2655">
        <v>21.2178</v>
      </c>
      <c r="BY32" s="2655">
        <v>20.662700000000001</v>
      </c>
      <c r="BZ32" s="2651">
        <v>19.956700000000001</v>
      </c>
      <c r="CA32" s="2651">
        <v>19.9053</v>
      </c>
      <c r="CB32" s="2651">
        <v>18.831800000000001</v>
      </c>
      <c r="CC32" s="2651">
        <v>18.3918</v>
      </c>
      <c r="CD32" s="2651">
        <v>18.1919</v>
      </c>
      <c r="CE32" s="2651">
        <v>18.204899999999999</v>
      </c>
      <c r="CF32" s="2651">
        <v>17.430399999999999</v>
      </c>
      <c r="CG32" s="2651">
        <v>18.282499999999999</v>
      </c>
      <c r="CH32" s="2651">
        <v>19.594899999999999</v>
      </c>
      <c r="CI32" s="2651">
        <v>20.31541</v>
      </c>
      <c r="CJ32" s="2651">
        <v>21.17899090909091</v>
      </c>
      <c r="CK32" s="2651">
        <v>21.218604347826087</v>
      </c>
      <c r="CL32" s="2651">
        <v>22.087624999999999</v>
      </c>
      <c r="CM32" s="2651">
        <v>23.580414285714284</v>
      </c>
      <c r="CN32" s="2651">
        <v>23.163427272727272</v>
      </c>
      <c r="CO32" s="2651">
        <v>22.614079999999998</v>
      </c>
      <c r="CP32" s="2651">
        <v>23.228000000000002</v>
      </c>
      <c r="CQ32" s="2651">
        <v>22.79133266136451</v>
      </c>
      <c r="CR32" s="2651">
        <v>22.424207013579487</v>
      </c>
      <c r="CS32" s="2651">
        <v>22.823253841367944</v>
      </c>
      <c r="CT32" s="2651">
        <v>22.973056234598953</v>
      </c>
      <c r="CU32" s="2651">
        <v>23.822062415806265</v>
      </c>
      <c r="CV32" s="2651">
        <v>23.589311083054984</v>
      </c>
      <c r="CW32" s="2651">
        <v>23.793835037775153</v>
      </c>
      <c r="CX32" s="2651">
        <v>23.274291373665559</v>
      </c>
      <c r="CY32" s="2651">
        <v>22.112259899809359</v>
      </c>
      <c r="CZ32" s="2651">
        <v>22.785644805416275</v>
      </c>
      <c r="DA32" s="2651">
        <v>22.792081135036174</v>
      </c>
      <c r="DB32" s="2651">
        <v>23.442328186606861</v>
      </c>
      <c r="DC32" s="2651">
        <v>24.460672710278985</v>
      </c>
      <c r="DD32" s="2651">
        <v>24.120391648367526</v>
      </c>
      <c r="DE32" s="2651">
        <v>23.750727086432804</v>
      </c>
      <c r="DF32" s="2651">
        <v>23.363209777267983</v>
      </c>
      <c r="DG32" s="2651">
        <v>22.861925431318667</v>
      </c>
      <c r="DH32" s="2651">
        <v>23.097784775065428</v>
      </c>
      <c r="DI32" s="2651">
        <v>24.042255927728966</v>
      </c>
      <c r="DJ32" s="2651">
        <v>24.806628818071388</v>
      </c>
      <c r="DK32" s="2651">
        <v>24.389100847014763</v>
      </c>
      <c r="DL32" s="2651">
        <v>24.333652215716523</v>
      </c>
      <c r="DM32" s="2651">
        <v>23.295605160487639</v>
      </c>
      <c r="DN32" s="2651">
        <v>24.137815669503901</v>
      </c>
      <c r="DO32" s="2651">
        <v>25.319302708733598</v>
      </c>
      <c r="DP32" s="2651">
        <v>25.489887082763506</v>
      </c>
      <c r="DQ32" s="2651">
        <v>25.361603913014918</v>
      </c>
      <c r="DR32" s="2651">
        <v>25.718963731262924</v>
      </c>
      <c r="DS32" s="2651">
        <v>25.892300488251333</v>
      </c>
      <c r="DT32" s="2651">
        <v>26.020411039298885</v>
      </c>
      <c r="DU32" s="2651">
        <v>26.029166852436511</v>
      </c>
      <c r="DV32" s="2651">
        <v>26.038909275979535</v>
      </c>
      <c r="DW32" s="2651">
        <v>26.040100052111107</v>
      </c>
      <c r="DX32" s="2711">
        <v>26.691449571038891</v>
      </c>
      <c r="DY32" s="2711">
        <v>26.046193761792928</v>
      </c>
      <c r="DZ32" s="2711">
        <v>24.837505363238886</v>
      </c>
      <c r="EA32" s="2711">
        <v>24.895025412248788</v>
      </c>
      <c r="EB32" s="2711">
        <v>24.818443941531747</v>
      </c>
      <c r="EC32" s="2711">
        <v>25.510332003805559</v>
      </c>
      <c r="ED32" s="2711">
        <v>25.81056567608454</v>
      </c>
      <c r="EE32" s="2711">
        <v>25.692442795211111</v>
      </c>
      <c r="EF32" s="2711">
        <v>25.363928138230161</v>
      </c>
      <c r="EG32" s="2711">
        <v>25.551446357657891</v>
      </c>
      <c r="EH32" s="2711">
        <v>25.557016947320989</v>
      </c>
      <c r="EI32" s="2711">
        <v>26.129053806464913</v>
      </c>
      <c r="EJ32" s="2711">
        <v>26.41463017083333</v>
      </c>
      <c r="EK32" s="2711">
        <v>26.447369924103278</v>
      </c>
      <c r="EL32" s="2711">
        <v>26.612299054678733</v>
      </c>
      <c r="EM32" s="2711">
        <v>26.881993364582225</v>
      </c>
      <c r="EN32" s="2711">
        <v>26.256316796132495</v>
      </c>
      <c r="EO32" s="2711">
        <v>25.849481770838391</v>
      </c>
      <c r="EP32" s="2711">
        <v>25.184205886664145</v>
      </c>
      <c r="EQ32" s="2711">
        <v>25.119393191177778</v>
      </c>
      <c r="ER32" s="2711">
        <v>24.969745873751766</v>
      </c>
      <c r="ES32" s="2711">
        <v>25.127509232477784</v>
      </c>
      <c r="ET32" s="2711">
        <v>25.051283573924184</v>
      </c>
      <c r="EU32" s="2711">
        <v>26.999128420412262</v>
      </c>
      <c r="EV32" s="2711">
        <v>27.926113636363638</v>
      </c>
      <c r="EW32" s="2711">
        <v>26.428923533333336</v>
      </c>
      <c r="EX32" s="2711">
        <v>25.095877777777776</v>
      </c>
      <c r="EY32" s="2711">
        <v>24.084295652173928</v>
      </c>
      <c r="EZ32" s="2711">
        <v>23.662931216931213</v>
      </c>
      <c r="FA32" s="2711">
        <v>22.874161904761909</v>
      </c>
      <c r="FB32" s="2711">
        <v>24.313945959595955</v>
      </c>
      <c r="FC32" s="2711">
        <v>24.256773684210529</v>
      </c>
      <c r="FD32" s="2711">
        <v>24.843150000000001</v>
      </c>
      <c r="FE32" s="2711">
        <v>24.077640000000006</v>
      </c>
      <c r="FF32" s="2711">
        <v>24.254894736842104</v>
      </c>
      <c r="FG32" s="2711">
        <v>24.487895454545455</v>
      </c>
      <c r="FH32" s="2711">
        <v>24.857639999999996</v>
      </c>
      <c r="FI32" s="2712">
        <v>24.605881313131317</v>
      </c>
    </row>
    <row r="33" spans="1:165" s="2603" customFormat="1" ht="21" customHeight="1" x14ac:dyDescent="0.25">
      <c r="A33" s="2632" t="s">
        <v>4315</v>
      </c>
      <c r="B33" s="2702">
        <v>16.757999999999999</v>
      </c>
      <c r="C33" s="2702">
        <v>16.849</v>
      </c>
      <c r="D33" s="2702">
        <v>17.078181818181818</v>
      </c>
      <c r="E33" s="2702">
        <v>17.166499999999999</v>
      </c>
      <c r="F33" s="2709">
        <v>17.343478260869563</v>
      </c>
      <c r="G33" s="2709">
        <v>17.231428571428573</v>
      </c>
      <c r="H33" s="2709">
        <v>17.103999999999999</v>
      </c>
      <c r="I33" s="2709">
        <v>16.911999999999999</v>
      </c>
      <c r="J33" s="2709">
        <v>17.032</v>
      </c>
      <c r="K33" s="2714">
        <v>17.073</v>
      </c>
      <c r="L33" s="2714">
        <v>16.913</v>
      </c>
      <c r="M33" s="2714">
        <v>16.271000000000001</v>
      </c>
      <c r="N33" s="2714">
        <v>16.052</v>
      </c>
      <c r="O33" s="2714">
        <v>15.747999999999999</v>
      </c>
      <c r="P33" s="2714">
        <v>16.222999999999999</v>
      </c>
      <c r="Q33" s="2714">
        <v>16.672000000000001</v>
      </c>
      <c r="R33" s="2714">
        <v>17.152999999999999</v>
      </c>
      <c r="S33" s="2714">
        <v>16.992000000000001</v>
      </c>
      <c r="T33" s="2714">
        <v>17.003</v>
      </c>
      <c r="U33" s="2709">
        <v>16.86</v>
      </c>
      <c r="V33" s="2709">
        <v>16.742000000000001</v>
      </c>
      <c r="W33" s="2709">
        <v>16.170999999999999</v>
      </c>
      <c r="X33" s="2710">
        <v>15.781000000000001</v>
      </c>
      <c r="Y33" s="2651">
        <v>15.609</v>
      </c>
      <c r="Z33" s="2656">
        <v>15.728999999999999</v>
      </c>
      <c r="AA33" s="2651">
        <v>16.440999999999999</v>
      </c>
      <c r="AB33" s="2656">
        <v>16.666</v>
      </c>
      <c r="AC33" s="2651">
        <v>16.776</v>
      </c>
      <c r="AD33" s="2656">
        <v>16.826000000000001</v>
      </c>
      <c r="AE33" s="2651">
        <v>16.875</v>
      </c>
      <c r="AF33" s="2656">
        <v>17.148</v>
      </c>
      <c r="AG33" s="2651">
        <v>17.349</v>
      </c>
      <c r="AH33" s="2656">
        <v>17.59</v>
      </c>
      <c r="AI33" s="2651">
        <v>17.577000000000002</v>
      </c>
      <c r="AJ33" s="2656">
        <v>17.684999999999999</v>
      </c>
      <c r="AK33" s="2655">
        <v>18.064</v>
      </c>
      <c r="AL33" s="2655">
        <v>17.914999999999999</v>
      </c>
      <c r="AM33" s="2651">
        <v>17.977</v>
      </c>
      <c r="AN33" s="2655">
        <v>17.850000000000001</v>
      </c>
      <c r="AO33" s="2651">
        <v>17.839500000000001</v>
      </c>
      <c r="AP33" s="2656">
        <v>18.196999999999999</v>
      </c>
      <c r="AQ33" s="2651">
        <v>18.1129</v>
      </c>
      <c r="AR33" s="2656">
        <v>18.2514</v>
      </c>
      <c r="AS33" s="2655">
        <v>18.247900000000001</v>
      </c>
      <c r="AT33" s="2655">
        <v>18.5914</v>
      </c>
      <c r="AU33" s="2655">
        <v>19.083300000000001</v>
      </c>
      <c r="AV33" s="2651">
        <v>19.158000000000001</v>
      </c>
      <c r="AW33" s="2651">
        <v>19.287700000000001</v>
      </c>
      <c r="AX33" s="2656">
        <v>19.578499999999998</v>
      </c>
      <c r="AY33" s="2655">
        <v>19.8873</v>
      </c>
      <c r="AZ33" s="2651">
        <v>19.724499999999999</v>
      </c>
      <c r="BA33" s="2656">
        <v>19.9786</v>
      </c>
      <c r="BB33" s="2655">
        <v>20.5943</v>
      </c>
      <c r="BC33" s="2655">
        <v>20.898599999999998</v>
      </c>
      <c r="BD33" s="2651">
        <v>21.0367</v>
      </c>
      <c r="BE33" s="2656">
        <v>21.553999999999998</v>
      </c>
      <c r="BF33" s="2655">
        <v>21.919499999999999</v>
      </c>
      <c r="BG33" s="2651">
        <v>22.117100000000001</v>
      </c>
      <c r="BH33" s="2656">
        <v>22.1433</v>
      </c>
      <c r="BI33" s="2655">
        <v>22.0395</v>
      </c>
      <c r="BJ33" s="2655">
        <v>21.8886</v>
      </c>
      <c r="BK33" s="2655">
        <v>21.153199999999998</v>
      </c>
      <c r="BL33" s="2655">
        <v>21.01</v>
      </c>
      <c r="BM33" s="2655">
        <v>21.225899999999999</v>
      </c>
      <c r="BN33" s="2651">
        <v>20.894200000000001</v>
      </c>
      <c r="BO33" s="2651">
        <v>21.465299999999999</v>
      </c>
      <c r="BP33" s="2651">
        <v>21.276299999999999</v>
      </c>
      <c r="BQ33" s="2651">
        <v>21.388999999999999</v>
      </c>
      <c r="BR33" s="2651">
        <v>20.832899999999999</v>
      </c>
      <c r="BS33" s="2651">
        <v>20.564599999999999</v>
      </c>
      <c r="BT33" s="2651">
        <v>20.558299999999999</v>
      </c>
      <c r="BU33" s="2651">
        <v>19.863900000000001</v>
      </c>
      <c r="BV33" s="2651">
        <v>19.6126</v>
      </c>
      <c r="BW33" s="2655">
        <v>20.411899999999999</v>
      </c>
      <c r="BX33" s="2655">
        <v>20.4846</v>
      </c>
      <c r="BY33" s="2655">
        <v>20.2439</v>
      </c>
      <c r="BZ33" s="2651">
        <v>20.189399999999999</v>
      </c>
      <c r="CA33" s="2651">
        <v>20.8127</v>
      </c>
      <c r="CB33" s="2651">
        <v>21.0563</v>
      </c>
      <c r="CC33" s="2651">
        <v>21.779499999999999</v>
      </c>
      <c r="CD33" s="2651">
        <v>22.167999999999999</v>
      </c>
      <c r="CE33" s="2651">
        <v>22.247699999999998</v>
      </c>
      <c r="CF33" s="2651">
        <v>22.4574</v>
      </c>
      <c r="CG33" s="2651">
        <v>22.666899999999998</v>
      </c>
      <c r="CH33" s="2651">
        <v>22.898499999999999</v>
      </c>
      <c r="CI33" s="2651">
        <v>23.215869999999999</v>
      </c>
      <c r="CJ33" s="2651">
        <v>22.954350000000002</v>
      </c>
      <c r="CK33" s="2651">
        <v>22.818152173913049</v>
      </c>
      <c r="CL33" s="2651">
        <v>22.783004999999996</v>
      </c>
      <c r="CM33" s="2651">
        <v>22.594742857142858</v>
      </c>
      <c r="CN33" s="2651">
        <v>22.541172727272723</v>
      </c>
      <c r="CO33" s="2651">
        <v>22.381464999999999</v>
      </c>
      <c r="CP33" s="2651">
        <v>23.966999999999999</v>
      </c>
      <c r="CQ33" s="2651">
        <v>23.347333854197903</v>
      </c>
      <c r="CR33" s="2651">
        <v>23.213315276628052</v>
      </c>
      <c r="CS33" s="2651">
        <v>23.588268337462242</v>
      </c>
      <c r="CT33" s="2651">
        <v>23.53592334704534</v>
      </c>
      <c r="CU33" s="2651">
        <v>23.854944206084522</v>
      </c>
      <c r="CV33" s="2651">
        <v>24.07279162376156</v>
      </c>
      <c r="CW33" s="2651">
        <v>24.189805222839485</v>
      </c>
      <c r="CX33" s="2651">
        <v>23.893700864554116</v>
      </c>
      <c r="CY33" s="2651">
        <v>23.566285037901615</v>
      </c>
      <c r="CZ33" s="2651">
        <v>23.226114483969496</v>
      </c>
      <c r="DA33" s="2651">
        <v>23.169147918580606</v>
      </c>
      <c r="DB33" s="2651">
        <v>23.371055412151382</v>
      </c>
      <c r="DC33" s="2651">
        <v>23.85356089154978</v>
      </c>
      <c r="DD33" s="2651">
        <v>23.889470006024052</v>
      </c>
      <c r="DE33" s="2651">
        <v>23.466031210343861</v>
      </c>
      <c r="DF33" s="2651">
        <v>23.277916811514093</v>
      </c>
      <c r="DG33" s="2651">
        <v>23.110842372836608</v>
      </c>
      <c r="DH33" s="2651">
        <v>23.224538301593022</v>
      </c>
      <c r="DI33" s="2651">
        <v>23.557940008873796</v>
      </c>
      <c r="DJ33" s="2651">
        <v>23.797147204984149</v>
      </c>
      <c r="DK33" s="2651">
        <v>23.699091445814247</v>
      </c>
      <c r="DL33" s="2651">
        <v>23.850673088793659</v>
      </c>
      <c r="DM33" s="2651">
        <v>23.930066896625945</v>
      </c>
      <c r="DN33" s="2651">
        <v>24.308335586712388</v>
      </c>
      <c r="DO33" s="2651">
        <v>25.203501901616331</v>
      </c>
      <c r="DP33" s="2651">
        <v>25.252874906252195</v>
      </c>
      <c r="DQ33" s="2651">
        <v>25.2243074770089</v>
      </c>
      <c r="DR33" s="2651">
        <v>25.681510317583857</v>
      </c>
      <c r="DS33" s="2651">
        <v>25.893608547441836</v>
      </c>
      <c r="DT33" s="2651">
        <v>25.684079968573769</v>
      </c>
      <c r="DU33" s="2651">
        <v>25.335873914899469</v>
      </c>
      <c r="DV33" s="2651">
        <v>25.115911757682849</v>
      </c>
      <c r="DW33" s="2651">
        <v>25.304183094046362</v>
      </c>
      <c r="DX33" s="2711">
        <v>25.532959584218283</v>
      </c>
      <c r="DY33" s="2711">
        <v>25.367698362767101</v>
      </c>
      <c r="DZ33" s="2711">
        <v>25.016859038783956</v>
      </c>
      <c r="EA33" s="2711">
        <v>24.968549189287593</v>
      </c>
      <c r="EB33" s="2711">
        <v>24.698396054931024</v>
      </c>
      <c r="EC33" s="2711">
        <v>24.90887339942083</v>
      </c>
      <c r="ED33" s="2711">
        <v>24.928576586985162</v>
      </c>
      <c r="EE33" s="2711">
        <v>24.953031571372041</v>
      </c>
      <c r="EF33" s="2711">
        <v>24.534856272821891</v>
      </c>
      <c r="EG33" s="2711">
        <v>24.265158111141186</v>
      </c>
      <c r="EH33" s="2711">
        <v>24.373516629559834</v>
      </c>
      <c r="EI33" s="2711">
        <v>24.231200710166863</v>
      </c>
      <c r="EJ33" s="2711">
        <v>24.496897112015223</v>
      </c>
      <c r="EK33" s="2711">
        <v>24.602893990283004</v>
      </c>
      <c r="EL33" s="2711">
        <v>24.721537092905766</v>
      </c>
      <c r="EM33" s="2711">
        <v>24.903398537069805</v>
      </c>
      <c r="EN33" s="2711">
        <v>24.994709456647435</v>
      </c>
      <c r="EO33" s="2711">
        <v>25.135233127606465</v>
      </c>
      <c r="EP33" s="2711">
        <v>25.109662260849596</v>
      </c>
      <c r="EQ33" s="2711">
        <v>24.780872916808583</v>
      </c>
      <c r="ER33" s="2711">
        <v>24.489873706660816</v>
      </c>
      <c r="ES33" s="2711">
        <v>24.617977440481173</v>
      </c>
      <c r="ET33" s="2711">
        <v>24.839735387485323</v>
      </c>
      <c r="EU33" s="2711">
        <v>26.278623872094165</v>
      </c>
      <c r="EV33" s="2711">
        <v>27.338440909090913</v>
      </c>
      <c r="EW33" s="2711">
        <v>26.858279080260683</v>
      </c>
      <c r="EX33" s="2711">
        <v>26.727862662337667</v>
      </c>
      <c r="EY33" s="2711">
        <v>26.650708337314867</v>
      </c>
      <c r="EZ33" s="2711">
        <v>25.900880952380938</v>
      </c>
      <c r="FA33" s="2711">
        <v>25.564565986394559</v>
      </c>
      <c r="FB33" s="2711">
        <v>26.033160064935068</v>
      </c>
      <c r="FC33" s="2711">
        <v>26.223342105263161</v>
      </c>
      <c r="FD33" s="2711">
        <v>26.207677272727278</v>
      </c>
      <c r="FE33" s="2711">
        <v>25.760129999999997</v>
      </c>
      <c r="FF33" s="2711">
        <v>26.077794736842112</v>
      </c>
      <c r="FG33" s="2711">
        <v>26.558777272727276</v>
      </c>
      <c r="FH33" s="2711">
        <v>26.745614999999997</v>
      </c>
      <c r="FI33" s="2712">
        <v>26.471290909090907</v>
      </c>
    </row>
    <row r="34" spans="1:165" s="2603" customFormat="1" ht="21" customHeight="1" x14ac:dyDescent="0.25">
      <c r="A34" s="2632" t="s">
        <v>4316</v>
      </c>
      <c r="B34" s="2702">
        <v>2.6720000000000002</v>
      </c>
      <c r="C34" s="2702">
        <v>2.702</v>
      </c>
      <c r="D34" s="2702">
        <v>3.0422727272727275</v>
      </c>
      <c r="E34" s="2709">
        <v>3.0305</v>
      </c>
      <c r="F34" s="2709">
        <v>3.0239130434782608</v>
      </c>
      <c r="G34" s="2709">
        <v>2.8757142857142859</v>
      </c>
      <c r="H34" s="2709">
        <v>2.8624999999999998</v>
      </c>
      <c r="I34" s="2709">
        <v>2.9369999999999998</v>
      </c>
      <c r="J34" s="2709">
        <v>3.1240000000000001</v>
      </c>
      <c r="K34" s="2714">
        <v>3.3494999999999999</v>
      </c>
      <c r="L34" s="2714">
        <v>3.3849999999999998</v>
      </c>
      <c r="M34" s="2714">
        <v>3.4329999999999998</v>
      </c>
      <c r="N34" s="2709">
        <v>3.5055000000000001</v>
      </c>
      <c r="O34" s="2709">
        <v>3.66</v>
      </c>
      <c r="P34" s="2709">
        <v>3.7010000000000001</v>
      </c>
      <c r="Q34" s="2709">
        <v>3.6739999999999999</v>
      </c>
      <c r="R34" s="2709">
        <v>4.0049999999999999</v>
      </c>
      <c r="S34" s="2709">
        <v>4.0469999999999997</v>
      </c>
      <c r="T34" s="2709">
        <v>4.0629999999999997</v>
      </c>
      <c r="U34" s="2709">
        <v>4.2080000000000002</v>
      </c>
      <c r="V34" s="2709">
        <v>4.306</v>
      </c>
      <c r="W34" s="2709">
        <v>4.2640000000000002</v>
      </c>
      <c r="X34" s="2710">
        <v>3.8959999999999999</v>
      </c>
      <c r="Y34" s="2651">
        <v>3.915</v>
      </c>
      <c r="Z34" s="2656">
        <v>4.0659999999999998</v>
      </c>
      <c r="AA34" s="2651">
        <v>4.2729999999999997</v>
      </c>
      <c r="AB34" s="2656">
        <v>4.2290000000000001</v>
      </c>
      <c r="AC34" s="2651">
        <v>4.5</v>
      </c>
      <c r="AD34" s="2656">
        <v>4.7439999999999998</v>
      </c>
      <c r="AE34" s="2651">
        <v>4.5369999999999999</v>
      </c>
      <c r="AF34" s="2656">
        <v>4.4969999999999999</v>
      </c>
      <c r="AG34" s="2651">
        <v>4.6037999999999997</v>
      </c>
      <c r="AH34" s="2656">
        <v>4.8570000000000002</v>
      </c>
      <c r="AI34" s="2651">
        <v>5.0869999999999997</v>
      </c>
      <c r="AJ34" s="2656">
        <v>4.899</v>
      </c>
      <c r="AK34" s="2655">
        <v>4.931</v>
      </c>
      <c r="AL34" s="2655">
        <v>4.8499999999999996</v>
      </c>
      <c r="AM34" s="2651">
        <v>4.7480000000000002</v>
      </c>
      <c r="AN34" s="2655">
        <v>4.4618000000000002</v>
      </c>
      <c r="AO34" s="2651">
        <v>4.5190000000000001</v>
      </c>
      <c r="AP34" s="2656">
        <v>4.7126000000000001</v>
      </c>
      <c r="AQ34" s="2651">
        <v>4.8304999999999998</v>
      </c>
      <c r="AR34" s="2656">
        <v>4.7476000000000003</v>
      </c>
      <c r="AS34" s="2655">
        <v>4.7031999999999998</v>
      </c>
      <c r="AT34" s="2655">
        <v>4.9432</v>
      </c>
      <c r="AU34" s="2655">
        <v>5.1862000000000004</v>
      </c>
      <c r="AV34" s="2651">
        <v>5.1719999999999997</v>
      </c>
      <c r="AW34" s="2651">
        <v>5.0731999999999999</v>
      </c>
      <c r="AX34" s="2656">
        <v>5.21</v>
      </c>
      <c r="AY34" s="2655">
        <v>5.0294999999999996</v>
      </c>
      <c r="AZ34" s="2651">
        <v>4.5781999999999998</v>
      </c>
      <c r="BA34" s="2656">
        <v>4.5313999999999997</v>
      </c>
      <c r="BB34" s="2655">
        <v>4.7542999999999997</v>
      </c>
      <c r="BC34" s="2655">
        <v>4.54</v>
      </c>
      <c r="BD34" s="2651">
        <v>4.4432999999999998</v>
      </c>
      <c r="BE34" s="2656">
        <v>4.7389999999999999</v>
      </c>
      <c r="BF34" s="2655">
        <v>4.9080000000000004</v>
      </c>
      <c r="BG34" s="2651">
        <v>4.8367000000000004</v>
      </c>
      <c r="BH34" s="2656">
        <v>4.8316999999999997</v>
      </c>
      <c r="BI34" s="2655">
        <v>4.6425000000000001</v>
      </c>
      <c r="BJ34" s="2655">
        <v>4.7004999999999999</v>
      </c>
      <c r="BK34" s="2655">
        <v>4.6285999999999996</v>
      </c>
      <c r="BL34" s="2655">
        <v>4.5510000000000002</v>
      </c>
      <c r="BM34" s="2655">
        <v>4.6664000000000003</v>
      </c>
      <c r="BN34" s="2651">
        <v>4.4466999999999999</v>
      </c>
      <c r="BO34" s="2651">
        <v>4.5033000000000003</v>
      </c>
      <c r="BP34" s="2651">
        <v>4.6576000000000004</v>
      </c>
      <c r="BQ34" s="2651">
        <v>4.6500000000000004</v>
      </c>
      <c r="BR34" s="2651">
        <v>4.4543999999999997</v>
      </c>
      <c r="BS34" s="2651">
        <v>4.2629000000000001</v>
      </c>
      <c r="BT34" s="2651">
        <v>3.8361999999999998</v>
      </c>
      <c r="BU34" s="2651">
        <v>3.4605999999999999</v>
      </c>
      <c r="BV34" s="2651">
        <v>3.4661</v>
      </c>
      <c r="BW34" s="2655">
        <v>3.6922000000000001</v>
      </c>
      <c r="BX34" s="2655">
        <v>3.5630999999999999</v>
      </c>
      <c r="BY34" s="2655">
        <v>3.6261999999999999</v>
      </c>
      <c r="BZ34" s="2651">
        <v>3.7364999999999999</v>
      </c>
      <c r="CA34" s="2651">
        <v>3.7227999999999999</v>
      </c>
      <c r="CB34" s="2651">
        <v>3.2473000000000001</v>
      </c>
      <c r="CC34" s="2651">
        <v>3.2812999999999999</v>
      </c>
      <c r="CD34" s="2651">
        <v>3.3353000000000002</v>
      </c>
      <c r="CE34" s="2651">
        <v>3.3984000000000001</v>
      </c>
      <c r="CF34" s="2651">
        <v>3.4552999999999998</v>
      </c>
      <c r="CG34" s="2651">
        <v>3.5225</v>
      </c>
      <c r="CH34" s="2651">
        <v>3.8546999999999998</v>
      </c>
      <c r="CI34" s="2651">
        <v>4.0790649999999999</v>
      </c>
      <c r="CJ34" s="2651">
        <v>4.1658772727272737</v>
      </c>
      <c r="CK34" s="2651">
        <v>4.1837086956521743</v>
      </c>
      <c r="CL34" s="2651">
        <v>4.1656550000000001</v>
      </c>
      <c r="CM34" s="2651">
        <v>4.30397619047619</v>
      </c>
      <c r="CN34" s="2651">
        <v>4.2520727272727266</v>
      </c>
      <c r="CO34" s="2651">
        <v>4.1721850000000007</v>
      </c>
      <c r="CP34" s="2651">
        <v>4.3959999999999999</v>
      </c>
      <c r="CQ34" s="2651">
        <v>4.2772433017535469</v>
      </c>
      <c r="CR34" s="2651">
        <v>4.3295198587026569</v>
      </c>
      <c r="CS34" s="2651">
        <v>4.4357190662529149</v>
      </c>
      <c r="CT34" s="2651">
        <v>4.4624094718396288</v>
      </c>
      <c r="CU34" s="2651">
        <v>4.4655108426880306</v>
      </c>
      <c r="CV34" s="2651">
        <v>4.6267038636392366</v>
      </c>
      <c r="CW34" s="2651">
        <v>4.5356470210893081</v>
      </c>
      <c r="CX34" s="2651">
        <v>4.2620224636081163</v>
      </c>
      <c r="CY34" s="2651">
        <v>4.3386433542192933</v>
      </c>
      <c r="CZ34" s="2651">
        <v>4.3238891020413135</v>
      </c>
      <c r="DA34" s="2651">
        <v>4.208836395000211</v>
      </c>
      <c r="DB34" s="2651">
        <v>4.2697037917046785</v>
      </c>
      <c r="DC34" s="2651">
        <v>4.300147130799755</v>
      </c>
      <c r="DD34" s="2651">
        <v>4.1081725569487864</v>
      </c>
      <c r="DE34" s="2651">
        <v>3.909848208732813</v>
      </c>
      <c r="DF34" s="2651">
        <v>3.7625954346183024</v>
      </c>
      <c r="DG34" s="2651">
        <v>3.6827117070059883</v>
      </c>
      <c r="DH34" s="2651">
        <v>3.6979842359907096</v>
      </c>
      <c r="DI34" s="2651">
        <v>3.7828404874052901</v>
      </c>
      <c r="DJ34" s="2651">
        <v>3.9191637932017236</v>
      </c>
      <c r="DK34" s="2651">
        <v>3.9514543026214488</v>
      </c>
      <c r="DL34" s="2651">
        <v>3.8359853005092184</v>
      </c>
      <c r="DM34" s="2651">
        <v>3.7274638806544615</v>
      </c>
      <c r="DN34" s="2651">
        <v>3.7306375348746883</v>
      </c>
      <c r="DO34" s="2651">
        <v>3.8802480426309258</v>
      </c>
      <c r="DP34" s="2651">
        <v>3.8329099385933123</v>
      </c>
      <c r="DQ34" s="2651">
        <v>3.7804619281712579</v>
      </c>
      <c r="DR34" s="2651">
        <v>3.6630073893087989</v>
      </c>
      <c r="DS34" s="2651">
        <v>3.6192437040455188</v>
      </c>
      <c r="DT34" s="2651">
        <v>3.6527415832442087</v>
      </c>
      <c r="DU34" s="2651">
        <v>3.5576262187028851</v>
      </c>
      <c r="DV34" s="2651">
        <v>3.5266240813225913</v>
      </c>
      <c r="DW34" s="2651">
        <v>3.4548237904409915</v>
      </c>
      <c r="DX34" s="2711">
        <v>3.492511961893848</v>
      </c>
      <c r="DY34" s="2711">
        <v>3.4153373573757264</v>
      </c>
      <c r="DZ34" s="2711">
        <v>3.1550674573292907</v>
      </c>
      <c r="EA34" s="2711">
        <v>3.2093342079043912</v>
      </c>
      <c r="EB34" s="2711">
        <v>3.1358030997531885</v>
      </c>
      <c r="EC34" s="2711">
        <v>3.1677634558290126</v>
      </c>
      <c r="ED34" s="2711">
        <v>3.1473238687509282</v>
      </c>
      <c r="EE34" s="2711">
        <v>3.0695100067739309</v>
      </c>
      <c r="EF34" s="2711">
        <v>2.9986284940067907</v>
      </c>
      <c r="EG34" s="2711">
        <v>2.8665131912974284</v>
      </c>
      <c r="EH34" s="2711">
        <v>2.8307984638668495</v>
      </c>
      <c r="EI34" s="2711">
        <v>2.8703791531057448</v>
      </c>
      <c r="EJ34" s="2711">
        <v>2.93147652163253</v>
      </c>
      <c r="EK34" s="2711">
        <v>2.9753364948827432</v>
      </c>
      <c r="EL34" s="2711">
        <v>2.9062170832109917</v>
      </c>
      <c r="EM34" s="2711">
        <v>2.9112595055048947</v>
      </c>
      <c r="EN34" s="2711">
        <v>2.9311100105401997</v>
      </c>
      <c r="EO34" s="2711">
        <v>2.9045200843882699</v>
      </c>
      <c r="EP34" s="2711">
        <v>2.8964409801106323</v>
      </c>
      <c r="EQ34" s="2711">
        <v>2.9019397114231102</v>
      </c>
      <c r="ER34" s="2711">
        <v>2.8145403504306978</v>
      </c>
      <c r="ES34" s="2711">
        <v>2.8557139524186517</v>
      </c>
      <c r="ET34" s="2711">
        <v>2.9126323564897816</v>
      </c>
      <c r="EU34" s="2711">
        <v>3.0087663574384909</v>
      </c>
      <c r="EV34" s="2711">
        <v>3.0824818181818183</v>
      </c>
      <c r="EW34" s="2711">
        <v>3.0012321128754431</v>
      </c>
      <c r="EX34" s="2711">
        <v>2.9307087662337667</v>
      </c>
      <c r="EY34" s="2711">
        <v>2.9220071428571432</v>
      </c>
      <c r="EZ34" s="2711">
        <v>2.8136608843537418</v>
      </c>
      <c r="FA34" s="2711">
        <v>2.6584085034047624</v>
      </c>
      <c r="FB34" s="2711">
        <v>2.7106951298733764</v>
      </c>
      <c r="FC34" s="2711">
        <v>2.6328842105263157</v>
      </c>
      <c r="FD34" s="2711">
        <v>2.4793863636363636</v>
      </c>
      <c r="FE34" s="2711">
        <v>2.264475</v>
      </c>
      <c r="FF34" s="2711">
        <v>2.3340052631578949</v>
      </c>
      <c r="FG34" s="2711">
        <v>2.3751818181818183</v>
      </c>
      <c r="FH34" s="2711">
        <v>2.4814949999999998</v>
      </c>
      <c r="FI34" s="2712">
        <v>2.3804776223776218</v>
      </c>
    </row>
    <row r="35" spans="1:165" s="2603" customFormat="1" ht="21" customHeight="1" x14ac:dyDescent="0.25">
      <c r="A35" s="2632" t="s">
        <v>4317</v>
      </c>
      <c r="B35" s="2702">
        <v>18.302</v>
      </c>
      <c r="C35" s="2702">
        <v>17.972999999999999</v>
      </c>
      <c r="D35" s="2702">
        <v>19.152272727272727</v>
      </c>
      <c r="E35" s="2709">
        <v>19.6465</v>
      </c>
      <c r="F35" s="2709">
        <v>20.420000000000002</v>
      </c>
      <c r="G35" s="2709">
        <v>20.020476190476192</v>
      </c>
      <c r="H35" s="2709">
        <v>20.015999999999998</v>
      </c>
      <c r="I35" s="2709">
        <v>20.027000000000001</v>
      </c>
      <c r="J35" s="2709">
        <v>20.305</v>
      </c>
      <c r="K35" s="2714">
        <v>20.577999999999999</v>
      </c>
      <c r="L35" s="2714">
        <v>21.103000000000002</v>
      </c>
      <c r="M35" s="2714">
        <v>20.626000000000001</v>
      </c>
      <c r="N35" s="2714">
        <v>20.436</v>
      </c>
      <c r="O35" s="2709">
        <v>20.059999999999999</v>
      </c>
      <c r="P35" s="2709">
        <v>21.216000000000001</v>
      </c>
      <c r="Q35" s="2709">
        <v>21.661999999999999</v>
      </c>
      <c r="R35" s="2709">
        <v>21.852</v>
      </c>
      <c r="S35" s="2709">
        <v>21.306000000000001</v>
      </c>
      <c r="T35" s="2709">
        <v>21.279</v>
      </c>
      <c r="U35" s="2709">
        <v>21.818999999999999</v>
      </c>
      <c r="V35" s="2709">
        <v>21.428000000000001</v>
      </c>
      <c r="W35" s="2709">
        <v>21.501000000000001</v>
      </c>
      <c r="X35" s="2710">
        <v>21.24</v>
      </c>
      <c r="Y35" s="2651">
        <v>20.849</v>
      </c>
      <c r="Z35" s="2656">
        <v>20.655999999999999</v>
      </c>
      <c r="AA35" s="2651">
        <v>21.132999999999999</v>
      </c>
      <c r="AB35" s="2656">
        <v>21.975999999999999</v>
      </c>
      <c r="AC35" s="2651">
        <v>22.724</v>
      </c>
      <c r="AD35" s="2656">
        <v>22.913</v>
      </c>
      <c r="AE35" s="2651">
        <v>22.687000000000001</v>
      </c>
      <c r="AF35" s="2656">
        <v>22.805</v>
      </c>
      <c r="AG35" s="2651">
        <v>23.326000000000001</v>
      </c>
      <c r="AH35" s="2656">
        <v>24.552</v>
      </c>
      <c r="AI35" s="2651">
        <v>24.945</v>
      </c>
      <c r="AJ35" s="2656">
        <v>24.318999999999999</v>
      </c>
      <c r="AK35" s="2655">
        <v>24.84</v>
      </c>
      <c r="AL35" s="2655">
        <v>24.512</v>
      </c>
      <c r="AM35" s="2651">
        <v>24.161000000000001</v>
      </c>
      <c r="AN35" s="2655">
        <v>23.3691</v>
      </c>
      <c r="AO35" s="2651">
        <v>22.993300000000001</v>
      </c>
      <c r="AP35" s="2656">
        <v>23.687000000000001</v>
      </c>
      <c r="AQ35" s="2651">
        <v>23.834299999999999</v>
      </c>
      <c r="AR35" s="2656">
        <v>23.723800000000001</v>
      </c>
      <c r="AS35" s="2655">
        <v>23.371600000000001</v>
      </c>
      <c r="AT35" s="2655">
        <v>23.5977</v>
      </c>
      <c r="AU35" s="2655">
        <v>24.1252</v>
      </c>
      <c r="AV35" s="2651">
        <v>23.677</v>
      </c>
      <c r="AW35" s="2651">
        <v>23.735499999999998</v>
      </c>
      <c r="AX35" s="2656">
        <v>24.166</v>
      </c>
      <c r="AY35" s="2655">
        <v>25.488199999999999</v>
      </c>
      <c r="AZ35" s="2651">
        <v>25.234999999999999</v>
      </c>
      <c r="BA35" s="2656">
        <v>25.367100000000001</v>
      </c>
      <c r="BB35" s="2655">
        <v>26.208100000000002</v>
      </c>
      <c r="BC35" s="2655">
        <v>26.445699999999999</v>
      </c>
      <c r="BD35" s="2651">
        <v>26.268999999999998</v>
      </c>
      <c r="BE35" s="2656">
        <v>27.004000000000001</v>
      </c>
      <c r="BF35" s="2655">
        <v>27.774000000000001</v>
      </c>
      <c r="BG35" s="2651">
        <v>27.1538</v>
      </c>
      <c r="BH35" s="2656">
        <v>27.171099999999999</v>
      </c>
      <c r="BI35" s="2655">
        <v>27.3325</v>
      </c>
      <c r="BJ35" s="2655">
        <v>27.041899999999998</v>
      </c>
      <c r="BK35" s="2655">
        <v>26.09</v>
      </c>
      <c r="BL35" s="2655">
        <v>25.984000000000002</v>
      </c>
      <c r="BM35" s="2655">
        <v>26.453199999999999</v>
      </c>
      <c r="BN35" s="2651">
        <v>26.263100000000001</v>
      </c>
      <c r="BO35" s="2651">
        <v>26.5534</v>
      </c>
      <c r="BP35" s="2651">
        <v>26.389800000000001</v>
      </c>
      <c r="BQ35" s="2651">
        <v>27.465</v>
      </c>
      <c r="BR35" s="2651">
        <v>26.335699999999999</v>
      </c>
      <c r="BS35" s="2651">
        <v>26.551400000000001</v>
      </c>
      <c r="BT35" s="2651">
        <v>26.3902</v>
      </c>
      <c r="BU35" s="2651">
        <v>27.081</v>
      </c>
      <c r="BV35" s="2651">
        <v>26.2255</v>
      </c>
      <c r="BW35" s="2655">
        <v>26.531300000000002</v>
      </c>
      <c r="BX35" s="2655">
        <v>26.857700000000001</v>
      </c>
      <c r="BY35" s="2655">
        <v>26.646899999999999</v>
      </c>
      <c r="BZ35" s="2651">
        <v>26.029499999999999</v>
      </c>
      <c r="CA35" s="2651">
        <v>26.732299999999999</v>
      </c>
      <c r="CB35" s="2651">
        <v>27.132200000000001</v>
      </c>
      <c r="CC35" s="2651">
        <v>27.476199999999999</v>
      </c>
      <c r="CD35" s="2651">
        <v>28.6631</v>
      </c>
      <c r="CE35" s="2651">
        <v>29.387</v>
      </c>
      <c r="CF35" s="2651">
        <v>28.995799999999999</v>
      </c>
      <c r="CG35" s="2651">
        <v>29.960799999999999</v>
      </c>
      <c r="CH35" s="2651">
        <v>29.9358</v>
      </c>
      <c r="CI35" s="2651">
        <v>30.529914999999999</v>
      </c>
      <c r="CJ35" s="2651">
        <v>30.758495454545457</v>
      </c>
      <c r="CK35" s="2651">
        <v>30.491508695652168</v>
      </c>
      <c r="CL35" s="2651">
        <v>30.580559999999998</v>
      </c>
      <c r="CM35" s="2651">
        <v>30.739638095238092</v>
      </c>
      <c r="CN35" s="2651">
        <v>30.574972727272733</v>
      </c>
      <c r="CO35" s="2651">
        <v>30.526254999999999</v>
      </c>
      <c r="CP35" s="2651">
        <v>29.404</v>
      </c>
      <c r="CQ35" s="2651">
        <v>30.367096466572946</v>
      </c>
      <c r="CR35" s="2651">
        <v>30.101642702534516</v>
      </c>
      <c r="CS35" s="2651">
        <v>31.318911415157316</v>
      </c>
      <c r="CT35" s="2651">
        <v>31.560772432947495</v>
      </c>
      <c r="CU35" s="2651">
        <v>31.333431707080347</v>
      </c>
      <c r="CV35" s="2651">
        <v>32.34166974693634</v>
      </c>
      <c r="CW35" s="2651">
        <v>32.424401345729812</v>
      </c>
      <c r="CX35" s="2651">
        <v>31.98539608510147</v>
      </c>
      <c r="CY35" s="2651">
        <v>32.540519347357375</v>
      </c>
      <c r="CZ35" s="2651">
        <v>32.143370290013429</v>
      </c>
      <c r="DA35" s="2651">
        <v>32.687098743326437</v>
      </c>
      <c r="DB35" s="2651">
        <v>34.164880077421074</v>
      </c>
      <c r="DC35" s="2651">
        <v>35.073493335868726</v>
      </c>
      <c r="DD35" s="2651">
        <v>36.938373618955467</v>
      </c>
      <c r="DE35" s="2651">
        <v>33.522896861722046</v>
      </c>
      <c r="DF35" s="2651">
        <v>32.940132570404089</v>
      </c>
      <c r="DG35" s="2651">
        <v>32.631981889323313</v>
      </c>
      <c r="DH35" s="2651">
        <v>32.12002594736542</v>
      </c>
      <c r="DI35" s="2651">
        <v>32.008933689835402</v>
      </c>
      <c r="DJ35" s="2651">
        <v>32.584446394653597</v>
      </c>
      <c r="DK35" s="2651">
        <v>32.544198005631692</v>
      </c>
      <c r="DL35" s="2651">
        <v>32.547496948851574</v>
      </c>
      <c r="DM35" s="2651">
        <v>32.045384894727938</v>
      </c>
      <c r="DN35" s="2651">
        <v>32.326526565066331</v>
      </c>
      <c r="DO35" s="2651">
        <v>32.446190471738937</v>
      </c>
      <c r="DP35" s="2651">
        <v>32.349890677758879</v>
      </c>
      <c r="DQ35" s="2651">
        <v>32.921402274366635</v>
      </c>
      <c r="DR35" s="2651">
        <v>33.56317891110902</v>
      </c>
      <c r="DS35" s="2651">
        <v>33.620944286596142</v>
      </c>
      <c r="DT35" s="2651">
        <v>33.87942714991911</v>
      </c>
      <c r="DU35" s="2651">
        <v>33.482000641837146</v>
      </c>
      <c r="DV35" s="2651">
        <v>33.644336495333903</v>
      </c>
      <c r="DW35" s="2651">
        <v>33.202552792325392</v>
      </c>
      <c r="DX35" s="2711">
        <v>33.58852054607091</v>
      </c>
      <c r="DY35" s="2711">
        <v>32.98489892011316</v>
      </c>
      <c r="DZ35" s="2711">
        <v>33.622921813261094</v>
      </c>
      <c r="EA35" s="2711">
        <v>33.365411879552788</v>
      </c>
      <c r="EB35" s="2711">
        <v>33.794220401829655</v>
      </c>
      <c r="EC35" s="2711">
        <v>33.872531969098993</v>
      </c>
      <c r="ED35" s="2711">
        <v>34.177164998813303</v>
      </c>
      <c r="EE35" s="2711">
        <v>33.914881686720776</v>
      </c>
      <c r="EF35" s="2711">
        <v>34.384516562301435</v>
      </c>
      <c r="EG35" s="2711">
        <v>34.002848663691381</v>
      </c>
      <c r="EH35" s="2711">
        <v>34.358601326841324</v>
      </c>
      <c r="EI35" s="2711">
        <v>34.728895806029115</v>
      </c>
      <c r="EJ35" s="2711">
        <v>34.662762353722385</v>
      </c>
      <c r="EK35" s="2711">
        <v>34.512673559385981</v>
      </c>
      <c r="EL35" s="2711">
        <v>34.360934230235934</v>
      </c>
      <c r="EM35" s="2711">
        <v>34.364150449734439</v>
      </c>
      <c r="EN35" s="2711">
        <v>34.129278026217939</v>
      </c>
      <c r="EO35" s="2711">
        <v>33.805663946657901</v>
      </c>
      <c r="EP35" s="2711">
        <v>33.462757747549617</v>
      </c>
      <c r="EQ35" s="2711">
        <v>33.179074007052591</v>
      </c>
      <c r="ER35" s="2711">
        <v>32.876832149493666</v>
      </c>
      <c r="ES35" s="2711">
        <v>34.966779077059201</v>
      </c>
      <c r="ET35" s="2711">
        <v>35.868983344404981</v>
      </c>
      <c r="EU35" s="2711">
        <v>36.824011099038096</v>
      </c>
      <c r="EV35" s="2711">
        <v>38.23150718956628</v>
      </c>
      <c r="EW35" s="2711">
        <v>38.329209954325414</v>
      </c>
      <c r="EX35" s="2711">
        <v>38.455866558441556</v>
      </c>
      <c r="EY35" s="2711">
        <v>37.917449689440993</v>
      </c>
      <c r="EZ35" s="2711">
        <v>37.28272278911566</v>
      </c>
      <c r="FA35" s="2711">
        <v>37.106617346938783</v>
      </c>
      <c r="FB35" s="2711">
        <v>37.52845389610389</v>
      </c>
      <c r="FC35" s="2711">
        <v>36.581399999999995</v>
      </c>
      <c r="FD35" s="2711">
        <v>36.956745454545455</v>
      </c>
      <c r="FE35" s="2711">
        <v>36.578369999999993</v>
      </c>
      <c r="FF35" s="2711">
        <v>36.84281578947369</v>
      </c>
      <c r="FG35" s="2711">
        <v>37.02895909090909</v>
      </c>
      <c r="FH35" s="2711">
        <v>37.337454999999999</v>
      </c>
      <c r="FI35" s="2712">
        <v>36.942261188811194</v>
      </c>
    </row>
    <row r="36" spans="1:165" s="2603" customFormat="1" ht="21" customHeight="1" x14ac:dyDescent="0.25">
      <c r="A36" s="2632" t="s">
        <v>4318</v>
      </c>
      <c r="B36" s="2702">
        <v>30.48</v>
      </c>
      <c r="C36" s="2702">
        <v>30.515999999999998</v>
      </c>
      <c r="D36" s="2709">
        <v>30.411568181818176</v>
      </c>
      <c r="E36" s="2709">
        <v>30.28931</v>
      </c>
      <c r="F36" s="2709">
        <v>30.076565217391302</v>
      </c>
      <c r="G36" s="2709">
        <v>29.938290476190474</v>
      </c>
      <c r="H36" s="2709">
        <v>29.885439999999999</v>
      </c>
      <c r="I36" s="2709">
        <v>29.876999999999999</v>
      </c>
      <c r="J36" s="2709">
        <v>29.739000000000001</v>
      </c>
      <c r="K36" s="2709">
        <v>29.605989999999998</v>
      </c>
      <c r="L36" s="2709">
        <v>29.05</v>
      </c>
      <c r="M36" s="2709">
        <v>28.125</v>
      </c>
      <c r="N36" s="2709">
        <v>27.860099999999999</v>
      </c>
      <c r="O36" s="2709">
        <v>27.677</v>
      </c>
      <c r="P36" s="2709">
        <v>27.815000000000001</v>
      </c>
      <c r="Q36" s="2709">
        <v>28.588999999999999</v>
      </c>
      <c r="R36" s="2709">
        <v>29.77</v>
      </c>
      <c r="S36" s="2709">
        <v>29.466000000000001</v>
      </c>
      <c r="T36" s="2709">
        <v>29.350999999999999</v>
      </c>
      <c r="U36" s="2709">
        <v>28.904</v>
      </c>
      <c r="V36" s="2709">
        <v>28.623999999999999</v>
      </c>
      <c r="W36" s="2709">
        <v>27.271999999999998</v>
      </c>
      <c r="X36" s="2710">
        <v>26.442</v>
      </c>
      <c r="Y36" s="2651">
        <v>26.079000000000001</v>
      </c>
      <c r="Z36" s="2656">
        <v>26.469000000000001</v>
      </c>
      <c r="AA36" s="2651">
        <v>27.405999999999999</v>
      </c>
      <c r="AB36" s="2656">
        <v>28.221</v>
      </c>
      <c r="AC36" s="2651">
        <v>28.42</v>
      </c>
      <c r="AD36" s="2656">
        <v>28.491</v>
      </c>
      <c r="AE36" s="2651">
        <v>28.62</v>
      </c>
      <c r="AF36" s="2656">
        <v>28.780999999999999</v>
      </c>
      <c r="AG36" s="2651">
        <v>28.814</v>
      </c>
      <c r="AH36" s="2656">
        <v>28.745000000000001</v>
      </c>
      <c r="AI36" s="2651">
        <v>28.565000000000001</v>
      </c>
      <c r="AJ36" s="2656">
        <v>28.663</v>
      </c>
      <c r="AK36" s="2655">
        <v>29.161000000000001</v>
      </c>
      <c r="AL36" s="2655">
        <v>29.311199999999999</v>
      </c>
      <c r="AM36" s="2651">
        <v>29.378299999999999</v>
      </c>
      <c r="AN36" s="2655">
        <v>29.5322</v>
      </c>
      <c r="AO36" s="2651">
        <v>29.7195</v>
      </c>
      <c r="AP36" s="2656">
        <v>29.929600000000001</v>
      </c>
      <c r="AQ36" s="2651">
        <v>30.129200000000001</v>
      </c>
      <c r="AR36" s="2656">
        <v>30.528500000000001</v>
      </c>
      <c r="AS36" s="2655">
        <v>30.6585</v>
      </c>
      <c r="AT36" s="2655">
        <v>30.772099999999998</v>
      </c>
      <c r="AU36" s="2655">
        <v>30.7911</v>
      </c>
      <c r="AV36" s="2651">
        <v>30.849599999999999</v>
      </c>
      <c r="AW36" s="2651">
        <v>30.909300000000002</v>
      </c>
      <c r="AX36" s="2656">
        <v>30.974599999999999</v>
      </c>
      <c r="AY36" s="2655">
        <v>30.979399999999998</v>
      </c>
      <c r="AZ36" s="2651">
        <v>30.987500000000001</v>
      </c>
      <c r="BA36" s="2656">
        <v>31.266999999999999</v>
      </c>
      <c r="BB36" s="2655">
        <v>32.0807</v>
      </c>
      <c r="BC36" s="2655">
        <v>32.616700000000002</v>
      </c>
      <c r="BD36" s="2651">
        <v>32.846499999999999</v>
      </c>
      <c r="BE36" s="2656">
        <v>33.113</v>
      </c>
      <c r="BF36" s="2655">
        <v>33.304900000000004</v>
      </c>
      <c r="BG36" s="2651">
        <v>33.567799999999998</v>
      </c>
      <c r="BH36" s="2656">
        <v>33.511099999999999</v>
      </c>
      <c r="BI36" s="2655">
        <v>33.086199999999998</v>
      </c>
      <c r="BJ36" s="2655">
        <v>32.654699999999998</v>
      </c>
      <c r="BK36" s="2655">
        <v>31.895800000000001</v>
      </c>
      <c r="BL36" s="2655">
        <v>31.992000000000001</v>
      </c>
      <c r="BM36" s="2655">
        <v>31.892700000000001</v>
      </c>
      <c r="BN36" s="2651">
        <v>31.524799999999999</v>
      </c>
      <c r="BO36" s="2651">
        <v>31.4406</v>
      </c>
      <c r="BP36" s="2651">
        <v>30.9251</v>
      </c>
      <c r="BQ36" s="2651">
        <v>30.692</v>
      </c>
      <c r="BR36" s="2651">
        <v>29.962800000000001</v>
      </c>
      <c r="BS36" s="2651">
        <v>29.1815</v>
      </c>
      <c r="BT36" s="2651">
        <v>28.791699999999999</v>
      </c>
      <c r="BU36" s="2651">
        <v>27.340900000000001</v>
      </c>
      <c r="BV36" s="2651">
        <v>26.566099999999999</v>
      </c>
      <c r="BW36" s="2655">
        <v>27.6828</v>
      </c>
      <c r="BX36" s="2655">
        <v>27.789100000000001</v>
      </c>
      <c r="BY36" s="2655">
        <v>27.296099999999999</v>
      </c>
      <c r="BZ36" s="2651">
        <v>28.122499999999999</v>
      </c>
      <c r="CA36" s="2651">
        <v>29.536000000000001</v>
      </c>
      <c r="CB36" s="2651">
        <v>30.868200000000002</v>
      </c>
      <c r="CC36" s="2651">
        <v>32.529899999999998</v>
      </c>
      <c r="CD36" s="2651">
        <v>32.531300000000002</v>
      </c>
      <c r="CE36" s="2651">
        <v>32.883299999999998</v>
      </c>
      <c r="CF36" s="2651">
        <v>33.808900000000001</v>
      </c>
      <c r="CG36" s="2651">
        <v>34.463099999999997</v>
      </c>
      <c r="CH36" s="2651">
        <v>34.204099999999997</v>
      </c>
      <c r="CI36" s="2651">
        <v>33.680095000000001</v>
      </c>
      <c r="CJ36" s="2651">
        <v>33.103550000000006</v>
      </c>
      <c r="CK36" s="2651">
        <v>32.852173913043487</v>
      </c>
      <c r="CL36" s="2651">
        <v>32.630909999999993</v>
      </c>
      <c r="CM36" s="2651">
        <v>31.966957142857144</v>
      </c>
      <c r="CN36" s="2651">
        <v>31.282936363636363</v>
      </c>
      <c r="CO36" s="2651">
        <v>30.84427500000001</v>
      </c>
      <c r="CP36" s="2651">
        <v>33.222999999999999</v>
      </c>
      <c r="CQ36" s="2651">
        <v>31.974693871171336</v>
      </c>
      <c r="CR36" s="2651">
        <v>31.276929178596401</v>
      </c>
      <c r="CS36" s="2651">
        <v>31.332206832108845</v>
      </c>
      <c r="CT36" s="2651">
        <v>30.540046698956036</v>
      </c>
      <c r="CU36" s="2651">
        <v>30.823271424995873</v>
      </c>
      <c r="CV36" s="2651">
        <v>31.312730052763982</v>
      </c>
      <c r="CW36" s="2651">
        <v>31.000889127687969</v>
      </c>
      <c r="CX36" s="2651">
        <v>30.356005798710314</v>
      </c>
      <c r="CY36" s="2651">
        <v>29.754140958782465</v>
      </c>
      <c r="CZ36" s="2651">
        <v>28.813938185803568</v>
      </c>
      <c r="DA36" s="2651">
        <v>28.525412085357139</v>
      </c>
      <c r="DB36" s="2651">
        <v>28.716500147500007</v>
      </c>
      <c r="DC36" s="2651">
        <v>28.880026576496601</v>
      </c>
      <c r="DD36" s="2651">
        <v>28.72296722483766</v>
      </c>
      <c r="DE36" s="2651">
        <v>29.207330984829934</v>
      </c>
      <c r="DF36" s="2651">
        <v>29.596017442714281</v>
      </c>
      <c r="DG36" s="2651">
        <v>29.678089665821425</v>
      </c>
      <c r="DH36" s="2651">
        <v>29.934107816980518</v>
      </c>
      <c r="DI36" s="2651">
        <v>30.005328842285714</v>
      </c>
      <c r="DJ36" s="2651">
        <v>29.693063409722228</v>
      </c>
      <c r="DK36" s="2651">
        <v>29.680604799999998</v>
      </c>
      <c r="DL36" s="2651">
        <v>29.716380008707482</v>
      </c>
      <c r="DM36" s="2651">
        <v>30.05609916402598</v>
      </c>
      <c r="DN36" s="2651">
        <v>30.932721267006801</v>
      </c>
      <c r="DO36" s="2651">
        <v>31.653170896103902</v>
      </c>
      <c r="DP36" s="2651">
        <v>31.337346506802717</v>
      </c>
      <c r="DQ36" s="2651">
        <v>30.914747535714284</v>
      </c>
      <c r="DR36" s="2651">
        <v>31.306451739130431</v>
      </c>
      <c r="DS36" s="2651">
        <v>31.525007057142865</v>
      </c>
      <c r="DT36" s="2651">
        <v>31.171176964285706</v>
      </c>
      <c r="DU36" s="2651">
        <v>30.936054421768702</v>
      </c>
      <c r="DV36" s="2651">
        <v>30.917318646616536</v>
      </c>
      <c r="DW36" s="2651">
        <v>31.334401928571424</v>
      </c>
      <c r="DX36" s="2711">
        <v>31.392931992857143</v>
      </c>
      <c r="DY36" s="2711">
        <v>31.444321055194813</v>
      </c>
      <c r="DZ36" s="2711">
        <v>31.292577892857146</v>
      </c>
      <c r="EA36" s="2711">
        <v>31.438483183229817</v>
      </c>
      <c r="EB36" s="2711">
        <v>31.234327261904767</v>
      </c>
      <c r="EC36" s="2711">
        <v>31.235243946428568</v>
      </c>
      <c r="ED36" s="2711">
        <v>30.829681149068325</v>
      </c>
      <c r="EE36" s="2711">
        <v>30.944521853571427</v>
      </c>
      <c r="EF36" s="2711">
        <v>30.715731275510194</v>
      </c>
      <c r="EG36" s="2711">
        <v>30.719229398496239</v>
      </c>
      <c r="EH36" s="2711">
        <v>30.698071650793647</v>
      </c>
      <c r="EI36" s="2711">
        <v>30.554526879699246</v>
      </c>
      <c r="EJ36" s="2711">
        <v>30.573887902597402</v>
      </c>
      <c r="EK36" s="2711">
        <v>30.613980391156463</v>
      </c>
      <c r="EL36" s="2711">
        <v>30.745648513605445</v>
      </c>
      <c r="EM36" s="2711">
        <v>30.763624523181818</v>
      </c>
      <c r="EN36" s="2711">
        <v>31.000125085050001</v>
      </c>
      <c r="EO36" s="2711">
        <v>31.507607231610393</v>
      </c>
      <c r="EP36" s="2711">
        <v>31.742292358116881</v>
      </c>
      <c r="EQ36" s="2711">
        <v>31.868674363750007</v>
      </c>
      <c r="ER36" s="2711">
        <v>31.974671007653054</v>
      </c>
      <c r="ES36" s="2711">
        <v>32.706129572142864</v>
      </c>
      <c r="ET36" s="2711">
        <v>33.375906683109243</v>
      </c>
      <c r="EU36" s="2711">
        <v>35.853929457993196</v>
      </c>
      <c r="EV36" s="2711">
        <v>36.62090454545455</v>
      </c>
      <c r="EW36" s="2711">
        <v>35.564990000000009</v>
      </c>
      <c r="EX36" s="2711">
        <v>35.68950357142856</v>
      </c>
      <c r="EY36" s="2711">
        <v>35.990642857142859</v>
      </c>
      <c r="EZ36" s="2711">
        <v>35.958073469387749</v>
      </c>
      <c r="FA36" s="2711">
        <v>35.928473469387754</v>
      </c>
      <c r="FB36" s="2711">
        <v>36.218475974025985</v>
      </c>
      <c r="FC36" s="2711">
        <v>36.782142105263169</v>
      </c>
      <c r="FD36" s="2711">
        <v>36.636790909090912</v>
      </c>
      <c r="FE36" s="2711">
        <v>36.652145000000004</v>
      </c>
      <c r="FF36" s="2711">
        <v>36.378778947368424</v>
      </c>
      <c r="FG36" s="2711">
        <v>36.244327272727269</v>
      </c>
      <c r="FH36" s="2711">
        <v>35.877174999999994</v>
      </c>
      <c r="FI36" s="2712">
        <v>35.982452797202789</v>
      </c>
    </row>
    <row r="37" spans="1:165" s="2603" customFormat="1" ht="21" customHeight="1" x14ac:dyDescent="0.25">
      <c r="A37" s="2632" t="s">
        <v>4319</v>
      </c>
      <c r="B37" s="2702">
        <v>43.728999999999999</v>
      </c>
      <c r="C37" s="2702">
        <v>43.457000000000001</v>
      </c>
      <c r="D37" s="2709">
        <v>44.411136363636359</v>
      </c>
      <c r="E37" s="2709">
        <v>44.873800000000003</v>
      </c>
      <c r="F37" s="2709">
        <v>46.786782608695653</v>
      </c>
      <c r="G37" s="2709">
        <v>46.077190476190474</v>
      </c>
      <c r="H37" s="2709">
        <v>46.498899999999992</v>
      </c>
      <c r="I37" s="2709">
        <v>46.552999999999997</v>
      </c>
      <c r="J37" s="2709">
        <v>46.753</v>
      </c>
      <c r="K37" s="2709">
        <v>46.969099999999997</v>
      </c>
      <c r="L37" s="2709">
        <v>46.94</v>
      </c>
      <c r="M37" s="2709">
        <v>45.247999999999998</v>
      </c>
      <c r="N37" s="2709">
        <v>44.021799999999999</v>
      </c>
      <c r="O37" s="2709">
        <v>43.539000000000001</v>
      </c>
      <c r="P37" s="2709">
        <v>45.064999999999998</v>
      </c>
      <c r="Q37" s="2709">
        <v>47.393999999999998</v>
      </c>
      <c r="R37" s="2709">
        <v>48.311999999999998</v>
      </c>
      <c r="S37" s="2709">
        <v>46.908999999999999</v>
      </c>
      <c r="T37" s="2709">
        <v>47.237000000000002</v>
      </c>
      <c r="U37" s="2709">
        <v>48.387</v>
      </c>
      <c r="V37" s="2709">
        <v>48.26</v>
      </c>
      <c r="W37" s="2709">
        <v>47.637999999999998</v>
      </c>
      <c r="X37" s="2710">
        <v>48.09</v>
      </c>
      <c r="Y37" s="2651">
        <v>48.585000000000001</v>
      </c>
      <c r="Z37" s="2656">
        <v>48.39</v>
      </c>
      <c r="AA37" s="2651">
        <v>49.530999999999999</v>
      </c>
      <c r="AB37" s="2656">
        <v>50.45</v>
      </c>
      <c r="AC37" s="2651">
        <v>52.070999999999998</v>
      </c>
      <c r="AD37" s="2656">
        <v>52.654000000000003</v>
      </c>
      <c r="AE37" s="2651">
        <v>52.191000000000003</v>
      </c>
      <c r="AF37" s="2656">
        <v>51.664999999999999</v>
      </c>
      <c r="AG37" s="2651">
        <v>52.084000000000003</v>
      </c>
      <c r="AH37" s="2656">
        <v>53.478999999999999</v>
      </c>
      <c r="AI37" s="2651">
        <v>55.128999999999998</v>
      </c>
      <c r="AJ37" s="2656">
        <v>53.886000000000003</v>
      </c>
      <c r="AK37" s="2655">
        <v>55.552</v>
      </c>
      <c r="AL37" s="2655">
        <v>55.546999999999997</v>
      </c>
      <c r="AM37" s="2651">
        <v>54.582000000000001</v>
      </c>
      <c r="AN37" s="2655">
        <v>53.764400000000002</v>
      </c>
      <c r="AO37" s="2651">
        <v>52.118899999999996</v>
      </c>
      <c r="AP37" s="2656">
        <v>53.663699999999999</v>
      </c>
      <c r="AQ37" s="2651">
        <v>54.507399999999997</v>
      </c>
      <c r="AR37" s="2656">
        <v>53.908099999999997</v>
      </c>
      <c r="AS37" s="2655">
        <v>53.1374</v>
      </c>
      <c r="AT37" s="2655">
        <v>53.831800000000001</v>
      </c>
      <c r="AU37" s="2655">
        <v>54.496600000000001</v>
      </c>
      <c r="AV37" s="2651">
        <v>54.075000000000003</v>
      </c>
      <c r="AW37" s="2651">
        <v>54.119</v>
      </c>
      <c r="AX37" s="2656">
        <v>54.866999999999997</v>
      </c>
      <c r="AY37" s="2655">
        <v>58.089300000000001</v>
      </c>
      <c r="AZ37" s="2651">
        <v>57.344499999999996</v>
      </c>
      <c r="BA37" s="2656">
        <v>57.874600000000001</v>
      </c>
      <c r="BB37" s="2655">
        <v>61.101599999999998</v>
      </c>
      <c r="BC37" s="2655">
        <v>62.146799999999999</v>
      </c>
      <c r="BD37" s="2651">
        <v>62.403399999999998</v>
      </c>
      <c r="BE37" s="2656">
        <v>64.438999999999993</v>
      </c>
      <c r="BF37" s="2655">
        <v>66.757000000000005</v>
      </c>
      <c r="BG37" s="2651">
        <v>66.881399999999999</v>
      </c>
      <c r="BH37" s="2656">
        <v>66.0886</v>
      </c>
      <c r="BI37" s="2655">
        <v>64.609800000000007</v>
      </c>
      <c r="BJ37" s="2655">
        <v>64.9114</v>
      </c>
      <c r="BK37" s="2655">
        <v>63.135199999999998</v>
      </c>
      <c r="BL37" s="2655">
        <v>63.54</v>
      </c>
      <c r="BM37" s="2655">
        <v>64.853700000000003</v>
      </c>
      <c r="BN37" s="2651">
        <v>63.315199999999997</v>
      </c>
      <c r="BO37" s="2651">
        <v>63.431899999999999</v>
      </c>
      <c r="BP37" s="2651">
        <v>63.187199999999997</v>
      </c>
      <c r="BQ37" s="2651">
        <v>63.508000000000003</v>
      </c>
      <c r="BR37" s="2651">
        <v>60.499299999999998</v>
      </c>
      <c r="BS37" s="2651">
        <v>57.462400000000002</v>
      </c>
      <c r="BT37" s="2651">
        <v>56.447699999999998</v>
      </c>
      <c r="BU37" s="2651">
        <v>54.580100000000002</v>
      </c>
      <c r="BV37" s="2651">
        <v>52.476599999999998</v>
      </c>
      <c r="BW37" s="2655">
        <v>54.421500000000002</v>
      </c>
      <c r="BX37" s="2655">
        <v>54.688000000000002</v>
      </c>
      <c r="BY37" s="2655">
        <v>54.360100000000003</v>
      </c>
      <c r="BZ37" s="2651">
        <v>53.308599999999998</v>
      </c>
      <c r="CA37" s="2651">
        <v>53.242800000000003</v>
      </c>
      <c r="CB37" s="2651">
        <v>52.551699999999997</v>
      </c>
      <c r="CC37" s="2651">
        <v>50.118400000000001</v>
      </c>
      <c r="CD37" s="2651">
        <v>48.8065</v>
      </c>
      <c r="CE37" s="2651">
        <v>47.9435</v>
      </c>
      <c r="CF37" s="2651">
        <v>48.941099999999999</v>
      </c>
      <c r="CG37" s="2651">
        <v>49.177199999999999</v>
      </c>
      <c r="CH37" s="2651">
        <v>50.3904</v>
      </c>
      <c r="CI37" s="2651">
        <v>51.997425000000007</v>
      </c>
      <c r="CJ37" s="2651">
        <v>54.15423636363635</v>
      </c>
      <c r="CK37" s="2651">
        <v>53.77383913043478</v>
      </c>
      <c r="CL37" s="2651">
        <v>54.015855000000002</v>
      </c>
      <c r="CM37" s="2651">
        <v>52.218390476190471</v>
      </c>
      <c r="CN37" s="2651">
        <v>50.61692272727273</v>
      </c>
      <c r="CO37" s="2651">
        <v>51.228165000000004</v>
      </c>
      <c r="CP37" s="2651">
        <v>48.692999999999998</v>
      </c>
      <c r="CQ37" s="2651">
        <v>48.806878729562932</v>
      </c>
      <c r="CR37" s="2651">
        <v>48.958594615396649</v>
      </c>
      <c r="CS37" s="2651">
        <v>48.77421588518299</v>
      </c>
      <c r="CT37" s="2651">
        <v>48.390693699980176</v>
      </c>
      <c r="CU37" s="2651">
        <v>49.170999878195829</v>
      </c>
      <c r="CV37" s="2651">
        <v>48.849220701302791</v>
      </c>
      <c r="CW37" s="2651">
        <v>48.859723931757514</v>
      </c>
      <c r="CX37" s="2651">
        <v>48.967660895773207</v>
      </c>
      <c r="CY37" s="2651">
        <v>48.04873846943795</v>
      </c>
      <c r="CZ37" s="2651">
        <v>47.140436357137055</v>
      </c>
      <c r="DA37" s="2651">
        <v>46.644883418231572</v>
      </c>
      <c r="DB37" s="2651">
        <v>46.601999999999997</v>
      </c>
      <c r="DC37" s="2651">
        <v>46.606915109975475</v>
      </c>
      <c r="DD37" s="2651">
        <v>47.038349551055369</v>
      </c>
      <c r="DE37" s="2651">
        <v>46.102613001097964</v>
      </c>
      <c r="DF37" s="2651">
        <v>46.540730881416351</v>
      </c>
      <c r="DG37" s="2651">
        <v>46.851776451724426</v>
      </c>
      <c r="DH37" s="2651">
        <v>46.65938320057856</v>
      </c>
      <c r="DI37" s="2651">
        <v>46.506041449670001</v>
      </c>
      <c r="DJ37" s="2651">
        <v>46.882226647117442</v>
      </c>
      <c r="DK37" s="2651">
        <v>46.976751921753575</v>
      </c>
      <c r="DL37" s="2651">
        <v>47.515788821065975</v>
      </c>
      <c r="DM37" s="2651">
        <v>47.847977443803892</v>
      </c>
      <c r="DN37" s="2651">
        <v>48.074325805291835</v>
      </c>
      <c r="DO37" s="2651">
        <v>49.318251485604875</v>
      </c>
      <c r="DP37" s="2651">
        <v>49.198320199061222</v>
      </c>
      <c r="DQ37" s="2651">
        <v>49.769450572677449</v>
      </c>
      <c r="DR37" s="2651">
        <v>50.296109249531675</v>
      </c>
      <c r="DS37" s="2651">
        <v>50.357271021734284</v>
      </c>
      <c r="DT37" s="2651">
        <v>50.296383674850873</v>
      </c>
      <c r="DU37" s="2651">
        <v>49.329138781198374</v>
      </c>
      <c r="DV37" s="2651">
        <v>47.838994520413159</v>
      </c>
      <c r="DW37" s="2651">
        <v>47.28084500143077</v>
      </c>
      <c r="DX37" s="2711">
        <v>48.031743889321731</v>
      </c>
      <c r="DY37" s="2711">
        <v>48.101600739466932</v>
      </c>
      <c r="DZ37" s="2711">
        <v>48.511040084653153</v>
      </c>
      <c r="EA37" s="2711">
        <v>47.741576837549445</v>
      </c>
      <c r="EB37" s="2711">
        <v>48.32930820432172</v>
      </c>
      <c r="EC37" s="2711">
        <v>49.510648892855528</v>
      </c>
      <c r="ED37" s="2711">
        <v>49.53463940601354</v>
      </c>
      <c r="EE37" s="2711">
        <v>49.695637320513782</v>
      </c>
      <c r="EF37" s="2711">
        <v>50.201156482045903</v>
      </c>
      <c r="EG37" s="2711">
        <v>50.494718162538248</v>
      </c>
      <c r="EH37" s="2711">
        <v>50.738415048376332</v>
      </c>
      <c r="EI37" s="2711">
        <v>50.655478818344179</v>
      </c>
      <c r="EJ37" s="2711">
        <v>51.046950656861092</v>
      </c>
      <c r="EK37" s="2711">
        <v>51.441731019201356</v>
      </c>
      <c r="EL37" s="2711">
        <v>51.831212040949616</v>
      </c>
      <c r="EM37" s="2711">
        <v>52.437318183954424</v>
      </c>
      <c r="EN37" s="2711">
        <v>51.715894805268746</v>
      </c>
      <c r="EO37" s="2711">
        <v>51.418233563772198</v>
      </c>
      <c r="EP37" s="2711">
        <v>51.079201203750813</v>
      </c>
      <c r="EQ37" s="2711">
        <v>50.325105047614137</v>
      </c>
      <c r="ER37" s="2711">
        <v>49.973881402161375</v>
      </c>
      <c r="ES37" s="2711">
        <v>49.498058859823765</v>
      </c>
      <c r="ET37" s="2711">
        <v>51.21423242201989</v>
      </c>
      <c r="EU37" s="2711">
        <v>53.836417123879201</v>
      </c>
      <c r="EV37" s="2711">
        <v>54.727095454545449</v>
      </c>
      <c r="EW37" s="2711">
        <v>55.031993635273636</v>
      </c>
      <c r="EX37" s="2711">
        <v>55.533215909090906</v>
      </c>
      <c r="EY37" s="2711">
        <v>56.008599689440999</v>
      </c>
      <c r="EZ37" s="2711">
        <v>56.072920408163263</v>
      </c>
      <c r="FA37" s="2711">
        <v>55.089374489795915</v>
      </c>
      <c r="FB37" s="2711">
        <v>55.518673051948035</v>
      </c>
      <c r="FC37" s="2711">
        <v>55.927547368421052</v>
      </c>
      <c r="FD37" s="2711">
        <v>54.937600000000003</v>
      </c>
      <c r="FE37" s="2711">
        <v>52.814665000000005</v>
      </c>
      <c r="FF37" s="2711">
        <v>52.045984210526321</v>
      </c>
      <c r="FG37" s="2711">
        <v>51.527109090909086</v>
      </c>
      <c r="FH37" s="2711">
        <v>51.350039999999993</v>
      </c>
      <c r="FI37" s="2712">
        <v>52.302099650349653</v>
      </c>
    </row>
    <row r="38" spans="1:165" s="2603" customFormat="1" ht="21" customHeight="1" x14ac:dyDescent="0.25">
      <c r="A38" s="2632" t="s">
        <v>3558</v>
      </c>
      <c r="B38" s="2702">
        <v>26.988</v>
      </c>
      <c r="C38" s="2702">
        <v>26.56</v>
      </c>
      <c r="D38" s="2709">
        <v>27.893154545454539</v>
      </c>
      <c r="E38" s="2710">
        <v>28.911529999999992</v>
      </c>
      <c r="F38" s="2709">
        <v>29.871547826086953</v>
      </c>
      <c r="G38" s="2709">
        <v>29.293201428571429</v>
      </c>
      <c r="H38" s="2709">
        <v>29.332744999999999</v>
      </c>
      <c r="I38" s="2709">
        <v>29.332999999999998</v>
      </c>
      <c r="J38" s="2709">
        <v>29.795999999999999</v>
      </c>
      <c r="K38" s="2709">
        <v>30.186250000000001</v>
      </c>
      <c r="L38" s="2709">
        <v>30.849</v>
      </c>
      <c r="M38" s="2709">
        <v>30.256</v>
      </c>
      <c r="N38" s="2709">
        <v>30.021699999999999</v>
      </c>
      <c r="O38" s="2709">
        <v>30.023</v>
      </c>
      <c r="P38" s="2709">
        <v>32.133000000000003</v>
      </c>
      <c r="Q38" s="2709">
        <v>33.326000000000001</v>
      </c>
      <c r="R38" s="2709">
        <v>33.813000000000002</v>
      </c>
      <c r="S38" s="2709">
        <v>32.808999999999997</v>
      </c>
      <c r="T38" s="2709">
        <v>32.93</v>
      </c>
      <c r="U38" s="2709">
        <v>33.767000000000003</v>
      </c>
      <c r="V38" s="2709">
        <v>33.417999999999999</v>
      </c>
      <c r="W38" s="2709">
        <v>33.418999999999997</v>
      </c>
      <c r="X38" s="2710">
        <v>33.226999999999997</v>
      </c>
      <c r="Y38" s="2651">
        <v>32.749000000000002</v>
      </c>
      <c r="Z38" s="2656">
        <v>32.326000000000001</v>
      </c>
      <c r="AA38" s="2651">
        <v>32.841000000000001</v>
      </c>
      <c r="AB38" s="2656">
        <v>33.851999999999997</v>
      </c>
      <c r="AC38" s="2651">
        <v>34.515999999999998</v>
      </c>
      <c r="AD38" s="2656">
        <v>35.011000000000003</v>
      </c>
      <c r="AE38" s="2651">
        <v>34.917999999999999</v>
      </c>
      <c r="AF38" s="2656">
        <v>35.198999999999998</v>
      </c>
      <c r="AG38" s="2651">
        <v>36.01</v>
      </c>
      <c r="AH38" s="2656">
        <v>37.374000000000002</v>
      </c>
      <c r="AI38" s="2651">
        <v>38.311</v>
      </c>
      <c r="AJ38" s="2656">
        <v>37.639000000000003</v>
      </c>
      <c r="AK38" s="2655">
        <v>38.488</v>
      </c>
      <c r="AL38" s="2655">
        <v>37.937100000000001</v>
      </c>
      <c r="AM38" s="2651">
        <v>37.3324</v>
      </c>
      <c r="AN38" s="2655">
        <v>35.9617</v>
      </c>
      <c r="AO38" s="2651">
        <v>35.831400000000002</v>
      </c>
      <c r="AP38" s="2656">
        <v>36.8018</v>
      </c>
      <c r="AQ38" s="2651">
        <v>36.947200000000002</v>
      </c>
      <c r="AR38" s="2656">
        <v>36.759</v>
      </c>
      <c r="AS38" s="2655">
        <v>36.128300000000003</v>
      </c>
      <c r="AT38" s="2655">
        <v>36.570300000000003</v>
      </c>
      <c r="AU38" s="2655">
        <v>37.427500000000002</v>
      </c>
      <c r="AV38" s="2651">
        <v>36.978200000000001</v>
      </c>
      <c r="AW38" s="2651">
        <v>37.3033</v>
      </c>
      <c r="AX38" s="2656">
        <v>38.146900000000002</v>
      </c>
      <c r="AY38" s="2655">
        <v>39.7316</v>
      </c>
      <c r="AZ38" s="2651">
        <v>39.474299999999999</v>
      </c>
      <c r="BA38" s="2656">
        <v>40.032299999999999</v>
      </c>
      <c r="BB38" s="2655">
        <v>41.585099999999997</v>
      </c>
      <c r="BC38" s="2655">
        <v>42.183900000000001</v>
      </c>
      <c r="BD38" s="2651">
        <v>42.297400000000003</v>
      </c>
      <c r="BE38" s="2656">
        <v>43.722000000000001</v>
      </c>
      <c r="BF38" s="2655">
        <v>45.226199999999999</v>
      </c>
      <c r="BG38" s="2651">
        <v>44.5914</v>
      </c>
      <c r="BH38" s="2656">
        <v>44.027700000000003</v>
      </c>
      <c r="BI38" s="2655">
        <v>43.876100000000001</v>
      </c>
      <c r="BJ38" s="2655">
        <v>44.061399999999999</v>
      </c>
      <c r="BK38" s="2655">
        <v>42.864899999999999</v>
      </c>
      <c r="BL38" s="2655">
        <v>42.908000000000001</v>
      </c>
      <c r="BM38" s="2655">
        <v>43.735300000000002</v>
      </c>
      <c r="BN38" s="2651">
        <v>42.918399999999998</v>
      </c>
      <c r="BO38" s="2651">
        <v>43.683599999999998</v>
      </c>
      <c r="BP38" s="2651">
        <v>44.004899999999999</v>
      </c>
      <c r="BQ38" s="2651">
        <v>45.140999999999998</v>
      </c>
      <c r="BR38" s="2651">
        <v>43.5959</v>
      </c>
      <c r="BS38" s="2651">
        <v>42.938000000000002</v>
      </c>
      <c r="BT38" s="2651">
        <v>42.346400000000003</v>
      </c>
      <c r="BU38" s="2651">
        <v>42.311100000000003</v>
      </c>
      <c r="BV38" s="2651">
        <v>41.720599999999997</v>
      </c>
      <c r="BW38" s="2655">
        <v>43.08</v>
      </c>
      <c r="BX38" s="2655">
        <v>43.280200000000001</v>
      </c>
      <c r="BY38" s="2655">
        <v>43.126800000000003</v>
      </c>
      <c r="BZ38" s="2651">
        <v>42.257300000000001</v>
      </c>
      <c r="CA38" s="2651">
        <v>42.547600000000003</v>
      </c>
      <c r="CB38" s="2651">
        <v>41.288400000000003</v>
      </c>
      <c r="CC38" s="2651">
        <v>41.592799999999997</v>
      </c>
      <c r="CD38" s="2651">
        <v>44.098999999999997</v>
      </c>
      <c r="CE38" s="2651">
        <v>43.933900000000001</v>
      </c>
      <c r="CF38" s="2651">
        <v>43.467500000000001</v>
      </c>
      <c r="CG38" s="2651">
        <v>45.121200000000002</v>
      </c>
      <c r="CH38" s="2651">
        <v>45.264800000000001</v>
      </c>
      <c r="CI38" s="2651">
        <v>46.021804999999993</v>
      </c>
      <c r="CJ38" s="2651">
        <v>46.389254545454556</v>
      </c>
      <c r="CK38" s="2651">
        <v>46.219386956521745</v>
      </c>
      <c r="CL38" s="2651">
        <v>46.508844999999994</v>
      </c>
      <c r="CM38" s="2651">
        <v>46.451747619047616</v>
      </c>
      <c r="CN38" s="2651">
        <v>46.273659090909085</v>
      </c>
      <c r="CO38" s="2651">
        <v>45.969035000000005</v>
      </c>
      <c r="CP38" s="2651">
        <v>41.761000000000003</v>
      </c>
      <c r="CQ38" s="2651">
        <v>40.788937688107772</v>
      </c>
      <c r="CR38" s="2651">
        <v>40.353235643284414</v>
      </c>
      <c r="CS38" s="2651">
        <v>40.898157033266315</v>
      </c>
      <c r="CT38" s="2651">
        <v>42.381500572960199</v>
      </c>
      <c r="CU38" s="2651">
        <v>42.029289971006563</v>
      </c>
      <c r="CV38" s="2651">
        <v>41.376235680734169</v>
      </c>
      <c r="CW38" s="2651">
        <v>41.382492427934586</v>
      </c>
      <c r="CX38" s="2651">
        <v>41.454518391591272</v>
      </c>
      <c r="CY38" s="2651">
        <v>41.653467054852328</v>
      </c>
      <c r="CZ38" s="2651">
        <v>41.62362382545107</v>
      </c>
      <c r="DA38" s="2651">
        <v>40.920233868964353</v>
      </c>
      <c r="DB38" s="2651">
        <v>41.322000000000003</v>
      </c>
      <c r="DC38" s="2651">
        <v>41.295400092087753</v>
      </c>
      <c r="DD38" s="2651">
        <v>41.190157325024842</v>
      </c>
      <c r="DE38" s="2651">
        <v>40.171026975144891</v>
      </c>
      <c r="DF38" s="2651">
        <v>40.513264656413895</v>
      </c>
      <c r="DG38" s="2651">
        <v>40.215295007276538</v>
      </c>
      <c r="DH38" s="2651">
        <v>39.430396342392854</v>
      </c>
      <c r="DI38" s="2651">
        <v>38.731369771281429</v>
      </c>
      <c r="DJ38" s="2651">
        <v>39.324573475240669</v>
      </c>
      <c r="DK38" s="2651">
        <v>39.262034004392312</v>
      </c>
      <c r="DL38" s="2651">
        <v>39.130394517650693</v>
      </c>
      <c r="DM38" s="2651">
        <v>38.469562545023344</v>
      </c>
      <c r="DN38" s="2651">
        <v>38.816736706118711</v>
      </c>
      <c r="DO38" s="2651">
        <v>38.953894707309182</v>
      </c>
      <c r="DP38" s="2651">
        <v>38.853427035586158</v>
      </c>
      <c r="DQ38" s="2651">
        <v>39.746504392379592</v>
      </c>
      <c r="DR38" s="2651">
        <v>40.567579824156667</v>
      </c>
      <c r="DS38" s="2651">
        <v>40.48995420486964</v>
      </c>
      <c r="DT38" s="2651">
        <v>40.874716756091793</v>
      </c>
      <c r="DU38" s="2651">
        <v>41.070415856300805</v>
      </c>
      <c r="DV38" s="2651">
        <v>41.243199117533813</v>
      </c>
      <c r="DW38" s="2651">
        <v>40.609226301103234</v>
      </c>
      <c r="DX38" s="2711">
        <v>40.88262855513814</v>
      </c>
      <c r="DY38" s="2711">
        <v>40.834681363313365</v>
      </c>
      <c r="DZ38" s="2711">
        <v>41.330157811438049</v>
      </c>
      <c r="EA38" s="2711">
        <v>41.13710754342079</v>
      </c>
      <c r="EB38" s="2711">
        <v>41.582836676494189</v>
      </c>
      <c r="EC38" s="2711">
        <v>41.693499965664742</v>
      </c>
      <c r="ED38" s="2711">
        <v>41.949048926622815</v>
      </c>
      <c r="EE38" s="2711">
        <v>41.637729421964714</v>
      </c>
      <c r="EF38" s="2711">
        <v>41.97991694485237</v>
      </c>
      <c r="EG38" s="2711">
        <v>41.755562255745602</v>
      </c>
      <c r="EH38" s="2711">
        <v>41.839638913033951</v>
      </c>
      <c r="EI38" s="2711">
        <v>42.136577356869346</v>
      </c>
      <c r="EJ38" s="2711">
        <v>42.108483090364707</v>
      </c>
      <c r="EK38" s="2711">
        <v>41.945176383325538</v>
      </c>
      <c r="EL38" s="2711">
        <v>41.703571540941233</v>
      </c>
      <c r="EM38" s="2711">
        <v>41.596919425794077</v>
      </c>
      <c r="EN38" s="2711">
        <v>41.226916909619192</v>
      </c>
      <c r="EO38" s="2711">
        <v>40.704755216096331</v>
      </c>
      <c r="EP38" s="2711">
        <v>40.302599408758461</v>
      </c>
      <c r="EQ38" s="2711">
        <v>39.777140056003319</v>
      </c>
      <c r="ER38" s="2711">
        <v>39.401533869309958</v>
      </c>
      <c r="ES38" s="2711">
        <v>37.968228883836296</v>
      </c>
      <c r="ET38" s="2711">
        <v>37.947652667686661</v>
      </c>
      <c r="EU38" s="2711">
        <v>38.980029326587143</v>
      </c>
      <c r="EV38" s="2711">
        <v>39.550600000000003</v>
      </c>
      <c r="EW38" s="2711">
        <v>39.687854999999999</v>
      </c>
      <c r="EX38" s="2711">
        <v>40.008099999999999</v>
      </c>
      <c r="EY38" s="2711">
        <v>39.593060869565214</v>
      </c>
      <c r="EZ38" s="2711">
        <v>40.040976190476194</v>
      </c>
      <c r="FA38" s="2711">
        <v>40.3524200680272</v>
      </c>
      <c r="FB38" s="2711">
        <v>40.687945129870123</v>
      </c>
      <c r="FC38" s="2711">
        <v>39.50540526315789</v>
      </c>
      <c r="FD38" s="2711">
        <v>39.860745454545459</v>
      </c>
      <c r="FE38" s="2711">
        <v>39.828249999999997</v>
      </c>
      <c r="FF38" s="2711">
        <v>40.423894736842108</v>
      </c>
      <c r="FG38" s="2711">
        <v>40.289445454545458</v>
      </c>
      <c r="FH38" s="2711">
        <v>40.686095000000009</v>
      </c>
      <c r="FI38" s="2712">
        <v>40.712061538461541</v>
      </c>
    </row>
    <row r="39" spans="1:165" s="2603" customFormat="1" ht="9" customHeight="1" thickBot="1" x14ac:dyDescent="0.3">
      <c r="A39" s="2715"/>
      <c r="B39" s="2716"/>
      <c r="C39" s="2716"/>
      <c r="D39" s="2717"/>
      <c r="E39" s="2717"/>
      <c r="F39" s="2717"/>
      <c r="G39" s="2718"/>
      <c r="H39" s="2717"/>
      <c r="I39" s="2717"/>
      <c r="J39" s="2717"/>
      <c r="K39" s="2717"/>
      <c r="L39" s="2717"/>
      <c r="M39" s="2717"/>
      <c r="N39" s="2717"/>
      <c r="O39" s="2717"/>
      <c r="P39" s="2717"/>
      <c r="Q39" s="2717"/>
      <c r="R39" s="2717"/>
      <c r="S39" s="2717"/>
      <c r="T39" s="2717"/>
      <c r="U39" s="2717"/>
      <c r="V39" s="2717"/>
      <c r="W39" s="2717"/>
      <c r="X39" s="2719"/>
      <c r="Y39" s="2666"/>
      <c r="Z39" s="2668"/>
      <c r="AA39" s="2666"/>
      <c r="AB39" s="2668"/>
      <c r="AC39" s="2666"/>
      <c r="AD39" s="2668"/>
      <c r="AE39" s="2666"/>
      <c r="AF39" s="2668"/>
      <c r="AG39" s="2666"/>
      <c r="AH39" s="2668"/>
      <c r="AI39" s="2666"/>
      <c r="AJ39" s="2666"/>
      <c r="AK39" s="2667"/>
      <c r="AL39" s="2667"/>
      <c r="AM39" s="2666"/>
      <c r="AN39" s="2667"/>
      <c r="AO39" s="2666"/>
      <c r="AP39" s="2668"/>
      <c r="AQ39" s="2666"/>
      <c r="AR39" s="2668"/>
      <c r="AS39" s="2667"/>
      <c r="AT39" s="2667"/>
      <c r="AU39" s="2669"/>
      <c r="AV39" s="2670"/>
      <c r="AW39" s="2670"/>
      <c r="AX39" s="2672"/>
      <c r="AY39" s="2669"/>
      <c r="AZ39" s="2670"/>
      <c r="BA39" s="2672"/>
      <c r="BB39" s="2669"/>
      <c r="BC39" s="2669"/>
      <c r="BD39" s="2670"/>
      <c r="BE39" s="2672"/>
      <c r="BF39" s="2669"/>
      <c r="BG39" s="2670"/>
      <c r="BH39" s="2672"/>
      <c r="BI39" s="2720"/>
      <c r="BJ39" s="2669"/>
      <c r="BK39" s="2669"/>
      <c r="BL39" s="2669"/>
      <c r="BM39" s="2667"/>
      <c r="BN39" s="2666"/>
      <c r="BO39" s="2666"/>
      <c r="BP39" s="2666"/>
      <c r="BQ39" s="2666"/>
      <c r="BR39" s="2666"/>
      <c r="BS39" s="2666"/>
      <c r="BT39" s="2666"/>
      <c r="BU39" s="2666"/>
      <c r="BV39" s="2666"/>
      <c r="BW39" s="2667"/>
      <c r="BX39" s="2667"/>
      <c r="BY39" s="2667"/>
      <c r="BZ39" s="2666"/>
      <c r="CA39" s="2666"/>
      <c r="CB39" s="2666"/>
      <c r="CC39" s="2666"/>
      <c r="CD39" s="2666"/>
      <c r="CE39" s="2666"/>
      <c r="CF39" s="2666"/>
      <c r="CG39" s="2666"/>
      <c r="CH39" s="2666"/>
      <c r="CI39" s="2666"/>
      <c r="CJ39" s="2666"/>
      <c r="CK39" s="2666"/>
      <c r="CL39" s="2666"/>
      <c r="CM39" s="2666"/>
      <c r="CN39" s="2666"/>
      <c r="CO39" s="2666"/>
      <c r="CP39" s="2666"/>
      <c r="CQ39" s="2666"/>
      <c r="CR39" s="2666"/>
      <c r="CS39" s="2666"/>
      <c r="CT39" s="2666"/>
      <c r="CU39" s="2666"/>
      <c r="CV39" s="2666"/>
      <c r="CW39" s="2666"/>
      <c r="CX39" s="2666"/>
      <c r="CY39" s="2666"/>
      <c r="CZ39" s="2666"/>
      <c r="DA39" s="2666"/>
      <c r="DB39" s="2666"/>
      <c r="DC39" s="2666"/>
      <c r="DD39" s="2666"/>
      <c r="DE39" s="2666"/>
      <c r="DF39" s="2666"/>
      <c r="DG39" s="2666"/>
      <c r="DH39" s="2666"/>
      <c r="DI39" s="2666"/>
      <c r="DJ39" s="2666"/>
      <c r="DK39" s="2666"/>
      <c r="DL39" s="2666"/>
      <c r="DM39" s="2666"/>
      <c r="DN39" s="2666"/>
      <c r="DO39" s="2666"/>
      <c r="DP39" s="2666"/>
      <c r="DQ39" s="2666"/>
      <c r="DR39" s="2666"/>
      <c r="DS39" s="2666"/>
      <c r="DT39" s="2666"/>
      <c r="DU39" s="2666"/>
      <c r="DV39" s="2666"/>
      <c r="DW39" s="2666"/>
      <c r="DX39" s="2666"/>
      <c r="DY39" s="2666"/>
      <c r="DZ39" s="2666"/>
      <c r="EA39" s="2666"/>
      <c r="EB39" s="2666"/>
      <c r="EC39" s="2666"/>
      <c r="ED39" s="2666"/>
      <c r="EE39" s="2666"/>
      <c r="EF39" s="2666"/>
      <c r="EG39" s="2666"/>
      <c r="EH39" s="2666"/>
      <c r="EI39" s="2666"/>
      <c r="EJ39" s="2666"/>
      <c r="EK39" s="2666"/>
      <c r="EL39" s="2666"/>
      <c r="EM39" s="2666"/>
      <c r="EN39" s="2666"/>
      <c r="EO39" s="2666"/>
      <c r="EP39" s="2666"/>
      <c r="EQ39" s="2666"/>
      <c r="ER39" s="2666"/>
      <c r="ES39" s="2666"/>
      <c r="ET39" s="2666"/>
      <c r="EU39" s="2666"/>
      <c r="EV39" s="2666"/>
      <c r="EW39" s="2666"/>
      <c r="EX39" s="2666"/>
      <c r="EY39" s="2666"/>
      <c r="EZ39" s="2666"/>
      <c r="FA39" s="2666"/>
      <c r="FB39" s="2666"/>
      <c r="FC39" s="2666"/>
      <c r="FD39" s="2666"/>
      <c r="FE39" s="2666"/>
      <c r="FF39" s="2666"/>
      <c r="FG39" s="2666"/>
      <c r="FH39" s="2666"/>
      <c r="FI39" s="2673"/>
    </row>
    <row r="40" spans="1:165" s="2603" customFormat="1" ht="24" x14ac:dyDescent="0.3">
      <c r="A40" s="2674" t="s">
        <v>4320</v>
      </c>
      <c r="B40" s="2721"/>
      <c r="C40" s="2721"/>
      <c r="D40" s="2721"/>
      <c r="E40" s="2721"/>
      <c r="F40" s="2721"/>
      <c r="G40" s="2721"/>
      <c r="H40" s="2721"/>
      <c r="I40" s="2721"/>
      <c r="J40" s="2721"/>
      <c r="K40" s="2721"/>
      <c r="L40" s="2721"/>
      <c r="M40" s="2721"/>
      <c r="N40" s="2721"/>
      <c r="O40" s="2721"/>
      <c r="P40" s="2721"/>
      <c r="Q40" s="2721"/>
      <c r="R40" s="2721"/>
      <c r="S40" s="2721"/>
      <c r="T40" s="2721"/>
      <c r="U40" s="2721"/>
      <c r="V40" s="2721"/>
      <c r="W40" s="2721"/>
      <c r="X40" s="2721"/>
      <c r="Y40" s="2721"/>
      <c r="Z40" s="2721"/>
      <c r="AA40" s="2721"/>
      <c r="AB40" s="2721"/>
      <c r="AC40" s="2721"/>
      <c r="AD40" s="2721"/>
      <c r="AE40" s="2721"/>
      <c r="AF40" s="2721"/>
      <c r="AG40" s="2721"/>
      <c r="AH40" s="2721"/>
      <c r="AI40" s="2721"/>
      <c r="AJ40" s="2721"/>
      <c r="AK40" s="2721"/>
      <c r="AL40" s="2721"/>
      <c r="AM40" s="2722"/>
      <c r="AN40" s="2722"/>
      <c r="AO40" s="2722"/>
      <c r="AP40" s="2722"/>
      <c r="AQ40" s="2722"/>
      <c r="AR40" s="2722"/>
      <c r="AS40" s="2722"/>
      <c r="AT40" s="2722"/>
      <c r="AU40" s="2722"/>
      <c r="AV40" s="2722"/>
      <c r="AW40" s="2722"/>
      <c r="AX40" s="2722"/>
      <c r="AY40" s="2722"/>
      <c r="AZ40" s="2722"/>
      <c r="BA40" s="2722"/>
      <c r="BB40" s="2722"/>
      <c r="BC40" s="2722"/>
      <c r="BD40" s="2722"/>
      <c r="BE40" s="2722"/>
      <c r="BF40" s="2722"/>
      <c r="BG40" s="2722"/>
      <c r="BH40" s="2722"/>
      <c r="BI40" s="2722"/>
      <c r="BJ40" s="2722"/>
      <c r="BK40" s="2722"/>
      <c r="BL40" s="2722"/>
      <c r="BM40" s="2722"/>
      <c r="BN40" s="2722"/>
      <c r="BO40" s="2722"/>
      <c r="BP40" s="2722"/>
      <c r="BQ40" s="2722"/>
      <c r="BR40" s="2722"/>
      <c r="BS40" s="2722"/>
      <c r="BT40" s="2722"/>
      <c r="BU40" s="2722"/>
      <c r="BV40" s="2722"/>
      <c r="BW40" s="2722"/>
      <c r="BX40" s="2722"/>
      <c r="BY40" s="2722"/>
      <c r="BZ40" s="2722"/>
      <c r="CA40" s="2722"/>
      <c r="CB40" s="2722"/>
      <c r="CC40" s="2722"/>
      <c r="CD40" s="2722"/>
      <c r="CE40" s="2722"/>
      <c r="CF40" s="2722"/>
      <c r="CG40" s="2722"/>
      <c r="CH40" s="2722"/>
      <c r="CI40" s="2722"/>
      <c r="CJ40" s="2722"/>
      <c r="CK40" s="2722"/>
      <c r="CL40" s="2722"/>
      <c r="CM40" s="2722"/>
      <c r="CN40" s="2722"/>
      <c r="CO40" s="2722"/>
      <c r="CP40" s="2722"/>
      <c r="CQ40" s="2722"/>
      <c r="CR40" s="2722"/>
      <c r="CS40" s="2722"/>
      <c r="CT40" s="2722"/>
      <c r="CU40" s="2722"/>
      <c r="CV40" s="2722"/>
      <c r="CW40" s="2722"/>
      <c r="CX40" s="2722"/>
      <c r="CY40" s="2722"/>
      <c r="CZ40" s="2722"/>
      <c r="DA40" s="2722"/>
      <c r="DB40" s="2722"/>
      <c r="DC40" s="2722"/>
      <c r="DD40" s="2722"/>
      <c r="DE40" s="2722"/>
      <c r="DF40" s="2722"/>
      <c r="DG40" s="2722"/>
      <c r="DH40" s="2722"/>
      <c r="DI40" s="2722"/>
      <c r="DJ40" s="2722"/>
      <c r="DK40" s="2722"/>
      <c r="DL40" s="2722"/>
      <c r="DM40" s="2722"/>
      <c r="DN40" s="2722"/>
      <c r="DO40" s="2722"/>
      <c r="DP40" s="2722"/>
      <c r="DQ40" s="2722"/>
      <c r="DR40" s="2722"/>
      <c r="DS40" s="2722"/>
      <c r="DT40" s="2722"/>
      <c r="DU40" s="2722"/>
      <c r="DV40" s="2722"/>
      <c r="DW40" s="2722"/>
      <c r="DX40" s="2722"/>
      <c r="DY40" s="2722"/>
      <c r="DZ40" s="2722"/>
      <c r="EA40" s="2722"/>
      <c r="EB40" s="2722"/>
      <c r="EC40" s="2722"/>
      <c r="ED40" s="2722"/>
      <c r="EE40" s="2723"/>
      <c r="EF40" s="2723"/>
      <c r="EG40" s="2686"/>
      <c r="EH40" s="2686"/>
    </row>
    <row r="41" spans="1:165" s="2603" customFormat="1" ht="15.75" x14ac:dyDescent="0.25">
      <c r="A41" s="2684" t="s">
        <v>680</v>
      </c>
      <c r="B41" s="2724"/>
      <c r="C41" s="2724"/>
      <c r="D41" s="2724"/>
      <c r="E41" s="2724"/>
      <c r="F41" s="2724"/>
      <c r="G41" s="2724"/>
      <c r="H41" s="2724"/>
      <c r="I41" s="2724"/>
      <c r="J41" s="2724"/>
      <c r="K41" s="2724"/>
      <c r="L41" s="2724"/>
      <c r="M41" s="2724"/>
      <c r="N41" s="2724"/>
      <c r="O41" s="2724"/>
      <c r="P41" s="2724"/>
      <c r="Q41" s="2724"/>
      <c r="R41" s="2724"/>
      <c r="S41" s="2724"/>
      <c r="T41" s="2724"/>
      <c r="U41" s="2724"/>
      <c r="V41" s="2724"/>
      <c r="W41" s="2724"/>
      <c r="X41" s="2724"/>
      <c r="Y41" s="2724"/>
      <c r="Z41" s="2724"/>
      <c r="AA41" s="2724"/>
      <c r="AB41" s="2724"/>
      <c r="AC41" s="2724"/>
      <c r="AD41" s="2724"/>
      <c r="AE41" s="2724"/>
      <c r="AF41" s="2724"/>
      <c r="AG41" s="2724"/>
      <c r="AH41" s="2724"/>
      <c r="AI41" s="2724"/>
      <c r="AJ41" s="2724"/>
      <c r="AK41" s="2724"/>
      <c r="AL41" s="2724"/>
      <c r="AM41" s="2725"/>
      <c r="AN41" s="2725"/>
      <c r="AO41" s="2725"/>
      <c r="AP41" s="2725"/>
      <c r="AQ41" s="2725"/>
      <c r="AR41" s="2725"/>
      <c r="AS41" s="2725"/>
      <c r="AT41" s="2725"/>
      <c r="AU41" s="2725"/>
      <c r="AV41" s="2725"/>
      <c r="AW41" s="2725"/>
      <c r="AX41" s="2725"/>
      <c r="AY41" s="2725"/>
      <c r="AZ41" s="2725"/>
      <c r="BA41" s="2725"/>
      <c r="BB41" s="2725"/>
      <c r="BC41" s="2725"/>
      <c r="BD41" s="2725"/>
      <c r="BE41" s="2725"/>
      <c r="BF41" s="2725"/>
      <c r="BG41" s="2725"/>
      <c r="BH41" s="2725"/>
      <c r="BI41" s="2725"/>
      <c r="BJ41" s="2725"/>
      <c r="BK41" s="2725"/>
      <c r="BL41" s="2725"/>
      <c r="BM41" s="2725"/>
      <c r="BN41" s="2725"/>
      <c r="BO41" s="2725"/>
      <c r="BP41" s="2725"/>
      <c r="BQ41" s="2725"/>
      <c r="BR41" s="2725"/>
      <c r="BS41" s="2725"/>
      <c r="BT41" s="2725"/>
      <c r="BU41" s="2725"/>
      <c r="BV41" s="2725"/>
      <c r="BW41" s="2725"/>
      <c r="BX41" s="2725"/>
      <c r="BY41" s="2725"/>
      <c r="BZ41" s="2725"/>
      <c r="CA41" s="2725"/>
      <c r="CB41" s="2725"/>
      <c r="CC41" s="2725"/>
      <c r="CD41" s="2725"/>
      <c r="CE41" s="2725"/>
      <c r="CF41" s="2725"/>
      <c r="CG41" s="2725"/>
      <c r="CH41" s="2725"/>
      <c r="CI41" s="2725"/>
      <c r="CJ41" s="2725"/>
      <c r="CK41" s="2725"/>
      <c r="CL41" s="2725"/>
      <c r="CM41" s="2725"/>
      <c r="CN41" s="2725"/>
      <c r="CO41" s="2725"/>
      <c r="CP41" s="2725"/>
      <c r="CQ41" s="2725"/>
      <c r="CR41" s="2725"/>
      <c r="CS41" s="2725"/>
      <c r="CT41" s="2725"/>
      <c r="CU41" s="2725"/>
      <c r="CV41" s="2725"/>
      <c r="CW41" s="2725"/>
      <c r="CX41" s="2725"/>
      <c r="CY41" s="2725"/>
      <c r="CZ41" s="2725"/>
      <c r="DA41" s="2725"/>
      <c r="DB41" s="2725"/>
      <c r="DC41" s="2725"/>
      <c r="DD41" s="2725"/>
      <c r="DE41" s="2725"/>
      <c r="DF41" s="2725"/>
      <c r="DG41" s="2725"/>
      <c r="DH41" s="2725"/>
      <c r="DI41" s="2725"/>
      <c r="DJ41" s="2725"/>
      <c r="DK41" s="2725"/>
      <c r="DL41" s="2725"/>
      <c r="DM41" s="2725"/>
      <c r="DN41" s="2725"/>
      <c r="DO41" s="2725"/>
      <c r="DP41" s="2725"/>
      <c r="DQ41" s="2725"/>
      <c r="DR41" s="2725"/>
      <c r="DS41" s="2725"/>
      <c r="DT41" s="2725"/>
      <c r="DU41" s="2725"/>
      <c r="DV41" s="2725"/>
      <c r="DW41" s="2725"/>
      <c r="DX41" s="2725"/>
      <c r="DY41" s="2725"/>
      <c r="DZ41" s="2725"/>
      <c r="EA41" s="2726"/>
      <c r="EB41" s="2726"/>
      <c r="EC41" s="2726"/>
      <c r="ED41" s="2726"/>
      <c r="EE41" s="2686"/>
      <c r="EF41" s="2686"/>
      <c r="EG41" s="2686"/>
      <c r="EH41" s="2686"/>
    </row>
    <row r="42" spans="1:165" s="2603" customFormat="1" x14ac:dyDescent="0.25">
      <c r="A42" s="2727"/>
      <c r="B42" s="2727"/>
      <c r="C42" s="2727"/>
      <c r="D42" s="2727"/>
      <c r="E42" s="2727"/>
      <c r="F42" s="2727"/>
      <c r="G42" s="2727"/>
      <c r="H42" s="2727"/>
      <c r="I42" s="2727"/>
      <c r="J42" s="2727"/>
      <c r="K42" s="2727"/>
      <c r="L42" s="2727"/>
      <c r="M42" s="2727"/>
      <c r="N42" s="2727"/>
      <c r="O42" s="2727"/>
      <c r="P42" s="2727"/>
      <c r="Q42" s="2727"/>
      <c r="R42" s="2727"/>
      <c r="S42" s="2727"/>
      <c r="T42" s="2727"/>
      <c r="U42" s="2727"/>
      <c r="V42" s="2727"/>
      <c r="W42" s="2727"/>
      <c r="X42" s="2727"/>
      <c r="Y42" s="2727"/>
      <c r="Z42" s="2727"/>
      <c r="AA42" s="2727"/>
      <c r="AB42" s="2727"/>
      <c r="AC42" s="2727"/>
      <c r="AD42" s="2727"/>
      <c r="AE42" s="2727"/>
      <c r="AF42" s="2727"/>
      <c r="AG42" s="2727"/>
      <c r="AH42" s="2727"/>
      <c r="AI42" s="2727"/>
      <c r="AJ42" s="2727"/>
      <c r="AK42" s="2727"/>
      <c r="AL42" s="2727"/>
      <c r="AM42" s="2727"/>
      <c r="AN42" s="2727"/>
      <c r="AO42" s="2727"/>
      <c r="AP42" s="2727"/>
      <c r="AQ42" s="2727"/>
      <c r="AR42" s="2727"/>
      <c r="AS42" s="2727"/>
      <c r="AT42" s="2727"/>
      <c r="AU42" s="2727"/>
      <c r="AV42" s="2727"/>
      <c r="AW42" s="2727"/>
      <c r="AX42" s="2727"/>
      <c r="AY42" s="2727"/>
      <c r="AZ42" s="2727"/>
      <c r="BA42" s="2727"/>
      <c r="BB42" s="2727"/>
      <c r="BC42" s="2727"/>
      <c r="BD42" s="2727"/>
      <c r="BE42" s="2727"/>
      <c r="BF42" s="2727"/>
      <c r="BG42" s="2727"/>
      <c r="BH42" s="2727"/>
      <c r="BI42" s="2727"/>
      <c r="BJ42" s="2727"/>
      <c r="BK42" s="2727"/>
      <c r="BL42" s="2727"/>
      <c r="BM42" s="2727"/>
      <c r="BN42" s="2727"/>
      <c r="BO42" s="2727"/>
      <c r="BP42" s="2727"/>
      <c r="BQ42" s="2727"/>
      <c r="BR42" s="2727"/>
      <c r="BS42" s="2727"/>
      <c r="BT42" s="2727"/>
      <c r="BU42" s="2727"/>
      <c r="BV42" s="2727"/>
      <c r="BW42" s="2727"/>
      <c r="BX42" s="2727"/>
      <c r="BY42" s="2727"/>
      <c r="BZ42" s="2727"/>
      <c r="CA42" s="2727"/>
      <c r="CB42" s="2727"/>
      <c r="CC42" s="2727"/>
      <c r="CD42" s="2727"/>
      <c r="CE42" s="2727"/>
      <c r="CF42" s="2727"/>
      <c r="CG42" s="2727"/>
      <c r="CH42" s="2727"/>
      <c r="CI42" s="2727"/>
      <c r="CJ42" s="2727"/>
      <c r="CK42" s="2727"/>
      <c r="CL42" s="2727"/>
      <c r="CM42" s="2727"/>
      <c r="CN42" s="2727"/>
      <c r="CO42" s="2727"/>
      <c r="CP42" s="2727"/>
      <c r="CQ42" s="2727"/>
      <c r="CR42" s="2727"/>
      <c r="CS42" s="2727"/>
      <c r="CT42" s="2727"/>
      <c r="CU42" s="2727"/>
      <c r="CV42" s="2727"/>
      <c r="CW42" s="2727"/>
      <c r="CX42" s="2727"/>
      <c r="CY42" s="2727"/>
      <c r="CZ42" s="2727"/>
      <c r="DA42" s="2727"/>
      <c r="DB42" s="2727"/>
      <c r="DC42" s="2727"/>
      <c r="DD42" s="2727"/>
      <c r="DE42" s="2727"/>
      <c r="DF42" s="2727"/>
      <c r="DG42" s="2727"/>
      <c r="DH42" s="2727"/>
      <c r="DI42" s="2727"/>
      <c r="DJ42" s="2727"/>
      <c r="DK42" s="2727"/>
      <c r="DL42" s="2727"/>
      <c r="DM42" s="2727"/>
      <c r="DN42" s="2727"/>
      <c r="DO42" s="2727"/>
      <c r="DP42" s="2727"/>
      <c r="DQ42" s="2727"/>
      <c r="DR42" s="2727"/>
      <c r="DS42" s="2727"/>
      <c r="DT42" s="2727"/>
      <c r="DU42" s="2727"/>
      <c r="DV42" s="2727"/>
      <c r="DW42" s="2727"/>
      <c r="DX42" s="2727"/>
      <c r="DY42" s="2727"/>
      <c r="DZ42" s="2727"/>
      <c r="EA42" s="2727"/>
      <c r="EB42" s="2727"/>
      <c r="EC42" s="2727"/>
      <c r="ED42" s="2727"/>
      <c r="EE42" s="2727"/>
      <c r="EF42" s="2727"/>
      <c r="EG42" s="2727"/>
    </row>
    <row r="43" spans="1:165" s="2603" customFormat="1" x14ac:dyDescent="0.25"/>
    <row r="44" spans="1:165" s="2603" customFormat="1" x14ac:dyDescent="0.25"/>
    <row r="45" spans="1:165" s="2603" customFormat="1" x14ac:dyDescent="0.25"/>
    <row r="46" spans="1:165" s="2603" customFormat="1" x14ac:dyDescent="0.25"/>
    <row r="47" spans="1:165" s="2603" customFormat="1" x14ac:dyDescent="0.25"/>
    <row r="48" spans="1:165" s="2603" customFormat="1" x14ac:dyDescent="0.25"/>
    <row r="49" s="2603" customFormat="1" x14ac:dyDescent="0.25"/>
    <row r="50" s="2603" customFormat="1" x14ac:dyDescent="0.25"/>
    <row r="51" s="2603" customFormat="1" x14ac:dyDescent="0.25"/>
    <row r="52" s="2603" customFormat="1" x14ac:dyDescent="0.25"/>
    <row r="53" s="2603" customFormat="1" x14ac:dyDescent="0.25"/>
    <row r="54" s="2603" customFormat="1" x14ac:dyDescent="0.25"/>
    <row r="55" s="2603" customFormat="1" x14ac:dyDescent="0.25"/>
    <row r="56" s="2603" customFormat="1" x14ac:dyDescent="0.25"/>
    <row r="57" s="2603" customFormat="1" x14ac:dyDescent="0.25"/>
    <row r="58" s="2603" customFormat="1" x14ac:dyDescent="0.25"/>
    <row r="59" s="2603" customFormat="1" x14ac:dyDescent="0.25"/>
    <row r="60" s="2603" customFormat="1" x14ac:dyDescent="0.25"/>
    <row r="61" s="2603" customFormat="1" x14ac:dyDescent="0.25"/>
    <row r="62" s="2603" customFormat="1" x14ac:dyDescent="0.25"/>
    <row r="63" s="2603" customFormat="1" x14ac:dyDescent="0.25"/>
    <row r="64" s="2603" customFormat="1" x14ac:dyDescent="0.25"/>
    <row r="65" s="2603" customFormat="1" x14ac:dyDescent="0.25"/>
    <row r="66" s="2603" customFormat="1" x14ac:dyDescent="0.25"/>
    <row r="67" s="2603" customFormat="1" x14ac:dyDescent="0.25"/>
    <row r="68" s="2603" customFormat="1" x14ac:dyDescent="0.25"/>
    <row r="69" s="2603" customFormat="1" x14ac:dyDescent="0.25"/>
    <row r="70" s="2603" customFormat="1" x14ac:dyDescent="0.25"/>
    <row r="71" s="2603" customFormat="1" x14ac:dyDescent="0.25"/>
    <row r="72" s="2603" customFormat="1" x14ac:dyDescent="0.25"/>
    <row r="73" s="2603" customFormat="1" x14ac:dyDescent="0.25"/>
    <row r="74" s="2603" customFormat="1" x14ac:dyDescent="0.25"/>
    <row r="75" s="2603" customFormat="1" x14ac:dyDescent="0.25"/>
    <row r="76" s="2603" customFormat="1" x14ac:dyDescent="0.25"/>
    <row r="77" s="2603" customFormat="1" x14ac:dyDescent="0.25"/>
    <row r="78" s="2603" customFormat="1" x14ac:dyDescent="0.25"/>
    <row r="79" s="2603" customFormat="1" x14ac:dyDescent="0.25"/>
    <row r="80" s="2603" customFormat="1" x14ac:dyDescent="0.25"/>
    <row r="81" s="2603" customFormat="1" x14ac:dyDescent="0.25"/>
    <row r="82" s="2603" customFormat="1" x14ac:dyDescent="0.25"/>
    <row r="83" s="2603" customFormat="1" x14ac:dyDescent="0.25"/>
    <row r="84" s="2603" customFormat="1" x14ac:dyDescent="0.25"/>
    <row r="85" s="2603" customFormat="1" x14ac:dyDescent="0.25"/>
    <row r="86" s="2603" customFormat="1" x14ac:dyDescent="0.25"/>
    <row r="87" s="2603" customFormat="1" x14ac:dyDescent="0.25"/>
    <row r="88" s="2603" customFormat="1" x14ac:dyDescent="0.25"/>
    <row r="89" s="2603" customFormat="1" x14ac:dyDescent="0.25"/>
    <row r="90" s="2603" customFormat="1" x14ac:dyDescent="0.25"/>
    <row r="91" s="2603" customFormat="1" x14ac:dyDescent="0.25"/>
    <row r="92" s="2603" customFormat="1" x14ac:dyDescent="0.25"/>
    <row r="93" s="2603" customFormat="1" x14ac:dyDescent="0.25"/>
    <row r="94" s="2603" customFormat="1" x14ac:dyDescent="0.25"/>
    <row r="95" s="2603" customFormat="1" x14ac:dyDescent="0.25"/>
    <row r="96" s="2603" customFormat="1" x14ac:dyDescent="0.25"/>
    <row r="97" s="2603" customFormat="1" x14ac:dyDescent="0.25"/>
    <row r="98" s="2603" customFormat="1" x14ac:dyDescent="0.25"/>
    <row r="99" s="2603" customFormat="1" x14ac:dyDescent="0.25"/>
    <row r="100" s="2603" customFormat="1" x14ac:dyDescent="0.25"/>
    <row r="101" s="2603" customFormat="1" x14ac:dyDescent="0.25"/>
    <row r="102" s="2603" customFormat="1" x14ac:dyDescent="0.25"/>
    <row r="103" s="2603" customFormat="1" x14ac:dyDescent="0.25"/>
    <row r="104" s="2603" customFormat="1" x14ac:dyDescent="0.25"/>
    <row r="105" s="2603" customFormat="1" x14ac:dyDescent="0.25"/>
    <row r="106" s="2603" customFormat="1" x14ac:dyDescent="0.25"/>
    <row r="107" s="2603" customFormat="1" x14ac:dyDescent="0.25"/>
    <row r="108" s="2603" customFormat="1" x14ac:dyDescent="0.25"/>
    <row r="109" s="2603" customFormat="1" x14ac:dyDescent="0.25"/>
    <row r="110" s="2603" customFormat="1" x14ac:dyDescent="0.25"/>
    <row r="111" s="2603" customFormat="1" x14ac:dyDescent="0.25"/>
    <row r="112" s="2603" customFormat="1" x14ac:dyDescent="0.25"/>
    <row r="113" s="2603" customFormat="1" x14ac:dyDescent="0.25"/>
    <row r="114" s="2603" customFormat="1" x14ac:dyDescent="0.25"/>
    <row r="115" s="2603" customFormat="1" x14ac:dyDescent="0.25"/>
    <row r="116" s="2603" customFormat="1" x14ac:dyDescent="0.25"/>
    <row r="117" s="2603" customFormat="1" x14ac:dyDescent="0.25"/>
    <row r="118" s="2603" customFormat="1" x14ac:dyDescent="0.25"/>
    <row r="119" s="2603" customFormat="1" x14ac:dyDescent="0.25"/>
    <row r="120" s="2603" customFormat="1" x14ac:dyDescent="0.25"/>
    <row r="121" s="2603" customFormat="1" x14ac:dyDescent="0.25"/>
    <row r="122" s="2603" customFormat="1" x14ac:dyDescent="0.25"/>
    <row r="123" s="2603" customFormat="1" x14ac:dyDescent="0.25"/>
    <row r="124" s="2603" customFormat="1" x14ac:dyDescent="0.25"/>
    <row r="125" s="2603" customFormat="1" x14ac:dyDescent="0.25"/>
    <row r="126" s="2603" customFormat="1" x14ac:dyDescent="0.25"/>
    <row r="127" s="2603" customFormat="1" x14ac:dyDescent="0.25"/>
    <row r="128" s="2603" customFormat="1" x14ac:dyDescent="0.25"/>
    <row r="129" s="2603" customFormat="1" x14ac:dyDescent="0.25"/>
    <row r="130" s="2603" customFormat="1" x14ac:dyDescent="0.25"/>
    <row r="131" s="2603" customFormat="1" x14ac:dyDescent="0.25"/>
    <row r="132" s="2603" customFormat="1" x14ac:dyDescent="0.25"/>
    <row r="133" s="2603" customFormat="1" x14ac:dyDescent="0.25"/>
    <row r="134" s="2603" customFormat="1" x14ac:dyDescent="0.25"/>
    <row r="135" s="2603" customFormat="1" x14ac:dyDescent="0.25"/>
    <row r="136" s="2603" customFormat="1" x14ac:dyDescent="0.25"/>
    <row r="137" s="2603" customFormat="1" x14ac:dyDescent="0.25"/>
    <row r="138" s="2603" customFormat="1" x14ac:dyDescent="0.25"/>
    <row r="139" s="2603" customFormat="1" x14ac:dyDescent="0.25"/>
    <row r="140" s="2603" customFormat="1" x14ac:dyDescent="0.25"/>
    <row r="141" s="2603" customFormat="1" x14ac:dyDescent="0.25"/>
    <row r="142" s="2603" customFormat="1" x14ac:dyDescent="0.25"/>
    <row r="143" s="2603" customFormat="1" x14ac:dyDescent="0.25"/>
    <row r="144" s="2603" customFormat="1" x14ac:dyDescent="0.25"/>
    <row r="145" s="2603" customFormat="1" x14ac:dyDescent="0.25"/>
    <row r="146" s="2603" customFormat="1" x14ac:dyDescent="0.25"/>
    <row r="147" s="2603" customFormat="1" x14ac:dyDescent="0.25"/>
    <row r="148" s="2603" customFormat="1" x14ac:dyDescent="0.25"/>
    <row r="149" s="2603" customFormat="1" x14ac:dyDescent="0.25"/>
    <row r="150" s="2603" customFormat="1" x14ac:dyDescent="0.25"/>
    <row r="151" s="2603" customFormat="1" x14ac:dyDescent="0.25"/>
    <row r="152" s="2603" customFormat="1" x14ac:dyDescent="0.25"/>
    <row r="153" s="2603" customFormat="1" x14ac:dyDescent="0.25"/>
    <row r="154" s="2603" customFormat="1" x14ac:dyDescent="0.25"/>
    <row r="155" s="2603" customFormat="1" x14ac:dyDescent="0.25"/>
    <row r="156" s="2603" customFormat="1" x14ac:dyDescent="0.25"/>
    <row r="157" s="2603" customFormat="1" x14ac:dyDescent="0.25"/>
    <row r="158" s="2603" customFormat="1" x14ac:dyDescent="0.25"/>
    <row r="159" s="2603" customFormat="1" x14ac:dyDescent="0.25"/>
    <row r="160" s="2603" customFormat="1" x14ac:dyDescent="0.25"/>
    <row r="161" s="2603" customFormat="1" x14ac:dyDescent="0.25"/>
    <row r="162" s="2603" customFormat="1" x14ac:dyDescent="0.25"/>
    <row r="163" s="2603" customFormat="1" x14ac:dyDescent="0.25"/>
    <row r="164" s="2603" customFormat="1" x14ac:dyDescent="0.25"/>
    <row r="165" s="2603" customFormat="1" x14ac:dyDescent="0.25"/>
    <row r="166" s="2603" customFormat="1" x14ac:dyDescent="0.25"/>
    <row r="167" s="2603" customFormat="1" x14ac:dyDescent="0.25"/>
    <row r="168" s="2603" customFormat="1" x14ac:dyDescent="0.25"/>
    <row r="169" s="2603" customFormat="1" x14ac:dyDescent="0.25"/>
    <row r="170" s="2603" customFormat="1" x14ac:dyDescent="0.25"/>
    <row r="171" s="2603" customFormat="1" x14ac:dyDescent="0.25"/>
    <row r="172" s="2603" customFormat="1" x14ac:dyDescent="0.25"/>
    <row r="173" s="2603" customFormat="1" x14ac:dyDescent="0.25"/>
    <row r="174" s="2603" customFormat="1" x14ac:dyDescent="0.25"/>
    <row r="175" s="2603" customFormat="1" x14ac:dyDescent="0.25"/>
    <row r="176" s="2603" customFormat="1" x14ac:dyDescent="0.25"/>
    <row r="177" s="2603" customFormat="1" x14ac:dyDescent="0.25"/>
    <row r="178" s="2603" customFormat="1" x14ac:dyDescent="0.25"/>
    <row r="179" s="2603" customFormat="1" x14ac:dyDescent="0.25"/>
    <row r="180" s="2603" customFormat="1" x14ac:dyDescent="0.25"/>
    <row r="181" s="2603" customFormat="1" x14ac:dyDescent="0.25"/>
    <row r="182" s="2603" customFormat="1" x14ac:dyDescent="0.25"/>
    <row r="183" s="2603" customFormat="1" x14ac:dyDescent="0.25"/>
    <row r="184" s="2603" customFormat="1" x14ac:dyDescent="0.25"/>
    <row r="185" s="2603" customFormat="1" x14ac:dyDescent="0.25"/>
    <row r="186" s="2603" customFormat="1" x14ac:dyDescent="0.25"/>
    <row r="187" s="2603" customFormat="1" x14ac:dyDescent="0.25"/>
    <row r="188" s="2603" customFormat="1" x14ac:dyDescent="0.25"/>
    <row r="189" s="2603" customFormat="1" x14ac:dyDescent="0.25"/>
    <row r="190" s="2603" customFormat="1" x14ac:dyDescent="0.25"/>
    <row r="191" s="2603" customFormat="1" x14ac:dyDescent="0.25"/>
    <row r="192" s="2603" customFormat="1" x14ac:dyDescent="0.25"/>
    <row r="193" s="2603" customFormat="1" x14ac:dyDescent="0.25"/>
    <row r="194" s="2603" customFormat="1" x14ac:dyDescent="0.25"/>
    <row r="195" s="2603" customFormat="1" x14ac:dyDescent="0.25"/>
    <row r="196" s="2603" customFormat="1" x14ac:dyDescent="0.25"/>
    <row r="197" s="2603" customFormat="1" x14ac:dyDescent="0.25"/>
    <row r="198" s="2603" customFormat="1" x14ac:dyDescent="0.25"/>
    <row r="199" s="2603" customFormat="1" x14ac:dyDescent="0.25"/>
    <row r="200" s="2603" customFormat="1" x14ac:dyDescent="0.25"/>
    <row r="201" s="2603" customFormat="1" x14ac:dyDescent="0.25"/>
    <row r="202" s="2603" customFormat="1" x14ac:dyDescent="0.25"/>
    <row r="203" s="2603" customFormat="1" x14ac:dyDescent="0.25"/>
    <row r="204" s="2603" customFormat="1" x14ac:dyDescent="0.25"/>
    <row r="205" s="2603" customFormat="1" x14ac:dyDescent="0.25"/>
    <row r="206" s="2603" customFormat="1" x14ac:dyDescent="0.25"/>
    <row r="207" s="2603" customFormat="1" x14ac:dyDescent="0.25"/>
    <row r="208" s="2603" customFormat="1" x14ac:dyDescent="0.25"/>
    <row r="209" s="2603" customFormat="1" x14ac:dyDescent="0.25"/>
    <row r="210" s="2603" customFormat="1" x14ac:dyDescent="0.25"/>
    <row r="211" s="2603" customFormat="1" x14ac:dyDescent="0.25"/>
    <row r="212" s="2603" customFormat="1" x14ac:dyDescent="0.25"/>
    <row r="213" s="2603" customFormat="1" x14ac:dyDescent="0.25"/>
    <row r="214" s="2603" customFormat="1" x14ac:dyDescent="0.25"/>
    <row r="215" s="2603" customFormat="1" x14ac:dyDescent="0.25"/>
    <row r="216" s="2603" customFormat="1" x14ac:dyDescent="0.25"/>
    <row r="217" s="2603" customFormat="1" x14ac:dyDescent="0.25"/>
    <row r="218" s="2603" customFormat="1" x14ac:dyDescent="0.25"/>
    <row r="219" s="2603" customFormat="1" x14ac:dyDescent="0.25"/>
    <row r="220" s="2603" customFormat="1" x14ac:dyDescent="0.25"/>
    <row r="221" s="2603" customFormat="1" x14ac:dyDescent="0.25"/>
    <row r="222" s="2603" customFormat="1" x14ac:dyDescent="0.25"/>
    <row r="223" s="2603" customFormat="1" x14ac:dyDescent="0.25"/>
    <row r="224" s="2603" customFormat="1" x14ac:dyDescent="0.25"/>
    <row r="225" s="2603" customFormat="1" x14ac:dyDescent="0.25"/>
    <row r="226" s="2603" customFormat="1" x14ac:dyDescent="0.25"/>
    <row r="227" s="2603" customFormat="1" x14ac:dyDescent="0.25"/>
    <row r="228" s="2603" customFormat="1" x14ac:dyDescent="0.25"/>
    <row r="229" s="2603" customFormat="1" x14ac:dyDescent="0.25"/>
    <row r="230" s="2603" customFormat="1" x14ac:dyDescent="0.25"/>
    <row r="231" s="2603" customFormat="1" x14ac:dyDescent="0.25"/>
    <row r="232" s="2603" customFormat="1" x14ac:dyDescent="0.25"/>
    <row r="233" s="2603" customFormat="1" x14ac:dyDescent="0.25"/>
    <row r="234" s="2603" customFormat="1" x14ac:dyDescent="0.25"/>
    <row r="235" s="2603" customFormat="1" x14ac:dyDescent="0.25"/>
    <row r="236" s="2603" customFormat="1" x14ac:dyDescent="0.25"/>
    <row r="237" s="2603" customFormat="1" x14ac:dyDescent="0.25"/>
    <row r="238" s="2603" customFormat="1" x14ac:dyDescent="0.25"/>
    <row r="239" s="2603" customFormat="1" x14ac:dyDescent="0.25"/>
    <row r="240" s="2603" customFormat="1" x14ac:dyDescent="0.25"/>
    <row r="241" s="2603" customFormat="1" x14ac:dyDescent="0.25"/>
    <row r="242" s="2603" customFormat="1" x14ac:dyDescent="0.25"/>
    <row r="243" s="2603" customFormat="1" x14ac:dyDescent="0.25"/>
    <row r="244" s="2603" customFormat="1" x14ac:dyDescent="0.25"/>
    <row r="245" s="2603" customFormat="1" x14ac:dyDescent="0.25"/>
    <row r="246" s="2603" customFormat="1" x14ac:dyDescent="0.25"/>
    <row r="247" s="2603" customFormat="1" x14ac:dyDescent="0.25"/>
    <row r="248" s="2603" customFormat="1" x14ac:dyDescent="0.25"/>
    <row r="249" s="2603" customFormat="1" x14ac:dyDescent="0.25"/>
    <row r="250" s="2603" customFormat="1" x14ac:dyDescent="0.25"/>
    <row r="251" s="2603" customFormat="1" x14ac:dyDescent="0.25"/>
    <row r="252" s="2603" customFormat="1" x14ac:dyDescent="0.25"/>
    <row r="253" s="2603" customFormat="1" x14ac:dyDescent="0.25"/>
    <row r="254" s="2603" customFormat="1" x14ac:dyDescent="0.25"/>
    <row r="255" s="2603" customFormat="1" x14ac:dyDescent="0.25"/>
    <row r="256" s="2603" customFormat="1" x14ac:dyDescent="0.25"/>
    <row r="257" s="2603" customFormat="1" x14ac:dyDescent="0.25"/>
    <row r="258" s="2603" customFormat="1" x14ac:dyDescent="0.25"/>
    <row r="259" s="2603" customFormat="1" x14ac:dyDescent="0.25"/>
    <row r="260" s="2603" customFormat="1" x14ac:dyDescent="0.25"/>
    <row r="261" s="2603" customFormat="1" x14ac:dyDescent="0.25"/>
    <row r="262" s="2603" customFormat="1" x14ac:dyDescent="0.25"/>
    <row r="263" s="2603" customFormat="1" x14ac:dyDescent="0.25"/>
    <row r="264" s="2603" customFormat="1" x14ac:dyDescent="0.25"/>
    <row r="265" s="2603" customFormat="1" x14ac:dyDescent="0.25"/>
    <row r="266" s="2603" customFormat="1" x14ac:dyDescent="0.25"/>
    <row r="267" s="2603" customFormat="1" x14ac:dyDescent="0.25"/>
    <row r="268" s="2603" customFormat="1" x14ac:dyDescent="0.25"/>
    <row r="269" s="2603" customFormat="1" x14ac:dyDescent="0.25"/>
    <row r="270" s="2603" customFormat="1" x14ac:dyDescent="0.25"/>
    <row r="271" s="2603" customFormat="1" x14ac:dyDescent="0.25"/>
    <row r="272" s="2603" customFormat="1" x14ac:dyDescent="0.25"/>
    <row r="273" spans="8:9" s="2603" customFormat="1" x14ac:dyDescent="0.25"/>
    <row r="274" spans="8:9" s="2603" customFormat="1" x14ac:dyDescent="0.25"/>
    <row r="275" spans="8:9" s="2603" customFormat="1" x14ac:dyDescent="0.25"/>
    <row r="276" spans="8:9" s="2603" customFormat="1" x14ac:dyDescent="0.25"/>
    <row r="277" spans="8:9" s="2603" customFormat="1" x14ac:dyDescent="0.25"/>
    <row r="278" spans="8:9" s="2603" customFormat="1" x14ac:dyDescent="0.25"/>
    <row r="279" spans="8:9" s="2603" customFormat="1" x14ac:dyDescent="0.25"/>
    <row r="280" spans="8:9" s="2603" customFormat="1" x14ac:dyDescent="0.25"/>
    <row r="281" spans="8:9" s="2603" customFormat="1" x14ac:dyDescent="0.25"/>
    <row r="282" spans="8:9" s="2603" customFormat="1" x14ac:dyDescent="0.25"/>
    <row r="283" spans="8:9" s="2603" customFormat="1" x14ac:dyDescent="0.25"/>
    <row r="284" spans="8:9" s="2603" customFormat="1" x14ac:dyDescent="0.25"/>
    <row r="285" spans="8:9" s="2603" customFormat="1" x14ac:dyDescent="0.25"/>
    <row r="286" spans="8:9" s="2603" customFormat="1" x14ac:dyDescent="0.25"/>
    <row r="287" spans="8:9" s="2603" customFormat="1" x14ac:dyDescent="0.25"/>
    <row r="288" spans="8:9" s="2603" customFormat="1" x14ac:dyDescent="0.25">
      <c r="H288" s="2604"/>
      <c r="I288" s="2604"/>
    </row>
    <row r="289" spans="8:9" s="2603" customFormat="1" x14ac:dyDescent="0.25">
      <c r="H289" s="2604"/>
      <c r="I289" s="2604"/>
    </row>
    <row r="290" spans="8:9" s="2603" customFormat="1" x14ac:dyDescent="0.25">
      <c r="H290" s="2604"/>
      <c r="I290" s="2604"/>
    </row>
  </sheetData>
  <printOptions horizontalCentered="1"/>
  <pageMargins left="0" right="0" top="1.4468503939999999" bottom="0.196850393700787" header="0" footer="0"/>
  <pageSetup paperSize="9" scale="7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28" zoomScale="95" zoomScaleNormal="95" workbookViewId="0">
      <pane xSplit="1" topLeftCell="B1" activePane="topRight" state="frozen"/>
      <selection sqref="A1:FI41"/>
      <selection pane="topRight" sqref="A1:FI41"/>
    </sheetView>
  </sheetViews>
  <sheetFormatPr defaultRowHeight="12.75" x14ac:dyDescent="0.2"/>
  <cols>
    <col min="1" max="1" width="31.85546875" style="2731" customWidth="1"/>
    <col min="2" max="3" width="22.28515625" style="2731" bestFit="1" customWidth="1"/>
    <col min="4" max="4" width="22" style="2731" customWidth="1"/>
    <col min="5" max="5" width="14.5703125" style="2731" customWidth="1"/>
    <col min="6" max="6" width="9.5703125" style="2731" customWidth="1"/>
    <col min="7" max="7" width="14" style="2731" customWidth="1"/>
    <col min="8" max="10" width="9.140625" style="2731"/>
    <col min="11" max="11" width="13" style="2731" customWidth="1"/>
    <col min="12" max="144" width="9.140625" style="2731"/>
    <col min="145" max="157" width="8.85546875" style="2731" customWidth="1"/>
    <col min="158" max="256" width="9.140625" style="2731"/>
    <col min="257" max="257" width="31.85546875" style="2731" customWidth="1"/>
    <col min="258" max="259" width="22.28515625" style="2731" bestFit="1" customWidth="1"/>
    <col min="260" max="260" width="22" style="2731" customWidth="1"/>
    <col min="261" max="261" width="10.5703125" style="2731" customWidth="1"/>
    <col min="262" max="262" width="9.5703125" style="2731" customWidth="1"/>
    <col min="263" max="266" width="9.140625" style="2731"/>
    <col min="267" max="267" width="13" style="2731" customWidth="1"/>
    <col min="268" max="512" width="9.140625" style="2731"/>
    <col min="513" max="513" width="31.85546875" style="2731" customWidth="1"/>
    <col min="514" max="515" width="22.28515625" style="2731" bestFit="1" customWidth="1"/>
    <col min="516" max="516" width="22" style="2731" customWidth="1"/>
    <col min="517" max="517" width="10.5703125" style="2731" customWidth="1"/>
    <col min="518" max="518" width="9.5703125" style="2731" customWidth="1"/>
    <col min="519" max="522" width="9.140625" style="2731"/>
    <col min="523" max="523" width="13" style="2731" customWidth="1"/>
    <col min="524" max="768" width="9.140625" style="2731"/>
    <col min="769" max="769" width="31.85546875" style="2731" customWidth="1"/>
    <col min="770" max="771" width="22.28515625" style="2731" bestFit="1" customWidth="1"/>
    <col min="772" max="772" width="22" style="2731" customWidth="1"/>
    <col min="773" max="773" width="10.5703125" style="2731" customWidth="1"/>
    <col min="774" max="774" width="9.5703125" style="2731" customWidth="1"/>
    <col min="775" max="778" width="9.140625" style="2731"/>
    <col min="779" max="779" width="13" style="2731" customWidth="1"/>
    <col min="780" max="1024" width="9.140625" style="2731"/>
    <col min="1025" max="1025" width="31.85546875" style="2731" customWidth="1"/>
    <col min="1026" max="1027" width="22.28515625" style="2731" bestFit="1" customWidth="1"/>
    <col min="1028" max="1028" width="22" style="2731" customWidth="1"/>
    <col min="1029" max="1029" width="10.5703125" style="2731" customWidth="1"/>
    <col min="1030" max="1030" width="9.5703125" style="2731" customWidth="1"/>
    <col min="1031" max="1034" width="9.140625" style="2731"/>
    <col min="1035" max="1035" width="13" style="2731" customWidth="1"/>
    <col min="1036" max="1280" width="9.140625" style="2731"/>
    <col min="1281" max="1281" width="31.85546875" style="2731" customWidth="1"/>
    <col min="1282" max="1283" width="22.28515625" style="2731" bestFit="1" customWidth="1"/>
    <col min="1284" max="1284" width="22" style="2731" customWidth="1"/>
    <col min="1285" max="1285" width="10.5703125" style="2731" customWidth="1"/>
    <col min="1286" max="1286" width="9.5703125" style="2731" customWidth="1"/>
    <col min="1287" max="1290" width="9.140625" style="2731"/>
    <col min="1291" max="1291" width="13" style="2731" customWidth="1"/>
    <col min="1292" max="1536" width="9.140625" style="2731"/>
    <col min="1537" max="1537" width="31.85546875" style="2731" customWidth="1"/>
    <col min="1538" max="1539" width="22.28515625" style="2731" bestFit="1" customWidth="1"/>
    <col min="1540" max="1540" width="22" style="2731" customWidth="1"/>
    <col min="1541" max="1541" width="10.5703125" style="2731" customWidth="1"/>
    <col min="1542" max="1542" width="9.5703125" style="2731" customWidth="1"/>
    <col min="1543" max="1546" width="9.140625" style="2731"/>
    <col min="1547" max="1547" width="13" style="2731" customWidth="1"/>
    <col min="1548" max="1792" width="9.140625" style="2731"/>
    <col min="1793" max="1793" width="31.85546875" style="2731" customWidth="1"/>
    <col min="1794" max="1795" width="22.28515625" style="2731" bestFit="1" customWidth="1"/>
    <col min="1796" max="1796" width="22" style="2731" customWidth="1"/>
    <col min="1797" max="1797" width="10.5703125" style="2731" customWidth="1"/>
    <col min="1798" max="1798" width="9.5703125" style="2731" customWidth="1"/>
    <col min="1799" max="1802" width="9.140625" style="2731"/>
    <col min="1803" max="1803" width="13" style="2731" customWidth="1"/>
    <col min="1804" max="2048" width="9.140625" style="2731"/>
    <col min="2049" max="2049" width="31.85546875" style="2731" customWidth="1"/>
    <col min="2050" max="2051" width="22.28515625" style="2731" bestFit="1" customWidth="1"/>
    <col min="2052" max="2052" width="22" style="2731" customWidth="1"/>
    <col min="2053" max="2053" width="10.5703125" style="2731" customWidth="1"/>
    <col min="2054" max="2054" width="9.5703125" style="2731" customWidth="1"/>
    <col min="2055" max="2058" width="9.140625" style="2731"/>
    <col min="2059" max="2059" width="13" style="2731" customWidth="1"/>
    <col min="2060" max="2304" width="9.140625" style="2731"/>
    <col min="2305" max="2305" width="31.85546875" style="2731" customWidth="1"/>
    <col min="2306" max="2307" width="22.28515625" style="2731" bestFit="1" customWidth="1"/>
    <col min="2308" max="2308" width="22" style="2731" customWidth="1"/>
    <col min="2309" max="2309" width="10.5703125" style="2731" customWidth="1"/>
    <col min="2310" max="2310" width="9.5703125" style="2731" customWidth="1"/>
    <col min="2311" max="2314" width="9.140625" style="2731"/>
    <col min="2315" max="2315" width="13" style="2731" customWidth="1"/>
    <col min="2316" max="2560" width="9.140625" style="2731"/>
    <col min="2561" max="2561" width="31.85546875" style="2731" customWidth="1"/>
    <col min="2562" max="2563" width="22.28515625" style="2731" bestFit="1" customWidth="1"/>
    <col min="2564" max="2564" width="22" style="2731" customWidth="1"/>
    <col min="2565" max="2565" width="10.5703125" style="2731" customWidth="1"/>
    <col min="2566" max="2566" width="9.5703125" style="2731" customWidth="1"/>
    <col min="2567" max="2570" width="9.140625" style="2731"/>
    <col min="2571" max="2571" width="13" style="2731" customWidth="1"/>
    <col min="2572" max="2816" width="9.140625" style="2731"/>
    <col min="2817" max="2817" width="31.85546875" style="2731" customWidth="1"/>
    <col min="2818" max="2819" width="22.28515625" style="2731" bestFit="1" customWidth="1"/>
    <col min="2820" max="2820" width="22" style="2731" customWidth="1"/>
    <col min="2821" max="2821" width="10.5703125" style="2731" customWidth="1"/>
    <col min="2822" max="2822" width="9.5703125" style="2731" customWidth="1"/>
    <col min="2823" max="2826" width="9.140625" style="2731"/>
    <col min="2827" max="2827" width="13" style="2731" customWidth="1"/>
    <col min="2828" max="3072" width="9.140625" style="2731"/>
    <col min="3073" max="3073" width="31.85546875" style="2731" customWidth="1"/>
    <col min="3074" max="3075" width="22.28515625" style="2731" bestFit="1" customWidth="1"/>
    <col min="3076" max="3076" width="22" style="2731" customWidth="1"/>
    <col min="3077" max="3077" width="10.5703125" style="2731" customWidth="1"/>
    <col min="3078" max="3078" width="9.5703125" style="2731" customWidth="1"/>
    <col min="3079" max="3082" width="9.140625" style="2731"/>
    <col min="3083" max="3083" width="13" style="2731" customWidth="1"/>
    <col min="3084" max="3328" width="9.140625" style="2731"/>
    <col min="3329" max="3329" width="31.85546875" style="2731" customWidth="1"/>
    <col min="3330" max="3331" width="22.28515625" style="2731" bestFit="1" customWidth="1"/>
    <col min="3332" max="3332" width="22" style="2731" customWidth="1"/>
    <col min="3333" max="3333" width="10.5703125" style="2731" customWidth="1"/>
    <col min="3334" max="3334" width="9.5703125" style="2731" customWidth="1"/>
    <col min="3335" max="3338" width="9.140625" style="2731"/>
    <col min="3339" max="3339" width="13" style="2731" customWidth="1"/>
    <col min="3340" max="3584" width="9.140625" style="2731"/>
    <col min="3585" max="3585" width="31.85546875" style="2731" customWidth="1"/>
    <col min="3586" max="3587" width="22.28515625" style="2731" bestFit="1" customWidth="1"/>
    <col min="3588" max="3588" width="22" style="2731" customWidth="1"/>
    <col min="3589" max="3589" width="10.5703125" style="2731" customWidth="1"/>
    <col min="3590" max="3590" width="9.5703125" style="2731" customWidth="1"/>
    <col min="3591" max="3594" width="9.140625" style="2731"/>
    <col min="3595" max="3595" width="13" style="2731" customWidth="1"/>
    <col min="3596" max="3840" width="9.140625" style="2731"/>
    <col min="3841" max="3841" width="31.85546875" style="2731" customWidth="1"/>
    <col min="3842" max="3843" width="22.28515625" style="2731" bestFit="1" customWidth="1"/>
    <col min="3844" max="3844" width="22" style="2731" customWidth="1"/>
    <col min="3845" max="3845" width="10.5703125" style="2731" customWidth="1"/>
    <col min="3846" max="3846" width="9.5703125" style="2731" customWidth="1"/>
    <col min="3847" max="3850" width="9.140625" style="2731"/>
    <col min="3851" max="3851" width="13" style="2731" customWidth="1"/>
    <col min="3852" max="4096" width="9.140625" style="2731"/>
    <col min="4097" max="4097" width="31.85546875" style="2731" customWidth="1"/>
    <col min="4098" max="4099" width="22.28515625" style="2731" bestFit="1" customWidth="1"/>
    <col min="4100" max="4100" width="22" style="2731" customWidth="1"/>
    <col min="4101" max="4101" width="10.5703125" style="2731" customWidth="1"/>
    <col min="4102" max="4102" width="9.5703125" style="2731" customWidth="1"/>
    <col min="4103" max="4106" width="9.140625" style="2731"/>
    <col min="4107" max="4107" width="13" style="2731" customWidth="1"/>
    <col min="4108" max="4352" width="9.140625" style="2731"/>
    <col min="4353" max="4353" width="31.85546875" style="2731" customWidth="1"/>
    <col min="4354" max="4355" width="22.28515625" style="2731" bestFit="1" customWidth="1"/>
    <col min="4356" max="4356" width="22" style="2731" customWidth="1"/>
    <col min="4357" max="4357" width="10.5703125" style="2731" customWidth="1"/>
    <col min="4358" max="4358" width="9.5703125" style="2731" customWidth="1"/>
    <col min="4359" max="4362" width="9.140625" style="2731"/>
    <col min="4363" max="4363" width="13" style="2731" customWidth="1"/>
    <col min="4364" max="4608" width="9.140625" style="2731"/>
    <col min="4609" max="4609" width="31.85546875" style="2731" customWidth="1"/>
    <col min="4610" max="4611" width="22.28515625" style="2731" bestFit="1" customWidth="1"/>
    <col min="4612" max="4612" width="22" style="2731" customWidth="1"/>
    <col min="4613" max="4613" width="10.5703125" style="2731" customWidth="1"/>
    <col min="4614" max="4614" width="9.5703125" style="2731" customWidth="1"/>
    <col min="4615" max="4618" width="9.140625" style="2731"/>
    <col min="4619" max="4619" width="13" style="2731" customWidth="1"/>
    <col min="4620" max="4864" width="9.140625" style="2731"/>
    <col min="4865" max="4865" width="31.85546875" style="2731" customWidth="1"/>
    <col min="4866" max="4867" width="22.28515625" style="2731" bestFit="1" customWidth="1"/>
    <col min="4868" max="4868" width="22" style="2731" customWidth="1"/>
    <col min="4869" max="4869" width="10.5703125" style="2731" customWidth="1"/>
    <col min="4870" max="4870" width="9.5703125" style="2731" customWidth="1"/>
    <col min="4871" max="4874" width="9.140625" style="2731"/>
    <col min="4875" max="4875" width="13" style="2731" customWidth="1"/>
    <col min="4876" max="5120" width="9.140625" style="2731"/>
    <col min="5121" max="5121" width="31.85546875" style="2731" customWidth="1"/>
    <col min="5122" max="5123" width="22.28515625" style="2731" bestFit="1" customWidth="1"/>
    <col min="5124" max="5124" width="22" style="2731" customWidth="1"/>
    <col min="5125" max="5125" width="10.5703125" style="2731" customWidth="1"/>
    <col min="5126" max="5126" width="9.5703125" style="2731" customWidth="1"/>
    <col min="5127" max="5130" width="9.140625" style="2731"/>
    <col min="5131" max="5131" width="13" style="2731" customWidth="1"/>
    <col min="5132" max="5376" width="9.140625" style="2731"/>
    <col min="5377" max="5377" width="31.85546875" style="2731" customWidth="1"/>
    <col min="5378" max="5379" width="22.28515625" style="2731" bestFit="1" customWidth="1"/>
    <col min="5380" max="5380" width="22" style="2731" customWidth="1"/>
    <col min="5381" max="5381" width="10.5703125" style="2731" customWidth="1"/>
    <col min="5382" max="5382" width="9.5703125" style="2731" customWidth="1"/>
    <col min="5383" max="5386" width="9.140625" style="2731"/>
    <col min="5387" max="5387" width="13" style="2731" customWidth="1"/>
    <col min="5388" max="5632" width="9.140625" style="2731"/>
    <col min="5633" max="5633" width="31.85546875" style="2731" customWidth="1"/>
    <col min="5634" max="5635" width="22.28515625" style="2731" bestFit="1" customWidth="1"/>
    <col min="5636" max="5636" width="22" style="2731" customWidth="1"/>
    <col min="5637" max="5637" width="10.5703125" style="2731" customWidth="1"/>
    <col min="5638" max="5638" width="9.5703125" style="2731" customWidth="1"/>
    <col min="5639" max="5642" width="9.140625" style="2731"/>
    <col min="5643" max="5643" width="13" style="2731" customWidth="1"/>
    <col min="5644" max="5888" width="9.140625" style="2731"/>
    <col min="5889" max="5889" width="31.85546875" style="2731" customWidth="1"/>
    <col min="5890" max="5891" width="22.28515625" style="2731" bestFit="1" customWidth="1"/>
    <col min="5892" max="5892" width="22" style="2731" customWidth="1"/>
    <col min="5893" max="5893" width="10.5703125" style="2731" customWidth="1"/>
    <col min="5894" max="5894" width="9.5703125" style="2731" customWidth="1"/>
    <col min="5895" max="5898" width="9.140625" style="2731"/>
    <col min="5899" max="5899" width="13" style="2731" customWidth="1"/>
    <col min="5900" max="6144" width="9.140625" style="2731"/>
    <col min="6145" max="6145" width="31.85546875" style="2731" customWidth="1"/>
    <col min="6146" max="6147" width="22.28515625" style="2731" bestFit="1" customWidth="1"/>
    <col min="6148" max="6148" width="22" style="2731" customWidth="1"/>
    <col min="6149" max="6149" width="10.5703125" style="2731" customWidth="1"/>
    <col min="6150" max="6150" width="9.5703125" style="2731" customWidth="1"/>
    <col min="6151" max="6154" width="9.140625" style="2731"/>
    <col min="6155" max="6155" width="13" style="2731" customWidth="1"/>
    <col min="6156" max="6400" width="9.140625" style="2731"/>
    <col min="6401" max="6401" width="31.85546875" style="2731" customWidth="1"/>
    <col min="6402" max="6403" width="22.28515625" style="2731" bestFit="1" customWidth="1"/>
    <col min="6404" max="6404" width="22" style="2731" customWidth="1"/>
    <col min="6405" max="6405" width="10.5703125" style="2731" customWidth="1"/>
    <col min="6406" max="6406" width="9.5703125" style="2731" customWidth="1"/>
    <col min="6407" max="6410" width="9.140625" style="2731"/>
    <col min="6411" max="6411" width="13" style="2731" customWidth="1"/>
    <col min="6412" max="6656" width="9.140625" style="2731"/>
    <col min="6657" max="6657" width="31.85546875" style="2731" customWidth="1"/>
    <col min="6658" max="6659" width="22.28515625" style="2731" bestFit="1" customWidth="1"/>
    <col min="6660" max="6660" width="22" style="2731" customWidth="1"/>
    <col min="6661" max="6661" width="10.5703125" style="2731" customWidth="1"/>
    <col min="6662" max="6662" width="9.5703125" style="2731" customWidth="1"/>
    <col min="6663" max="6666" width="9.140625" style="2731"/>
    <col min="6667" max="6667" width="13" style="2731" customWidth="1"/>
    <col min="6668" max="6912" width="9.140625" style="2731"/>
    <col min="6913" max="6913" width="31.85546875" style="2731" customWidth="1"/>
    <col min="6914" max="6915" width="22.28515625" style="2731" bestFit="1" customWidth="1"/>
    <col min="6916" max="6916" width="22" style="2731" customWidth="1"/>
    <col min="6917" max="6917" width="10.5703125" style="2731" customWidth="1"/>
    <col min="6918" max="6918" width="9.5703125" style="2731" customWidth="1"/>
    <col min="6919" max="6922" width="9.140625" style="2731"/>
    <col min="6923" max="6923" width="13" style="2731" customWidth="1"/>
    <col min="6924" max="7168" width="9.140625" style="2731"/>
    <col min="7169" max="7169" width="31.85546875" style="2731" customWidth="1"/>
    <col min="7170" max="7171" width="22.28515625" style="2731" bestFit="1" customWidth="1"/>
    <col min="7172" max="7172" width="22" style="2731" customWidth="1"/>
    <col min="7173" max="7173" width="10.5703125" style="2731" customWidth="1"/>
    <col min="7174" max="7174" width="9.5703125" style="2731" customWidth="1"/>
    <col min="7175" max="7178" width="9.140625" style="2731"/>
    <col min="7179" max="7179" width="13" style="2731" customWidth="1"/>
    <col min="7180" max="7424" width="9.140625" style="2731"/>
    <col min="7425" max="7425" width="31.85546875" style="2731" customWidth="1"/>
    <col min="7426" max="7427" width="22.28515625" style="2731" bestFit="1" customWidth="1"/>
    <col min="7428" max="7428" width="22" style="2731" customWidth="1"/>
    <col min="7429" max="7429" width="10.5703125" style="2731" customWidth="1"/>
    <col min="7430" max="7430" width="9.5703125" style="2731" customWidth="1"/>
    <col min="7431" max="7434" width="9.140625" style="2731"/>
    <col min="7435" max="7435" width="13" style="2731" customWidth="1"/>
    <col min="7436" max="7680" width="9.140625" style="2731"/>
    <col min="7681" max="7681" width="31.85546875" style="2731" customWidth="1"/>
    <col min="7682" max="7683" width="22.28515625" style="2731" bestFit="1" customWidth="1"/>
    <col min="7684" max="7684" width="22" style="2731" customWidth="1"/>
    <col min="7685" max="7685" width="10.5703125" style="2731" customWidth="1"/>
    <col min="7686" max="7686" width="9.5703125" style="2731" customWidth="1"/>
    <col min="7687" max="7690" width="9.140625" style="2731"/>
    <col min="7691" max="7691" width="13" style="2731" customWidth="1"/>
    <col min="7692" max="7936" width="9.140625" style="2731"/>
    <col min="7937" max="7937" width="31.85546875" style="2731" customWidth="1"/>
    <col min="7938" max="7939" width="22.28515625" style="2731" bestFit="1" customWidth="1"/>
    <col min="7940" max="7940" width="22" style="2731" customWidth="1"/>
    <col min="7941" max="7941" width="10.5703125" style="2731" customWidth="1"/>
    <col min="7942" max="7942" width="9.5703125" style="2731" customWidth="1"/>
    <col min="7943" max="7946" width="9.140625" style="2731"/>
    <col min="7947" max="7947" width="13" style="2731" customWidth="1"/>
    <col min="7948" max="8192" width="9.140625" style="2731"/>
    <col min="8193" max="8193" width="31.85546875" style="2731" customWidth="1"/>
    <col min="8194" max="8195" width="22.28515625" style="2731" bestFit="1" customWidth="1"/>
    <col min="8196" max="8196" width="22" style="2731" customWidth="1"/>
    <col min="8197" max="8197" width="10.5703125" style="2731" customWidth="1"/>
    <col min="8198" max="8198" width="9.5703125" style="2731" customWidth="1"/>
    <col min="8199" max="8202" width="9.140625" style="2731"/>
    <col min="8203" max="8203" width="13" style="2731" customWidth="1"/>
    <col min="8204" max="8448" width="9.140625" style="2731"/>
    <col min="8449" max="8449" width="31.85546875" style="2731" customWidth="1"/>
    <col min="8450" max="8451" width="22.28515625" style="2731" bestFit="1" customWidth="1"/>
    <col min="8452" max="8452" width="22" style="2731" customWidth="1"/>
    <col min="8453" max="8453" width="10.5703125" style="2731" customWidth="1"/>
    <col min="8454" max="8454" width="9.5703125" style="2731" customWidth="1"/>
    <col min="8455" max="8458" width="9.140625" style="2731"/>
    <col min="8459" max="8459" width="13" style="2731" customWidth="1"/>
    <col min="8460" max="8704" width="9.140625" style="2731"/>
    <col min="8705" max="8705" width="31.85546875" style="2731" customWidth="1"/>
    <col min="8706" max="8707" width="22.28515625" style="2731" bestFit="1" customWidth="1"/>
    <col min="8708" max="8708" width="22" style="2731" customWidth="1"/>
    <col min="8709" max="8709" width="10.5703125" style="2731" customWidth="1"/>
    <col min="8710" max="8710" width="9.5703125" style="2731" customWidth="1"/>
    <col min="8711" max="8714" width="9.140625" style="2731"/>
    <col min="8715" max="8715" width="13" style="2731" customWidth="1"/>
    <col min="8716" max="8960" width="9.140625" style="2731"/>
    <col min="8961" max="8961" width="31.85546875" style="2731" customWidth="1"/>
    <col min="8962" max="8963" width="22.28515625" style="2731" bestFit="1" customWidth="1"/>
    <col min="8964" max="8964" width="22" style="2731" customWidth="1"/>
    <col min="8965" max="8965" width="10.5703125" style="2731" customWidth="1"/>
    <col min="8966" max="8966" width="9.5703125" style="2731" customWidth="1"/>
    <col min="8967" max="8970" width="9.140625" style="2731"/>
    <col min="8971" max="8971" width="13" style="2731" customWidth="1"/>
    <col min="8972" max="9216" width="9.140625" style="2731"/>
    <col min="9217" max="9217" width="31.85546875" style="2731" customWidth="1"/>
    <col min="9218" max="9219" width="22.28515625" style="2731" bestFit="1" customWidth="1"/>
    <col min="9220" max="9220" width="22" style="2731" customWidth="1"/>
    <col min="9221" max="9221" width="10.5703125" style="2731" customWidth="1"/>
    <col min="9222" max="9222" width="9.5703125" style="2731" customWidth="1"/>
    <col min="9223" max="9226" width="9.140625" style="2731"/>
    <col min="9227" max="9227" width="13" style="2731" customWidth="1"/>
    <col min="9228" max="9472" width="9.140625" style="2731"/>
    <col min="9473" max="9473" width="31.85546875" style="2731" customWidth="1"/>
    <col min="9474" max="9475" width="22.28515625" style="2731" bestFit="1" customWidth="1"/>
    <col min="9476" max="9476" width="22" style="2731" customWidth="1"/>
    <col min="9477" max="9477" width="10.5703125" style="2731" customWidth="1"/>
    <col min="9478" max="9478" width="9.5703125" style="2731" customWidth="1"/>
    <col min="9479" max="9482" width="9.140625" style="2731"/>
    <col min="9483" max="9483" width="13" style="2731" customWidth="1"/>
    <col min="9484" max="9728" width="9.140625" style="2731"/>
    <col min="9729" max="9729" width="31.85546875" style="2731" customWidth="1"/>
    <col min="9730" max="9731" width="22.28515625" style="2731" bestFit="1" customWidth="1"/>
    <col min="9732" max="9732" width="22" style="2731" customWidth="1"/>
    <col min="9733" max="9733" width="10.5703125" style="2731" customWidth="1"/>
    <col min="9734" max="9734" width="9.5703125" style="2731" customWidth="1"/>
    <col min="9735" max="9738" width="9.140625" style="2731"/>
    <col min="9739" max="9739" width="13" style="2731" customWidth="1"/>
    <col min="9740" max="9984" width="9.140625" style="2731"/>
    <col min="9985" max="9985" width="31.85546875" style="2731" customWidth="1"/>
    <col min="9986" max="9987" width="22.28515625" style="2731" bestFit="1" customWidth="1"/>
    <col min="9988" max="9988" width="22" style="2731" customWidth="1"/>
    <col min="9989" max="9989" width="10.5703125" style="2731" customWidth="1"/>
    <col min="9990" max="9990" width="9.5703125" style="2731" customWidth="1"/>
    <col min="9991" max="9994" width="9.140625" style="2731"/>
    <col min="9995" max="9995" width="13" style="2731" customWidth="1"/>
    <col min="9996" max="10240" width="9.140625" style="2731"/>
    <col min="10241" max="10241" width="31.85546875" style="2731" customWidth="1"/>
    <col min="10242" max="10243" width="22.28515625" style="2731" bestFit="1" customWidth="1"/>
    <col min="10244" max="10244" width="22" style="2731" customWidth="1"/>
    <col min="10245" max="10245" width="10.5703125" style="2731" customWidth="1"/>
    <col min="10246" max="10246" width="9.5703125" style="2731" customWidth="1"/>
    <col min="10247" max="10250" width="9.140625" style="2731"/>
    <col min="10251" max="10251" width="13" style="2731" customWidth="1"/>
    <col min="10252" max="10496" width="9.140625" style="2731"/>
    <col min="10497" max="10497" width="31.85546875" style="2731" customWidth="1"/>
    <col min="10498" max="10499" width="22.28515625" style="2731" bestFit="1" customWidth="1"/>
    <col min="10500" max="10500" width="22" style="2731" customWidth="1"/>
    <col min="10501" max="10501" width="10.5703125" style="2731" customWidth="1"/>
    <col min="10502" max="10502" width="9.5703125" style="2731" customWidth="1"/>
    <col min="10503" max="10506" width="9.140625" style="2731"/>
    <col min="10507" max="10507" width="13" style="2731" customWidth="1"/>
    <col min="10508" max="10752" width="9.140625" style="2731"/>
    <col min="10753" max="10753" width="31.85546875" style="2731" customWidth="1"/>
    <col min="10754" max="10755" width="22.28515625" style="2731" bestFit="1" customWidth="1"/>
    <col min="10756" max="10756" width="22" style="2731" customWidth="1"/>
    <col min="10757" max="10757" width="10.5703125" style="2731" customWidth="1"/>
    <col min="10758" max="10758" width="9.5703125" style="2731" customWidth="1"/>
    <col min="10759" max="10762" width="9.140625" style="2731"/>
    <col min="10763" max="10763" width="13" style="2731" customWidth="1"/>
    <col min="10764" max="11008" width="9.140625" style="2731"/>
    <col min="11009" max="11009" width="31.85546875" style="2731" customWidth="1"/>
    <col min="11010" max="11011" width="22.28515625" style="2731" bestFit="1" customWidth="1"/>
    <col min="11012" max="11012" width="22" style="2731" customWidth="1"/>
    <col min="11013" max="11013" width="10.5703125" style="2731" customWidth="1"/>
    <col min="11014" max="11014" width="9.5703125" style="2731" customWidth="1"/>
    <col min="11015" max="11018" width="9.140625" style="2731"/>
    <col min="11019" max="11019" width="13" style="2731" customWidth="1"/>
    <col min="11020" max="11264" width="9.140625" style="2731"/>
    <col min="11265" max="11265" width="31.85546875" style="2731" customWidth="1"/>
    <col min="11266" max="11267" width="22.28515625" style="2731" bestFit="1" customWidth="1"/>
    <col min="11268" max="11268" width="22" style="2731" customWidth="1"/>
    <col min="11269" max="11269" width="10.5703125" style="2731" customWidth="1"/>
    <col min="11270" max="11270" width="9.5703125" style="2731" customWidth="1"/>
    <col min="11271" max="11274" width="9.140625" style="2731"/>
    <col min="11275" max="11275" width="13" style="2731" customWidth="1"/>
    <col min="11276" max="11520" width="9.140625" style="2731"/>
    <col min="11521" max="11521" width="31.85546875" style="2731" customWidth="1"/>
    <col min="11522" max="11523" width="22.28515625" style="2731" bestFit="1" customWidth="1"/>
    <col min="11524" max="11524" width="22" style="2731" customWidth="1"/>
    <col min="11525" max="11525" width="10.5703125" style="2731" customWidth="1"/>
    <col min="11526" max="11526" width="9.5703125" style="2731" customWidth="1"/>
    <col min="11527" max="11530" width="9.140625" style="2731"/>
    <col min="11531" max="11531" width="13" style="2731" customWidth="1"/>
    <col min="11532" max="11776" width="9.140625" style="2731"/>
    <col min="11777" max="11777" width="31.85546875" style="2731" customWidth="1"/>
    <col min="11778" max="11779" width="22.28515625" style="2731" bestFit="1" customWidth="1"/>
    <col min="11780" max="11780" width="22" style="2731" customWidth="1"/>
    <col min="11781" max="11781" width="10.5703125" style="2731" customWidth="1"/>
    <col min="11782" max="11782" width="9.5703125" style="2731" customWidth="1"/>
    <col min="11783" max="11786" width="9.140625" style="2731"/>
    <col min="11787" max="11787" width="13" style="2731" customWidth="1"/>
    <col min="11788" max="12032" width="9.140625" style="2731"/>
    <col min="12033" max="12033" width="31.85546875" style="2731" customWidth="1"/>
    <col min="12034" max="12035" width="22.28515625" style="2731" bestFit="1" customWidth="1"/>
    <col min="12036" max="12036" width="22" style="2731" customWidth="1"/>
    <col min="12037" max="12037" width="10.5703125" style="2731" customWidth="1"/>
    <col min="12038" max="12038" width="9.5703125" style="2731" customWidth="1"/>
    <col min="12039" max="12042" width="9.140625" style="2731"/>
    <col min="12043" max="12043" width="13" style="2731" customWidth="1"/>
    <col min="12044" max="12288" width="9.140625" style="2731"/>
    <col min="12289" max="12289" width="31.85546875" style="2731" customWidth="1"/>
    <col min="12290" max="12291" width="22.28515625" style="2731" bestFit="1" customWidth="1"/>
    <col min="12292" max="12292" width="22" style="2731" customWidth="1"/>
    <col min="12293" max="12293" width="10.5703125" style="2731" customWidth="1"/>
    <col min="12294" max="12294" width="9.5703125" style="2731" customWidth="1"/>
    <col min="12295" max="12298" width="9.140625" style="2731"/>
    <col min="12299" max="12299" width="13" style="2731" customWidth="1"/>
    <col min="12300" max="12544" width="9.140625" style="2731"/>
    <col min="12545" max="12545" width="31.85546875" style="2731" customWidth="1"/>
    <col min="12546" max="12547" width="22.28515625" style="2731" bestFit="1" customWidth="1"/>
    <col min="12548" max="12548" width="22" style="2731" customWidth="1"/>
    <col min="12549" max="12549" width="10.5703125" style="2731" customWidth="1"/>
    <col min="12550" max="12550" width="9.5703125" style="2731" customWidth="1"/>
    <col min="12551" max="12554" width="9.140625" style="2731"/>
    <col min="12555" max="12555" width="13" style="2731" customWidth="1"/>
    <col min="12556" max="12800" width="9.140625" style="2731"/>
    <col min="12801" max="12801" width="31.85546875" style="2731" customWidth="1"/>
    <col min="12802" max="12803" width="22.28515625" style="2731" bestFit="1" customWidth="1"/>
    <col min="12804" max="12804" width="22" style="2731" customWidth="1"/>
    <col min="12805" max="12805" width="10.5703125" style="2731" customWidth="1"/>
    <col min="12806" max="12806" width="9.5703125" style="2731" customWidth="1"/>
    <col min="12807" max="12810" width="9.140625" style="2731"/>
    <col min="12811" max="12811" width="13" style="2731" customWidth="1"/>
    <col min="12812" max="13056" width="9.140625" style="2731"/>
    <col min="13057" max="13057" width="31.85546875" style="2731" customWidth="1"/>
    <col min="13058" max="13059" width="22.28515625" style="2731" bestFit="1" customWidth="1"/>
    <col min="13060" max="13060" width="22" style="2731" customWidth="1"/>
    <col min="13061" max="13061" width="10.5703125" style="2731" customWidth="1"/>
    <col min="13062" max="13062" width="9.5703125" style="2731" customWidth="1"/>
    <col min="13063" max="13066" width="9.140625" style="2731"/>
    <col min="13067" max="13067" width="13" style="2731" customWidth="1"/>
    <col min="13068" max="13312" width="9.140625" style="2731"/>
    <col min="13313" max="13313" width="31.85546875" style="2731" customWidth="1"/>
    <col min="13314" max="13315" width="22.28515625" style="2731" bestFit="1" customWidth="1"/>
    <col min="13316" max="13316" width="22" style="2731" customWidth="1"/>
    <col min="13317" max="13317" width="10.5703125" style="2731" customWidth="1"/>
    <col min="13318" max="13318" width="9.5703125" style="2731" customWidth="1"/>
    <col min="13319" max="13322" width="9.140625" style="2731"/>
    <col min="13323" max="13323" width="13" style="2731" customWidth="1"/>
    <col min="13324" max="13568" width="9.140625" style="2731"/>
    <col min="13569" max="13569" width="31.85546875" style="2731" customWidth="1"/>
    <col min="13570" max="13571" width="22.28515625" style="2731" bestFit="1" customWidth="1"/>
    <col min="13572" max="13572" width="22" style="2731" customWidth="1"/>
    <col min="13573" max="13573" width="10.5703125" style="2731" customWidth="1"/>
    <col min="13574" max="13574" width="9.5703125" style="2731" customWidth="1"/>
    <col min="13575" max="13578" width="9.140625" style="2731"/>
    <col min="13579" max="13579" width="13" style="2731" customWidth="1"/>
    <col min="13580" max="13824" width="9.140625" style="2731"/>
    <col min="13825" max="13825" width="31.85546875" style="2731" customWidth="1"/>
    <col min="13826" max="13827" width="22.28515625" style="2731" bestFit="1" customWidth="1"/>
    <col min="13828" max="13828" width="22" style="2731" customWidth="1"/>
    <col min="13829" max="13829" width="10.5703125" style="2731" customWidth="1"/>
    <col min="13830" max="13830" width="9.5703125" style="2731" customWidth="1"/>
    <col min="13831" max="13834" width="9.140625" style="2731"/>
    <col min="13835" max="13835" width="13" style="2731" customWidth="1"/>
    <col min="13836" max="14080" width="9.140625" style="2731"/>
    <col min="14081" max="14081" width="31.85546875" style="2731" customWidth="1"/>
    <col min="14082" max="14083" width="22.28515625" style="2731" bestFit="1" customWidth="1"/>
    <col min="14084" max="14084" width="22" style="2731" customWidth="1"/>
    <col min="14085" max="14085" width="10.5703125" style="2731" customWidth="1"/>
    <col min="14086" max="14086" width="9.5703125" style="2731" customWidth="1"/>
    <col min="14087" max="14090" width="9.140625" style="2731"/>
    <col min="14091" max="14091" width="13" style="2731" customWidth="1"/>
    <col min="14092" max="14336" width="9.140625" style="2731"/>
    <col min="14337" max="14337" width="31.85546875" style="2731" customWidth="1"/>
    <col min="14338" max="14339" width="22.28515625" style="2731" bestFit="1" customWidth="1"/>
    <col min="14340" max="14340" width="22" style="2731" customWidth="1"/>
    <col min="14341" max="14341" width="10.5703125" style="2731" customWidth="1"/>
    <col min="14342" max="14342" width="9.5703125" style="2731" customWidth="1"/>
    <col min="14343" max="14346" width="9.140625" style="2731"/>
    <col min="14347" max="14347" width="13" style="2731" customWidth="1"/>
    <col min="14348" max="14592" width="9.140625" style="2731"/>
    <col min="14593" max="14593" width="31.85546875" style="2731" customWidth="1"/>
    <col min="14594" max="14595" width="22.28515625" style="2731" bestFit="1" customWidth="1"/>
    <col min="14596" max="14596" width="22" style="2731" customWidth="1"/>
    <col min="14597" max="14597" width="10.5703125" style="2731" customWidth="1"/>
    <col min="14598" max="14598" width="9.5703125" style="2731" customWidth="1"/>
    <col min="14599" max="14602" width="9.140625" style="2731"/>
    <col min="14603" max="14603" width="13" style="2731" customWidth="1"/>
    <col min="14604" max="14848" width="9.140625" style="2731"/>
    <col min="14849" max="14849" width="31.85546875" style="2731" customWidth="1"/>
    <col min="14850" max="14851" width="22.28515625" style="2731" bestFit="1" customWidth="1"/>
    <col min="14852" max="14852" width="22" style="2731" customWidth="1"/>
    <col min="14853" max="14853" width="10.5703125" style="2731" customWidth="1"/>
    <col min="14854" max="14854" width="9.5703125" style="2731" customWidth="1"/>
    <col min="14855" max="14858" width="9.140625" style="2731"/>
    <col min="14859" max="14859" width="13" style="2731" customWidth="1"/>
    <col min="14860" max="15104" width="9.140625" style="2731"/>
    <col min="15105" max="15105" width="31.85546875" style="2731" customWidth="1"/>
    <col min="15106" max="15107" width="22.28515625" style="2731" bestFit="1" customWidth="1"/>
    <col min="15108" max="15108" width="22" style="2731" customWidth="1"/>
    <col min="15109" max="15109" width="10.5703125" style="2731" customWidth="1"/>
    <col min="15110" max="15110" width="9.5703125" style="2731" customWidth="1"/>
    <col min="15111" max="15114" width="9.140625" style="2731"/>
    <col min="15115" max="15115" width="13" style="2731" customWidth="1"/>
    <col min="15116" max="15360" width="9.140625" style="2731"/>
    <col min="15361" max="15361" width="31.85546875" style="2731" customWidth="1"/>
    <col min="15362" max="15363" width="22.28515625" style="2731" bestFit="1" customWidth="1"/>
    <col min="15364" max="15364" width="22" style="2731" customWidth="1"/>
    <col min="15365" max="15365" width="10.5703125" style="2731" customWidth="1"/>
    <col min="15366" max="15366" width="9.5703125" style="2731" customWidth="1"/>
    <col min="15367" max="15370" width="9.140625" style="2731"/>
    <col min="15371" max="15371" width="13" style="2731" customWidth="1"/>
    <col min="15372" max="15616" width="9.140625" style="2731"/>
    <col min="15617" max="15617" width="31.85546875" style="2731" customWidth="1"/>
    <col min="15618" max="15619" width="22.28515625" style="2731" bestFit="1" customWidth="1"/>
    <col min="15620" max="15620" width="22" style="2731" customWidth="1"/>
    <col min="15621" max="15621" width="10.5703125" style="2731" customWidth="1"/>
    <col min="15622" max="15622" width="9.5703125" style="2731" customWidth="1"/>
    <col min="15623" max="15626" width="9.140625" style="2731"/>
    <col min="15627" max="15627" width="13" style="2731" customWidth="1"/>
    <col min="15628" max="15872" width="9.140625" style="2731"/>
    <col min="15873" max="15873" width="31.85546875" style="2731" customWidth="1"/>
    <col min="15874" max="15875" width="22.28515625" style="2731" bestFit="1" customWidth="1"/>
    <col min="15876" max="15876" width="22" style="2731" customWidth="1"/>
    <col min="15877" max="15877" width="10.5703125" style="2731" customWidth="1"/>
    <col min="15878" max="15878" width="9.5703125" style="2731" customWidth="1"/>
    <col min="15879" max="15882" width="9.140625" style="2731"/>
    <col min="15883" max="15883" width="13" style="2731" customWidth="1"/>
    <col min="15884" max="16128" width="9.140625" style="2731"/>
    <col min="16129" max="16129" width="31.85546875" style="2731" customWidth="1"/>
    <col min="16130" max="16131" width="22.28515625" style="2731" bestFit="1" customWidth="1"/>
    <col min="16132" max="16132" width="22" style="2731" customWidth="1"/>
    <col min="16133" max="16133" width="10.5703125" style="2731" customWidth="1"/>
    <col min="16134" max="16134" width="9.5703125" style="2731" customWidth="1"/>
    <col min="16135" max="16138" width="9.140625" style="2731"/>
    <col min="16139" max="16139" width="13" style="2731" customWidth="1"/>
    <col min="16140" max="16384" width="9.140625" style="2731"/>
  </cols>
  <sheetData>
    <row r="1" spans="1:13" ht="18.75" x14ac:dyDescent="0.3">
      <c r="A1" s="1082" t="s">
        <v>4322</v>
      </c>
      <c r="B1" s="2728"/>
      <c r="C1" s="2729"/>
      <c r="D1" s="2730"/>
    </row>
    <row r="2" spans="1:13" ht="18.75" x14ac:dyDescent="0.3">
      <c r="A2" s="1082" t="s">
        <v>4323</v>
      </c>
      <c r="B2" s="2732"/>
      <c r="C2" s="2729"/>
      <c r="D2" s="2730"/>
    </row>
    <row r="3" spans="1:13" ht="4.5" customHeight="1" thickBot="1" x14ac:dyDescent="0.25">
      <c r="B3" s="2733"/>
      <c r="C3" s="2734"/>
    </row>
    <row r="4" spans="1:13" ht="13.5" customHeight="1" x14ac:dyDescent="0.2">
      <c r="A4" s="2735" t="s">
        <v>4307</v>
      </c>
      <c r="B4" s="2735" t="s">
        <v>4324</v>
      </c>
      <c r="C4" s="2736" t="s">
        <v>4324</v>
      </c>
      <c r="D4" s="2737" t="s">
        <v>4325</v>
      </c>
    </row>
    <row r="5" spans="1:13" ht="13.5" customHeight="1" x14ac:dyDescent="0.2">
      <c r="A5" s="2738" t="s">
        <v>4308</v>
      </c>
      <c r="B5" s="2739" t="s">
        <v>4326</v>
      </c>
      <c r="C5" s="2738" t="s">
        <v>4326</v>
      </c>
      <c r="D5" s="2740" t="s">
        <v>4327</v>
      </c>
    </row>
    <row r="6" spans="1:13" ht="13.5" customHeight="1" x14ac:dyDescent="0.2">
      <c r="A6" s="2741"/>
      <c r="B6" s="2742" t="s">
        <v>4328</v>
      </c>
      <c r="C6" s="2738" t="s">
        <v>4329</v>
      </c>
      <c r="D6" s="2740" t="s">
        <v>4330</v>
      </c>
      <c r="M6" s="2743"/>
    </row>
    <row r="7" spans="1:13" ht="13.5" customHeight="1" x14ac:dyDescent="0.2">
      <c r="A7" s="2741"/>
      <c r="B7" s="2744"/>
      <c r="C7" s="2745"/>
      <c r="D7" s="2740" t="s">
        <v>4331</v>
      </c>
      <c r="G7" s="2746"/>
      <c r="J7" s="2746"/>
    </row>
    <row r="8" spans="1:13" ht="13.5" customHeight="1" x14ac:dyDescent="0.2">
      <c r="A8" s="2741"/>
      <c r="B8" s="2744" t="s">
        <v>4332</v>
      </c>
      <c r="C8" s="2745" t="s">
        <v>4333</v>
      </c>
      <c r="D8" s="2740" t="s">
        <v>4334</v>
      </c>
      <c r="M8" s="2747"/>
    </row>
    <row r="9" spans="1:13" ht="3.75" customHeight="1" thickBot="1" x14ac:dyDescent="0.25">
      <c r="A9" s="2748"/>
      <c r="B9" s="2749"/>
      <c r="C9" s="2750"/>
      <c r="D9" s="2751"/>
      <c r="H9" s="2752"/>
    </row>
    <row r="10" spans="1:13" ht="21" customHeight="1" thickTop="1" x14ac:dyDescent="0.2">
      <c r="A10" s="2753" t="s">
        <v>4309</v>
      </c>
      <c r="B10" s="2754">
        <v>27.952932486556207</v>
      </c>
      <c r="C10" s="2755">
        <v>26.564853835295136</v>
      </c>
      <c r="D10" s="2756">
        <f>((B10/C10)-1)*100</f>
        <v>5.2252448286269626</v>
      </c>
      <c r="F10" s="2752"/>
      <c r="G10" s="2757"/>
      <c r="H10" s="2752"/>
      <c r="I10" s="2757"/>
      <c r="J10" s="2757"/>
      <c r="K10" s="2752"/>
      <c r="M10" s="2743"/>
    </row>
    <row r="11" spans="1:13" ht="19.5" customHeight="1" x14ac:dyDescent="0.2">
      <c r="A11" s="2753" t="s">
        <v>4335</v>
      </c>
      <c r="B11" s="2754">
        <v>4.2512224658182367</v>
      </c>
      <c r="C11" s="2755">
        <v>4.6882733614211878</v>
      </c>
      <c r="D11" s="2756">
        <f>((B11/C11)-1)*100</f>
        <v>-9.3222144254503263</v>
      </c>
      <c r="F11" s="2752"/>
      <c r="G11" s="2757"/>
      <c r="H11" s="2752"/>
      <c r="I11" s="2757"/>
      <c r="J11" s="2757"/>
      <c r="K11" s="2752"/>
      <c r="M11" s="2743"/>
    </row>
    <row r="12" spans="1:13" ht="19.5" customHeight="1" x14ac:dyDescent="0.2">
      <c r="A12" s="2753" t="s">
        <v>4311</v>
      </c>
      <c r="B12" s="2754">
        <v>53.708264294168167</v>
      </c>
      <c r="C12" s="2755">
        <v>55.450809769940193</v>
      </c>
      <c r="D12" s="2756">
        <f t="shared" ref="D12:D21" si="0">((B12/C12)-1)*100</f>
        <v>-3.1425068146013979</v>
      </c>
      <c r="F12" s="2752"/>
      <c r="G12" s="2758"/>
      <c r="H12" s="2759"/>
      <c r="I12" s="2757"/>
      <c r="J12" s="2757"/>
      <c r="K12" s="2752"/>
      <c r="M12" s="2743"/>
    </row>
    <row r="13" spans="1:13" ht="19.5" customHeight="1" x14ac:dyDescent="0.2">
      <c r="A13" s="2753" t="s">
        <v>4312</v>
      </c>
      <c r="B13" s="2754">
        <v>29.3357699159905</v>
      </c>
      <c r="C13" s="2755">
        <v>30.822862404986324</v>
      </c>
      <c r="D13" s="2756">
        <f t="shared" si="0"/>
        <v>-4.8246411039204791</v>
      </c>
      <c r="F13" s="2752"/>
      <c r="G13" s="2757"/>
      <c r="H13" s="2752"/>
      <c r="I13" s="2757"/>
      <c r="J13" s="2757"/>
      <c r="K13" s="2752"/>
      <c r="M13" s="2743"/>
    </row>
    <row r="14" spans="1:13" ht="20.100000000000001" customHeight="1" x14ac:dyDescent="0.2">
      <c r="A14" s="2753" t="s">
        <v>4313</v>
      </c>
      <c r="B14" s="2754">
        <v>36.641976503946431</v>
      </c>
      <c r="C14" s="2755">
        <v>35.911889064558629</v>
      </c>
      <c r="D14" s="2756">
        <f t="shared" si="0"/>
        <v>2.0329964766691244</v>
      </c>
      <c r="F14" s="2752"/>
      <c r="G14" s="2757"/>
      <c r="H14" s="2752"/>
      <c r="I14" s="2757"/>
      <c r="J14" s="2757"/>
      <c r="K14" s="2752"/>
      <c r="M14" s="2743"/>
    </row>
    <row r="15" spans="1:13" ht="20.100000000000001" customHeight="1" x14ac:dyDescent="0.2">
      <c r="A15" s="2753" t="s">
        <v>4314</v>
      </c>
      <c r="B15" s="2754">
        <v>26.061446768672184</v>
      </c>
      <c r="C15" s="2755">
        <v>24.28961884057971</v>
      </c>
      <c r="D15" s="2756">
        <f t="shared" si="0"/>
        <v>7.2945892635101872</v>
      </c>
      <c r="F15" s="2752"/>
      <c r="G15" s="2757"/>
      <c r="H15" s="2752"/>
      <c r="I15" s="2757"/>
      <c r="J15" s="2757"/>
      <c r="K15" s="2752"/>
      <c r="M15" s="2743"/>
    </row>
    <row r="16" spans="1:13" ht="20.100000000000001" customHeight="1" x14ac:dyDescent="0.2">
      <c r="A16" s="2753" t="s">
        <v>4315</v>
      </c>
      <c r="B16" s="2754">
        <v>25.352061185232476</v>
      </c>
      <c r="C16" s="2755">
        <v>26.251186076966512</v>
      </c>
      <c r="D16" s="2756">
        <f t="shared" si="0"/>
        <v>-3.4250829242452929</v>
      </c>
      <c r="F16" s="2752"/>
      <c r="G16" s="2757"/>
      <c r="H16" s="2752"/>
      <c r="I16" s="2757"/>
      <c r="J16" s="2757"/>
      <c r="K16" s="2752"/>
      <c r="M16" s="2743"/>
    </row>
    <row r="17" spans="1:13" ht="20.100000000000001" customHeight="1" x14ac:dyDescent="0.2">
      <c r="A17" s="2753" t="s">
        <v>4316</v>
      </c>
      <c r="B17" s="2754">
        <v>2.9278956369283944</v>
      </c>
      <c r="C17" s="2755">
        <v>2.5877146831435085</v>
      </c>
      <c r="D17" s="2756">
        <f t="shared" si="0"/>
        <v>13.14599928658442</v>
      </c>
      <c r="F17" s="2752"/>
      <c r="G17" s="2757"/>
      <c r="H17" s="2752"/>
      <c r="I17" s="2757"/>
      <c r="J17" s="2757"/>
      <c r="K17" s="2752"/>
      <c r="M17" s="2743"/>
    </row>
    <row r="18" spans="1:13" ht="20.100000000000001" customHeight="1" x14ac:dyDescent="0.2">
      <c r="A18" s="2753" t="s">
        <v>4317</v>
      </c>
      <c r="B18" s="2754">
        <v>35.016800848948755</v>
      </c>
      <c r="C18" s="2755">
        <v>37.232112181296962</v>
      </c>
      <c r="D18" s="2756">
        <f t="shared" si="0"/>
        <v>-5.9500017661126332</v>
      </c>
      <c r="F18" s="2752"/>
      <c r="G18" s="2757"/>
      <c r="H18" s="2752"/>
      <c r="I18" s="2757"/>
      <c r="J18" s="2757"/>
      <c r="K18" s="2752"/>
      <c r="M18" s="2743"/>
    </row>
    <row r="19" spans="1:13" ht="20.100000000000001" customHeight="1" x14ac:dyDescent="0.2">
      <c r="A19" s="2753" t="s">
        <v>4318</v>
      </c>
      <c r="B19" s="2754">
        <v>32.799194449919362</v>
      </c>
      <c r="C19" s="2755">
        <v>36.185851796030057</v>
      </c>
      <c r="D19" s="2756">
        <f t="shared" si="0"/>
        <v>-9.35906487762227</v>
      </c>
      <c r="F19" s="2752"/>
      <c r="G19" s="2757"/>
      <c r="H19" s="2752"/>
      <c r="I19" s="2757"/>
      <c r="J19" s="2757"/>
      <c r="K19" s="2752"/>
      <c r="M19" s="2743"/>
    </row>
    <row r="20" spans="1:13" ht="20.100000000000001" customHeight="1" x14ac:dyDescent="0.2">
      <c r="A20" s="2753" t="s">
        <v>4319</v>
      </c>
      <c r="B20" s="2754">
        <v>51.947965261988884</v>
      </c>
      <c r="C20" s="2755">
        <v>54.124144210137693</v>
      </c>
      <c r="D20" s="2756">
        <f t="shared" si="0"/>
        <v>-4.0207175187837896</v>
      </c>
      <c r="F20" s="2752"/>
      <c r="G20" s="2757"/>
      <c r="H20" s="2752"/>
      <c r="I20" s="2757"/>
      <c r="J20" s="2757"/>
      <c r="K20" s="2752"/>
      <c r="M20" s="2743"/>
    </row>
    <row r="21" spans="1:13" ht="20.100000000000001" customHeight="1" x14ac:dyDescent="0.2">
      <c r="A21" s="2753" t="s">
        <v>3558</v>
      </c>
      <c r="B21" s="2754">
        <v>39.94973823786944</v>
      </c>
      <c r="C21" s="2755">
        <v>40.1665089649481</v>
      </c>
      <c r="D21" s="2756">
        <f t="shared" si="0"/>
        <v>-0.53968027758606318</v>
      </c>
      <c r="F21" s="2752"/>
      <c r="G21" s="2757"/>
      <c r="H21" s="2752"/>
      <c r="I21" s="2757"/>
      <c r="J21" s="2757"/>
      <c r="K21" s="2752"/>
      <c r="M21" s="2743"/>
    </row>
    <row r="22" spans="1:13" ht="6.75" customHeight="1" thickBot="1" x14ac:dyDescent="0.25">
      <c r="A22" s="2760"/>
      <c r="B22" s="2761"/>
      <c r="C22" s="2762"/>
      <c r="D22" s="2763"/>
      <c r="F22" s="2752"/>
      <c r="H22" s="2752"/>
      <c r="M22" s="2764"/>
    </row>
    <row r="23" spans="1:13" ht="15" customHeight="1" x14ac:dyDescent="0.2">
      <c r="A23" s="2765" t="s">
        <v>4336</v>
      </c>
      <c r="B23" s="2766"/>
      <c r="C23" s="2767"/>
      <c r="D23" s="2768"/>
      <c r="E23" s="2769"/>
    </row>
    <row r="24" spans="1:13" ht="11.25" customHeight="1" x14ac:dyDescent="0.2">
      <c r="A24" s="2765" t="s">
        <v>4337</v>
      </c>
      <c r="B24" s="2770"/>
      <c r="C24" s="2767"/>
      <c r="D24" s="2769"/>
      <c r="E24" s="2769"/>
    </row>
    <row r="25" spans="1:13" ht="11.25" customHeight="1" x14ac:dyDescent="0.2">
      <c r="A25" s="2765" t="s">
        <v>4338</v>
      </c>
      <c r="B25" s="2770"/>
      <c r="C25" s="2767"/>
      <c r="D25" s="2769"/>
      <c r="E25" s="2769"/>
    </row>
    <row r="26" spans="1:13" ht="11.25" customHeight="1" x14ac:dyDescent="0.2">
      <c r="A26" s="2765" t="s">
        <v>4339</v>
      </c>
      <c r="B26" s="2770"/>
      <c r="C26" s="2767"/>
      <c r="D26" s="2769"/>
      <c r="E26" s="2769"/>
    </row>
    <row r="27" spans="1:13" ht="11.25" customHeight="1" x14ac:dyDescent="0.2">
      <c r="A27" s="2765" t="s">
        <v>4340</v>
      </c>
      <c r="B27" s="2770"/>
      <c r="C27" s="2767"/>
      <c r="D27" s="2769"/>
      <c r="E27" s="2769"/>
    </row>
    <row r="28" spans="1:13" ht="12.75" customHeight="1" x14ac:dyDescent="0.2">
      <c r="A28" s="2771" t="s">
        <v>680</v>
      </c>
      <c r="B28" s="2769"/>
      <c r="C28" s="2769"/>
      <c r="D28" s="2769"/>
      <c r="E28" s="2769"/>
    </row>
    <row r="29" spans="1:13" ht="12.75" customHeight="1" x14ac:dyDescent="0.2"/>
    <row r="30" spans="1:13" ht="18.75" x14ac:dyDescent="0.3">
      <c r="A30" s="1082" t="s">
        <v>4341</v>
      </c>
      <c r="B30" s="1082"/>
      <c r="C30" s="1082"/>
      <c r="D30" s="1082"/>
    </row>
    <row r="31" spans="1:13" ht="18.75" x14ac:dyDescent="0.3">
      <c r="A31" s="1082" t="s">
        <v>4342</v>
      </c>
      <c r="B31" s="2772"/>
      <c r="C31" s="1082"/>
      <c r="D31" s="1082"/>
    </row>
    <row r="32" spans="1:13" ht="9" customHeight="1" thickBot="1" x14ac:dyDescent="0.25">
      <c r="A32" s="2773"/>
      <c r="B32" s="2774"/>
      <c r="C32" s="2774"/>
      <c r="D32" s="2774"/>
    </row>
    <row r="33" spans="1:10" ht="13.5" thickTop="1" x14ac:dyDescent="0.2">
      <c r="A33" s="2775"/>
      <c r="B33" s="2776"/>
      <c r="C33" s="2777"/>
      <c r="D33" s="2778" t="s">
        <v>4343</v>
      </c>
    </row>
    <row r="34" spans="1:10" x14ac:dyDescent="0.2">
      <c r="A34" s="2779"/>
      <c r="B34" s="2780">
        <v>36161</v>
      </c>
      <c r="C34" s="2780">
        <v>42491</v>
      </c>
      <c r="D34" s="2781" t="s">
        <v>4327</v>
      </c>
    </row>
    <row r="35" spans="1:10" x14ac:dyDescent="0.2">
      <c r="A35" s="2779"/>
      <c r="B35" s="2782"/>
      <c r="C35" s="2780"/>
      <c r="D35" s="2781" t="s">
        <v>4331</v>
      </c>
    </row>
    <row r="36" spans="1:10" x14ac:dyDescent="0.2">
      <c r="A36" s="2779"/>
      <c r="B36" s="2782" t="s">
        <v>4332</v>
      </c>
      <c r="C36" s="2780" t="s">
        <v>4333</v>
      </c>
      <c r="D36" s="2783" t="s">
        <v>1350</v>
      </c>
      <c r="F36" s="2784"/>
      <c r="G36" s="2784"/>
    </row>
    <row r="37" spans="1:10" ht="13.5" thickBot="1" x14ac:dyDescent="0.25">
      <c r="A37" s="2785"/>
      <c r="B37" s="2786"/>
      <c r="C37" s="2787"/>
      <c r="D37" s="2788"/>
    </row>
    <row r="38" spans="1:10" ht="19.5" customHeight="1" thickTop="1" x14ac:dyDescent="0.2">
      <c r="A38" s="2789" t="s">
        <v>4335</v>
      </c>
      <c r="B38" s="2790">
        <v>8.9688999999999997</v>
      </c>
      <c r="C38" s="2791">
        <f>'[74]Average-App.Dep'!$H$54</f>
        <v>8.7803818181818176</v>
      </c>
      <c r="D38" s="2792">
        <f>((B38/C38)-1)*100</f>
        <v>2.1470385425359506</v>
      </c>
      <c r="F38" s="2793"/>
      <c r="G38" s="2794"/>
      <c r="H38" s="2793"/>
      <c r="I38" s="2794"/>
    </row>
    <row r="39" spans="1:10" ht="19.5" customHeight="1" x14ac:dyDescent="0.2">
      <c r="A39" s="2789" t="s">
        <v>4344</v>
      </c>
      <c r="B39" s="2795">
        <v>9961.02</v>
      </c>
      <c r="C39" s="2796">
        <f>'[74]Average-App.Dep'!$F$54</f>
        <v>15156.7</v>
      </c>
      <c r="D39" s="2792">
        <f t="shared" ref="D39:D46" si="1">((B39/C39)-1)*100</f>
        <v>-34.279757466994795</v>
      </c>
      <c r="F39" s="2793"/>
      <c r="G39" s="2797"/>
      <c r="I39" s="2797"/>
    </row>
    <row r="40" spans="1:10" ht="19.5" customHeight="1" x14ac:dyDescent="0.2">
      <c r="A40" s="2789" t="s">
        <v>4345</v>
      </c>
      <c r="B40" s="2795">
        <v>1358.76</v>
      </c>
      <c r="C40" s="2796">
        <f>'[74]Average-App.Dep'!$I$54</f>
        <v>1326.5472727272727</v>
      </c>
      <c r="D40" s="2792">
        <f t="shared" si="1"/>
        <v>2.4283135576842696</v>
      </c>
      <c r="F40" s="2793"/>
      <c r="G40" s="2797"/>
      <c r="I40" s="2797"/>
    </row>
    <row r="41" spans="1:10" ht="19.5" customHeight="1" x14ac:dyDescent="0.2">
      <c r="A41" s="2789" t="s">
        <v>4346</v>
      </c>
      <c r="B41" s="2798">
        <v>28.986999999999998</v>
      </c>
      <c r="C41" s="2799">
        <f>'[74]Average-App.Dep'!$M$54</f>
        <v>40.712061538461541</v>
      </c>
      <c r="D41" s="2792">
        <f t="shared" si="1"/>
        <v>-28.799970071239521</v>
      </c>
      <c r="F41" s="2793"/>
      <c r="G41" s="2800"/>
      <c r="H41" s="2800"/>
      <c r="I41" s="2800"/>
      <c r="J41" s="2800"/>
    </row>
    <row r="42" spans="1:10" ht="19.5" customHeight="1" x14ac:dyDescent="0.2">
      <c r="A42" s="2789" t="s">
        <v>4347</v>
      </c>
      <c r="B42" s="2798">
        <v>44.395000000000003</v>
      </c>
      <c r="C42" s="2799">
        <f>'[74]Average-App.Dep'!$J$54</f>
        <v>52.936863636363633</v>
      </c>
      <c r="D42" s="2792">
        <f t="shared" si="1"/>
        <v>-16.135945822253085</v>
      </c>
      <c r="F42" s="2793"/>
    </row>
    <row r="43" spans="1:10" ht="19.5" customHeight="1" x14ac:dyDescent="0.2">
      <c r="A43" s="2789" t="s">
        <v>4315</v>
      </c>
      <c r="B43" s="2798">
        <v>1.9453</v>
      </c>
      <c r="C43" s="2799">
        <f>'[74]Average-App.Dep'!$D$54</f>
        <v>1.5484363636363634</v>
      </c>
      <c r="D43" s="2792">
        <f t="shared" si="1"/>
        <v>25.629961016391924</v>
      </c>
      <c r="F43" s="2793"/>
    </row>
    <row r="44" spans="1:10" ht="19.5" customHeight="1" x14ac:dyDescent="0.2">
      <c r="A44" s="2789" t="s">
        <v>4316</v>
      </c>
      <c r="B44" s="2798">
        <v>6.9690000000000003</v>
      </c>
      <c r="C44" s="2799">
        <f>'[74]Average-App.Dep'!$L$54</f>
        <v>17.28850454545454</v>
      </c>
      <c r="D44" s="2792">
        <f t="shared" si="1"/>
        <v>-59.689977917538982</v>
      </c>
      <c r="F44" s="2793"/>
    </row>
    <row r="45" spans="1:10" ht="19.5" customHeight="1" x14ac:dyDescent="0.2">
      <c r="A45" s="2789" t="s">
        <v>4348</v>
      </c>
      <c r="B45" s="2798">
        <v>37.332999999999998</v>
      </c>
      <c r="C45" s="2799">
        <f>'[74]Average-App.Dep'!$E$54</f>
        <v>36.794404545454547</v>
      </c>
      <c r="D45" s="2792">
        <f t="shared" si="1"/>
        <v>1.4637971756822132</v>
      </c>
      <c r="F45" s="2793"/>
    </row>
    <row r="46" spans="1:10" ht="19.5" customHeight="1" x14ac:dyDescent="0.2">
      <c r="A46" s="2789" t="s">
        <v>4349</v>
      </c>
      <c r="B46" s="2790">
        <v>42.365499999999997</v>
      </c>
      <c r="C46" s="2791">
        <f>'[74]Average-App.Dep'!$G$54</f>
        <v>40.024168181818183</v>
      </c>
      <c r="D46" s="2792">
        <f t="shared" si="1"/>
        <v>5.8497950726816406</v>
      </c>
      <c r="F46" s="2793"/>
    </row>
    <row r="47" spans="1:10" ht="6" customHeight="1" thickBot="1" x14ac:dyDescent="0.25">
      <c r="A47" s="2801"/>
      <c r="B47" s="2802"/>
      <c r="C47" s="2803"/>
      <c r="D47" s="2804"/>
      <c r="F47" s="2793"/>
    </row>
    <row r="48" spans="1:10" ht="13.5" thickTop="1" x14ac:dyDescent="0.2">
      <c r="A48" s="2765" t="s">
        <v>4350</v>
      </c>
      <c r="B48" s="2805"/>
      <c r="C48" s="2805"/>
      <c r="D48" s="2806"/>
    </row>
    <row r="49" spans="1:5" ht="10.5" customHeight="1" x14ac:dyDescent="0.2">
      <c r="A49" s="2765" t="s">
        <v>4351</v>
      </c>
      <c r="B49" s="2769"/>
      <c r="C49" s="2769"/>
      <c r="D49" s="2769"/>
    </row>
    <row r="50" spans="1:5" ht="12.75" customHeight="1" x14ac:dyDescent="0.2">
      <c r="A50" s="2771" t="s">
        <v>680</v>
      </c>
      <c r="B50" s="2769"/>
      <c r="C50" s="2769"/>
      <c r="D50" s="2769"/>
    </row>
    <row r="51" spans="1:5" ht="27" customHeight="1" x14ac:dyDescent="0.2">
      <c r="D51" s="2731" t="s">
        <v>25</v>
      </c>
    </row>
    <row r="52" spans="1:5" ht="18.75" x14ac:dyDescent="0.3">
      <c r="A52" s="1082" t="s">
        <v>4352</v>
      </c>
      <c r="B52" s="1082"/>
      <c r="C52" s="1082"/>
      <c r="D52" s="1082"/>
      <c r="E52" s="2807"/>
    </row>
    <row r="53" spans="1:5" ht="6.75" customHeight="1" thickBot="1" x14ac:dyDescent="0.35">
      <c r="A53" s="1082"/>
      <c r="B53" s="2772"/>
      <c r="C53" s="1082"/>
      <c r="D53" s="1082"/>
      <c r="E53" s="2807"/>
    </row>
    <row r="54" spans="1:5" ht="13.5" thickTop="1" x14ac:dyDescent="0.2">
      <c r="A54" s="2808"/>
      <c r="B54" s="2776">
        <v>42491</v>
      </c>
      <c r="C54" s="2809">
        <f>B54</f>
        <v>42491</v>
      </c>
      <c r="D54" s="2809">
        <f>B54</f>
        <v>42491</v>
      </c>
      <c r="E54" s="2810">
        <v>42461</v>
      </c>
    </row>
    <row r="55" spans="1:5" x14ac:dyDescent="0.2">
      <c r="A55" s="2811"/>
      <c r="B55" s="2782" t="s">
        <v>4353</v>
      </c>
      <c r="C55" s="2812" t="s">
        <v>4354</v>
      </c>
      <c r="D55" s="2812" t="s">
        <v>4355</v>
      </c>
      <c r="E55" s="2783" t="s">
        <v>4355</v>
      </c>
    </row>
    <row r="56" spans="1:5" ht="3" customHeight="1" thickBot="1" x14ac:dyDescent="0.25">
      <c r="A56" s="2785"/>
      <c r="B56" s="2786"/>
      <c r="C56" s="2813"/>
      <c r="D56" s="2813"/>
      <c r="E56" s="2814"/>
    </row>
    <row r="57" spans="1:5" ht="18.75" customHeight="1" thickTop="1" x14ac:dyDescent="0.2">
      <c r="A57" s="2815" t="s">
        <v>4356</v>
      </c>
      <c r="B57" s="2816" t="s">
        <v>4357</v>
      </c>
      <c r="C57" s="2817" t="s">
        <v>4358</v>
      </c>
      <c r="D57" s="2817" t="s">
        <v>4359</v>
      </c>
      <c r="E57" s="2818" t="s">
        <v>4360</v>
      </c>
    </row>
    <row r="58" spans="1:5" ht="18.75" customHeight="1" x14ac:dyDescent="0.2">
      <c r="A58" s="2815" t="s">
        <v>4361</v>
      </c>
      <c r="B58" s="2817" t="s">
        <v>4362</v>
      </c>
      <c r="C58" s="2819" t="s">
        <v>4363</v>
      </c>
      <c r="D58" s="2817" t="s">
        <v>4364</v>
      </c>
      <c r="E58" s="2818" t="s">
        <v>4365</v>
      </c>
    </row>
    <row r="59" spans="1:5" ht="18.75" customHeight="1" x14ac:dyDescent="0.2">
      <c r="A59" s="2815" t="s">
        <v>4366</v>
      </c>
      <c r="B59" s="2817" t="s">
        <v>4367</v>
      </c>
      <c r="C59" s="2820" t="s">
        <v>4368</v>
      </c>
      <c r="D59" s="2817" t="s">
        <v>4369</v>
      </c>
      <c r="E59" s="2818" t="s">
        <v>4370</v>
      </c>
    </row>
    <row r="60" spans="1:5" ht="7.5" customHeight="1" thickBot="1" x14ac:dyDescent="0.25">
      <c r="A60" s="2821"/>
      <c r="B60" s="2822"/>
      <c r="C60" s="2823"/>
      <c r="D60" s="2823"/>
      <c r="E60" s="2824"/>
    </row>
    <row r="61" spans="1:5" ht="14.25" thickTop="1" x14ac:dyDescent="0.2">
      <c r="A61" s="2825" t="s">
        <v>4371</v>
      </c>
      <c r="B61" s="2826"/>
      <c r="C61" s="2827"/>
      <c r="D61" s="2827"/>
      <c r="E61" s="2807"/>
    </row>
    <row r="62" spans="1:5" x14ac:dyDescent="0.2">
      <c r="D62" s="2828"/>
    </row>
    <row r="63" spans="1:5" x14ac:dyDescent="0.2">
      <c r="B63" s="2828"/>
      <c r="C63" s="2828"/>
      <c r="D63" s="2829"/>
    </row>
    <row r="64" spans="1:5" x14ac:dyDescent="0.2">
      <c r="B64" s="2828"/>
      <c r="C64" s="2828"/>
      <c r="D64" s="2829"/>
    </row>
    <row r="65" spans="2:4" x14ac:dyDescent="0.2">
      <c r="B65" s="2828"/>
      <c r="C65" s="2828"/>
      <c r="D65" s="2829"/>
    </row>
    <row r="66" spans="2:4" x14ac:dyDescent="0.2">
      <c r="B66" s="2829"/>
      <c r="C66" s="2829"/>
      <c r="D66" s="2829"/>
    </row>
  </sheetData>
  <printOptions horizontalCentered="1"/>
  <pageMargins left="0" right="0" top="1.4468503939999999" bottom="0.196850393700787" header="0" footer="0"/>
  <pageSetup paperSize="9"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F13" sqref="F13"/>
    </sheetView>
  </sheetViews>
  <sheetFormatPr defaultRowHeight="12.75" x14ac:dyDescent="0.2"/>
  <cols>
    <col min="1" max="1" width="17.28515625" style="2830" customWidth="1"/>
    <col min="2" max="4" width="8.7109375" style="2830" customWidth="1"/>
    <col min="5" max="5" width="9.7109375" style="2830" bestFit="1" customWidth="1"/>
    <col min="6" max="6" width="8.7109375" style="2830" customWidth="1"/>
    <col min="7" max="7" width="9.5703125" style="2830" customWidth="1"/>
    <col min="8" max="9" width="8.7109375" style="2830" customWidth="1"/>
    <col min="10" max="10" width="9.42578125" style="2830" customWidth="1"/>
    <col min="11" max="144" width="9.140625" style="2830"/>
    <col min="145" max="157" width="8.85546875" style="2830" customWidth="1"/>
    <col min="158" max="256" width="9.140625" style="2830"/>
    <col min="257" max="257" width="17.28515625" style="2830" customWidth="1"/>
    <col min="258" max="262" width="8.7109375" style="2830" customWidth="1"/>
    <col min="263" max="263" width="9.5703125" style="2830" customWidth="1"/>
    <col min="264" max="265" width="8.7109375" style="2830" customWidth="1"/>
    <col min="266" max="266" width="9.42578125" style="2830" customWidth="1"/>
    <col min="267" max="512" width="9.140625" style="2830"/>
    <col min="513" max="513" width="17.28515625" style="2830" customWidth="1"/>
    <col min="514" max="518" width="8.7109375" style="2830" customWidth="1"/>
    <col min="519" max="519" width="9.5703125" style="2830" customWidth="1"/>
    <col min="520" max="521" width="8.7109375" style="2830" customWidth="1"/>
    <col min="522" max="522" width="9.42578125" style="2830" customWidth="1"/>
    <col min="523" max="768" width="9.140625" style="2830"/>
    <col min="769" max="769" width="17.28515625" style="2830" customWidth="1"/>
    <col min="770" max="774" width="8.7109375" style="2830" customWidth="1"/>
    <col min="775" max="775" width="9.5703125" style="2830" customWidth="1"/>
    <col min="776" max="777" width="8.7109375" style="2830" customWidth="1"/>
    <col min="778" max="778" width="9.42578125" style="2830" customWidth="1"/>
    <col min="779" max="1024" width="9.140625" style="2830"/>
    <col min="1025" max="1025" width="17.28515625" style="2830" customWidth="1"/>
    <col min="1026" max="1030" width="8.7109375" style="2830" customWidth="1"/>
    <col min="1031" max="1031" width="9.5703125" style="2830" customWidth="1"/>
    <col min="1032" max="1033" width="8.7109375" style="2830" customWidth="1"/>
    <col min="1034" max="1034" width="9.42578125" style="2830" customWidth="1"/>
    <col min="1035" max="1280" width="9.140625" style="2830"/>
    <col min="1281" max="1281" width="17.28515625" style="2830" customWidth="1"/>
    <col min="1282" max="1286" width="8.7109375" style="2830" customWidth="1"/>
    <col min="1287" max="1287" width="9.5703125" style="2830" customWidth="1"/>
    <col min="1288" max="1289" width="8.7109375" style="2830" customWidth="1"/>
    <col min="1290" max="1290" width="9.42578125" style="2830" customWidth="1"/>
    <col min="1291" max="1536" width="9.140625" style="2830"/>
    <col min="1537" max="1537" width="17.28515625" style="2830" customWidth="1"/>
    <col min="1538" max="1542" width="8.7109375" style="2830" customWidth="1"/>
    <col min="1543" max="1543" width="9.5703125" style="2830" customWidth="1"/>
    <col min="1544" max="1545" width="8.7109375" style="2830" customWidth="1"/>
    <col min="1546" max="1546" width="9.42578125" style="2830" customWidth="1"/>
    <col min="1547" max="1792" width="9.140625" style="2830"/>
    <col min="1793" max="1793" width="17.28515625" style="2830" customWidth="1"/>
    <col min="1794" max="1798" width="8.7109375" style="2830" customWidth="1"/>
    <col min="1799" max="1799" width="9.5703125" style="2830" customWidth="1"/>
    <col min="1800" max="1801" width="8.7109375" style="2830" customWidth="1"/>
    <col min="1802" max="1802" width="9.42578125" style="2830" customWidth="1"/>
    <col min="1803" max="2048" width="9.140625" style="2830"/>
    <col min="2049" max="2049" width="17.28515625" style="2830" customWidth="1"/>
    <col min="2050" max="2054" width="8.7109375" style="2830" customWidth="1"/>
    <col min="2055" max="2055" width="9.5703125" style="2830" customWidth="1"/>
    <col min="2056" max="2057" width="8.7109375" style="2830" customWidth="1"/>
    <col min="2058" max="2058" width="9.42578125" style="2830" customWidth="1"/>
    <col min="2059" max="2304" width="9.140625" style="2830"/>
    <col min="2305" max="2305" width="17.28515625" style="2830" customWidth="1"/>
    <col min="2306" max="2310" width="8.7109375" style="2830" customWidth="1"/>
    <col min="2311" max="2311" width="9.5703125" style="2830" customWidth="1"/>
    <col min="2312" max="2313" width="8.7109375" style="2830" customWidth="1"/>
    <col min="2314" max="2314" width="9.42578125" style="2830" customWidth="1"/>
    <col min="2315" max="2560" width="9.140625" style="2830"/>
    <col min="2561" max="2561" width="17.28515625" style="2830" customWidth="1"/>
    <col min="2562" max="2566" width="8.7109375" style="2830" customWidth="1"/>
    <col min="2567" max="2567" width="9.5703125" style="2830" customWidth="1"/>
    <col min="2568" max="2569" width="8.7109375" style="2830" customWidth="1"/>
    <col min="2570" max="2570" width="9.42578125" style="2830" customWidth="1"/>
    <col min="2571" max="2816" width="9.140625" style="2830"/>
    <col min="2817" max="2817" width="17.28515625" style="2830" customWidth="1"/>
    <col min="2818" max="2822" width="8.7109375" style="2830" customWidth="1"/>
    <col min="2823" max="2823" width="9.5703125" style="2830" customWidth="1"/>
    <col min="2824" max="2825" width="8.7109375" style="2830" customWidth="1"/>
    <col min="2826" max="2826" width="9.42578125" style="2830" customWidth="1"/>
    <col min="2827" max="3072" width="9.140625" style="2830"/>
    <col min="3073" max="3073" width="17.28515625" style="2830" customWidth="1"/>
    <col min="3074" max="3078" width="8.7109375" style="2830" customWidth="1"/>
    <col min="3079" max="3079" width="9.5703125" style="2830" customWidth="1"/>
    <col min="3080" max="3081" width="8.7109375" style="2830" customWidth="1"/>
    <col min="3082" max="3082" width="9.42578125" style="2830" customWidth="1"/>
    <col min="3083" max="3328" width="9.140625" style="2830"/>
    <col min="3329" max="3329" width="17.28515625" style="2830" customWidth="1"/>
    <col min="3330" max="3334" width="8.7109375" style="2830" customWidth="1"/>
    <col min="3335" max="3335" width="9.5703125" style="2830" customWidth="1"/>
    <col min="3336" max="3337" width="8.7109375" style="2830" customWidth="1"/>
    <col min="3338" max="3338" width="9.42578125" style="2830" customWidth="1"/>
    <col min="3339" max="3584" width="9.140625" style="2830"/>
    <col min="3585" max="3585" width="17.28515625" style="2830" customWidth="1"/>
    <col min="3586" max="3590" width="8.7109375" style="2830" customWidth="1"/>
    <col min="3591" max="3591" width="9.5703125" style="2830" customWidth="1"/>
    <col min="3592" max="3593" width="8.7109375" style="2830" customWidth="1"/>
    <col min="3594" max="3594" width="9.42578125" style="2830" customWidth="1"/>
    <col min="3595" max="3840" width="9.140625" style="2830"/>
    <col min="3841" max="3841" width="17.28515625" style="2830" customWidth="1"/>
    <col min="3842" max="3846" width="8.7109375" style="2830" customWidth="1"/>
    <col min="3847" max="3847" width="9.5703125" style="2830" customWidth="1"/>
    <col min="3848" max="3849" width="8.7109375" style="2830" customWidth="1"/>
    <col min="3850" max="3850" width="9.42578125" style="2830" customWidth="1"/>
    <col min="3851" max="4096" width="9.140625" style="2830"/>
    <col min="4097" max="4097" width="17.28515625" style="2830" customWidth="1"/>
    <col min="4098" max="4102" width="8.7109375" style="2830" customWidth="1"/>
    <col min="4103" max="4103" width="9.5703125" style="2830" customWidth="1"/>
    <col min="4104" max="4105" width="8.7109375" style="2830" customWidth="1"/>
    <col min="4106" max="4106" width="9.42578125" style="2830" customWidth="1"/>
    <col min="4107" max="4352" width="9.140625" style="2830"/>
    <col min="4353" max="4353" width="17.28515625" style="2830" customWidth="1"/>
    <col min="4354" max="4358" width="8.7109375" style="2830" customWidth="1"/>
    <col min="4359" max="4359" width="9.5703125" style="2830" customWidth="1"/>
    <col min="4360" max="4361" width="8.7109375" style="2830" customWidth="1"/>
    <col min="4362" max="4362" width="9.42578125" style="2830" customWidth="1"/>
    <col min="4363" max="4608" width="9.140625" style="2830"/>
    <col min="4609" max="4609" width="17.28515625" style="2830" customWidth="1"/>
    <col min="4610" max="4614" width="8.7109375" style="2830" customWidth="1"/>
    <col min="4615" max="4615" width="9.5703125" style="2830" customWidth="1"/>
    <col min="4616" max="4617" width="8.7109375" style="2830" customWidth="1"/>
    <col min="4618" max="4618" width="9.42578125" style="2830" customWidth="1"/>
    <col min="4619" max="4864" width="9.140625" style="2830"/>
    <col min="4865" max="4865" width="17.28515625" style="2830" customWidth="1"/>
    <col min="4866" max="4870" width="8.7109375" style="2830" customWidth="1"/>
    <col min="4871" max="4871" width="9.5703125" style="2830" customWidth="1"/>
    <col min="4872" max="4873" width="8.7109375" style="2830" customWidth="1"/>
    <col min="4874" max="4874" width="9.42578125" style="2830" customWidth="1"/>
    <col min="4875" max="5120" width="9.140625" style="2830"/>
    <col min="5121" max="5121" width="17.28515625" style="2830" customWidth="1"/>
    <col min="5122" max="5126" width="8.7109375" style="2830" customWidth="1"/>
    <col min="5127" max="5127" width="9.5703125" style="2830" customWidth="1"/>
    <col min="5128" max="5129" width="8.7109375" style="2830" customWidth="1"/>
    <col min="5130" max="5130" width="9.42578125" style="2830" customWidth="1"/>
    <col min="5131" max="5376" width="9.140625" style="2830"/>
    <col min="5377" max="5377" width="17.28515625" style="2830" customWidth="1"/>
    <col min="5378" max="5382" width="8.7109375" style="2830" customWidth="1"/>
    <col min="5383" max="5383" width="9.5703125" style="2830" customWidth="1"/>
    <col min="5384" max="5385" width="8.7109375" style="2830" customWidth="1"/>
    <col min="5386" max="5386" width="9.42578125" style="2830" customWidth="1"/>
    <col min="5387" max="5632" width="9.140625" style="2830"/>
    <col min="5633" max="5633" width="17.28515625" style="2830" customWidth="1"/>
    <col min="5634" max="5638" width="8.7109375" style="2830" customWidth="1"/>
    <col min="5639" max="5639" width="9.5703125" style="2830" customWidth="1"/>
    <col min="5640" max="5641" width="8.7109375" style="2830" customWidth="1"/>
    <col min="5642" max="5642" width="9.42578125" style="2830" customWidth="1"/>
    <col min="5643" max="5888" width="9.140625" style="2830"/>
    <col min="5889" max="5889" width="17.28515625" style="2830" customWidth="1"/>
    <col min="5890" max="5894" width="8.7109375" style="2830" customWidth="1"/>
    <col min="5895" max="5895" width="9.5703125" style="2830" customWidth="1"/>
    <col min="5896" max="5897" width="8.7109375" style="2830" customWidth="1"/>
    <col min="5898" max="5898" width="9.42578125" style="2830" customWidth="1"/>
    <col min="5899" max="6144" width="9.140625" style="2830"/>
    <col min="6145" max="6145" width="17.28515625" style="2830" customWidth="1"/>
    <col min="6146" max="6150" width="8.7109375" style="2830" customWidth="1"/>
    <col min="6151" max="6151" width="9.5703125" style="2830" customWidth="1"/>
    <col min="6152" max="6153" width="8.7109375" style="2830" customWidth="1"/>
    <col min="6154" max="6154" width="9.42578125" style="2830" customWidth="1"/>
    <col min="6155" max="6400" width="9.140625" style="2830"/>
    <col min="6401" max="6401" width="17.28515625" style="2830" customWidth="1"/>
    <col min="6402" max="6406" width="8.7109375" style="2830" customWidth="1"/>
    <col min="6407" max="6407" width="9.5703125" style="2830" customWidth="1"/>
    <col min="6408" max="6409" width="8.7109375" style="2830" customWidth="1"/>
    <col min="6410" max="6410" width="9.42578125" style="2830" customWidth="1"/>
    <col min="6411" max="6656" width="9.140625" style="2830"/>
    <col min="6657" max="6657" width="17.28515625" style="2830" customWidth="1"/>
    <col min="6658" max="6662" width="8.7109375" style="2830" customWidth="1"/>
    <col min="6663" max="6663" width="9.5703125" style="2830" customWidth="1"/>
    <col min="6664" max="6665" width="8.7109375" style="2830" customWidth="1"/>
    <col min="6666" max="6666" width="9.42578125" style="2830" customWidth="1"/>
    <col min="6667" max="6912" width="9.140625" style="2830"/>
    <col min="6913" max="6913" width="17.28515625" style="2830" customWidth="1"/>
    <col min="6914" max="6918" width="8.7109375" style="2830" customWidth="1"/>
    <col min="6919" max="6919" width="9.5703125" style="2830" customWidth="1"/>
    <col min="6920" max="6921" width="8.7109375" style="2830" customWidth="1"/>
    <col min="6922" max="6922" width="9.42578125" style="2830" customWidth="1"/>
    <col min="6923" max="7168" width="9.140625" style="2830"/>
    <col min="7169" max="7169" width="17.28515625" style="2830" customWidth="1"/>
    <col min="7170" max="7174" width="8.7109375" style="2830" customWidth="1"/>
    <col min="7175" max="7175" width="9.5703125" style="2830" customWidth="1"/>
    <col min="7176" max="7177" width="8.7109375" style="2830" customWidth="1"/>
    <col min="7178" max="7178" width="9.42578125" style="2830" customWidth="1"/>
    <col min="7179" max="7424" width="9.140625" style="2830"/>
    <col min="7425" max="7425" width="17.28515625" style="2830" customWidth="1"/>
    <col min="7426" max="7430" width="8.7109375" style="2830" customWidth="1"/>
    <col min="7431" max="7431" width="9.5703125" style="2830" customWidth="1"/>
    <col min="7432" max="7433" width="8.7109375" style="2830" customWidth="1"/>
    <col min="7434" max="7434" width="9.42578125" style="2830" customWidth="1"/>
    <col min="7435" max="7680" width="9.140625" style="2830"/>
    <col min="7681" max="7681" width="17.28515625" style="2830" customWidth="1"/>
    <col min="7682" max="7686" width="8.7109375" style="2830" customWidth="1"/>
    <col min="7687" max="7687" width="9.5703125" style="2830" customWidth="1"/>
    <col min="7688" max="7689" width="8.7109375" style="2830" customWidth="1"/>
    <col min="7690" max="7690" width="9.42578125" style="2830" customWidth="1"/>
    <col min="7691" max="7936" width="9.140625" style="2830"/>
    <col min="7937" max="7937" width="17.28515625" style="2830" customWidth="1"/>
    <col min="7938" max="7942" width="8.7109375" style="2830" customWidth="1"/>
    <col min="7943" max="7943" width="9.5703125" style="2830" customWidth="1"/>
    <col min="7944" max="7945" width="8.7109375" style="2830" customWidth="1"/>
    <col min="7946" max="7946" width="9.42578125" style="2830" customWidth="1"/>
    <col min="7947" max="8192" width="9.140625" style="2830"/>
    <col min="8193" max="8193" width="17.28515625" style="2830" customWidth="1"/>
    <col min="8194" max="8198" width="8.7109375" style="2830" customWidth="1"/>
    <col min="8199" max="8199" width="9.5703125" style="2830" customWidth="1"/>
    <col min="8200" max="8201" width="8.7109375" style="2830" customWidth="1"/>
    <col min="8202" max="8202" width="9.42578125" style="2830" customWidth="1"/>
    <col min="8203" max="8448" width="9.140625" style="2830"/>
    <col min="8449" max="8449" width="17.28515625" style="2830" customWidth="1"/>
    <col min="8450" max="8454" width="8.7109375" style="2830" customWidth="1"/>
    <col min="8455" max="8455" width="9.5703125" style="2830" customWidth="1"/>
    <col min="8456" max="8457" width="8.7109375" style="2830" customWidth="1"/>
    <col min="8458" max="8458" width="9.42578125" style="2830" customWidth="1"/>
    <col min="8459" max="8704" width="9.140625" style="2830"/>
    <col min="8705" max="8705" width="17.28515625" style="2830" customWidth="1"/>
    <col min="8706" max="8710" width="8.7109375" style="2830" customWidth="1"/>
    <col min="8711" max="8711" width="9.5703125" style="2830" customWidth="1"/>
    <col min="8712" max="8713" width="8.7109375" style="2830" customWidth="1"/>
    <col min="8714" max="8714" width="9.42578125" style="2830" customWidth="1"/>
    <col min="8715" max="8960" width="9.140625" style="2830"/>
    <col min="8961" max="8961" width="17.28515625" style="2830" customWidth="1"/>
    <col min="8962" max="8966" width="8.7109375" style="2830" customWidth="1"/>
    <col min="8967" max="8967" width="9.5703125" style="2830" customWidth="1"/>
    <col min="8968" max="8969" width="8.7109375" style="2830" customWidth="1"/>
    <col min="8970" max="8970" width="9.42578125" style="2830" customWidth="1"/>
    <col min="8971" max="9216" width="9.140625" style="2830"/>
    <col min="9217" max="9217" width="17.28515625" style="2830" customWidth="1"/>
    <col min="9218" max="9222" width="8.7109375" style="2830" customWidth="1"/>
    <col min="9223" max="9223" width="9.5703125" style="2830" customWidth="1"/>
    <col min="9224" max="9225" width="8.7109375" style="2830" customWidth="1"/>
    <col min="9226" max="9226" width="9.42578125" style="2830" customWidth="1"/>
    <col min="9227" max="9472" width="9.140625" style="2830"/>
    <col min="9473" max="9473" width="17.28515625" style="2830" customWidth="1"/>
    <col min="9474" max="9478" width="8.7109375" style="2830" customWidth="1"/>
    <col min="9479" max="9479" width="9.5703125" style="2830" customWidth="1"/>
    <col min="9480" max="9481" width="8.7109375" style="2830" customWidth="1"/>
    <col min="9482" max="9482" width="9.42578125" style="2830" customWidth="1"/>
    <col min="9483" max="9728" width="9.140625" style="2830"/>
    <col min="9729" max="9729" width="17.28515625" style="2830" customWidth="1"/>
    <col min="9730" max="9734" width="8.7109375" style="2830" customWidth="1"/>
    <col min="9735" max="9735" width="9.5703125" style="2830" customWidth="1"/>
    <col min="9736" max="9737" width="8.7109375" style="2830" customWidth="1"/>
    <col min="9738" max="9738" width="9.42578125" style="2830" customWidth="1"/>
    <col min="9739" max="9984" width="9.140625" style="2830"/>
    <col min="9985" max="9985" width="17.28515625" style="2830" customWidth="1"/>
    <col min="9986" max="9990" width="8.7109375" style="2830" customWidth="1"/>
    <col min="9991" max="9991" width="9.5703125" style="2830" customWidth="1"/>
    <col min="9992" max="9993" width="8.7109375" style="2830" customWidth="1"/>
    <col min="9994" max="9994" width="9.42578125" style="2830" customWidth="1"/>
    <col min="9995" max="10240" width="9.140625" style="2830"/>
    <col min="10241" max="10241" width="17.28515625" style="2830" customWidth="1"/>
    <col min="10242" max="10246" width="8.7109375" style="2830" customWidth="1"/>
    <col min="10247" max="10247" width="9.5703125" style="2830" customWidth="1"/>
    <col min="10248" max="10249" width="8.7109375" style="2830" customWidth="1"/>
    <col min="10250" max="10250" width="9.42578125" style="2830" customWidth="1"/>
    <col min="10251" max="10496" width="9.140625" style="2830"/>
    <col min="10497" max="10497" width="17.28515625" style="2830" customWidth="1"/>
    <col min="10498" max="10502" width="8.7109375" style="2830" customWidth="1"/>
    <col min="10503" max="10503" width="9.5703125" style="2830" customWidth="1"/>
    <col min="10504" max="10505" width="8.7109375" style="2830" customWidth="1"/>
    <col min="10506" max="10506" width="9.42578125" style="2830" customWidth="1"/>
    <col min="10507" max="10752" width="9.140625" style="2830"/>
    <col min="10753" max="10753" width="17.28515625" style="2830" customWidth="1"/>
    <col min="10754" max="10758" width="8.7109375" style="2830" customWidth="1"/>
    <col min="10759" max="10759" width="9.5703125" style="2830" customWidth="1"/>
    <col min="10760" max="10761" width="8.7109375" style="2830" customWidth="1"/>
    <col min="10762" max="10762" width="9.42578125" style="2830" customWidth="1"/>
    <col min="10763" max="11008" width="9.140625" style="2830"/>
    <col min="11009" max="11009" width="17.28515625" style="2830" customWidth="1"/>
    <col min="11010" max="11014" width="8.7109375" style="2830" customWidth="1"/>
    <col min="11015" max="11015" width="9.5703125" style="2830" customWidth="1"/>
    <col min="11016" max="11017" width="8.7109375" style="2830" customWidth="1"/>
    <col min="11018" max="11018" width="9.42578125" style="2830" customWidth="1"/>
    <col min="11019" max="11264" width="9.140625" style="2830"/>
    <col min="11265" max="11265" width="17.28515625" style="2830" customWidth="1"/>
    <col min="11266" max="11270" width="8.7109375" style="2830" customWidth="1"/>
    <col min="11271" max="11271" width="9.5703125" style="2830" customWidth="1"/>
    <col min="11272" max="11273" width="8.7109375" style="2830" customWidth="1"/>
    <col min="11274" max="11274" width="9.42578125" style="2830" customWidth="1"/>
    <col min="11275" max="11520" width="9.140625" style="2830"/>
    <col min="11521" max="11521" width="17.28515625" style="2830" customWidth="1"/>
    <col min="11522" max="11526" width="8.7109375" style="2830" customWidth="1"/>
    <col min="11527" max="11527" width="9.5703125" style="2830" customWidth="1"/>
    <col min="11528" max="11529" width="8.7109375" style="2830" customWidth="1"/>
    <col min="11530" max="11530" width="9.42578125" style="2830" customWidth="1"/>
    <col min="11531" max="11776" width="9.140625" style="2830"/>
    <col min="11777" max="11777" width="17.28515625" style="2830" customWidth="1"/>
    <col min="11778" max="11782" width="8.7109375" style="2830" customWidth="1"/>
    <col min="11783" max="11783" width="9.5703125" style="2830" customWidth="1"/>
    <col min="11784" max="11785" width="8.7109375" style="2830" customWidth="1"/>
    <col min="11786" max="11786" width="9.42578125" style="2830" customWidth="1"/>
    <col min="11787" max="12032" width="9.140625" style="2830"/>
    <col min="12033" max="12033" width="17.28515625" style="2830" customWidth="1"/>
    <col min="12034" max="12038" width="8.7109375" style="2830" customWidth="1"/>
    <col min="12039" max="12039" width="9.5703125" style="2830" customWidth="1"/>
    <col min="12040" max="12041" width="8.7109375" style="2830" customWidth="1"/>
    <col min="12042" max="12042" width="9.42578125" style="2830" customWidth="1"/>
    <col min="12043" max="12288" width="9.140625" style="2830"/>
    <col min="12289" max="12289" width="17.28515625" style="2830" customWidth="1"/>
    <col min="12290" max="12294" width="8.7109375" style="2830" customWidth="1"/>
    <col min="12295" max="12295" width="9.5703125" style="2830" customWidth="1"/>
    <col min="12296" max="12297" width="8.7109375" style="2830" customWidth="1"/>
    <col min="12298" max="12298" width="9.42578125" style="2830" customWidth="1"/>
    <col min="12299" max="12544" width="9.140625" style="2830"/>
    <col min="12545" max="12545" width="17.28515625" style="2830" customWidth="1"/>
    <col min="12546" max="12550" width="8.7109375" style="2830" customWidth="1"/>
    <col min="12551" max="12551" width="9.5703125" style="2830" customWidth="1"/>
    <col min="12552" max="12553" width="8.7109375" style="2830" customWidth="1"/>
    <col min="12554" max="12554" width="9.42578125" style="2830" customWidth="1"/>
    <col min="12555" max="12800" width="9.140625" style="2830"/>
    <col min="12801" max="12801" width="17.28515625" style="2830" customWidth="1"/>
    <col min="12802" max="12806" width="8.7109375" style="2830" customWidth="1"/>
    <col min="12807" max="12807" width="9.5703125" style="2830" customWidth="1"/>
    <col min="12808" max="12809" width="8.7109375" style="2830" customWidth="1"/>
    <col min="12810" max="12810" width="9.42578125" style="2830" customWidth="1"/>
    <col min="12811" max="13056" width="9.140625" style="2830"/>
    <col min="13057" max="13057" width="17.28515625" style="2830" customWidth="1"/>
    <col min="13058" max="13062" width="8.7109375" style="2830" customWidth="1"/>
    <col min="13063" max="13063" width="9.5703125" style="2830" customWidth="1"/>
    <col min="13064" max="13065" width="8.7109375" style="2830" customWidth="1"/>
    <col min="13066" max="13066" width="9.42578125" style="2830" customWidth="1"/>
    <col min="13067" max="13312" width="9.140625" style="2830"/>
    <col min="13313" max="13313" width="17.28515625" style="2830" customWidth="1"/>
    <col min="13314" max="13318" width="8.7109375" style="2830" customWidth="1"/>
    <col min="13319" max="13319" width="9.5703125" style="2830" customWidth="1"/>
    <col min="13320" max="13321" width="8.7109375" style="2830" customWidth="1"/>
    <col min="13322" max="13322" width="9.42578125" style="2830" customWidth="1"/>
    <col min="13323" max="13568" width="9.140625" style="2830"/>
    <col min="13569" max="13569" width="17.28515625" style="2830" customWidth="1"/>
    <col min="13570" max="13574" width="8.7109375" style="2830" customWidth="1"/>
    <col min="13575" max="13575" width="9.5703125" style="2830" customWidth="1"/>
    <col min="13576" max="13577" width="8.7109375" style="2830" customWidth="1"/>
    <col min="13578" max="13578" width="9.42578125" style="2830" customWidth="1"/>
    <col min="13579" max="13824" width="9.140625" style="2830"/>
    <col min="13825" max="13825" width="17.28515625" style="2830" customWidth="1"/>
    <col min="13826" max="13830" width="8.7109375" style="2830" customWidth="1"/>
    <col min="13831" max="13831" width="9.5703125" style="2830" customWidth="1"/>
    <col min="13832" max="13833" width="8.7109375" style="2830" customWidth="1"/>
    <col min="13834" max="13834" width="9.42578125" style="2830" customWidth="1"/>
    <col min="13835" max="14080" width="9.140625" style="2830"/>
    <col min="14081" max="14081" width="17.28515625" style="2830" customWidth="1"/>
    <col min="14082" max="14086" width="8.7109375" style="2830" customWidth="1"/>
    <col min="14087" max="14087" width="9.5703125" style="2830" customWidth="1"/>
    <col min="14088" max="14089" width="8.7109375" style="2830" customWidth="1"/>
    <col min="14090" max="14090" width="9.42578125" style="2830" customWidth="1"/>
    <col min="14091" max="14336" width="9.140625" style="2830"/>
    <col min="14337" max="14337" width="17.28515625" style="2830" customWidth="1"/>
    <col min="14338" max="14342" width="8.7109375" style="2830" customWidth="1"/>
    <col min="14343" max="14343" width="9.5703125" style="2830" customWidth="1"/>
    <col min="14344" max="14345" width="8.7109375" style="2830" customWidth="1"/>
    <col min="14346" max="14346" width="9.42578125" style="2830" customWidth="1"/>
    <col min="14347" max="14592" width="9.140625" style="2830"/>
    <col min="14593" max="14593" width="17.28515625" style="2830" customWidth="1"/>
    <col min="14594" max="14598" width="8.7109375" style="2830" customWidth="1"/>
    <col min="14599" max="14599" width="9.5703125" style="2830" customWidth="1"/>
    <col min="14600" max="14601" width="8.7109375" style="2830" customWidth="1"/>
    <col min="14602" max="14602" width="9.42578125" style="2830" customWidth="1"/>
    <col min="14603" max="14848" width="9.140625" style="2830"/>
    <col min="14849" max="14849" width="17.28515625" style="2830" customWidth="1"/>
    <col min="14850" max="14854" width="8.7109375" style="2830" customWidth="1"/>
    <col min="14855" max="14855" width="9.5703125" style="2830" customWidth="1"/>
    <col min="14856" max="14857" width="8.7109375" style="2830" customWidth="1"/>
    <col min="14858" max="14858" width="9.42578125" style="2830" customWidth="1"/>
    <col min="14859" max="15104" width="9.140625" style="2830"/>
    <col min="15105" max="15105" width="17.28515625" style="2830" customWidth="1"/>
    <col min="15106" max="15110" width="8.7109375" style="2830" customWidth="1"/>
    <col min="15111" max="15111" width="9.5703125" style="2830" customWidth="1"/>
    <col min="15112" max="15113" width="8.7109375" style="2830" customWidth="1"/>
    <col min="15114" max="15114" width="9.42578125" style="2830" customWidth="1"/>
    <col min="15115" max="15360" width="9.140625" style="2830"/>
    <col min="15361" max="15361" width="17.28515625" style="2830" customWidth="1"/>
    <col min="15362" max="15366" width="8.7109375" style="2830" customWidth="1"/>
    <col min="15367" max="15367" width="9.5703125" style="2830" customWidth="1"/>
    <col min="15368" max="15369" width="8.7109375" style="2830" customWidth="1"/>
    <col min="15370" max="15370" width="9.42578125" style="2830" customWidth="1"/>
    <col min="15371" max="15616" width="9.140625" style="2830"/>
    <col min="15617" max="15617" width="17.28515625" style="2830" customWidth="1"/>
    <col min="15618" max="15622" width="8.7109375" style="2830" customWidth="1"/>
    <col min="15623" max="15623" width="9.5703125" style="2830" customWidth="1"/>
    <col min="15624" max="15625" width="8.7109375" style="2830" customWidth="1"/>
    <col min="15626" max="15626" width="9.42578125" style="2830" customWidth="1"/>
    <col min="15627" max="15872" width="9.140625" style="2830"/>
    <col min="15873" max="15873" width="17.28515625" style="2830" customWidth="1"/>
    <col min="15874" max="15878" width="8.7109375" style="2830" customWidth="1"/>
    <col min="15879" max="15879" width="9.5703125" style="2830" customWidth="1"/>
    <col min="15880" max="15881" width="8.7109375" style="2830" customWidth="1"/>
    <col min="15882" max="15882" width="9.42578125" style="2830" customWidth="1"/>
    <col min="15883" max="16128" width="9.140625" style="2830"/>
    <col min="16129" max="16129" width="17.28515625" style="2830" customWidth="1"/>
    <col min="16130" max="16134" width="8.7109375" style="2830" customWidth="1"/>
    <col min="16135" max="16135" width="9.5703125" style="2830" customWidth="1"/>
    <col min="16136" max="16137" width="8.7109375" style="2830" customWidth="1"/>
    <col min="16138" max="16138" width="9.42578125" style="2830" customWidth="1"/>
    <col min="16139" max="16384" width="9.140625" style="2830"/>
  </cols>
  <sheetData>
    <row r="1" spans="1:10" ht="39" customHeight="1" x14ac:dyDescent="0.3">
      <c r="A1" s="3456" t="s">
        <v>4372</v>
      </c>
      <c r="B1" s="3456"/>
      <c r="C1" s="3456"/>
      <c r="D1" s="3456"/>
      <c r="E1" s="3456"/>
      <c r="F1" s="3456"/>
      <c r="G1" s="3456"/>
      <c r="H1" s="3456"/>
      <c r="I1" s="3456"/>
      <c r="J1" s="3456"/>
    </row>
    <row r="2" spans="1:10" ht="19.5" thickBot="1" x14ac:dyDescent="0.35">
      <c r="A2" s="2831"/>
      <c r="B2" s="2832"/>
      <c r="C2" s="2832"/>
      <c r="D2" s="2832"/>
      <c r="E2" s="2833"/>
      <c r="F2" s="2833"/>
      <c r="G2" s="2833"/>
      <c r="H2" s="2833"/>
      <c r="I2" s="2833"/>
      <c r="J2" s="2834"/>
    </row>
    <row r="3" spans="1:10" ht="15.75" customHeight="1" x14ac:dyDescent="0.2">
      <c r="A3" s="2835"/>
      <c r="B3" s="3457" t="s">
        <v>4373</v>
      </c>
      <c r="C3" s="3458"/>
      <c r="D3" s="3459"/>
      <c r="E3" s="3460" t="s">
        <v>4374</v>
      </c>
      <c r="F3" s="3461"/>
      <c r="G3" s="3462"/>
      <c r="H3" s="3460" t="s">
        <v>4375</v>
      </c>
      <c r="I3" s="3461"/>
      <c r="J3" s="3463"/>
    </row>
    <row r="4" spans="1:10" ht="17.25" customHeight="1" x14ac:dyDescent="0.2">
      <c r="A4" s="2836" t="s">
        <v>211</v>
      </c>
      <c r="B4" s="2837">
        <v>2014</v>
      </c>
      <c r="C4" s="2837">
        <v>2015</v>
      </c>
      <c r="D4" s="2838">
        <v>2016</v>
      </c>
      <c r="E4" s="2837">
        <v>2014</v>
      </c>
      <c r="F4" s="2839">
        <v>2015</v>
      </c>
      <c r="G4" s="2838">
        <v>2016</v>
      </c>
      <c r="H4" s="2837">
        <v>2014</v>
      </c>
      <c r="I4" s="2839">
        <v>2015</v>
      </c>
      <c r="J4" s="2840">
        <v>2016</v>
      </c>
    </row>
    <row r="5" spans="1:10" ht="21" customHeight="1" x14ac:dyDescent="0.25">
      <c r="A5" s="2841" t="s">
        <v>3630</v>
      </c>
      <c r="B5" s="2842" t="s">
        <v>4376</v>
      </c>
      <c r="C5" s="2842" t="s">
        <v>4377</v>
      </c>
      <c r="D5" s="2843" t="s">
        <v>4378</v>
      </c>
      <c r="E5" s="2844" t="s">
        <v>4379</v>
      </c>
      <c r="F5" s="2842" t="s">
        <v>4380</v>
      </c>
      <c r="G5" s="2843" t="s">
        <v>4381</v>
      </c>
      <c r="H5" s="2844" t="s">
        <v>4382</v>
      </c>
      <c r="I5" s="2845" t="s">
        <v>4383</v>
      </c>
      <c r="J5" s="2846" t="s">
        <v>4384</v>
      </c>
    </row>
    <row r="6" spans="1:10" ht="21" customHeight="1" x14ac:dyDescent="0.25">
      <c r="A6" s="2847" t="s">
        <v>3631</v>
      </c>
      <c r="B6" s="2848" t="s">
        <v>4385</v>
      </c>
      <c r="C6" s="2848" t="s">
        <v>4386</v>
      </c>
      <c r="D6" s="2849" t="s">
        <v>4387</v>
      </c>
      <c r="E6" s="2850" t="s">
        <v>4388</v>
      </c>
      <c r="F6" s="2851" t="s">
        <v>4389</v>
      </c>
      <c r="G6" s="2849" t="s">
        <v>4390</v>
      </c>
      <c r="H6" s="2850" t="s">
        <v>4391</v>
      </c>
      <c r="I6" s="2851" t="s">
        <v>4392</v>
      </c>
      <c r="J6" s="2852" t="s">
        <v>4393</v>
      </c>
    </row>
    <row r="7" spans="1:10" ht="21" customHeight="1" x14ac:dyDescent="0.25">
      <c r="A7" s="2847" t="s">
        <v>3632</v>
      </c>
      <c r="B7" s="2848" t="s">
        <v>4394</v>
      </c>
      <c r="C7" s="2848" t="s">
        <v>4395</v>
      </c>
      <c r="D7" s="2849" t="s">
        <v>4396</v>
      </c>
      <c r="E7" s="2850" t="s">
        <v>4397</v>
      </c>
      <c r="F7" s="2851" t="s">
        <v>4398</v>
      </c>
      <c r="G7" s="2849" t="s">
        <v>4399</v>
      </c>
      <c r="H7" s="2850" t="s">
        <v>4400</v>
      </c>
      <c r="I7" s="2851" t="s">
        <v>4401</v>
      </c>
      <c r="J7" s="2852" t="s">
        <v>4402</v>
      </c>
    </row>
    <row r="8" spans="1:10" ht="21" customHeight="1" x14ac:dyDescent="0.25">
      <c r="A8" s="2847" t="s">
        <v>3633</v>
      </c>
      <c r="B8" s="2848" t="s">
        <v>4403</v>
      </c>
      <c r="C8" s="2848" t="s">
        <v>4404</v>
      </c>
      <c r="D8" s="2849" t="s">
        <v>4365</v>
      </c>
      <c r="E8" s="2850" t="s">
        <v>4405</v>
      </c>
      <c r="F8" s="2851" t="s">
        <v>4406</v>
      </c>
      <c r="G8" s="2849" t="s">
        <v>4370</v>
      </c>
      <c r="H8" s="2850" t="s">
        <v>4407</v>
      </c>
      <c r="I8" s="2851" t="s">
        <v>4408</v>
      </c>
      <c r="J8" s="2852" t="s">
        <v>4360</v>
      </c>
    </row>
    <row r="9" spans="1:10" ht="21" customHeight="1" x14ac:dyDescent="0.25">
      <c r="A9" s="2847" t="s">
        <v>3634</v>
      </c>
      <c r="B9" s="2848" t="s">
        <v>4409</v>
      </c>
      <c r="C9" s="2848" t="s">
        <v>4410</v>
      </c>
      <c r="D9" s="2849" t="s">
        <v>4364</v>
      </c>
      <c r="E9" s="2850" t="s">
        <v>4411</v>
      </c>
      <c r="F9" s="2851" t="s">
        <v>4412</v>
      </c>
      <c r="G9" s="2849" t="s">
        <v>4369</v>
      </c>
      <c r="H9" s="2850" t="s">
        <v>4413</v>
      </c>
      <c r="I9" s="2851" t="s">
        <v>4414</v>
      </c>
      <c r="J9" s="2852" t="s">
        <v>4359</v>
      </c>
    </row>
    <row r="10" spans="1:10" ht="21" customHeight="1" x14ac:dyDescent="0.25">
      <c r="A10" s="2847" t="s">
        <v>3635</v>
      </c>
      <c r="B10" s="2848" t="s">
        <v>4415</v>
      </c>
      <c r="C10" s="2848" t="s">
        <v>4416</v>
      </c>
      <c r="D10" s="2849"/>
      <c r="E10" s="2850" t="s">
        <v>4417</v>
      </c>
      <c r="F10" s="2851" t="s">
        <v>4418</v>
      </c>
      <c r="G10" s="2849"/>
      <c r="H10" s="2850" t="s">
        <v>4419</v>
      </c>
      <c r="I10" s="2851" t="s">
        <v>4420</v>
      </c>
      <c r="J10" s="2852"/>
    </row>
    <row r="11" spans="1:10" ht="21" customHeight="1" x14ac:dyDescent="0.25">
      <c r="A11" s="2847" t="s">
        <v>3636</v>
      </c>
      <c r="B11" s="2848" t="s">
        <v>4421</v>
      </c>
      <c r="C11" s="2848" t="s">
        <v>4422</v>
      </c>
      <c r="D11" s="2849"/>
      <c r="E11" s="2850" t="s">
        <v>4423</v>
      </c>
      <c r="F11" s="2851" t="s">
        <v>4424</v>
      </c>
      <c r="G11" s="2849"/>
      <c r="H11" s="2850" t="s">
        <v>4425</v>
      </c>
      <c r="I11" s="2851" t="s">
        <v>4426</v>
      </c>
      <c r="J11" s="2852"/>
    </row>
    <row r="12" spans="1:10" ht="21" customHeight="1" x14ac:dyDescent="0.25">
      <c r="A12" s="2847" t="s">
        <v>3637</v>
      </c>
      <c r="B12" s="2848" t="s">
        <v>4427</v>
      </c>
      <c r="C12" s="2848" t="s">
        <v>4428</v>
      </c>
      <c r="D12" s="2849"/>
      <c r="E12" s="2850" t="s">
        <v>4429</v>
      </c>
      <c r="F12" s="2851" t="s">
        <v>4430</v>
      </c>
      <c r="G12" s="2849"/>
      <c r="H12" s="2850" t="s">
        <v>4431</v>
      </c>
      <c r="I12" s="2851" t="s">
        <v>4432</v>
      </c>
      <c r="J12" s="2852"/>
    </row>
    <row r="13" spans="1:10" ht="21" customHeight="1" x14ac:dyDescent="0.25">
      <c r="A13" s="2847" t="s">
        <v>3638</v>
      </c>
      <c r="B13" s="2848" t="s">
        <v>4433</v>
      </c>
      <c r="C13" s="2848" t="s">
        <v>4434</v>
      </c>
      <c r="D13" s="2849"/>
      <c r="E13" s="2850" t="s">
        <v>4435</v>
      </c>
      <c r="F13" s="2851" t="s">
        <v>4436</v>
      </c>
      <c r="G13" s="2849"/>
      <c r="H13" s="2850" t="s">
        <v>4437</v>
      </c>
      <c r="I13" s="2851" t="s">
        <v>4438</v>
      </c>
      <c r="J13" s="2852"/>
    </row>
    <row r="14" spans="1:10" ht="21" customHeight="1" x14ac:dyDescent="0.25">
      <c r="A14" s="2847" t="s">
        <v>3639</v>
      </c>
      <c r="B14" s="2848" t="s">
        <v>4439</v>
      </c>
      <c r="C14" s="2848" t="s">
        <v>4434</v>
      </c>
      <c r="D14" s="2849"/>
      <c r="E14" s="2850" t="s">
        <v>4440</v>
      </c>
      <c r="F14" s="2851" t="s">
        <v>4441</v>
      </c>
      <c r="G14" s="2849"/>
      <c r="H14" s="2850" t="s">
        <v>4442</v>
      </c>
      <c r="I14" s="2851" t="s">
        <v>4443</v>
      </c>
      <c r="J14" s="2852"/>
    </row>
    <row r="15" spans="1:10" ht="21" customHeight="1" x14ac:dyDescent="0.25">
      <c r="A15" s="2847" t="s">
        <v>3640</v>
      </c>
      <c r="B15" s="2848" t="s">
        <v>4444</v>
      </c>
      <c r="C15" s="2848" t="s">
        <v>4445</v>
      </c>
      <c r="D15" s="2849"/>
      <c r="E15" s="2850" t="s">
        <v>4446</v>
      </c>
      <c r="F15" s="2851" t="s">
        <v>4447</v>
      </c>
      <c r="G15" s="2849"/>
      <c r="H15" s="2850" t="s">
        <v>4448</v>
      </c>
      <c r="I15" s="2851" t="s">
        <v>4449</v>
      </c>
      <c r="J15" s="2852"/>
    </row>
    <row r="16" spans="1:10" ht="21" customHeight="1" thickBot="1" x14ac:dyDescent="0.3">
      <c r="A16" s="2853" t="s">
        <v>3641</v>
      </c>
      <c r="B16" s="2854" t="s">
        <v>4450</v>
      </c>
      <c r="C16" s="2854" t="s">
        <v>4451</v>
      </c>
      <c r="D16" s="2855"/>
      <c r="E16" s="2854" t="s">
        <v>4452</v>
      </c>
      <c r="F16" s="2856" t="s">
        <v>4453</v>
      </c>
      <c r="G16" s="2855"/>
      <c r="H16" s="2854" t="s">
        <v>4454</v>
      </c>
      <c r="I16" s="2856" t="s">
        <v>4455</v>
      </c>
      <c r="J16" s="2857"/>
    </row>
    <row r="17" spans="1:256" ht="15" x14ac:dyDescent="0.25">
      <c r="A17" s="2858" t="s">
        <v>4456</v>
      </c>
      <c r="B17" s="2834"/>
      <c r="C17" s="2834"/>
      <c r="D17" s="2834"/>
      <c r="E17" s="2834"/>
      <c r="F17" s="2834"/>
      <c r="G17" s="2834"/>
      <c r="H17" s="2834"/>
      <c r="I17" s="2834"/>
      <c r="J17" s="2834"/>
    </row>
    <row r="18" spans="1:256" x14ac:dyDescent="0.2">
      <c r="A18" s="2859" t="s">
        <v>680</v>
      </c>
    </row>
    <row r="20" spans="1:256" ht="18.75" x14ac:dyDescent="0.3">
      <c r="A20" s="2860" t="s">
        <v>4457</v>
      </c>
    </row>
    <row r="21" spans="1:256" ht="13.5" thickBot="1" x14ac:dyDescent="0.25"/>
    <row r="22" spans="1:256" ht="15" x14ac:dyDescent="0.25">
      <c r="A22" s="2861"/>
      <c r="B22" s="3464" t="s">
        <v>4458</v>
      </c>
      <c r="C22" s="3465"/>
      <c r="D22" s="3466"/>
      <c r="E22" s="3467" t="s">
        <v>4459</v>
      </c>
      <c r="F22" s="3465"/>
      <c r="G22" s="3468"/>
      <c r="H22" s="2862"/>
      <c r="I22" s="2862"/>
      <c r="J22" s="2863"/>
      <c r="K22" s="2863"/>
      <c r="L22" s="2863"/>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c r="AS22" s="2863"/>
      <c r="AT22" s="2863"/>
      <c r="AU22" s="2863"/>
      <c r="AV22" s="2863"/>
      <c r="AW22" s="2863"/>
      <c r="AX22" s="2863"/>
      <c r="AY22" s="2863"/>
      <c r="AZ22" s="2863"/>
      <c r="BA22" s="2863"/>
      <c r="BB22" s="2863"/>
      <c r="BC22" s="2863"/>
      <c r="BD22" s="2863"/>
      <c r="BE22" s="2863"/>
      <c r="BF22" s="2863"/>
      <c r="BG22" s="2863"/>
      <c r="BH22" s="2863"/>
      <c r="BI22" s="2863"/>
      <c r="BJ22" s="2863"/>
      <c r="BK22" s="2863"/>
      <c r="BL22" s="2863"/>
      <c r="BM22" s="2863"/>
      <c r="BN22" s="2863"/>
      <c r="BO22" s="2863"/>
      <c r="BP22" s="2863"/>
      <c r="BQ22" s="2863"/>
      <c r="BR22" s="2863"/>
      <c r="BS22" s="2863"/>
      <c r="BT22" s="2863"/>
      <c r="BU22" s="2863"/>
      <c r="BV22" s="2863"/>
      <c r="BW22" s="2863"/>
      <c r="BX22" s="2863"/>
      <c r="BY22" s="2863"/>
      <c r="BZ22" s="2863"/>
      <c r="CA22" s="2863"/>
      <c r="CB22" s="2863"/>
      <c r="CC22" s="2863"/>
      <c r="CD22" s="2863"/>
      <c r="CE22" s="2863"/>
      <c r="CF22" s="2863"/>
      <c r="CG22" s="2863"/>
      <c r="CH22" s="2863"/>
      <c r="CI22" s="2863"/>
      <c r="CJ22" s="2863"/>
      <c r="CK22" s="2863"/>
      <c r="CL22" s="2863"/>
      <c r="CM22" s="2863"/>
      <c r="CN22" s="2863"/>
      <c r="CO22" s="2863"/>
      <c r="CP22" s="2863"/>
      <c r="CQ22" s="2863"/>
      <c r="CR22" s="2863"/>
      <c r="CS22" s="2863"/>
      <c r="CT22" s="2863"/>
      <c r="CU22" s="2863"/>
      <c r="CV22" s="2863"/>
      <c r="CW22" s="2863"/>
      <c r="CX22" s="2863"/>
      <c r="CY22" s="2863"/>
      <c r="CZ22" s="2863"/>
      <c r="DA22" s="2863"/>
      <c r="DB22" s="2863"/>
      <c r="DC22" s="2863"/>
      <c r="DD22" s="2863"/>
      <c r="DE22" s="2863"/>
      <c r="DF22" s="2863"/>
      <c r="DG22" s="2863"/>
      <c r="DH22" s="2863"/>
      <c r="DI22" s="2863"/>
      <c r="DJ22" s="2863"/>
      <c r="DK22" s="2863"/>
      <c r="DL22" s="2863"/>
      <c r="DM22" s="2863"/>
      <c r="DN22" s="2863"/>
      <c r="DO22" s="2863"/>
      <c r="DP22" s="2863"/>
      <c r="DQ22" s="2863"/>
      <c r="DR22" s="2863"/>
      <c r="DS22" s="2863"/>
      <c r="DT22" s="2863"/>
      <c r="DU22" s="2863"/>
      <c r="DV22" s="2863"/>
      <c r="DW22" s="2863"/>
      <c r="DX22" s="2863"/>
      <c r="DY22" s="2863"/>
      <c r="DZ22" s="2863"/>
      <c r="EA22" s="2863"/>
      <c r="EB22" s="2863"/>
      <c r="EC22" s="2863"/>
      <c r="ED22" s="2863"/>
      <c r="EE22" s="2863"/>
      <c r="EF22" s="2863"/>
      <c r="EG22" s="2863"/>
      <c r="EH22" s="2863"/>
      <c r="EI22" s="2863"/>
      <c r="EJ22" s="2863"/>
      <c r="EK22" s="2863"/>
      <c r="EL22" s="2863"/>
      <c r="EM22" s="2863"/>
      <c r="EN22" s="2863"/>
      <c r="EO22" s="2863"/>
      <c r="EP22" s="2863"/>
      <c r="EQ22" s="2863"/>
      <c r="ER22" s="2863"/>
      <c r="ES22" s="2863"/>
      <c r="ET22" s="2863"/>
      <c r="EU22" s="2863"/>
      <c r="EV22" s="2863"/>
      <c r="EW22" s="2863"/>
      <c r="EX22" s="2863"/>
      <c r="EY22" s="2863"/>
      <c r="EZ22" s="2863"/>
      <c r="FA22" s="2863"/>
      <c r="FB22" s="2863"/>
      <c r="FC22" s="2863"/>
      <c r="FD22" s="2863"/>
      <c r="FE22" s="2863"/>
      <c r="FF22" s="2863"/>
      <c r="FG22" s="2863"/>
      <c r="FH22" s="2863"/>
      <c r="FI22" s="2863"/>
      <c r="FJ22" s="2863"/>
      <c r="FK22" s="2863"/>
      <c r="FL22" s="2863"/>
      <c r="FM22" s="2863"/>
      <c r="FN22" s="2863"/>
      <c r="FO22" s="2863"/>
      <c r="FP22" s="2863"/>
      <c r="FQ22" s="2863"/>
      <c r="FR22" s="2863"/>
      <c r="FS22" s="2863"/>
      <c r="FT22" s="2863"/>
      <c r="FU22" s="2863"/>
      <c r="FV22" s="2863"/>
      <c r="FW22" s="2863"/>
      <c r="FX22" s="2863"/>
      <c r="FY22" s="2863"/>
      <c r="FZ22" s="2863"/>
      <c r="GA22" s="2863"/>
      <c r="GB22" s="2863"/>
      <c r="GC22" s="2863"/>
      <c r="GD22" s="2863"/>
      <c r="GE22" s="2863"/>
      <c r="GF22" s="2863"/>
      <c r="GG22" s="2863"/>
      <c r="GH22" s="2863"/>
      <c r="GI22" s="2863"/>
      <c r="GJ22" s="2863"/>
      <c r="GK22" s="2863"/>
      <c r="GL22" s="2863"/>
      <c r="GM22" s="2863"/>
      <c r="GN22" s="2863"/>
      <c r="GO22" s="2863"/>
      <c r="GP22" s="2863"/>
      <c r="GQ22" s="2863"/>
      <c r="GR22" s="2863"/>
      <c r="GS22" s="2863"/>
      <c r="GT22" s="2863"/>
      <c r="GU22" s="2863"/>
      <c r="GV22" s="2863"/>
      <c r="GW22" s="2863"/>
      <c r="GX22" s="2863"/>
      <c r="GY22" s="2863"/>
      <c r="GZ22" s="2863"/>
      <c r="HA22" s="2863"/>
      <c r="HB22" s="2863"/>
      <c r="HC22" s="2863"/>
      <c r="HD22" s="2863"/>
      <c r="HE22" s="2863"/>
      <c r="HF22" s="2863"/>
      <c r="HG22" s="2863"/>
      <c r="HH22" s="2863"/>
      <c r="HI22" s="2863"/>
      <c r="HJ22" s="2863"/>
      <c r="HK22" s="2863"/>
      <c r="HL22" s="2863"/>
      <c r="HM22" s="2863"/>
      <c r="HN22" s="2863"/>
      <c r="HO22" s="2863"/>
      <c r="HP22" s="2863"/>
      <c r="HQ22" s="2863"/>
      <c r="HR22" s="2863"/>
      <c r="HS22" s="2863"/>
      <c r="HT22" s="2863"/>
      <c r="HU22" s="2863"/>
      <c r="HV22" s="2863"/>
      <c r="HW22" s="2863"/>
      <c r="HX22" s="2863"/>
      <c r="HY22" s="2863"/>
      <c r="HZ22" s="2863"/>
      <c r="IA22" s="2863"/>
      <c r="IB22" s="2863"/>
      <c r="IC22" s="2863"/>
      <c r="ID22" s="2863"/>
      <c r="IE22" s="2863"/>
      <c r="IF22" s="2863"/>
      <c r="IG22" s="2863"/>
      <c r="IH22" s="2863"/>
      <c r="II22" s="2863"/>
      <c r="IJ22" s="2863"/>
      <c r="IK22" s="2863"/>
      <c r="IL22" s="2863"/>
      <c r="IM22" s="2863"/>
      <c r="IN22" s="2863"/>
      <c r="IO22" s="2863"/>
      <c r="IP22" s="2863"/>
      <c r="IQ22" s="2863"/>
      <c r="IR22" s="2863"/>
      <c r="IS22" s="2863"/>
      <c r="IT22" s="2863"/>
      <c r="IU22" s="2863"/>
      <c r="IV22" s="2863"/>
    </row>
    <row r="23" spans="1:256" ht="15" x14ac:dyDescent="0.25">
      <c r="A23" s="2864" t="s">
        <v>211</v>
      </c>
      <c r="B23" s="2837">
        <v>2014</v>
      </c>
      <c r="C23" s="2837">
        <v>2015</v>
      </c>
      <c r="D23" s="2865">
        <v>2016</v>
      </c>
      <c r="E23" s="2866">
        <v>2014</v>
      </c>
      <c r="F23" s="2839">
        <v>2015</v>
      </c>
      <c r="G23" s="2867">
        <v>2016</v>
      </c>
      <c r="H23" s="2868"/>
      <c r="I23" s="2868"/>
      <c r="J23" s="2863"/>
      <c r="K23" s="2863"/>
      <c r="L23" s="2863"/>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c r="AS23" s="2863"/>
      <c r="AT23" s="2863"/>
      <c r="AU23" s="2863"/>
      <c r="AV23" s="2863"/>
      <c r="AW23" s="2863"/>
      <c r="AX23" s="2863"/>
      <c r="AY23" s="2863"/>
      <c r="AZ23" s="2863"/>
      <c r="BA23" s="2863"/>
      <c r="BB23" s="2863"/>
      <c r="BC23" s="2863"/>
      <c r="BD23" s="2863"/>
      <c r="BE23" s="2863"/>
      <c r="BF23" s="2863"/>
      <c r="BG23" s="2863"/>
      <c r="BH23" s="2863"/>
      <c r="BI23" s="2863"/>
      <c r="BJ23" s="2863"/>
      <c r="BK23" s="2863"/>
      <c r="BL23" s="2863"/>
      <c r="BM23" s="2863"/>
      <c r="BN23" s="2863"/>
      <c r="BO23" s="2863"/>
      <c r="BP23" s="2863"/>
      <c r="BQ23" s="2863"/>
      <c r="BR23" s="2863"/>
      <c r="BS23" s="2863"/>
      <c r="BT23" s="2863"/>
      <c r="BU23" s="2863"/>
      <c r="BV23" s="2863"/>
      <c r="BW23" s="2863"/>
      <c r="BX23" s="2863"/>
      <c r="BY23" s="2863"/>
      <c r="BZ23" s="2863"/>
      <c r="CA23" s="2863"/>
      <c r="CB23" s="2863"/>
      <c r="CC23" s="2863"/>
      <c r="CD23" s="2863"/>
      <c r="CE23" s="2863"/>
      <c r="CF23" s="2863"/>
      <c r="CG23" s="2863"/>
      <c r="CH23" s="2863"/>
      <c r="CI23" s="2863"/>
      <c r="CJ23" s="2863"/>
      <c r="CK23" s="2863"/>
      <c r="CL23" s="2863"/>
      <c r="CM23" s="2863"/>
      <c r="CN23" s="2863"/>
      <c r="CO23" s="2863"/>
      <c r="CP23" s="2863"/>
      <c r="CQ23" s="2863"/>
      <c r="CR23" s="2863"/>
      <c r="CS23" s="2863"/>
      <c r="CT23" s="2863"/>
      <c r="CU23" s="2863"/>
      <c r="CV23" s="2863"/>
      <c r="CW23" s="2863"/>
      <c r="CX23" s="2863"/>
      <c r="CY23" s="2863"/>
      <c r="CZ23" s="2863"/>
      <c r="DA23" s="2863"/>
      <c r="DB23" s="2863"/>
      <c r="DC23" s="2863"/>
      <c r="DD23" s="2863"/>
      <c r="DE23" s="2863"/>
      <c r="DF23" s="2863"/>
      <c r="DG23" s="2863"/>
      <c r="DH23" s="2863"/>
      <c r="DI23" s="2863"/>
      <c r="DJ23" s="2863"/>
      <c r="DK23" s="2863"/>
      <c r="DL23" s="2863"/>
      <c r="DM23" s="2863"/>
      <c r="DN23" s="2863"/>
      <c r="DO23" s="2863"/>
      <c r="DP23" s="2863"/>
      <c r="DQ23" s="2863"/>
      <c r="DR23" s="2863"/>
      <c r="DS23" s="2863"/>
      <c r="DT23" s="2863"/>
      <c r="DU23" s="2863"/>
      <c r="DV23" s="2863"/>
      <c r="DW23" s="2863"/>
      <c r="DX23" s="2863"/>
      <c r="DY23" s="2863"/>
      <c r="DZ23" s="2863"/>
      <c r="EA23" s="2863"/>
      <c r="EB23" s="2863"/>
      <c r="EC23" s="2863"/>
      <c r="ED23" s="2863"/>
      <c r="EE23" s="2863"/>
      <c r="EF23" s="2863"/>
      <c r="EG23" s="2863"/>
      <c r="EH23" s="2863"/>
      <c r="EI23" s="2863"/>
      <c r="EJ23" s="2863"/>
      <c r="EK23" s="2863"/>
      <c r="EL23" s="2863"/>
      <c r="EM23" s="2863"/>
      <c r="EN23" s="2863"/>
      <c r="EO23" s="2863"/>
      <c r="EP23" s="2863"/>
      <c r="EQ23" s="2863"/>
      <c r="ER23" s="2863"/>
      <c r="ES23" s="2863"/>
      <c r="ET23" s="2863"/>
      <c r="EU23" s="2863"/>
      <c r="EV23" s="2863"/>
      <c r="EW23" s="2863"/>
      <c r="EX23" s="2863"/>
      <c r="EY23" s="2863"/>
      <c r="EZ23" s="2863"/>
      <c r="FA23" s="2863"/>
      <c r="FB23" s="2863"/>
      <c r="FC23" s="2863"/>
      <c r="FD23" s="2863"/>
      <c r="FE23" s="2863"/>
      <c r="FF23" s="2863"/>
      <c r="FG23" s="2863"/>
      <c r="FH23" s="2863"/>
      <c r="FI23" s="2863"/>
      <c r="FJ23" s="2863"/>
      <c r="FK23" s="2863"/>
      <c r="FL23" s="2863"/>
      <c r="FM23" s="2863"/>
      <c r="FN23" s="2863"/>
      <c r="FO23" s="2863"/>
      <c r="FP23" s="2863"/>
      <c r="FQ23" s="2863"/>
      <c r="FR23" s="2863"/>
      <c r="FS23" s="2863"/>
      <c r="FT23" s="2863"/>
      <c r="FU23" s="2863"/>
      <c r="FV23" s="2863"/>
      <c r="FW23" s="2863"/>
      <c r="FX23" s="2863"/>
      <c r="FY23" s="2863"/>
      <c r="FZ23" s="2863"/>
      <c r="GA23" s="2863"/>
      <c r="GB23" s="2863"/>
      <c r="GC23" s="2863"/>
      <c r="GD23" s="2863"/>
      <c r="GE23" s="2863"/>
      <c r="GF23" s="2863"/>
      <c r="GG23" s="2863"/>
      <c r="GH23" s="2863"/>
      <c r="GI23" s="2863"/>
      <c r="GJ23" s="2863"/>
      <c r="GK23" s="2863"/>
      <c r="GL23" s="2863"/>
      <c r="GM23" s="2863"/>
      <c r="GN23" s="2863"/>
      <c r="GO23" s="2863"/>
      <c r="GP23" s="2863"/>
      <c r="GQ23" s="2863"/>
      <c r="GR23" s="2863"/>
      <c r="GS23" s="2863"/>
      <c r="GT23" s="2863"/>
      <c r="GU23" s="2863"/>
      <c r="GV23" s="2863"/>
      <c r="GW23" s="2863"/>
      <c r="GX23" s="2863"/>
      <c r="GY23" s="2863"/>
      <c r="GZ23" s="2863"/>
      <c r="HA23" s="2863"/>
      <c r="HB23" s="2863"/>
      <c r="HC23" s="2863"/>
      <c r="HD23" s="2863"/>
      <c r="HE23" s="2863"/>
      <c r="HF23" s="2863"/>
      <c r="HG23" s="2863"/>
      <c r="HH23" s="2863"/>
      <c r="HI23" s="2863"/>
      <c r="HJ23" s="2863"/>
      <c r="HK23" s="2863"/>
      <c r="HL23" s="2863"/>
      <c r="HM23" s="2863"/>
      <c r="HN23" s="2863"/>
      <c r="HO23" s="2863"/>
      <c r="HP23" s="2863"/>
      <c r="HQ23" s="2863"/>
      <c r="HR23" s="2863"/>
      <c r="HS23" s="2863"/>
      <c r="HT23" s="2863"/>
      <c r="HU23" s="2863"/>
      <c r="HV23" s="2863"/>
      <c r="HW23" s="2863"/>
      <c r="HX23" s="2863"/>
      <c r="HY23" s="2863"/>
      <c r="HZ23" s="2863"/>
      <c r="IA23" s="2863"/>
      <c r="IB23" s="2863"/>
      <c r="IC23" s="2863"/>
      <c r="ID23" s="2863"/>
      <c r="IE23" s="2863"/>
      <c r="IF23" s="2863"/>
      <c r="IG23" s="2863"/>
      <c r="IH23" s="2863"/>
      <c r="II23" s="2863"/>
      <c r="IJ23" s="2863"/>
      <c r="IK23" s="2863"/>
      <c r="IL23" s="2863"/>
      <c r="IM23" s="2863"/>
      <c r="IN23" s="2863"/>
      <c r="IO23" s="2863"/>
      <c r="IP23" s="2863"/>
      <c r="IQ23" s="2863"/>
      <c r="IR23" s="2863"/>
      <c r="IS23" s="2863"/>
      <c r="IT23" s="2863"/>
      <c r="IU23" s="2863"/>
      <c r="IV23" s="2863"/>
    </row>
    <row r="24" spans="1:256" ht="21" customHeight="1" x14ac:dyDescent="0.25">
      <c r="A24" s="2869" t="s">
        <v>3630</v>
      </c>
      <c r="B24" s="2870">
        <v>94.033026815216559</v>
      </c>
      <c r="C24" s="2870">
        <v>94.737918809959623</v>
      </c>
      <c r="D24" s="2871">
        <v>102.73838823752313</v>
      </c>
      <c r="E24" s="2872">
        <v>93.748147718064246</v>
      </c>
      <c r="F24" s="2873">
        <v>94.019346919312369</v>
      </c>
      <c r="G24" s="2874">
        <v>101.57348477901897</v>
      </c>
      <c r="H24" s="2868"/>
      <c r="I24" s="2868"/>
    </row>
    <row r="25" spans="1:256" ht="21" customHeight="1" x14ac:dyDescent="0.25">
      <c r="A25" s="2875" t="s">
        <v>3631</v>
      </c>
      <c r="B25" s="2876">
        <v>94.101377441284313</v>
      </c>
      <c r="C25" s="2876">
        <v>96.210999999999999</v>
      </c>
      <c r="D25" s="2877">
        <v>102.73865086831779</v>
      </c>
      <c r="E25" s="2878">
        <v>93.819408863626165</v>
      </c>
      <c r="F25" s="2879">
        <v>95.433000000000007</v>
      </c>
      <c r="G25" s="2880">
        <v>101.64652792543183</v>
      </c>
      <c r="H25" s="2868"/>
      <c r="I25" s="2868"/>
    </row>
    <row r="26" spans="1:256" ht="21" customHeight="1" x14ac:dyDescent="0.25">
      <c r="A26" s="2875" t="s">
        <v>3632</v>
      </c>
      <c r="B26" s="2876">
        <v>94.053378800187559</v>
      </c>
      <c r="C26" s="2876">
        <v>101.71579294789962</v>
      </c>
      <c r="D26" s="2877">
        <v>102.44049461147573</v>
      </c>
      <c r="E26" s="2878">
        <v>93.811474293235236</v>
      </c>
      <c r="F26" s="2879">
        <v>100.75034493403408</v>
      </c>
      <c r="G26" s="2880">
        <v>101.36674518189281</v>
      </c>
      <c r="H26" s="2868"/>
      <c r="I26" s="2868"/>
    </row>
    <row r="27" spans="1:256" ht="21" customHeight="1" x14ac:dyDescent="0.25">
      <c r="A27" s="2875" t="s">
        <v>3633</v>
      </c>
      <c r="B27" s="2876">
        <v>94.189550909417136</v>
      </c>
      <c r="C27" s="2876">
        <v>103.71112839443641</v>
      </c>
      <c r="D27" s="2877">
        <v>102.25544714272516</v>
      </c>
      <c r="E27" s="2878">
        <v>93.959604469303727</v>
      </c>
      <c r="F27" s="2879">
        <v>102.70931358524788</v>
      </c>
      <c r="G27" s="2880">
        <v>101.26522130614501</v>
      </c>
      <c r="H27" s="2868"/>
      <c r="I27" s="2868"/>
    </row>
    <row r="28" spans="1:256" ht="21" customHeight="1" x14ac:dyDescent="0.25">
      <c r="A28" s="2875" t="s">
        <v>3634</v>
      </c>
      <c r="B28" s="2876">
        <v>94.266339344692966</v>
      </c>
      <c r="C28" s="2876">
        <v>101.95610917623981</v>
      </c>
      <c r="D28" s="2877">
        <v>102.47001054111433</v>
      </c>
      <c r="E28" s="2881">
        <v>94.031589060459993</v>
      </c>
      <c r="F28" s="2879">
        <v>101.07428014520794</v>
      </c>
      <c r="G28" s="2880">
        <v>101.44726741717416</v>
      </c>
      <c r="H28" s="2862"/>
      <c r="I28" s="2862"/>
    </row>
    <row r="29" spans="1:256" ht="21" customHeight="1" x14ac:dyDescent="0.25">
      <c r="A29" s="2875" t="s">
        <v>3635</v>
      </c>
      <c r="B29" s="2876">
        <v>94.355303958883113</v>
      </c>
      <c r="C29" s="2876">
        <v>102.35499057640519</v>
      </c>
      <c r="D29" s="2877"/>
      <c r="E29" s="2881">
        <v>94.085349903111322</v>
      </c>
      <c r="F29" s="2879">
        <v>101.46845901364026</v>
      </c>
      <c r="G29" s="2880"/>
      <c r="H29" s="2862"/>
      <c r="I29" s="2862"/>
    </row>
    <row r="30" spans="1:256" ht="21" customHeight="1" x14ac:dyDescent="0.25">
      <c r="A30" s="2875" t="s">
        <v>3636</v>
      </c>
      <c r="B30" s="2876">
        <v>94.42471147163522</v>
      </c>
      <c r="C30" s="2876">
        <v>102.60849631914677</v>
      </c>
      <c r="D30" s="2877"/>
      <c r="E30" s="2881">
        <v>94.151578300819793</v>
      </c>
      <c r="F30" s="2879">
        <v>101.65930113841726</v>
      </c>
      <c r="G30" s="2880"/>
      <c r="H30" s="2862"/>
      <c r="I30" s="2862"/>
    </row>
    <row r="31" spans="1:256" ht="21" customHeight="1" x14ac:dyDescent="0.25">
      <c r="A31" s="2875" t="s">
        <v>3637</v>
      </c>
      <c r="B31" s="2876">
        <v>94.508293218519725</v>
      </c>
      <c r="C31" s="2876">
        <v>102.73851872720978</v>
      </c>
      <c r="D31" s="2877"/>
      <c r="E31" s="2881">
        <v>94.187148677373116</v>
      </c>
      <c r="F31" s="2879">
        <v>101.79757147447361</v>
      </c>
      <c r="G31" s="2880"/>
      <c r="H31" s="2862"/>
      <c r="I31" s="2862"/>
    </row>
    <row r="32" spans="1:256" ht="21" customHeight="1" x14ac:dyDescent="0.25">
      <c r="A32" s="2875" t="s">
        <v>3638</v>
      </c>
      <c r="B32" s="2876">
        <v>94.947994816430466</v>
      </c>
      <c r="C32" s="2876">
        <v>102.63201681881311</v>
      </c>
      <c r="D32" s="2877"/>
      <c r="E32" s="2881">
        <v>94.536291904851026</v>
      </c>
      <c r="F32" s="2879">
        <v>101.67143187984422</v>
      </c>
      <c r="G32" s="2880"/>
    </row>
    <row r="33" spans="1:9" ht="21" customHeight="1" x14ac:dyDescent="0.25">
      <c r="A33" s="2875" t="s">
        <v>3639</v>
      </c>
      <c r="B33" s="2876">
        <v>95.017094855184908</v>
      </c>
      <c r="C33" s="2876">
        <v>103.51468831296991</v>
      </c>
      <c r="D33" s="2877"/>
      <c r="E33" s="2881">
        <v>94.550027986508084</v>
      </c>
      <c r="F33" s="2879">
        <v>102.55535930736713</v>
      </c>
      <c r="G33" s="2880"/>
    </row>
    <row r="34" spans="1:9" ht="21" customHeight="1" x14ac:dyDescent="0.25">
      <c r="A34" s="2875" t="s">
        <v>3640</v>
      </c>
      <c r="B34" s="2876">
        <v>94.646105581368829</v>
      </c>
      <c r="C34" s="2876">
        <v>103.54696125855827</v>
      </c>
      <c r="D34" s="2877"/>
      <c r="E34" s="2881">
        <v>94.137326578736051</v>
      </c>
      <c r="F34" s="2879">
        <v>102.44539028562762</v>
      </c>
      <c r="G34" s="2880"/>
    </row>
    <row r="35" spans="1:9" ht="21" customHeight="1" thickBot="1" x14ac:dyDescent="0.3">
      <c r="A35" s="2882" t="s">
        <v>3641</v>
      </c>
      <c r="B35" s="2883">
        <v>94.376000000000005</v>
      </c>
      <c r="C35" s="2883">
        <v>103.27912448679528</v>
      </c>
      <c r="D35" s="2884"/>
      <c r="E35" s="2885">
        <v>93.814999999999998</v>
      </c>
      <c r="F35" s="2886">
        <v>102.18122262017602</v>
      </c>
      <c r="G35" s="2887"/>
    </row>
    <row r="36" spans="1:9" ht="27.75" customHeight="1" x14ac:dyDescent="0.25">
      <c r="A36" s="2888" t="s">
        <v>4460</v>
      </c>
      <c r="B36" s="2862"/>
      <c r="C36" s="2889"/>
      <c r="D36" s="2862"/>
      <c r="E36" s="2862"/>
      <c r="F36" s="2862"/>
      <c r="G36" s="2862"/>
    </row>
    <row r="37" spans="1:9" ht="48.75" customHeight="1" x14ac:dyDescent="0.25">
      <c r="A37" s="3455" t="s">
        <v>4461</v>
      </c>
      <c r="B37" s="3455"/>
      <c r="C37" s="3455"/>
      <c r="D37" s="3455"/>
      <c r="E37" s="3455"/>
      <c r="F37" s="3455"/>
      <c r="G37" s="3455"/>
      <c r="H37" s="3455"/>
      <c r="I37" s="3455"/>
    </row>
    <row r="38" spans="1:9" ht="28.5" customHeight="1" x14ac:dyDescent="0.25">
      <c r="A38" s="3455" t="s">
        <v>4462</v>
      </c>
      <c r="B38" s="3455"/>
      <c r="C38" s="3455"/>
      <c r="D38" s="3455"/>
      <c r="E38" s="3455"/>
      <c r="F38" s="3455"/>
      <c r="G38" s="3455"/>
      <c r="H38" s="3455"/>
      <c r="I38" s="3455"/>
    </row>
    <row r="39" spans="1:9" ht="49.5" customHeight="1" x14ac:dyDescent="0.25">
      <c r="A39" s="3455" t="s">
        <v>4463</v>
      </c>
      <c r="B39" s="3455"/>
      <c r="C39" s="3455"/>
      <c r="D39" s="3455"/>
      <c r="E39" s="3455"/>
      <c r="F39" s="3455"/>
      <c r="G39" s="3455"/>
      <c r="H39" s="3455"/>
      <c r="I39" s="3455"/>
    </row>
    <row r="40" spans="1:9" ht="19.5" customHeight="1" x14ac:dyDescent="0.25">
      <c r="A40" s="3455" t="s">
        <v>4464</v>
      </c>
      <c r="B40" s="3455"/>
      <c r="C40" s="3455"/>
      <c r="D40" s="3455"/>
      <c r="E40" s="3455"/>
      <c r="F40" s="3455"/>
      <c r="G40" s="3455"/>
      <c r="H40" s="3455"/>
      <c r="I40" s="3455"/>
    </row>
    <row r="41" spans="1:9" ht="16.5" customHeight="1" x14ac:dyDescent="0.25">
      <c r="A41" s="3455" t="s">
        <v>4465</v>
      </c>
      <c r="B41" s="3455"/>
      <c r="C41" s="3455"/>
      <c r="D41" s="3455"/>
      <c r="E41" s="3455"/>
      <c r="F41" s="3455"/>
      <c r="G41" s="3455"/>
      <c r="H41" s="3455"/>
      <c r="I41" s="3455"/>
    </row>
    <row r="42" spans="1:9" ht="15" x14ac:dyDescent="0.25">
      <c r="A42" s="2862"/>
      <c r="B42" s="2862"/>
      <c r="C42" s="2862"/>
      <c r="D42" s="2862"/>
      <c r="E42" s="2862"/>
      <c r="F42" s="2862"/>
      <c r="G42" s="2862"/>
      <c r="H42" s="2862"/>
      <c r="I42" s="2862"/>
    </row>
    <row r="43" spans="1:9" ht="15" x14ac:dyDescent="0.25">
      <c r="A43" s="2890" t="s">
        <v>680</v>
      </c>
      <c r="B43" s="2862"/>
      <c r="C43" s="2862"/>
      <c r="D43" s="2862"/>
      <c r="E43" s="2862"/>
      <c r="F43" s="2862"/>
      <c r="G43" s="2862"/>
      <c r="H43" s="2862"/>
      <c r="I43" s="2862"/>
    </row>
    <row r="44" spans="1:9" ht="15" x14ac:dyDescent="0.25">
      <c r="A44" s="2862"/>
      <c r="B44" s="2862"/>
      <c r="C44" s="2862"/>
      <c r="D44" s="2862"/>
      <c r="E44" s="2862"/>
      <c r="F44" s="2862"/>
      <c r="G44" s="2862"/>
    </row>
    <row r="45" spans="1:9" ht="15" x14ac:dyDescent="0.25">
      <c r="A45" s="2862"/>
      <c r="B45" s="2862"/>
      <c r="C45" s="2862"/>
      <c r="D45" s="2862"/>
      <c r="E45" s="2862"/>
      <c r="F45" s="2862"/>
      <c r="G45" s="2862"/>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I28"/>
  <sheetViews>
    <sheetView zoomScale="120" zoomScaleNormal="120" workbookViewId="0">
      <selection activeCell="E27" sqref="E27"/>
    </sheetView>
  </sheetViews>
  <sheetFormatPr defaultRowHeight="12.75" x14ac:dyDescent="0.2"/>
  <cols>
    <col min="1" max="1" width="15.5703125" style="2292" customWidth="1"/>
    <col min="2" max="2" width="15.42578125" style="2292" bestFit="1" customWidth="1"/>
    <col min="3" max="3" width="18.7109375" style="2292" bestFit="1" customWidth="1"/>
    <col min="4" max="4" width="15.42578125" style="2292" bestFit="1" customWidth="1"/>
    <col min="5" max="5" width="18.7109375" style="2292" bestFit="1" customWidth="1"/>
    <col min="6" max="16384" width="9.140625" style="2292"/>
  </cols>
  <sheetData>
    <row r="1" spans="1:8" ht="15.75" x14ac:dyDescent="0.2">
      <c r="A1" s="2290" t="s">
        <v>4012</v>
      </c>
      <c r="B1" s="2291"/>
      <c r="C1" s="2291"/>
      <c r="D1" s="2291"/>
      <c r="E1" s="2291"/>
    </row>
    <row r="2" spans="1:8" ht="13.5" thickBot="1" x14ac:dyDescent="0.25">
      <c r="A2" s="2291"/>
      <c r="B2" s="2291"/>
      <c r="C2" s="2291"/>
      <c r="D2" s="2291"/>
      <c r="E2" s="2291"/>
    </row>
    <row r="3" spans="1:8" s="2294" customFormat="1" ht="14.25" thickTop="1" thickBot="1" x14ac:dyDescent="0.25">
      <c r="A3" s="2293"/>
      <c r="B3" s="3469">
        <v>2015</v>
      </c>
      <c r="C3" s="3470"/>
      <c r="D3" s="3469">
        <v>2016</v>
      </c>
      <c r="E3" s="3470"/>
    </row>
    <row r="4" spans="1:8" s="2294" customFormat="1" x14ac:dyDescent="0.2">
      <c r="A4" s="2295"/>
      <c r="B4" s="3471" t="s">
        <v>4013</v>
      </c>
      <c r="C4" s="2296" t="s">
        <v>4014</v>
      </c>
      <c r="D4" s="3471" t="s">
        <v>4013</v>
      </c>
      <c r="E4" s="2296" t="s">
        <v>4014</v>
      </c>
    </row>
    <row r="5" spans="1:8" ht="13.5" thickBot="1" x14ac:dyDescent="0.25">
      <c r="A5" s="2297"/>
      <c r="B5" s="3472"/>
      <c r="C5" s="2298" t="s">
        <v>4015</v>
      </c>
      <c r="D5" s="3472"/>
      <c r="E5" s="2298" t="s">
        <v>4015</v>
      </c>
    </row>
    <row r="6" spans="1:8" ht="13.5" thickTop="1" x14ac:dyDescent="0.2">
      <c r="A6" s="2299" t="s">
        <v>3630</v>
      </c>
      <c r="B6" s="2300">
        <v>103606</v>
      </c>
      <c r="C6" s="2301">
        <v>4872.3653464999998</v>
      </c>
      <c r="D6" s="2300">
        <v>118426</v>
      </c>
      <c r="E6" s="2301">
        <v>5250</v>
      </c>
      <c r="F6" s="2294"/>
      <c r="G6" s="2302"/>
    </row>
    <row r="7" spans="1:8" x14ac:dyDescent="0.2">
      <c r="A7" s="2299" t="s">
        <v>3631</v>
      </c>
      <c r="B7" s="2300">
        <v>91128</v>
      </c>
      <c r="C7" s="2303">
        <v>3918.0630000000001</v>
      </c>
      <c r="D7" s="2300">
        <v>100706</v>
      </c>
      <c r="E7" s="2303">
        <v>4912</v>
      </c>
      <c r="F7" s="2302"/>
      <c r="H7" s="2302"/>
    </row>
    <row r="8" spans="1:8" ht="15" customHeight="1" x14ac:dyDescent="0.2">
      <c r="A8" s="2299" t="s">
        <v>3632</v>
      </c>
      <c r="B8" s="2304">
        <v>96595</v>
      </c>
      <c r="C8" s="2305">
        <v>4381.2205839999997</v>
      </c>
      <c r="D8" s="2304">
        <v>108704</v>
      </c>
      <c r="E8" s="2305">
        <v>4841</v>
      </c>
      <c r="F8" s="2302"/>
      <c r="H8" s="2302"/>
    </row>
    <row r="9" spans="1:8" x14ac:dyDescent="0.2">
      <c r="A9" s="2299" t="s">
        <v>3633</v>
      </c>
      <c r="B9" s="2300">
        <v>90327</v>
      </c>
      <c r="C9" s="2301">
        <v>4091.3558360000002</v>
      </c>
      <c r="D9" s="2300">
        <v>91992</v>
      </c>
      <c r="E9" s="2301">
        <v>4341</v>
      </c>
    </row>
    <row r="10" spans="1:8" x14ac:dyDescent="0.2">
      <c r="A10" s="2299" t="s">
        <v>3634</v>
      </c>
      <c r="B10" s="2300">
        <v>87067</v>
      </c>
      <c r="C10" s="2301">
        <v>3658.9318937500002</v>
      </c>
      <c r="D10" s="2300">
        <v>94830</v>
      </c>
      <c r="E10" s="2301"/>
    </row>
    <row r="11" spans="1:8" x14ac:dyDescent="0.2">
      <c r="A11" s="2299" t="s">
        <v>3635</v>
      </c>
      <c r="B11" s="2300">
        <v>65459</v>
      </c>
      <c r="C11" s="2301">
        <v>3318.0546878</v>
      </c>
      <c r="D11" s="2300"/>
      <c r="E11" s="2301"/>
    </row>
    <row r="12" spans="1:8" x14ac:dyDescent="0.2">
      <c r="A12" s="2299" t="s">
        <v>3636</v>
      </c>
      <c r="B12" s="2300">
        <v>95695</v>
      </c>
      <c r="C12" s="2305">
        <v>3570.4872154499999</v>
      </c>
      <c r="D12" s="2300"/>
      <c r="E12" s="2305"/>
    </row>
    <row r="13" spans="1:8" x14ac:dyDescent="0.2">
      <c r="A13" s="2299" t="s">
        <v>3637</v>
      </c>
      <c r="B13" s="2300">
        <v>89422</v>
      </c>
      <c r="C13" s="2305">
        <v>3653.6104319999999</v>
      </c>
      <c r="D13" s="2300"/>
      <c r="E13" s="2305"/>
      <c r="G13" s="2306"/>
      <c r="H13" s="2302"/>
    </row>
    <row r="14" spans="1:8" x14ac:dyDescent="0.2">
      <c r="A14" s="2299" t="s">
        <v>3638</v>
      </c>
      <c r="B14" s="2300">
        <v>84456</v>
      </c>
      <c r="C14" s="2305">
        <v>3705</v>
      </c>
      <c r="D14" s="2300"/>
      <c r="E14" s="2305"/>
      <c r="F14" s="2307"/>
      <c r="G14" s="2302"/>
    </row>
    <row r="15" spans="1:8" x14ac:dyDescent="0.2">
      <c r="A15" s="2299" t="s">
        <v>3639</v>
      </c>
      <c r="B15" s="2300">
        <v>109015</v>
      </c>
      <c r="C15" s="2305">
        <v>4486</v>
      </c>
      <c r="D15" s="2300"/>
      <c r="E15" s="2305"/>
    </row>
    <row r="16" spans="1:8" x14ac:dyDescent="0.2">
      <c r="A16" s="2299" t="s">
        <v>3640</v>
      </c>
      <c r="B16" s="2300">
        <v>106218</v>
      </c>
      <c r="C16" s="2305">
        <v>4785</v>
      </c>
      <c r="D16" s="2300"/>
      <c r="E16" s="2305"/>
    </row>
    <row r="17" spans="1:9" x14ac:dyDescent="0.2">
      <c r="A17" s="2299" t="s">
        <v>3641</v>
      </c>
      <c r="B17" s="2300">
        <v>132735</v>
      </c>
      <c r="C17" s="2301">
        <v>5751</v>
      </c>
      <c r="D17" s="2300"/>
      <c r="E17" s="2301"/>
      <c r="F17" s="2302"/>
      <c r="G17" s="2302"/>
      <c r="H17" s="2302"/>
      <c r="I17" s="2302"/>
    </row>
    <row r="18" spans="1:9" ht="13.5" thickBot="1" x14ac:dyDescent="0.25">
      <c r="A18" s="2308" t="s">
        <v>4016</v>
      </c>
      <c r="B18" s="2309">
        <f>SUM(B6:B17)</f>
        <v>1151723</v>
      </c>
      <c r="C18" s="2310">
        <f>SUM(C6:C17)</f>
        <v>50191.088995500002</v>
      </c>
      <c r="D18" s="2309">
        <v>514658</v>
      </c>
      <c r="E18" s="2310">
        <f>SUM(E6:E17)</f>
        <v>19344</v>
      </c>
      <c r="H18" s="2311"/>
      <c r="I18" s="2311"/>
    </row>
    <row r="19" spans="1:9" ht="9.75" customHeight="1" thickTop="1" x14ac:dyDescent="0.2">
      <c r="A19" s="2291"/>
      <c r="B19" s="2291"/>
      <c r="C19" s="2291"/>
      <c r="D19" s="2291"/>
      <c r="E19" s="2291"/>
    </row>
    <row r="20" spans="1:9" x14ac:dyDescent="0.2">
      <c r="A20" s="2312" t="s">
        <v>4017</v>
      </c>
      <c r="B20" s="2313"/>
      <c r="C20" s="2313"/>
      <c r="D20" s="2313"/>
      <c r="E20" s="2313"/>
    </row>
    <row r="21" spans="1:9" x14ac:dyDescent="0.2">
      <c r="A21" s="2312" t="s">
        <v>4018</v>
      </c>
      <c r="B21" s="2302"/>
      <c r="C21" s="2302"/>
      <c r="D21" s="2302"/>
      <c r="E21" s="2302"/>
    </row>
    <row r="22" spans="1:9" ht="24" customHeight="1" x14ac:dyDescent="0.2">
      <c r="A22" s="3473" t="s">
        <v>4019</v>
      </c>
      <c r="B22" s="3473"/>
      <c r="C22" s="3473"/>
      <c r="D22" s="3473"/>
      <c r="E22" s="3473"/>
    </row>
    <row r="23" spans="1:9" x14ac:dyDescent="0.2">
      <c r="A23" s="2312"/>
      <c r="B23" s="2306"/>
      <c r="C23" s="2306"/>
      <c r="D23" s="2306"/>
      <c r="E23" s="2306"/>
    </row>
    <row r="24" spans="1:9" x14ac:dyDescent="0.2">
      <c r="A24" s="2314"/>
      <c r="B24" s="2302"/>
      <c r="C24" s="2302"/>
      <c r="D24" s="2302"/>
      <c r="E24" s="2302"/>
    </row>
    <row r="25" spans="1:9" x14ac:dyDescent="0.2">
      <c r="B25" s="2302"/>
      <c r="C25" s="2302"/>
      <c r="D25" s="2302"/>
      <c r="E25" s="2302"/>
    </row>
    <row r="26" spans="1:9" x14ac:dyDescent="0.2">
      <c r="B26" s="2302"/>
      <c r="D26" s="2302"/>
    </row>
    <row r="27" spans="1:9" x14ac:dyDescent="0.2">
      <c r="B27" s="2302"/>
      <c r="C27" s="2302"/>
      <c r="D27" s="2302"/>
      <c r="E27" s="2302"/>
    </row>
    <row r="28" spans="1:9" x14ac:dyDescent="0.2">
      <c r="B28" s="2302"/>
      <c r="D28" s="2302"/>
    </row>
  </sheetData>
  <mergeCells count="5">
    <mergeCell ref="B3:C3"/>
    <mergeCell ref="D3:E3"/>
    <mergeCell ref="B4:B5"/>
    <mergeCell ref="D4:D5"/>
    <mergeCell ref="A22:E22"/>
  </mergeCells>
  <printOptions horizontalCentered="1"/>
  <pageMargins left="0.25" right="0" top="1.143700787" bottom="0.39370078740157499"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A19" zoomScaleNormal="100" workbookViewId="0">
      <selection activeCell="P30" sqref="P30"/>
    </sheetView>
  </sheetViews>
  <sheetFormatPr defaultRowHeight="11.25" x14ac:dyDescent="0.2"/>
  <cols>
    <col min="1" max="1" width="11.28515625" style="3030" customWidth="1"/>
    <col min="2" max="2" width="35" style="3030" customWidth="1"/>
    <col min="3" max="4" width="8.7109375" style="3031" hidden="1" customWidth="1"/>
    <col min="5" max="6" width="10.140625" style="3030" hidden="1" customWidth="1"/>
    <col min="7" max="12" width="10.140625" style="3030" customWidth="1"/>
    <col min="13" max="13" width="7.5703125" style="3030" customWidth="1"/>
    <col min="14" max="16384" width="9.140625" style="3030"/>
  </cols>
  <sheetData>
    <row r="1" spans="1:14" s="3029" customFormat="1" ht="16.5" x14ac:dyDescent="0.2">
      <c r="A1" s="3028" t="s">
        <v>4627</v>
      </c>
      <c r="B1" s="3028"/>
      <c r="C1" s="3028"/>
      <c r="D1" s="3028"/>
      <c r="H1" s="3030"/>
    </row>
    <row r="2" spans="1:14" s="3029" customFormat="1" ht="16.5" x14ac:dyDescent="0.2">
      <c r="A2" s="3028" t="s">
        <v>4628</v>
      </c>
      <c r="B2" s="3028"/>
      <c r="C2" s="3028"/>
      <c r="D2" s="3028"/>
    </row>
    <row r="3" spans="1:14" ht="12" x14ac:dyDescent="0.2">
      <c r="D3" s="3032"/>
      <c r="E3" s="3032"/>
      <c r="I3" s="3033"/>
      <c r="J3" s="3033"/>
      <c r="K3" s="3033"/>
      <c r="L3" s="3033" t="s">
        <v>73</v>
      </c>
    </row>
    <row r="4" spans="1:14" s="3034" customFormat="1" ht="12" customHeight="1" x14ac:dyDescent="0.2">
      <c r="A4" s="3488" t="s">
        <v>4629</v>
      </c>
      <c r="B4" s="3490" t="s">
        <v>4630</v>
      </c>
      <c r="C4" s="3486" t="s">
        <v>4631</v>
      </c>
      <c r="D4" s="3486" t="s">
        <v>4632</v>
      </c>
      <c r="E4" s="3486" t="s">
        <v>4633</v>
      </c>
      <c r="F4" s="3486" t="s">
        <v>4634</v>
      </c>
      <c r="G4" s="3486" t="s">
        <v>4635</v>
      </c>
      <c r="H4" s="3486" t="s">
        <v>4636</v>
      </c>
      <c r="I4" s="3486" t="s">
        <v>4637</v>
      </c>
      <c r="J4" s="3486" t="s">
        <v>4638</v>
      </c>
      <c r="K4" s="3486" t="s">
        <v>4639</v>
      </c>
      <c r="L4" s="3486" t="s">
        <v>4640</v>
      </c>
    </row>
    <row r="5" spans="1:14" s="3035" customFormat="1" ht="15.75" customHeight="1" x14ac:dyDescent="0.2">
      <c r="A5" s="3489"/>
      <c r="B5" s="3491"/>
      <c r="C5" s="3487"/>
      <c r="D5" s="3487"/>
      <c r="E5" s="3487"/>
      <c r="F5" s="3487"/>
      <c r="G5" s="3487"/>
      <c r="H5" s="3487"/>
      <c r="I5" s="3487"/>
      <c r="J5" s="3487"/>
      <c r="K5" s="3487"/>
      <c r="L5" s="3487"/>
    </row>
    <row r="6" spans="1:14" s="3035" customFormat="1" ht="12.75" x14ac:dyDescent="0.2">
      <c r="A6" s="3036" t="s">
        <v>4641</v>
      </c>
      <c r="B6" s="3037" t="s">
        <v>4642</v>
      </c>
      <c r="C6" s="3038">
        <v>25.5</v>
      </c>
      <c r="D6" s="3038">
        <v>18.399999999999999</v>
      </c>
      <c r="E6" s="3038">
        <v>447.4</v>
      </c>
      <c r="F6" s="3039" t="s">
        <v>4643</v>
      </c>
      <c r="G6" s="3039" t="s">
        <v>4643</v>
      </c>
      <c r="H6" s="3039">
        <v>215</v>
      </c>
      <c r="I6" s="3039">
        <v>127</v>
      </c>
      <c r="J6" s="3039">
        <v>723</v>
      </c>
      <c r="K6" s="3039">
        <v>18.899999999999999</v>
      </c>
      <c r="L6" s="3039">
        <v>3</v>
      </c>
    </row>
    <row r="7" spans="1:14" s="3035" customFormat="1" ht="12.75" x14ac:dyDescent="0.2">
      <c r="A7" s="3036" t="s">
        <v>4644</v>
      </c>
      <c r="B7" s="3037" t="s">
        <v>284</v>
      </c>
      <c r="C7" s="3038">
        <v>180.9</v>
      </c>
      <c r="D7" s="3038">
        <v>270.7</v>
      </c>
      <c r="E7" s="3038">
        <v>148.6</v>
      </c>
      <c r="F7" s="3038">
        <v>485.4</v>
      </c>
      <c r="G7" s="3038">
        <v>63.3</v>
      </c>
      <c r="H7" s="3039">
        <v>669</v>
      </c>
      <c r="I7" s="3039">
        <v>1597</v>
      </c>
      <c r="J7" s="3039">
        <v>1020</v>
      </c>
      <c r="K7" s="3039">
        <f>25.8+50.5</f>
        <v>76.3</v>
      </c>
      <c r="L7" s="3039">
        <f>20+4</f>
        <v>24</v>
      </c>
    </row>
    <row r="8" spans="1:14" s="3035" customFormat="1" ht="25.5" x14ac:dyDescent="0.2">
      <c r="A8" s="3036" t="s">
        <v>4645</v>
      </c>
      <c r="B8" s="3037" t="s">
        <v>4646</v>
      </c>
      <c r="C8" s="3038">
        <v>17.2</v>
      </c>
      <c r="D8" s="3039" t="s">
        <v>4643</v>
      </c>
      <c r="E8" s="3039" t="s">
        <v>4643</v>
      </c>
      <c r="F8" s="3039" t="s">
        <v>4643</v>
      </c>
      <c r="G8" s="3039">
        <v>2</v>
      </c>
      <c r="H8" s="3039">
        <v>18</v>
      </c>
      <c r="I8" s="3039">
        <v>8</v>
      </c>
      <c r="J8" s="3039">
        <v>831</v>
      </c>
      <c r="K8" s="3039">
        <v>36</v>
      </c>
      <c r="L8" s="3039" t="s">
        <v>664</v>
      </c>
    </row>
    <row r="9" spans="1:14" s="3035" customFormat="1" ht="12.75" x14ac:dyDescent="0.2">
      <c r="A9" s="3036" t="s">
        <v>4647</v>
      </c>
      <c r="B9" s="3037" t="s">
        <v>312</v>
      </c>
      <c r="C9" s="3038">
        <v>11.5</v>
      </c>
      <c r="D9" s="3038">
        <v>44.9</v>
      </c>
      <c r="E9" s="3038">
        <v>67.8</v>
      </c>
      <c r="F9" s="3038">
        <v>211.2</v>
      </c>
      <c r="G9" s="3038">
        <v>1292.3</v>
      </c>
      <c r="H9" s="3039">
        <v>2117</v>
      </c>
      <c r="I9" s="3039">
        <v>2305</v>
      </c>
      <c r="J9" s="3039">
        <v>865</v>
      </c>
      <c r="K9" s="3039">
        <f>93+166.5+116.2</f>
        <v>375.7</v>
      </c>
      <c r="L9" s="3039">
        <v>112</v>
      </c>
    </row>
    <row r="10" spans="1:14" s="3035" customFormat="1" ht="25.5" x14ac:dyDescent="0.2">
      <c r="A10" s="3036" t="s">
        <v>4648</v>
      </c>
      <c r="B10" s="3037" t="s">
        <v>4649</v>
      </c>
      <c r="C10" s="3038">
        <v>198</v>
      </c>
      <c r="D10" s="3038">
        <v>38.299999999999997</v>
      </c>
      <c r="E10" s="3038">
        <v>103.3</v>
      </c>
      <c r="F10" s="3038">
        <v>290.89999999999998</v>
      </c>
      <c r="G10" s="3038">
        <v>125</v>
      </c>
      <c r="H10" s="3038">
        <v>600</v>
      </c>
      <c r="I10" s="3038">
        <v>746</v>
      </c>
      <c r="J10" s="3038">
        <v>1237</v>
      </c>
      <c r="K10" s="3038">
        <f>15+24.8+7.574</f>
        <v>47.373999999999995</v>
      </c>
      <c r="L10" s="3038">
        <v>29</v>
      </c>
    </row>
    <row r="11" spans="1:14" s="3035" customFormat="1" ht="12.75" x14ac:dyDescent="0.2">
      <c r="A11" s="3036" t="s">
        <v>4650</v>
      </c>
      <c r="B11" s="3037" t="s">
        <v>4651</v>
      </c>
      <c r="C11" s="3038">
        <v>13.1</v>
      </c>
      <c r="D11" s="3039" t="s">
        <v>4643</v>
      </c>
      <c r="E11" s="3038">
        <v>14.2</v>
      </c>
      <c r="F11" s="3038">
        <v>9.5</v>
      </c>
      <c r="G11" s="3039">
        <v>110</v>
      </c>
      <c r="H11" s="3039">
        <v>204</v>
      </c>
      <c r="I11" s="3039">
        <v>43</v>
      </c>
      <c r="J11" s="3039">
        <v>76</v>
      </c>
      <c r="K11" s="3039" t="s">
        <v>664</v>
      </c>
      <c r="L11" s="3039">
        <v>4</v>
      </c>
    </row>
    <row r="12" spans="1:14" s="3035" customFormat="1" ht="25.5" x14ac:dyDescent="0.2">
      <c r="A12" s="3036" t="s">
        <v>4652</v>
      </c>
      <c r="B12" s="3037" t="s">
        <v>4653</v>
      </c>
      <c r="C12" s="3038">
        <v>1381.9</v>
      </c>
      <c r="D12" s="3038">
        <v>3188.6</v>
      </c>
      <c r="E12" s="3038">
        <v>1347.8</v>
      </c>
      <c r="F12" s="3038">
        <v>1849.7</v>
      </c>
      <c r="G12" s="3038">
        <v>836.3</v>
      </c>
      <c r="H12" s="3038">
        <v>999</v>
      </c>
      <c r="I12" s="3038">
        <v>1839</v>
      </c>
      <c r="J12" s="3038">
        <v>756</v>
      </c>
      <c r="K12" s="3038">
        <f>117+2115.3+1029.635+1631.5</f>
        <v>4893.4350000000004</v>
      </c>
      <c r="L12" s="3038">
        <f>455.6+323.5</f>
        <v>779.1</v>
      </c>
    </row>
    <row r="13" spans="1:14" s="3035" customFormat="1" ht="13.5" customHeight="1" x14ac:dyDescent="0.2">
      <c r="A13" s="3036" t="s">
        <v>4654</v>
      </c>
      <c r="B13" s="3037" t="s">
        <v>4655</v>
      </c>
      <c r="C13" s="3038">
        <v>42.7</v>
      </c>
      <c r="D13" s="3038">
        <v>18.2</v>
      </c>
      <c r="E13" s="3038">
        <v>7.8</v>
      </c>
      <c r="F13" s="3039" t="s">
        <v>4643</v>
      </c>
      <c r="G13" s="3039">
        <v>235.47</v>
      </c>
      <c r="H13" s="3039">
        <v>462</v>
      </c>
      <c r="I13" s="3039">
        <v>373</v>
      </c>
      <c r="J13" s="3039">
        <v>274</v>
      </c>
      <c r="K13" s="3039">
        <f>109+29.6+2.690464</f>
        <v>141.29046399999999</v>
      </c>
      <c r="L13" s="3039" t="s">
        <v>664</v>
      </c>
    </row>
    <row r="14" spans="1:14" s="3035" customFormat="1" ht="12.75" x14ac:dyDescent="0.2">
      <c r="A14" s="3036" t="s">
        <v>4656</v>
      </c>
      <c r="B14" s="3037" t="s">
        <v>4657</v>
      </c>
      <c r="C14" s="3038">
        <v>3592.9</v>
      </c>
      <c r="D14" s="3038">
        <v>4055.6</v>
      </c>
      <c r="E14" s="3038">
        <v>4563.8999999999996</v>
      </c>
      <c r="F14" s="3038">
        <v>1371.4</v>
      </c>
      <c r="G14" s="3038">
        <f>2160.2+157.809+91.28+1131.944+1104.059</f>
        <v>4645.2920000000004</v>
      </c>
      <c r="H14" s="3038">
        <v>1972</v>
      </c>
      <c r="I14" s="3039">
        <v>5512</v>
      </c>
      <c r="J14" s="3039">
        <v>1386</v>
      </c>
      <c r="K14" s="3039">
        <f>1393.6+25.5+395.9</f>
        <v>1815</v>
      </c>
      <c r="L14" s="3039">
        <f>126+41.2</f>
        <v>167.2</v>
      </c>
    </row>
    <row r="15" spans="1:14" s="3035" customFormat="1" ht="12.75" x14ac:dyDescent="0.2">
      <c r="A15" s="3036" t="s">
        <v>4658</v>
      </c>
      <c r="B15" s="3037" t="s">
        <v>4659</v>
      </c>
      <c r="C15" s="3038">
        <v>1701.1</v>
      </c>
      <c r="D15" s="3038">
        <v>3820</v>
      </c>
      <c r="E15" s="3038">
        <v>4524.5</v>
      </c>
      <c r="F15" s="3038">
        <v>4304.9799999999996</v>
      </c>
      <c r="G15" s="3038">
        <v>3422.2</v>
      </c>
      <c r="H15" s="3038">
        <v>5236</v>
      </c>
      <c r="I15" s="3038">
        <v>7553</v>
      </c>
      <c r="J15" s="3038">
        <v>6124</v>
      </c>
      <c r="K15" s="3038">
        <f>1511+1676+1133.255+1857.4</f>
        <v>6177.6550000000007</v>
      </c>
      <c r="L15" s="3038">
        <f>4006+2086</f>
        <v>6092</v>
      </c>
      <c r="N15" s="3040"/>
    </row>
    <row r="16" spans="1:14" s="3045" customFormat="1" ht="21.75" customHeight="1" x14ac:dyDescent="0.2">
      <c r="A16" s="3036"/>
      <c r="B16" s="3041" t="s">
        <v>4660</v>
      </c>
      <c r="C16" s="3042">
        <v>1227.8</v>
      </c>
      <c r="D16" s="3042">
        <v>2790.5</v>
      </c>
      <c r="E16" s="3042">
        <v>2636.8</v>
      </c>
      <c r="F16" s="3043">
        <v>2073.69</v>
      </c>
      <c r="G16" s="3043">
        <v>2033</v>
      </c>
      <c r="H16" s="3043">
        <v>3352</v>
      </c>
      <c r="I16" s="3043">
        <v>4228.3999999999996</v>
      </c>
      <c r="J16" s="3043">
        <v>4598</v>
      </c>
      <c r="K16" s="3044">
        <f>1146+983.6+706.663+1202.2</f>
        <v>4038.4629999999997</v>
      </c>
      <c r="L16" s="3044">
        <f>3324+1892</f>
        <v>5216</v>
      </c>
    </row>
    <row r="17" spans="1:22" s="3045" customFormat="1" ht="27.75" customHeight="1" x14ac:dyDescent="0.2">
      <c r="A17" s="3036" t="s">
        <v>4661</v>
      </c>
      <c r="B17" s="3037" t="s">
        <v>4662</v>
      </c>
      <c r="C17" s="3039" t="s">
        <v>4643</v>
      </c>
      <c r="D17" s="3039" t="s">
        <v>4643</v>
      </c>
      <c r="E17" s="3039" t="s">
        <v>4643</v>
      </c>
      <c r="F17" s="3039" t="s">
        <v>4643</v>
      </c>
      <c r="G17" s="3038">
        <v>404.2</v>
      </c>
      <c r="H17" s="3038">
        <v>266</v>
      </c>
      <c r="I17" s="3038">
        <v>52</v>
      </c>
      <c r="J17" s="3038">
        <v>33</v>
      </c>
      <c r="K17" s="3038">
        <f>1+1.476353</f>
        <v>2.476353</v>
      </c>
      <c r="L17" s="3039" t="s">
        <v>664</v>
      </c>
    </row>
    <row r="18" spans="1:22" s="3045" customFormat="1" ht="21.75" customHeight="1" x14ac:dyDescent="0.2">
      <c r="A18" s="3036" t="s">
        <v>4663</v>
      </c>
      <c r="B18" s="3037" t="s">
        <v>4664</v>
      </c>
      <c r="C18" s="3039"/>
      <c r="D18" s="3039" t="s">
        <v>4643</v>
      </c>
      <c r="E18" s="3039" t="s">
        <v>4643</v>
      </c>
      <c r="F18" s="3039" t="s">
        <v>4643</v>
      </c>
      <c r="G18" s="3039" t="s">
        <v>4643</v>
      </c>
      <c r="H18" s="3039">
        <v>38</v>
      </c>
      <c r="I18" s="3039">
        <v>8</v>
      </c>
      <c r="J18" s="3038">
        <v>217</v>
      </c>
      <c r="K18" s="3038">
        <f>1+0.6</f>
        <v>1.6</v>
      </c>
      <c r="L18" s="3039" t="s">
        <v>664</v>
      </c>
    </row>
    <row r="19" spans="1:22" s="3045" customFormat="1" ht="21.75" customHeight="1" x14ac:dyDescent="0.2">
      <c r="A19" s="3036" t="s">
        <v>4665</v>
      </c>
      <c r="B19" s="3037" t="s">
        <v>365</v>
      </c>
      <c r="C19" s="3038">
        <v>54.6</v>
      </c>
      <c r="D19" s="3038">
        <v>30.033999999999999</v>
      </c>
      <c r="E19" s="3038">
        <v>74.054000000000002</v>
      </c>
      <c r="F19" s="3038">
        <v>125</v>
      </c>
      <c r="G19" s="3039">
        <v>18</v>
      </c>
      <c r="H19" s="3039">
        <v>4</v>
      </c>
      <c r="I19" s="3039" t="s">
        <v>4643</v>
      </c>
      <c r="J19" s="3039">
        <v>32</v>
      </c>
      <c r="K19" s="3039">
        <f>16+16.8</f>
        <v>32.799999999999997</v>
      </c>
      <c r="L19" s="3039" t="s">
        <v>664</v>
      </c>
      <c r="V19" s="3046"/>
    </row>
    <row r="20" spans="1:22" s="3045" customFormat="1" ht="21.75" customHeight="1" x14ac:dyDescent="0.2">
      <c r="A20" s="3036" t="s">
        <v>4666</v>
      </c>
      <c r="B20" s="3037" t="s">
        <v>4667</v>
      </c>
      <c r="C20" s="3038">
        <v>2.2000000000000002</v>
      </c>
      <c r="D20" s="3038">
        <v>28.952000000000002</v>
      </c>
      <c r="E20" s="3038">
        <v>119.7</v>
      </c>
      <c r="F20" s="3038">
        <v>145.1</v>
      </c>
      <c r="G20" s="3038">
        <v>2732.2</v>
      </c>
      <c r="H20" s="3039">
        <v>91</v>
      </c>
      <c r="I20" s="3039">
        <v>210</v>
      </c>
      <c r="J20" s="3039">
        <v>184</v>
      </c>
      <c r="K20" s="3039">
        <v>532.20000000000005</v>
      </c>
      <c r="L20" s="3039">
        <v>4</v>
      </c>
    </row>
    <row r="21" spans="1:22" s="3045" customFormat="1" ht="21.75" customHeight="1" x14ac:dyDescent="0.2">
      <c r="A21" s="3036" t="s">
        <v>4668</v>
      </c>
      <c r="B21" s="3037" t="s">
        <v>4669</v>
      </c>
      <c r="C21" s="3039" t="s">
        <v>4643</v>
      </c>
      <c r="D21" s="3039" t="s">
        <v>4643</v>
      </c>
      <c r="E21" s="3039" t="s">
        <v>4643</v>
      </c>
      <c r="F21" s="3039" t="s">
        <v>4643</v>
      </c>
      <c r="G21" s="3038">
        <v>61.8</v>
      </c>
      <c r="H21" s="3038">
        <v>3</v>
      </c>
      <c r="I21" s="3039" t="s">
        <v>4643</v>
      </c>
      <c r="J21" s="3039">
        <v>8</v>
      </c>
      <c r="K21" s="3039" t="s">
        <v>664</v>
      </c>
      <c r="L21" s="3039" t="s">
        <v>664</v>
      </c>
    </row>
    <row r="22" spans="1:22" s="3045" customFormat="1" ht="17.25" customHeight="1" x14ac:dyDescent="0.2">
      <c r="A22" s="3482" t="s">
        <v>197</v>
      </c>
      <c r="B22" s="3483"/>
      <c r="C22" s="3047">
        <f>SUM(C6:C20)-C16</f>
        <v>7221.6000000000013</v>
      </c>
      <c r="D22" s="3047">
        <f>SUM(D6:D20)-D16</f>
        <v>11513.685999999998</v>
      </c>
      <c r="E22" s="3047">
        <f>SUM(E6:E20)-E16</f>
        <v>11419.054</v>
      </c>
      <c r="F22" s="3047">
        <f>SUM(F6:F20)-F16</f>
        <v>8793.18</v>
      </c>
      <c r="G22" s="3047">
        <f t="shared" ref="G22:L22" si="0">SUM(G6:G21)-G16</f>
        <v>13948.062000000002</v>
      </c>
      <c r="H22" s="3047">
        <f t="shared" si="0"/>
        <v>12894</v>
      </c>
      <c r="I22" s="3047">
        <f t="shared" si="0"/>
        <v>20373</v>
      </c>
      <c r="J22" s="3047">
        <f>SUM(J6:J21)-J16</f>
        <v>13766</v>
      </c>
      <c r="K22" s="3047">
        <f t="shared" si="0"/>
        <v>14150.730817</v>
      </c>
      <c r="L22" s="3047">
        <f t="shared" si="0"/>
        <v>7214.2999999999993</v>
      </c>
    </row>
    <row r="23" spans="1:22" s="3049" customFormat="1" ht="19.5" customHeight="1" x14ac:dyDescent="0.2">
      <c r="A23" s="3048" t="s">
        <v>4670</v>
      </c>
      <c r="B23" s="3048"/>
      <c r="C23" s="3048"/>
      <c r="D23" s="3048"/>
      <c r="E23" s="3048"/>
      <c r="F23" s="3048"/>
      <c r="G23" s="3048"/>
      <c r="H23" s="3048"/>
      <c r="I23" s="3048"/>
      <c r="J23" s="3048"/>
      <c r="K23" s="3048"/>
      <c r="L23" s="3048"/>
    </row>
    <row r="24" spans="1:22" s="3049" customFormat="1" ht="15.75" customHeight="1" x14ac:dyDescent="0.2">
      <c r="A24" s="3050" t="s">
        <v>4671</v>
      </c>
      <c r="B24" s="3051"/>
      <c r="C24" s="3051"/>
      <c r="D24" s="3051"/>
      <c r="E24" s="3051"/>
      <c r="F24" s="3051"/>
      <c r="G24" s="3051"/>
      <c r="H24" s="3051"/>
      <c r="I24" s="3051"/>
      <c r="J24" s="3051"/>
      <c r="K24" s="3051"/>
      <c r="L24" s="3051"/>
    </row>
    <row r="25" spans="1:22" s="3052" customFormat="1" ht="12.75" x14ac:dyDescent="0.2">
      <c r="A25" s="1636"/>
      <c r="C25" s="3053"/>
      <c r="D25" s="3053"/>
    </row>
    <row r="26" spans="1:22" s="3029" customFormat="1" ht="16.5" x14ac:dyDescent="0.2">
      <c r="A26" s="3028" t="s">
        <v>4672</v>
      </c>
      <c r="C26" s="3054"/>
      <c r="D26" s="3054"/>
    </row>
    <row r="27" spans="1:22" s="3029" customFormat="1" ht="16.5" x14ac:dyDescent="0.2">
      <c r="A27" s="3028" t="s">
        <v>4673</v>
      </c>
      <c r="C27" s="3054"/>
      <c r="D27" s="3054"/>
    </row>
    <row r="28" spans="1:22" ht="12" x14ac:dyDescent="0.2">
      <c r="B28" s="3055"/>
      <c r="C28" s="3056"/>
      <c r="D28" s="3056"/>
      <c r="E28" s="3056"/>
      <c r="F28" s="3056"/>
      <c r="G28" s="3056"/>
      <c r="H28" s="3056"/>
      <c r="I28" s="3033"/>
      <c r="J28" s="3033"/>
      <c r="K28" s="3033"/>
      <c r="L28" s="3033" t="s">
        <v>73</v>
      </c>
    </row>
    <row r="29" spans="1:22" s="3049" customFormat="1" ht="28.5" customHeight="1" x14ac:dyDescent="0.2">
      <c r="A29" s="3484" t="s">
        <v>4674</v>
      </c>
      <c r="B29" s="3485"/>
      <c r="C29" s="3057" t="s">
        <v>4631</v>
      </c>
      <c r="D29" s="3058" t="s">
        <v>4632</v>
      </c>
      <c r="E29" s="3059" t="s">
        <v>4675</v>
      </c>
      <c r="F29" s="3059" t="s">
        <v>4634</v>
      </c>
      <c r="G29" s="3059" t="s">
        <v>4676</v>
      </c>
      <c r="H29" s="3059" t="s">
        <v>4677</v>
      </c>
      <c r="I29" s="3059" t="s">
        <v>4678</v>
      </c>
      <c r="J29" s="3059" t="s">
        <v>4638</v>
      </c>
      <c r="K29" s="3059" t="s">
        <v>4639</v>
      </c>
      <c r="L29" s="3059" t="s">
        <v>4640</v>
      </c>
    </row>
    <row r="30" spans="1:22" s="3064" customFormat="1" ht="14.1" customHeight="1" x14ac:dyDescent="0.2">
      <c r="A30" s="3060" t="s">
        <v>4679</v>
      </c>
      <c r="B30" s="3061"/>
      <c r="C30" s="3062">
        <f>C31+C43+C62</f>
        <v>7222.4856000000009</v>
      </c>
      <c r="D30" s="3062">
        <f>D31+D43+D62</f>
        <v>11513.725</v>
      </c>
      <c r="E30" s="3062">
        <f>E31+E43+E62</f>
        <v>11419.01</v>
      </c>
      <c r="F30" s="3062">
        <f>F31+F43+F62</f>
        <v>8792.7000000000007</v>
      </c>
      <c r="G30" s="3062">
        <f>G31+G43+G62-1</f>
        <v>13947.599999999999</v>
      </c>
      <c r="H30" s="3062">
        <f>H31+H43+H62</f>
        <v>12893.527</v>
      </c>
      <c r="I30" s="3062">
        <f>I31+I43+I62</f>
        <v>20373.491000000002</v>
      </c>
      <c r="J30" s="3062">
        <f>J31+J43+J62</f>
        <v>13766</v>
      </c>
      <c r="K30" s="3062">
        <f>K31+K43</f>
        <v>14150.680000000002</v>
      </c>
      <c r="L30" s="3062">
        <f>L31+L43</f>
        <v>7214.4</v>
      </c>
      <c r="M30" s="3063"/>
      <c r="N30" s="3063"/>
    </row>
    <row r="31" spans="1:22" s="3049" customFormat="1" ht="14.1" customHeight="1" x14ac:dyDescent="0.2">
      <c r="A31" s="3065" t="s">
        <v>4680</v>
      </c>
      <c r="B31" s="3066"/>
      <c r="C31" s="3062">
        <f>C32+C41</f>
        <v>5504.7936000000009</v>
      </c>
      <c r="D31" s="3062">
        <f>D32+D41</f>
        <v>8315.7540000000008</v>
      </c>
      <c r="E31" s="3062">
        <f>E32+E41</f>
        <v>5739.54</v>
      </c>
      <c r="F31" s="3062">
        <f>F32+F41</f>
        <v>6187.2000000000007</v>
      </c>
      <c r="G31" s="3062">
        <f>G32+G41+1</f>
        <v>7952.28</v>
      </c>
      <c r="H31" s="3062">
        <v>7758.951</v>
      </c>
      <c r="I31" s="3062">
        <v>10574.093000000001</v>
      </c>
      <c r="J31" s="3062">
        <f>J32+J41</f>
        <v>7505</v>
      </c>
      <c r="K31" s="3062">
        <f>K32+K41</f>
        <v>10250.720000000001</v>
      </c>
      <c r="L31" s="3062">
        <f>L32+L41</f>
        <v>4881.3999999999996</v>
      </c>
      <c r="N31" s="3063"/>
    </row>
    <row r="32" spans="1:22" s="3049" customFormat="1" ht="14.1" customHeight="1" x14ac:dyDescent="0.2">
      <c r="A32" s="3476" t="s">
        <v>4681</v>
      </c>
      <c r="B32" s="3477"/>
      <c r="C32" s="3067">
        <f t="shared" ref="C32:G32" si="1">C33+C39+C40</f>
        <v>5338.2786000000006</v>
      </c>
      <c r="D32" s="3067">
        <f t="shared" si="1"/>
        <v>5936.2070000000012</v>
      </c>
      <c r="E32" s="3067">
        <f t="shared" si="1"/>
        <v>4676.33</v>
      </c>
      <c r="F32" s="3067">
        <f t="shared" si="1"/>
        <v>5500.1</v>
      </c>
      <c r="G32" s="3067">
        <f t="shared" si="1"/>
        <v>7819.28</v>
      </c>
      <c r="H32" s="3067">
        <v>7501.7950000000001</v>
      </c>
      <c r="I32" s="3067">
        <v>9786.9260000000013</v>
      </c>
      <c r="J32" s="3067">
        <f>J33+J39+J40</f>
        <v>7282</v>
      </c>
      <c r="K32" s="3067">
        <f t="shared" ref="K32" si="2">K33+K39+K40+4</f>
        <v>8168.7000000000007</v>
      </c>
      <c r="L32" s="3067">
        <f>L33+L39+L40</f>
        <v>4781.3999999999996</v>
      </c>
      <c r="N32" s="3063"/>
    </row>
    <row r="33" spans="1:14" s="3049" customFormat="1" ht="14.1" customHeight="1" x14ac:dyDescent="0.2">
      <c r="A33" s="3476" t="s">
        <v>4682</v>
      </c>
      <c r="B33" s="3477"/>
      <c r="C33" s="3067">
        <v>4680.8676000000005</v>
      </c>
      <c r="D33" s="3067">
        <v>4596.8270000000011</v>
      </c>
      <c r="E33" s="3067">
        <v>3747.21</v>
      </c>
      <c r="F33" s="3067">
        <v>4886.7</v>
      </c>
      <c r="G33" s="3067">
        <v>7169.5300000000007</v>
      </c>
      <c r="H33" s="3067">
        <v>6968.299</v>
      </c>
      <c r="I33" s="3067">
        <v>9424.8260000000009</v>
      </c>
      <c r="J33" s="3067">
        <v>6337</v>
      </c>
      <c r="K33" s="3067">
        <f>112+K34+K35+K36+K37+K38+1965+15+1+1+4+5+1+2+52.68</f>
        <v>7488.7900000000009</v>
      </c>
      <c r="L33" s="3067">
        <f>4+2+2+1+192+SUM(L34:L38)+21+3.9+2.8+17.6+123.1+57+42</f>
        <v>4096.3999999999996</v>
      </c>
      <c r="N33" s="3063"/>
    </row>
    <row r="34" spans="1:14" s="3049" customFormat="1" ht="14.1" customHeight="1" x14ac:dyDescent="0.2">
      <c r="A34" s="3068" t="s">
        <v>4683</v>
      </c>
      <c r="B34" s="3066"/>
      <c r="C34" s="3067">
        <v>47.320000000000007</v>
      </c>
      <c r="D34" s="3067">
        <v>377.83799999999997</v>
      </c>
      <c r="E34" s="3067">
        <v>75.650000000000006</v>
      </c>
      <c r="F34" s="3067">
        <v>38.099999999999994</v>
      </c>
      <c r="G34" s="3067">
        <v>91.699999999999989</v>
      </c>
      <c r="H34" s="3067">
        <v>92.62</v>
      </c>
      <c r="I34" s="3067">
        <v>595</v>
      </c>
      <c r="J34" s="3067">
        <v>204</v>
      </c>
      <c r="K34" s="3067">
        <f>12+29+16+15.11</f>
        <v>72.11</v>
      </c>
      <c r="L34" s="3067">
        <f>41+30</f>
        <v>71</v>
      </c>
      <c r="N34" s="3063"/>
    </row>
    <row r="35" spans="1:14" s="3049" customFormat="1" ht="14.1" customHeight="1" x14ac:dyDescent="0.2">
      <c r="A35" s="3476" t="s">
        <v>4684</v>
      </c>
      <c r="B35" s="3477"/>
      <c r="C35" s="3067">
        <v>34.097999999999999</v>
      </c>
      <c r="D35" s="3067">
        <v>69.441999999999993</v>
      </c>
      <c r="E35" s="3038">
        <v>208.98</v>
      </c>
      <c r="F35" s="3038">
        <v>64.7</v>
      </c>
      <c r="G35" s="3038">
        <v>256.01</v>
      </c>
      <c r="H35" s="3038">
        <v>184.512</v>
      </c>
      <c r="I35" s="3038">
        <v>366.2</v>
      </c>
      <c r="J35" s="3038">
        <v>322</v>
      </c>
      <c r="K35" s="3038">
        <f>2+384+32+345.98</f>
        <v>763.98</v>
      </c>
      <c r="L35" s="3038">
        <f>23+57</f>
        <v>80</v>
      </c>
      <c r="N35" s="3063"/>
    </row>
    <row r="36" spans="1:14" s="3049" customFormat="1" ht="14.1" customHeight="1" x14ac:dyDescent="0.2">
      <c r="A36" s="3476" t="s">
        <v>4685</v>
      </c>
      <c r="B36" s="3477"/>
      <c r="C36" s="3067">
        <v>522.51099999999997</v>
      </c>
      <c r="D36" s="3067">
        <v>1175.7850000000001</v>
      </c>
      <c r="E36" s="3038">
        <v>1166.77</v>
      </c>
      <c r="F36" s="3038">
        <v>2332.9</v>
      </c>
      <c r="G36" s="3038">
        <v>1598.38</v>
      </c>
      <c r="H36" s="3038">
        <v>4066.7190000000001</v>
      </c>
      <c r="I36" s="3038">
        <v>4294.5</v>
      </c>
      <c r="J36" s="3038">
        <v>3434</v>
      </c>
      <c r="K36" s="3038">
        <f>ROUND(599+1574+466+846.75,0)</f>
        <v>3486</v>
      </c>
      <c r="L36" s="3038">
        <f>1734+879</f>
        <v>2613</v>
      </c>
      <c r="N36" s="3063"/>
    </row>
    <row r="37" spans="1:14" s="3049" customFormat="1" ht="14.1" customHeight="1" x14ac:dyDescent="0.2">
      <c r="A37" s="3476" t="s">
        <v>4686</v>
      </c>
      <c r="B37" s="3477"/>
      <c r="C37" s="3067">
        <v>177.024</v>
      </c>
      <c r="D37" s="3067">
        <v>58.642000000000003</v>
      </c>
      <c r="E37" s="3038">
        <v>172.48</v>
      </c>
      <c r="F37" s="3038">
        <v>26.7</v>
      </c>
      <c r="G37" s="3038">
        <v>3</v>
      </c>
      <c r="H37" s="3038">
        <v>10.17</v>
      </c>
      <c r="I37" s="3038">
        <v>2</v>
      </c>
      <c r="J37" s="3038">
        <v>856</v>
      </c>
      <c r="K37" s="3038">
        <f>ROUND(57+22+15+21.61,0)</f>
        <v>116</v>
      </c>
      <c r="L37" s="3038">
        <f>38+17</f>
        <v>55</v>
      </c>
      <c r="N37" s="3063"/>
    </row>
    <row r="38" spans="1:14" s="3049" customFormat="1" ht="14.1" customHeight="1" x14ac:dyDescent="0.2">
      <c r="A38" s="3476" t="s">
        <v>4687</v>
      </c>
      <c r="B38" s="3477"/>
      <c r="C38" s="3067">
        <v>3821.4270000000001</v>
      </c>
      <c r="D38" s="3067">
        <v>2801.83</v>
      </c>
      <c r="E38" s="3038">
        <f>1740.46+260.64+43.01</f>
        <v>2044.11</v>
      </c>
      <c r="F38" s="3038">
        <f>1492.6</f>
        <v>1492.6</v>
      </c>
      <c r="G38" s="3038">
        <f>2396+1131.944+1104.059</f>
        <v>4632.0029999999997</v>
      </c>
      <c r="H38" s="3038">
        <v>2313.91</v>
      </c>
      <c r="I38" s="3038">
        <v>4075</v>
      </c>
      <c r="J38" s="3038">
        <v>642</v>
      </c>
      <c r="K38" s="3038">
        <f>74+702+67+49.02</f>
        <v>892.02</v>
      </c>
      <c r="L38" s="3038">
        <f>551+258</f>
        <v>809</v>
      </c>
      <c r="N38" s="3063"/>
    </row>
    <row r="39" spans="1:14" s="3049" customFormat="1" ht="14.1" customHeight="1" x14ac:dyDescent="0.2">
      <c r="A39" s="3476" t="s">
        <v>4688</v>
      </c>
      <c r="B39" s="3477"/>
      <c r="C39" s="3067">
        <v>586.03899999999999</v>
      </c>
      <c r="D39" s="3067">
        <v>1286.931</v>
      </c>
      <c r="E39" s="3038">
        <v>606.26</v>
      </c>
      <c r="F39" s="3038">
        <v>448.1</v>
      </c>
      <c r="G39" s="3038">
        <v>590.49</v>
      </c>
      <c r="H39" s="3038">
        <v>56.49</v>
      </c>
      <c r="I39" s="3038">
        <v>160.1</v>
      </c>
      <c r="J39" s="3038">
        <v>610</v>
      </c>
      <c r="K39" s="3038">
        <f>171+72+3+146+179.22</f>
        <v>571.22</v>
      </c>
      <c r="L39" s="3038">
        <f>413+191</f>
        <v>604</v>
      </c>
      <c r="N39" s="3063"/>
    </row>
    <row r="40" spans="1:14" s="3049" customFormat="1" ht="14.1" customHeight="1" x14ac:dyDescent="0.2">
      <c r="A40" s="3476" t="s">
        <v>4689</v>
      </c>
      <c r="B40" s="3477"/>
      <c r="C40" s="3067">
        <v>71.372000000000298</v>
      </c>
      <c r="D40" s="3067">
        <v>52.448999999999614</v>
      </c>
      <c r="E40" s="3038">
        <v>322.85999999999967</v>
      </c>
      <c r="F40" s="3038">
        <v>165.30000000000018</v>
      </c>
      <c r="G40" s="3038">
        <v>59.259999999999309</v>
      </c>
      <c r="H40" s="3038">
        <v>363.00600000000031</v>
      </c>
      <c r="I40" s="3038">
        <v>202</v>
      </c>
      <c r="J40" s="3038">
        <v>335</v>
      </c>
      <c r="K40" s="3038">
        <f>17+33+20+34.69</f>
        <v>104.69</v>
      </c>
      <c r="L40" s="3038">
        <f>46+35</f>
        <v>81</v>
      </c>
      <c r="N40" s="3063"/>
    </row>
    <row r="41" spans="1:14" s="3049" customFormat="1" ht="14.1" customHeight="1" x14ac:dyDescent="0.2">
      <c r="A41" s="3476" t="s">
        <v>4690</v>
      </c>
      <c r="B41" s="3477"/>
      <c r="C41" s="3067">
        <v>166.51499999999999</v>
      </c>
      <c r="D41" s="3067">
        <v>2379.547</v>
      </c>
      <c r="E41" s="3038">
        <f>E42</f>
        <v>1063.21</v>
      </c>
      <c r="F41" s="3038">
        <f>F42+10.6</f>
        <v>687.1</v>
      </c>
      <c r="G41" s="3038">
        <v>132</v>
      </c>
      <c r="H41" s="3038">
        <v>257.15600000000001</v>
      </c>
      <c r="I41" s="3038">
        <v>787.16699999999992</v>
      </c>
      <c r="J41" s="3038">
        <f>J42+4</f>
        <v>223</v>
      </c>
      <c r="K41" s="3038">
        <f>K42+2+6+61+7+370.1</f>
        <v>2082.02</v>
      </c>
      <c r="L41" s="3038">
        <f>L42+2</f>
        <v>100</v>
      </c>
      <c r="N41" s="3063"/>
    </row>
    <row r="42" spans="1:14" s="3049" customFormat="1" ht="14.1" customHeight="1" x14ac:dyDescent="0.2">
      <c r="A42" s="3476" t="s">
        <v>4691</v>
      </c>
      <c r="B42" s="3477"/>
      <c r="C42" s="3067">
        <v>163.309</v>
      </c>
      <c r="D42" s="3067">
        <v>2379.547</v>
      </c>
      <c r="E42" s="3038">
        <v>1063.21</v>
      </c>
      <c r="F42" s="3038">
        <v>676.5</v>
      </c>
      <c r="G42" s="3038">
        <v>132</v>
      </c>
      <c r="H42" s="3038">
        <v>230.15600000000001</v>
      </c>
      <c r="I42" s="3038">
        <v>387.8</v>
      </c>
      <c r="J42" s="3038">
        <v>219</v>
      </c>
      <c r="K42" s="3038">
        <f>19+5+18+1593.92</f>
        <v>1635.92</v>
      </c>
      <c r="L42" s="3038">
        <f>63+35</f>
        <v>98</v>
      </c>
      <c r="N42" s="3063"/>
    </row>
    <row r="43" spans="1:14" s="3049" customFormat="1" ht="14.1" customHeight="1" x14ac:dyDescent="0.2">
      <c r="A43" s="3065" t="s">
        <v>4692</v>
      </c>
      <c r="B43" s="3066"/>
      <c r="C43" s="3062">
        <f>C44+C48+C51</f>
        <v>1685.3969999999999</v>
      </c>
      <c r="D43" s="3062">
        <f>D44+D48+D51</f>
        <v>3196.002</v>
      </c>
      <c r="E43" s="3062">
        <f>E44+E48+E51</f>
        <v>5679.47</v>
      </c>
      <c r="F43" s="3062">
        <f>F44+F48+F51-1</f>
        <v>2605.5</v>
      </c>
      <c r="G43" s="3062">
        <f>G44+G48+G51</f>
        <v>5996.32</v>
      </c>
      <c r="H43" s="3062">
        <v>5074.576</v>
      </c>
      <c r="I43" s="3062">
        <v>9762.398000000001</v>
      </c>
      <c r="J43" s="3062">
        <f>J44+J48+J51</f>
        <v>6198</v>
      </c>
      <c r="K43" s="3062">
        <f>K44+K48+K51</f>
        <v>3899.9600000000005</v>
      </c>
      <c r="L43" s="3062">
        <f>L44+L48+L51</f>
        <v>2333</v>
      </c>
      <c r="N43" s="3063"/>
    </row>
    <row r="44" spans="1:14" s="3049" customFormat="1" ht="14.1" customHeight="1" x14ac:dyDescent="0.2">
      <c r="A44" s="3476" t="s">
        <v>4693</v>
      </c>
      <c r="B44" s="3477"/>
      <c r="C44" s="3067">
        <f t="shared" ref="C44:G44" si="3">C45+C46+C47</f>
        <v>295.935</v>
      </c>
      <c r="D44" s="3067">
        <f t="shared" si="3"/>
        <v>1123.9349999999999</v>
      </c>
      <c r="E44" s="3067">
        <f t="shared" si="3"/>
        <v>1929.06</v>
      </c>
      <c r="F44" s="3067">
        <f t="shared" si="3"/>
        <v>1056.0999999999999</v>
      </c>
      <c r="G44" s="3067">
        <f t="shared" si="3"/>
        <v>2019.2</v>
      </c>
      <c r="H44" s="3067">
        <v>3523.1930000000002</v>
      </c>
      <c r="I44" s="3067">
        <v>5852.277</v>
      </c>
      <c r="J44" s="3038">
        <f>J45+J46+J47</f>
        <v>2454</v>
      </c>
      <c r="K44" s="3038">
        <f>K45+K46+K47</f>
        <v>1436.7800000000002</v>
      </c>
      <c r="L44" s="3038">
        <f>SUM(L45:L47)</f>
        <v>1465</v>
      </c>
      <c r="N44" s="3063"/>
    </row>
    <row r="45" spans="1:14" s="3049" customFormat="1" ht="14.1" customHeight="1" x14ac:dyDescent="0.2">
      <c r="A45" s="3476" t="s">
        <v>4694</v>
      </c>
      <c r="B45" s="3477"/>
      <c r="C45" s="3067">
        <v>126.605</v>
      </c>
      <c r="D45" s="3067">
        <v>577.41300000000001</v>
      </c>
      <c r="E45" s="3038">
        <v>48.98</v>
      </c>
      <c r="F45" s="3038">
        <v>196.3</v>
      </c>
      <c r="G45" s="3038">
        <v>135.30000000000001</v>
      </c>
      <c r="H45" s="3038">
        <v>246.16</v>
      </c>
      <c r="I45" s="3038">
        <v>145.27699999999999</v>
      </c>
      <c r="J45" s="3038">
        <v>168</v>
      </c>
      <c r="K45" s="3038">
        <f>42+20+6+13.42</f>
        <v>81.42</v>
      </c>
      <c r="L45" s="3038">
        <f>35+35</f>
        <v>70</v>
      </c>
      <c r="N45" s="3063"/>
    </row>
    <row r="46" spans="1:14" s="3049" customFormat="1" ht="14.1" customHeight="1" x14ac:dyDescent="0.2">
      <c r="A46" s="3476" t="s">
        <v>4695</v>
      </c>
      <c r="B46" s="3477"/>
      <c r="C46" s="3067">
        <v>38.293999999999997</v>
      </c>
      <c r="D46" s="3067">
        <v>497.54300000000001</v>
      </c>
      <c r="E46" s="3038">
        <v>1414.77</v>
      </c>
      <c r="F46" s="3038">
        <v>509.7</v>
      </c>
      <c r="G46" s="3038">
        <v>1468.47</v>
      </c>
      <c r="H46" s="3038">
        <v>3003.4850000000001</v>
      </c>
      <c r="I46" s="3038">
        <v>5344</v>
      </c>
      <c r="J46" s="3038">
        <v>1851</v>
      </c>
      <c r="K46" s="3038">
        <f>400+198+306+193.22</f>
        <v>1097.22</v>
      </c>
      <c r="L46" s="3038">
        <f>711+349</f>
        <v>1060</v>
      </c>
      <c r="N46" s="3063"/>
    </row>
    <row r="47" spans="1:14" s="3049" customFormat="1" ht="14.1" customHeight="1" x14ac:dyDescent="0.2">
      <c r="A47" s="3476" t="s">
        <v>4696</v>
      </c>
      <c r="B47" s="3477"/>
      <c r="C47" s="3067">
        <v>131.036</v>
      </c>
      <c r="D47" s="3067">
        <v>48.978999999999928</v>
      </c>
      <c r="E47" s="3067">
        <v>465.30999999999995</v>
      </c>
      <c r="F47" s="3067">
        <v>350.09999999999997</v>
      </c>
      <c r="G47" s="3067">
        <v>415.43000000000006</v>
      </c>
      <c r="H47" s="3067">
        <v>273.548</v>
      </c>
      <c r="I47" s="3067">
        <v>363</v>
      </c>
      <c r="J47" s="3038">
        <v>435</v>
      </c>
      <c r="K47" s="3038">
        <f>72+110+40+36.14</f>
        <v>258.14</v>
      </c>
      <c r="L47" s="3038">
        <f>224+111</f>
        <v>335</v>
      </c>
      <c r="N47" s="3063"/>
    </row>
    <row r="48" spans="1:14" s="3049" customFormat="1" ht="14.1" customHeight="1" x14ac:dyDescent="0.2">
      <c r="A48" s="3476" t="s">
        <v>4697</v>
      </c>
      <c r="B48" s="3477"/>
      <c r="C48" s="3067">
        <v>45.253</v>
      </c>
      <c r="D48" s="3067">
        <v>25.31</v>
      </c>
      <c r="E48" s="3038">
        <f>E49+43.56+52.26+E50</f>
        <v>553.04000000000008</v>
      </c>
      <c r="F48" s="3038">
        <f>F49+85.6+F50</f>
        <v>121.4</v>
      </c>
      <c r="G48" s="3038">
        <v>69</v>
      </c>
      <c r="H48" s="3038">
        <v>177.81</v>
      </c>
      <c r="I48" s="3038">
        <v>9</v>
      </c>
      <c r="J48" s="3038">
        <f>J49+J50</f>
        <v>89</v>
      </c>
      <c r="K48" s="3038">
        <f>K49+K50</f>
        <v>22.96</v>
      </c>
      <c r="L48" s="3038">
        <f>L49+L50</f>
        <v>64</v>
      </c>
      <c r="N48" s="3063"/>
    </row>
    <row r="49" spans="1:16" s="3049" customFormat="1" ht="14.1" customHeight="1" x14ac:dyDescent="0.2">
      <c r="A49" s="3476" t="s">
        <v>4698</v>
      </c>
      <c r="B49" s="3477"/>
      <c r="C49" s="3067" t="s">
        <v>4643</v>
      </c>
      <c r="D49" s="3067" t="s">
        <v>4643</v>
      </c>
      <c r="E49" s="3038">
        <v>448</v>
      </c>
      <c r="F49" s="3038">
        <v>3</v>
      </c>
      <c r="G49" s="3067" t="s">
        <v>4643</v>
      </c>
      <c r="H49" s="3038">
        <v>175.98</v>
      </c>
      <c r="I49" s="3069">
        <v>0</v>
      </c>
      <c r="J49" s="3038">
        <v>1</v>
      </c>
      <c r="K49" s="3069">
        <v>0</v>
      </c>
      <c r="L49" s="3069">
        <v>0</v>
      </c>
      <c r="N49" s="3063"/>
    </row>
    <row r="50" spans="1:16" s="3049" customFormat="1" ht="14.1" customHeight="1" x14ac:dyDescent="0.2">
      <c r="A50" s="3476" t="s">
        <v>4699</v>
      </c>
      <c r="B50" s="3477"/>
      <c r="C50" s="3067">
        <v>12.635999999999999</v>
      </c>
      <c r="D50" s="3067" t="s">
        <v>4643</v>
      </c>
      <c r="E50" s="3038">
        <v>9.2200000000000006</v>
      </c>
      <c r="F50" s="3038">
        <v>32.800000000000004</v>
      </c>
      <c r="G50" s="3038">
        <v>5</v>
      </c>
      <c r="H50" s="3069">
        <v>0</v>
      </c>
      <c r="I50" s="3038">
        <v>9</v>
      </c>
      <c r="J50" s="3038">
        <v>88</v>
      </c>
      <c r="K50" s="3038">
        <f>21+1.96</f>
        <v>22.96</v>
      </c>
      <c r="L50" s="3038">
        <f>46+18</f>
        <v>64</v>
      </c>
      <c r="N50" s="3063"/>
    </row>
    <row r="51" spans="1:16" s="3049" customFormat="1" ht="14.1" customHeight="1" x14ac:dyDescent="0.2">
      <c r="A51" s="3476" t="s">
        <v>4700</v>
      </c>
      <c r="B51" s="3477"/>
      <c r="C51" s="3067">
        <v>1344.2090000000001</v>
      </c>
      <c r="D51" s="3067">
        <v>2046.7570000000001</v>
      </c>
      <c r="E51" s="3038">
        <f>E52+14.36+4.01</f>
        <v>3197.3700000000003</v>
      </c>
      <c r="F51" s="3038">
        <f>F52+2</f>
        <v>1429</v>
      </c>
      <c r="G51" s="3038">
        <v>3908.12</v>
      </c>
      <c r="H51" s="3038">
        <v>1373.5729999999999</v>
      </c>
      <c r="I51" s="3038">
        <v>3901.1210000000001</v>
      </c>
      <c r="J51" s="3038">
        <f>J52+J61</f>
        <v>3655</v>
      </c>
      <c r="K51" s="3038">
        <f>K52+K61</f>
        <v>2440.2200000000003</v>
      </c>
      <c r="L51" s="3038">
        <f>L52+L61</f>
        <v>804</v>
      </c>
      <c r="N51" s="3063"/>
    </row>
    <row r="52" spans="1:16" s="3049" customFormat="1" ht="14.1" customHeight="1" x14ac:dyDescent="0.2">
      <c r="A52" s="3476" t="s">
        <v>4701</v>
      </c>
      <c r="B52" s="3477"/>
      <c r="C52" s="3067">
        <v>1322</v>
      </c>
      <c r="D52" s="3067">
        <v>1971</v>
      </c>
      <c r="E52" s="3067">
        <v>3179</v>
      </c>
      <c r="F52" s="3067">
        <v>1427</v>
      </c>
      <c r="G52" s="3067">
        <v>3905</v>
      </c>
      <c r="H52" s="3067">
        <v>1372.5729999999999</v>
      </c>
      <c r="I52" s="3067">
        <v>3898.598</v>
      </c>
      <c r="J52" s="3067">
        <f>J53+J55</f>
        <v>3520</v>
      </c>
      <c r="K52" s="3067">
        <f>K53+K55</f>
        <v>2422.3700000000003</v>
      </c>
      <c r="L52" s="3038">
        <f>L53+L55</f>
        <v>789</v>
      </c>
      <c r="N52" s="3063"/>
      <c r="P52" s="3070"/>
    </row>
    <row r="53" spans="1:16" s="3049" customFormat="1" ht="14.1" customHeight="1" x14ac:dyDescent="0.2">
      <c r="A53" s="3476" t="s">
        <v>4702</v>
      </c>
      <c r="B53" s="3477"/>
      <c r="C53" s="3067">
        <v>998.47400000000005</v>
      </c>
      <c r="D53" s="3067">
        <v>1284.694</v>
      </c>
      <c r="E53" s="3038">
        <f>E54+90.33</f>
        <v>937.30000000000007</v>
      </c>
      <c r="F53" s="3038">
        <f>F54</f>
        <v>382.1</v>
      </c>
      <c r="G53" s="3038">
        <v>338</v>
      </c>
      <c r="H53" s="3038">
        <v>392.57299999999998</v>
      </c>
      <c r="I53" s="3038">
        <v>360.59800000000001</v>
      </c>
      <c r="J53" s="3038">
        <v>489</v>
      </c>
      <c r="K53" s="3038">
        <f>K54+8+7</f>
        <v>635.89</v>
      </c>
      <c r="L53" s="3038">
        <f>26+L54</f>
        <v>111</v>
      </c>
      <c r="N53" s="3063"/>
    </row>
    <row r="54" spans="1:16" s="3049" customFormat="1" ht="14.1" customHeight="1" x14ac:dyDescent="0.2">
      <c r="A54" s="3476" t="s">
        <v>4703</v>
      </c>
      <c r="B54" s="3477"/>
      <c r="C54" s="3067">
        <v>113.974</v>
      </c>
      <c r="D54" s="3067">
        <v>1284.694</v>
      </c>
      <c r="E54" s="3038">
        <v>846.97</v>
      </c>
      <c r="F54" s="3038">
        <v>382.1</v>
      </c>
      <c r="G54" s="3038">
        <v>338</v>
      </c>
      <c r="H54" s="3038">
        <v>392.57299999999998</v>
      </c>
      <c r="I54" s="3038">
        <v>336</v>
      </c>
      <c r="J54" s="3038">
        <v>488</v>
      </c>
      <c r="K54" s="3038">
        <f>116+331+113+60.89</f>
        <v>620.89</v>
      </c>
      <c r="L54" s="3067">
        <f>66+19</f>
        <v>85</v>
      </c>
      <c r="N54" s="3063"/>
    </row>
    <row r="55" spans="1:16" s="3049" customFormat="1" ht="14.1" customHeight="1" x14ac:dyDescent="0.2">
      <c r="A55" s="3476" t="s">
        <v>4704</v>
      </c>
      <c r="B55" s="3477"/>
      <c r="C55" s="3067">
        <f t="shared" ref="C55:G55" si="4">C56+C58</f>
        <v>246</v>
      </c>
      <c r="D55" s="3067">
        <f t="shared" si="4"/>
        <v>669</v>
      </c>
      <c r="E55" s="3067">
        <f t="shared" si="4"/>
        <v>2126</v>
      </c>
      <c r="F55" s="3067">
        <f t="shared" si="4"/>
        <v>974</v>
      </c>
      <c r="G55" s="3067">
        <f t="shared" si="4"/>
        <v>3518</v>
      </c>
      <c r="H55" s="3067">
        <v>980</v>
      </c>
      <c r="I55" s="3067">
        <v>3538</v>
      </c>
      <c r="J55" s="3067">
        <f>J56+J58</f>
        <v>3031</v>
      </c>
      <c r="K55" s="3067">
        <f>K56+K58</f>
        <v>1786.4800000000002</v>
      </c>
      <c r="L55" s="3038">
        <f>L56+L58</f>
        <v>678</v>
      </c>
      <c r="N55" s="3063"/>
    </row>
    <row r="56" spans="1:16" s="3049" customFormat="1" ht="14.1" customHeight="1" x14ac:dyDescent="0.2">
      <c r="A56" s="3476" t="s">
        <v>4705</v>
      </c>
      <c r="B56" s="3477"/>
      <c r="C56" s="3067">
        <f>50+160</f>
        <v>210</v>
      </c>
      <c r="D56" s="3067">
        <v>610</v>
      </c>
      <c r="E56" s="3071">
        <v>1921</v>
      </c>
      <c r="F56" s="3071">
        <v>320</v>
      </c>
      <c r="G56" s="3071">
        <v>2887</v>
      </c>
      <c r="H56" s="3038">
        <v>521</v>
      </c>
      <c r="I56" s="3038">
        <v>707</v>
      </c>
      <c r="J56" s="3038">
        <v>363</v>
      </c>
      <c r="K56" s="3038">
        <f>K57+27</f>
        <v>171.72</v>
      </c>
      <c r="L56" s="3038">
        <f>L57</f>
        <v>80</v>
      </c>
      <c r="N56" s="3063"/>
    </row>
    <row r="57" spans="1:16" s="3049" customFormat="1" ht="14.1" customHeight="1" x14ac:dyDescent="0.2">
      <c r="A57" s="3068"/>
      <c r="B57" s="3066" t="s">
        <v>4612</v>
      </c>
      <c r="C57" s="3067"/>
      <c r="D57" s="3067">
        <v>610</v>
      </c>
      <c r="E57" s="3038">
        <v>1921</v>
      </c>
      <c r="F57" s="3038">
        <v>320</v>
      </c>
      <c r="G57" s="3038">
        <v>2887</v>
      </c>
      <c r="H57" s="3038">
        <v>513</v>
      </c>
      <c r="I57" s="3038">
        <v>692</v>
      </c>
      <c r="J57" s="3038">
        <v>353</v>
      </c>
      <c r="K57" s="3038">
        <f>67+103+9.75-65+29.97</f>
        <v>144.72</v>
      </c>
      <c r="L57" s="3067">
        <f>51+29</f>
        <v>80</v>
      </c>
      <c r="N57" s="3063"/>
    </row>
    <row r="58" spans="1:16" s="3049" customFormat="1" ht="14.1" customHeight="1" x14ac:dyDescent="0.2">
      <c r="A58" s="3476" t="s">
        <v>4706</v>
      </c>
      <c r="B58" s="3477"/>
      <c r="C58" s="3067">
        <f>6+30</f>
        <v>36</v>
      </c>
      <c r="D58" s="3067">
        <f>18+17+23+1</f>
        <v>59</v>
      </c>
      <c r="E58" s="3038">
        <f>78+8+119</f>
        <v>205</v>
      </c>
      <c r="F58" s="3038">
        <f>348+2+304</f>
        <v>654</v>
      </c>
      <c r="G58" s="3038">
        <f>280+24+2+285+40</f>
        <v>631</v>
      </c>
      <c r="H58" s="3038">
        <v>459</v>
      </c>
      <c r="I58" s="3038">
        <v>2831</v>
      </c>
      <c r="J58" s="3038">
        <f>J59+J60</f>
        <v>2668</v>
      </c>
      <c r="K58" s="3038">
        <f>K59+K60</f>
        <v>1614.7600000000002</v>
      </c>
      <c r="L58" s="3038">
        <f>L59+L60</f>
        <v>598</v>
      </c>
      <c r="N58" s="3063"/>
    </row>
    <row r="59" spans="1:16" s="3049" customFormat="1" ht="14.1" customHeight="1" x14ac:dyDescent="0.2">
      <c r="A59" s="3072"/>
      <c r="B59" s="3066" t="s">
        <v>4707</v>
      </c>
      <c r="C59" s="3067"/>
      <c r="D59" s="3069">
        <v>0</v>
      </c>
      <c r="E59" s="3067">
        <v>78</v>
      </c>
      <c r="F59" s="3067">
        <v>305</v>
      </c>
      <c r="G59" s="3067">
        <v>279</v>
      </c>
      <c r="H59" s="3067">
        <v>245</v>
      </c>
      <c r="I59" s="3067">
        <v>2558</v>
      </c>
      <c r="J59" s="3067">
        <v>1894</v>
      </c>
      <c r="K59" s="3067">
        <f>95+169+5+138.61</f>
        <v>407.61</v>
      </c>
      <c r="L59" s="3038">
        <f>149+53</f>
        <v>202</v>
      </c>
      <c r="N59" s="3063"/>
    </row>
    <row r="60" spans="1:16" s="3049" customFormat="1" ht="14.1" customHeight="1" x14ac:dyDescent="0.2">
      <c r="A60" s="3072"/>
      <c r="B60" s="3066" t="s">
        <v>190</v>
      </c>
      <c r="C60" s="3067"/>
      <c r="D60" s="3067">
        <f t="shared" ref="D60:G60" si="5">D58-D59</f>
        <v>59</v>
      </c>
      <c r="E60" s="3071">
        <f t="shared" si="5"/>
        <v>127</v>
      </c>
      <c r="F60" s="3071">
        <f t="shared" si="5"/>
        <v>349</v>
      </c>
      <c r="G60" s="3071">
        <f t="shared" si="5"/>
        <v>352</v>
      </c>
      <c r="H60" s="3067">
        <v>214</v>
      </c>
      <c r="I60" s="3067">
        <v>273</v>
      </c>
      <c r="J60" s="3067">
        <v>774</v>
      </c>
      <c r="K60" s="3067">
        <f>35+42+102+6.75+6+65+875+11+64.4</f>
        <v>1207.1500000000001</v>
      </c>
      <c r="L60" s="3038">
        <f>101+295</f>
        <v>396</v>
      </c>
      <c r="N60" s="3063"/>
    </row>
    <row r="61" spans="1:16" s="3049" customFormat="1" ht="14.1" customHeight="1" x14ac:dyDescent="0.2">
      <c r="A61" s="3476" t="s">
        <v>4708</v>
      </c>
      <c r="B61" s="3477"/>
      <c r="C61" s="3067"/>
      <c r="D61" s="3069">
        <v>0</v>
      </c>
      <c r="E61" s="3069">
        <v>0</v>
      </c>
      <c r="F61" s="3069">
        <v>0</v>
      </c>
      <c r="G61" s="3038">
        <v>3</v>
      </c>
      <c r="H61" s="3038">
        <v>1</v>
      </c>
      <c r="I61" s="3038">
        <v>2.5</v>
      </c>
      <c r="J61" s="3038">
        <f>91+12+32</f>
        <v>135</v>
      </c>
      <c r="K61" s="3038">
        <f>14+3.85</f>
        <v>17.850000000000001</v>
      </c>
      <c r="L61" s="3067">
        <v>15</v>
      </c>
      <c r="N61" s="3063"/>
    </row>
    <row r="62" spans="1:16" s="3049" customFormat="1" ht="14.1" customHeight="1" x14ac:dyDescent="0.2">
      <c r="A62" s="3478" t="s">
        <v>4709</v>
      </c>
      <c r="B62" s="3479"/>
      <c r="C62" s="3073">
        <v>32.295000000000002</v>
      </c>
      <c r="D62" s="3073">
        <v>1.9690000000000001</v>
      </c>
      <c r="E62" s="3074">
        <v>0</v>
      </c>
      <c r="F62" s="3074">
        <v>0</v>
      </c>
      <c r="G62" s="3074">
        <v>0</v>
      </c>
      <c r="H62" s="3073">
        <v>60</v>
      </c>
      <c r="I62" s="3073">
        <v>37</v>
      </c>
      <c r="J62" s="3073">
        <v>63</v>
      </c>
      <c r="K62" s="3074">
        <v>0</v>
      </c>
      <c r="L62" s="3074">
        <v>0</v>
      </c>
      <c r="N62" s="3063"/>
    </row>
    <row r="63" spans="1:16" s="3075" customFormat="1" ht="27" customHeight="1" x14ac:dyDescent="0.2">
      <c r="A63" s="3480" t="s">
        <v>4710</v>
      </c>
      <c r="B63" s="3480"/>
      <c r="C63" s="3480"/>
      <c r="D63" s="3480"/>
      <c r="E63" s="3480"/>
      <c r="F63" s="3480"/>
      <c r="G63" s="3480"/>
      <c r="H63" s="3480"/>
      <c r="I63" s="3480"/>
      <c r="J63" s="3480"/>
      <c r="K63" s="3480"/>
      <c r="L63" s="3480"/>
    </row>
    <row r="64" spans="1:16" s="3075" customFormat="1" ht="28.5" customHeight="1" x14ac:dyDescent="0.2">
      <c r="A64" s="3481" t="s">
        <v>4711</v>
      </c>
      <c r="B64" s="3481"/>
      <c r="C64" s="3481"/>
      <c r="D64" s="3481"/>
      <c r="E64" s="3481"/>
      <c r="F64" s="3481"/>
      <c r="G64" s="3481"/>
      <c r="H64" s="3481"/>
      <c r="I64" s="3481"/>
      <c r="J64" s="3481"/>
      <c r="K64" s="3481"/>
      <c r="L64" s="3481"/>
    </row>
    <row r="65" spans="1:12" s="3075" customFormat="1" ht="13.5" x14ac:dyDescent="0.2">
      <c r="A65" s="3076" t="s">
        <v>239</v>
      </c>
      <c r="B65" s="3077"/>
      <c r="C65" s="3077"/>
      <c r="D65" s="3077"/>
      <c r="E65" s="3077"/>
      <c r="F65" s="3077"/>
      <c r="H65" s="3474"/>
      <c r="I65" s="3475"/>
      <c r="J65" s="3475"/>
      <c r="K65" s="3078"/>
      <c r="L65" s="3078"/>
    </row>
    <row r="66" spans="1:12" s="3075" customFormat="1" ht="12" x14ac:dyDescent="0.2">
      <c r="A66" s="3076" t="s">
        <v>4712</v>
      </c>
    </row>
    <row r="67" spans="1:12" s="3049" customFormat="1" ht="12" x14ac:dyDescent="0.2">
      <c r="C67" s="3079"/>
      <c r="D67" s="3079"/>
    </row>
    <row r="68" spans="1:12" s="3049" customFormat="1" ht="12" x14ac:dyDescent="0.2">
      <c r="C68" s="3079"/>
      <c r="D68" s="3079"/>
    </row>
    <row r="69" spans="1:12" s="3049" customFormat="1" ht="12" x14ac:dyDescent="0.2">
      <c r="C69" s="3080"/>
      <c r="D69" s="3080"/>
    </row>
    <row r="70" spans="1:12" s="3049" customFormat="1" ht="12" x14ac:dyDescent="0.2">
      <c r="C70" s="3079"/>
      <c r="D70" s="3079"/>
    </row>
    <row r="71" spans="1:12" s="3049" customFormat="1" ht="12" x14ac:dyDescent="0.2">
      <c r="C71" s="3079"/>
      <c r="D71" s="3079"/>
    </row>
    <row r="72" spans="1:12" ht="12" x14ac:dyDescent="0.2">
      <c r="A72" s="3081"/>
      <c r="H72" s="3049"/>
      <c r="I72" s="3049"/>
      <c r="J72" s="3049"/>
      <c r="K72" s="3049"/>
      <c r="L72" s="3049"/>
    </row>
    <row r="73" spans="1:12" x14ac:dyDescent="0.2">
      <c r="A73" s="3081"/>
    </row>
    <row r="74" spans="1:12" x14ac:dyDescent="0.2">
      <c r="A74" s="3081"/>
    </row>
    <row r="75" spans="1:12" x14ac:dyDescent="0.2">
      <c r="A75" s="3081"/>
    </row>
    <row r="76" spans="1:12" x14ac:dyDescent="0.2">
      <c r="A76" s="3081"/>
    </row>
    <row r="77" spans="1:12" x14ac:dyDescent="0.2">
      <c r="A77" s="3081"/>
    </row>
    <row r="78" spans="1:12" x14ac:dyDescent="0.2">
      <c r="A78" s="3081"/>
    </row>
    <row r="79" spans="1:12" x14ac:dyDescent="0.2">
      <c r="A79" s="3081"/>
    </row>
    <row r="80" spans="1:12" x14ac:dyDescent="0.2">
      <c r="A80" s="3081"/>
    </row>
    <row r="81" spans="1:1" x14ac:dyDescent="0.2">
      <c r="A81" s="3081"/>
    </row>
    <row r="82" spans="1:1" x14ac:dyDescent="0.2">
      <c r="A82" s="3081"/>
    </row>
    <row r="83" spans="1:1" x14ac:dyDescent="0.2">
      <c r="A83" s="3081"/>
    </row>
    <row r="84" spans="1:1" x14ac:dyDescent="0.2">
      <c r="A84" s="3081"/>
    </row>
    <row r="85" spans="1:1" x14ac:dyDescent="0.2">
      <c r="A85" s="3081"/>
    </row>
    <row r="86" spans="1:1" x14ac:dyDescent="0.2">
      <c r="A86" s="3081"/>
    </row>
    <row r="87" spans="1:1" x14ac:dyDescent="0.2">
      <c r="A87" s="3081"/>
    </row>
    <row r="88" spans="1:1" x14ac:dyDescent="0.2">
      <c r="A88" s="3081"/>
    </row>
    <row r="89" spans="1:1" x14ac:dyDescent="0.2">
      <c r="A89" s="3081"/>
    </row>
    <row r="90" spans="1:1" x14ac:dyDescent="0.2">
      <c r="A90" s="3081"/>
    </row>
    <row r="91" spans="1:1" x14ac:dyDescent="0.2">
      <c r="A91" s="3081"/>
    </row>
    <row r="92" spans="1:1" x14ac:dyDescent="0.2">
      <c r="A92" s="3081"/>
    </row>
    <row r="93" spans="1:1" x14ac:dyDescent="0.2">
      <c r="A93" s="3081"/>
    </row>
    <row r="94" spans="1:1" x14ac:dyDescent="0.2">
      <c r="A94" s="3081"/>
    </row>
    <row r="95" spans="1:1" x14ac:dyDescent="0.2">
      <c r="A95" s="3081"/>
    </row>
  </sheetData>
  <mergeCells count="43">
    <mergeCell ref="L4:L5"/>
    <mergeCell ref="A4:A5"/>
    <mergeCell ref="B4:B5"/>
    <mergeCell ref="C4:C5"/>
    <mergeCell ref="D4:D5"/>
    <mergeCell ref="E4:E5"/>
    <mergeCell ref="F4:F5"/>
    <mergeCell ref="G4:G5"/>
    <mergeCell ref="H4:H5"/>
    <mergeCell ref="I4:I5"/>
    <mergeCell ref="J4:J5"/>
    <mergeCell ref="K4:K5"/>
    <mergeCell ref="A42:B42"/>
    <mergeCell ref="A22:B22"/>
    <mergeCell ref="A29:B29"/>
    <mergeCell ref="A32:B32"/>
    <mergeCell ref="A33:B33"/>
    <mergeCell ref="A35:B35"/>
    <mergeCell ref="A36:B36"/>
    <mergeCell ref="A37:B37"/>
    <mergeCell ref="A38:B38"/>
    <mergeCell ref="A39:B39"/>
    <mergeCell ref="A40:B40"/>
    <mergeCell ref="A41:B41"/>
    <mergeCell ref="A55:B55"/>
    <mergeCell ref="A44:B44"/>
    <mergeCell ref="A45:B45"/>
    <mergeCell ref="A46:B46"/>
    <mergeCell ref="A47:B47"/>
    <mergeCell ref="A48:B48"/>
    <mergeCell ref="A49:B49"/>
    <mergeCell ref="A50:B50"/>
    <mergeCell ref="A51:B51"/>
    <mergeCell ref="A52:B52"/>
    <mergeCell ref="A53:B53"/>
    <mergeCell ref="A54:B54"/>
    <mergeCell ref="H65:J65"/>
    <mergeCell ref="A56:B56"/>
    <mergeCell ref="A58:B58"/>
    <mergeCell ref="A61:B61"/>
    <mergeCell ref="A62:B62"/>
    <mergeCell ref="A63:L63"/>
    <mergeCell ref="A64:L64"/>
  </mergeCells>
  <printOptions horizontalCentered="1" verticalCentered="1"/>
  <pageMargins left="0.55118110236220497" right="0" top="0.118110236220472" bottom="0" header="0" footer="0"/>
  <pageSetup paperSize="9" scale="7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zoomScaleNormal="100" workbookViewId="0">
      <selection activeCell="S28" sqref="S28"/>
    </sheetView>
  </sheetViews>
  <sheetFormatPr defaultRowHeight="11.25" x14ac:dyDescent="0.2"/>
  <cols>
    <col min="1" max="1" width="14.42578125" style="3157" customWidth="1"/>
    <col min="2" max="2" width="28.140625" style="3157" customWidth="1"/>
    <col min="3" max="6" width="8.7109375" style="3157" hidden="1" customWidth="1"/>
    <col min="7" max="11" width="10.28515625" style="3157" customWidth="1"/>
    <col min="12" max="12" width="11.140625" style="3157" customWidth="1"/>
    <col min="13" max="34" width="9.140625" style="3084"/>
    <col min="35" max="16384" width="9.140625" style="3157"/>
  </cols>
  <sheetData>
    <row r="1" spans="1:34" s="3084" customFormat="1" ht="16.5" x14ac:dyDescent="0.2">
      <c r="A1" s="3082" t="s">
        <v>4713</v>
      </c>
      <c r="B1" s="3083"/>
      <c r="E1" s="3085"/>
      <c r="F1" s="3085"/>
    </row>
    <row r="2" spans="1:34" s="3084" customFormat="1" ht="15.75" customHeight="1" x14ac:dyDescent="0.2">
      <c r="A2" s="3082" t="s">
        <v>4628</v>
      </c>
      <c r="B2" s="3083"/>
      <c r="E2" s="3085"/>
      <c r="F2" s="3085"/>
    </row>
    <row r="3" spans="1:34" s="3084" customFormat="1" ht="14.25" customHeight="1" x14ac:dyDescent="0.2">
      <c r="D3" s="3086"/>
      <c r="E3" s="3086"/>
      <c r="I3" s="3087"/>
      <c r="J3" s="3087"/>
      <c r="K3" s="3087"/>
      <c r="L3" s="3087" t="s">
        <v>73</v>
      </c>
    </row>
    <row r="4" spans="1:34" s="3089" customFormat="1" ht="12" customHeight="1" x14ac:dyDescent="0.2">
      <c r="A4" s="3508" t="s">
        <v>4629</v>
      </c>
      <c r="B4" s="3510" t="s">
        <v>4630</v>
      </c>
      <c r="C4" s="3506" t="s">
        <v>4631</v>
      </c>
      <c r="D4" s="3506" t="s">
        <v>4632</v>
      </c>
      <c r="E4" s="3506" t="s">
        <v>4633</v>
      </c>
      <c r="F4" s="3506" t="s">
        <v>4714</v>
      </c>
      <c r="G4" s="3506" t="s">
        <v>4676</v>
      </c>
      <c r="H4" s="3506" t="s">
        <v>4715</v>
      </c>
      <c r="I4" s="3506" t="s">
        <v>4637</v>
      </c>
      <c r="J4" s="3506" t="s">
        <v>4638</v>
      </c>
      <c r="K4" s="3506" t="s">
        <v>4639</v>
      </c>
      <c r="L4" s="3506" t="s">
        <v>4640</v>
      </c>
      <c r="M4" s="3088"/>
      <c r="N4" s="3088"/>
      <c r="O4" s="3088"/>
      <c r="P4" s="3088"/>
      <c r="Q4" s="3088"/>
      <c r="R4" s="3088"/>
      <c r="S4" s="3088"/>
      <c r="T4" s="3088"/>
      <c r="U4" s="3088"/>
      <c r="V4" s="3088"/>
      <c r="W4" s="3088"/>
      <c r="X4" s="3088"/>
      <c r="Y4" s="3088"/>
      <c r="Z4" s="3088"/>
      <c r="AA4" s="3088"/>
      <c r="AB4" s="3088"/>
      <c r="AC4" s="3088"/>
      <c r="AD4" s="3088"/>
      <c r="AE4" s="3088"/>
      <c r="AF4" s="3088"/>
      <c r="AG4" s="3088"/>
      <c r="AH4" s="3088"/>
    </row>
    <row r="5" spans="1:34" s="3089" customFormat="1" ht="19.5" customHeight="1" x14ac:dyDescent="0.2">
      <c r="A5" s="3509"/>
      <c r="B5" s="3511"/>
      <c r="C5" s="3507"/>
      <c r="D5" s="3507"/>
      <c r="E5" s="3507"/>
      <c r="F5" s="3507"/>
      <c r="G5" s="3507"/>
      <c r="H5" s="3507"/>
      <c r="I5" s="3507"/>
      <c r="J5" s="3507"/>
      <c r="K5" s="3507"/>
      <c r="L5" s="3507"/>
      <c r="M5" s="3088"/>
      <c r="N5" s="3088"/>
      <c r="O5" s="3088"/>
      <c r="P5" s="3088"/>
      <c r="Q5" s="3088"/>
      <c r="R5" s="3088"/>
      <c r="S5" s="3088"/>
      <c r="T5" s="3088"/>
      <c r="U5" s="3088"/>
      <c r="V5" s="3088"/>
      <c r="W5" s="3088"/>
      <c r="X5" s="3088"/>
      <c r="Y5" s="3088"/>
      <c r="Z5" s="3088"/>
      <c r="AA5" s="3088"/>
      <c r="AB5" s="3088"/>
      <c r="AC5" s="3088"/>
      <c r="AD5" s="3088"/>
      <c r="AE5" s="3088"/>
      <c r="AF5" s="3088"/>
      <c r="AG5" s="3088"/>
      <c r="AH5" s="3088"/>
    </row>
    <row r="6" spans="1:34" s="3089" customFormat="1" ht="19.5" customHeight="1" x14ac:dyDescent="0.2">
      <c r="A6" s="3090" t="s">
        <v>4641</v>
      </c>
      <c r="B6" s="3091" t="s">
        <v>4642</v>
      </c>
      <c r="C6" s="3092">
        <v>270.8</v>
      </c>
      <c r="D6" s="3092">
        <v>112.9</v>
      </c>
      <c r="E6" s="3093">
        <f>2.8+6.98</f>
        <v>9.7800000000000011</v>
      </c>
      <c r="F6" s="3093">
        <v>0.90500000000000003</v>
      </c>
      <c r="G6" s="3093">
        <v>10.1</v>
      </c>
      <c r="H6" s="3093">
        <v>535</v>
      </c>
      <c r="I6" s="3093">
        <v>696</v>
      </c>
      <c r="J6" s="3093">
        <v>527</v>
      </c>
      <c r="K6" s="3094">
        <f>45+1</f>
        <v>46</v>
      </c>
      <c r="L6" s="3094">
        <v>10.199999999999999</v>
      </c>
      <c r="M6" s="3088"/>
      <c r="N6" s="3088"/>
      <c r="O6" s="3088"/>
      <c r="P6" s="3088"/>
      <c r="Q6" s="3088"/>
      <c r="R6" s="3088"/>
      <c r="S6" s="3088"/>
      <c r="T6" s="3088"/>
      <c r="U6" s="3088"/>
      <c r="V6" s="3088"/>
      <c r="W6" s="3088"/>
      <c r="X6" s="3088"/>
      <c r="Y6" s="3088"/>
      <c r="Z6" s="3088"/>
      <c r="AA6" s="3088"/>
      <c r="AB6" s="3088"/>
      <c r="AC6" s="3088"/>
      <c r="AD6" s="3088"/>
      <c r="AE6" s="3088"/>
      <c r="AF6" s="3088"/>
      <c r="AG6" s="3088"/>
      <c r="AH6" s="3088"/>
    </row>
    <row r="7" spans="1:34" s="3089" customFormat="1" ht="19.5" customHeight="1" x14ac:dyDescent="0.2">
      <c r="A7" s="3095" t="s">
        <v>4644</v>
      </c>
      <c r="B7" s="3096" t="s">
        <v>284</v>
      </c>
      <c r="C7" s="3097">
        <v>335.3</v>
      </c>
      <c r="D7" s="3097">
        <v>235.3</v>
      </c>
      <c r="E7" s="3098">
        <f>14.3+190.9</f>
        <v>205.20000000000002</v>
      </c>
      <c r="F7" s="3098">
        <v>114.2</v>
      </c>
      <c r="G7" s="3098">
        <v>347.4</v>
      </c>
      <c r="H7" s="3098">
        <v>992</v>
      </c>
      <c r="I7" s="3098">
        <v>449</v>
      </c>
      <c r="J7" s="3098">
        <v>213</v>
      </c>
      <c r="K7" s="3098">
        <f>72+4.2+147.3</f>
        <v>223.5</v>
      </c>
      <c r="L7" s="3098">
        <v>2</v>
      </c>
      <c r="M7" s="3099"/>
      <c r="N7" s="3088"/>
      <c r="O7" s="3088"/>
      <c r="P7" s="3088"/>
      <c r="Q7" s="3088"/>
      <c r="R7" s="3088"/>
      <c r="S7" s="3088"/>
      <c r="T7" s="3088"/>
      <c r="U7" s="3088"/>
      <c r="V7" s="3088"/>
      <c r="W7" s="3088"/>
      <c r="X7" s="3088"/>
      <c r="Y7" s="3088"/>
      <c r="Z7" s="3088"/>
      <c r="AA7" s="3088"/>
      <c r="AB7" s="3088"/>
      <c r="AC7" s="3088"/>
      <c r="AD7" s="3088"/>
      <c r="AE7" s="3088"/>
      <c r="AF7" s="3088"/>
      <c r="AG7" s="3088"/>
      <c r="AH7" s="3088"/>
    </row>
    <row r="8" spans="1:34" s="3089" customFormat="1" ht="24.75" customHeight="1" x14ac:dyDescent="0.2">
      <c r="A8" s="3095" t="s">
        <v>4645</v>
      </c>
      <c r="B8" s="3096" t="s">
        <v>4646</v>
      </c>
      <c r="C8" s="3097" t="s">
        <v>4643</v>
      </c>
      <c r="D8" s="3097" t="s">
        <v>4643</v>
      </c>
      <c r="E8" s="3098" t="s">
        <v>4643</v>
      </c>
      <c r="F8" s="3098" t="s">
        <v>4643</v>
      </c>
      <c r="G8" s="3098">
        <v>15.56</v>
      </c>
      <c r="H8" s="3098" t="s">
        <v>4643</v>
      </c>
      <c r="I8" s="3098" t="s">
        <v>4643</v>
      </c>
      <c r="J8" s="3100" t="s">
        <v>4643</v>
      </c>
      <c r="K8" s="3100" t="s">
        <v>4643</v>
      </c>
      <c r="L8" s="3100" t="s">
        <v>4643</v>
      </c>
      <c r="M8" s="3099"/>
      <c r="N8" s="3088"/>
      <c r="O8" s="3088"/>
      <c r="P8" s="3088"/>
      <c r="Q8" s="3088"/>
      <c r="R8" s="3088"/>
      <c r="S8" s="3088"/>
      <c r="T8" s="3088"/>
      <c r="U8" s="3088"/>
      <c r="V8" s="3088"/>
      <c r="W8" s="3088"/>
      <c r="X8" s="3088"/>
      <c r="Y8" s="3088"/>
      <c r="Z8" s="3088"/>
      <c r="AA8" s="3088"/>
      <c r="AB8" s="3088"/>
      <c r="AC8" s="3088"/>
      <c r="AD8" s="3088"/>
      <c r="AE8" s="3088"/>
      <c r="AF8" s="3088"/>
      <c r="AG8" s="3088"/>
      <c r="AH8" s="3088"/>
    </row>
    <row r="9" spans="1:34" s="3089" customFormat="1" ht="34.5" customHeight="1" x14ac:dyDescent="0.2">
      <c r="A9" s="3095" t="s">
        <v>4716</v>
      </c>
      <c r="B9" s="3096" t="s">
        <v>4717</v>
      </c>
      <c r="C9" s="3097" t="s">
        <v>4643</v>
      </c>
      <c r="D9" s="3097" t="s">
        <v>4643</v>
      </c>
      <c r="E9" s="3098" t="s">
        <v>4643</v>
      </c>
      <c r="F9" s="3098" t="s">
        <v>4643</v>
      </c>
      <c r="G9" s="3098" t="s">
        <v>4643</v>
      </c>
      <c r="H9" s="3098">
        <v>1</v>
      </c>
      <c r="I9" s="3098">
        <v>6</v>
      </c>
      <c r="J9" s="3098" t="s">
        <v>4643</v>
      </c>
      <c r="K9" s="3100" t="s">
        <v>4643</v>
      </c>
      <c r="L9" s="3100">
        <v>11.7</v>
      </c>
      <c r="M9" s="3099"/>
      <c r="N9" s="3088"/>
      <c r="O9" s="3088"/>
      <c r="P9" s="3088"/>
      <c r="Q9" s="3088"/>
      <c r="R9" s="3088"/>
      <c r="S9" s="3088"/>
      <c r="T9" s="3088"/>
      <c r="U9" s="3088"/>
      <c r="V9" s="3088"/>
      <c r="W9" s="3088"/>
      <c r="X9" s="3088"/>
      <c r="Y9" s="3088"/>
      <c r="Z9" s="3088"/>
      <c r="AA9" s="3088"/>
      <c r="AB9" s="3088"/>
      <c r="AC9" s="3088"/>
      <c r="AD9" s="3088"/>
      <c r="AE9" s="3088"/>
      <c r="AF9" s="3088"/>
      <c r="AG9" s="3088"/>
      <c r="AH9" s="3088"/>
    </row>
    <row r="10" spans="1:34" s="3089" customFormat="1" ht="19.5" customHeight="1" x14ac:dyDescent="0.2">
      <c r="A10" s="3095" t="s">
        <v>4647</v>
      </c>
      <c r="B10" s="3096" t="s">
        <v>312</v>
      </c>
      <c r="C10" s="3092">
        <v>26</v>
      </c>
      <c r="D10" s="3092">
        <v>29.968</v>
      </c>
      <c r="E10" s="3093">
        <v>2.4710000000000001</v>
      </c>
      <c r="F10" s="3093">
        <v>3.8</v>
      </c>
      <c r="G10" s="3098" t="s">
        <v>4643</v>
      </c>
      <c r="H10" s="3098">
        <v>308</v>
      </c>
      <c r="I10" s="3098">
        <v>114</v>
      </c>
      <c r="J10" s="3098">
        <v>425</v>
      </c>
      <c r="K10" s="3100" t="s">
        <v>4643</v>
      </c>
      <c r="L10" s="3100" t="s">
        <v>4643</v>
      </c>
      <c r="M10" s="3099"/>
      <c r="N10" s="3088"/>
      <c r="O10" s="3088"/>
      <c r="P10" s="3088"/>
      <c r="Q10" s="3088"/>
      <c r="R10" s="3088"/>
      <c r="S10" s="3088"/>
      <c r="T10" s="3088"/>
      <c r="U10" s="3088"/>
      <c r="V10" s="3088"/>
      <c r="W10" s="3088"/>
      <c r="X10" s="3088"/>
      <c r="Y10" s="3088"/>
      <c r="Z10" s="3088"/>
      <c r="AA10" s="3088"/>
      <c r="AB10" s="3088"/>
      <c r="AC10" s="3088"/>
      <c r="AD10" s="3088"/>
      <c r="AE10" s="3088"/>
      <c r="AF10" s="3088"/>
      <c r="AG10" s="3088"/>
      <c r="AH10" s="3088"/>
    </row>
    <row r="11" spans="1:34" s="3089" customFormat="1" ht="39.75" customHeight="1" x14ac:dyDescent="0.2">
      <c r="A11" s="3095" t="s">
        <v>4648</v>
      </c>
      <c r="B11" s="3096" t="s">
        <v>4649</v>
      </c>
      <c r="C11" s="3092">
        <v>5.508</v>
      </c>
      <c r="D11" s="3092">
        <v>17.231999999999999</v>
      </c>
      <c r="E11" s="3093">
        <f>3.388+18.834</f>
        <v>22.222000000000001</v>
      </c>
      <c r="F11" s="3093">
        <v>33.9</v>
      </c>
      <c r="G11" s="3093">
        <v>0.89</v>
      </c>
      <c r="H11" s="3093">
        <v>78</v>
      </c>
      <c r="I11" s="3093">
        <v>90</v>
      </c>
      <c r="J11" s="3093">
        <v>108</v>
      </c>
      <c r="K11" s="3093">
        <f>44.6+15.3+0.8</f>
        <v>60.7</v>
      </c>
      <c r="L11" s="3093">
        <f>52+41.9</f>
        <v>93.9</v>
      </c>
      <c r="M11" s="3099"/>
      <c r="N11" s="3088"/>
      <c r="O11" s="3088"/>
      <c r="P11" s="3088"/>
      <c r="Q11" s="3088"/>
      <c r="R11" s="3088"/>
      <c r="S11" s="3088"/>
      <c r="T11" s="3088"/>
      <c r="U11" s="3088"/>
      <c r="V11" s="3088"/>
      <c r="W11" s="3088"/>
      <c r="X11" s="3088"/>
      <c r="Y11" s="3088"/>
      <c r="Z11" s="3088"/>
      <c r="AA11" s="3088"/>
      <c r="AB11" s="3088"/>
      <c r="AC11" s="3088"/>
      <c r="AD11" s="3088"/>
      <c r="AE11" s="3088"/>
      <c r="AF11" s="3088"/>
      <c r="AG11" s="3088"/>
      <c r="AH11" s="3088"/>
    </row>
    <row r="12" spans="1:34" s="3089" customFormat="1" ht="19.5" customHeight="1" x14ac:dyDescent="0.2">
      <c r="A12" s="3095" t="s">
        <v>4650</v>
      </c>
      <c r="B12" s="3096" t="s">
        <v>4651</v>
      </c>
      <c r="C12" s="3092">
        <v>1.7749999999999999</v>
      </c>
      <c r="D12" s="3092">
        <v>5.2679999999999998</v>
      </c>
      <c r="E12" s="3093">
        <v>12.94</v>
      </c>
      <c r="F12" s="3093">
        <v>9</v>
      </c>
      <c r="G12" s="3098" t="s">
        <v>4643</v>
      </c>
      <c r="H12" s="3098">
        <v>33</v>
      </c>
      <c r="I12" s="3098">
        <v>167</v>
      </c>
      <c r="J12" s="3098">
        <v>71</v>
      </c>
      <c r="K12" s="3098">
        <f>0.755+8.6+10.2</f>
        <v>19.555</v>
      </c>
      <c r="L12" s="3098">
        <v>2</v>
      </c>
      <c r="M12" s="3099"/>
      <c r="N12" s="3088"/>
      <c r="O12" s="3088"/>
      <c r="P12" s="3088"/>
      <c r="Q12" s="3088"/>
      <c r="R12" s="3088"/>
      <c r="S12" s="3088"/>
      <c r="T12" s="3088"/>
      <c r="U12" s="3088"/>
      <c r="V12" s="3088"/>
      <c r="W12" s="3088"/>
      <c r="X12" s="3088"/>
      <c r="Y12" s="3088"/>
      <c r="Z12" s="3088"/>
      <c r="AA12" s="3088"/>
      <c r="AB12" s="3088"/>
      <c r="AC12" s="3088"/>
      <c r="AD12" s="3088"/>
      <c r="AE12" s="3088"/>
      <c r="AF12" s="3088"/>
      <c r="AG12" s="3088"/>
      <c r="AH12" s="3088"/>
    </row>
    <row r="13" spans="1:34" s="3089" customFormat="1" ht="23.25" customHeight="1" x14ac:dyDescent="0.2">
      <c r="A13" s="3095" t="s">
        <v>4652</v>
      </c>
      <c r="B13" s="3096" t="s">
        <v>4653</v>
      </c>
      <c r="C13" s="3092">
        <v>391</v>
      </c>
      <c r="D13" s="3092">
        <v>1068.3</v>
      </c>
      <c r="E13" s="3093">
        <f>32.489+887.884</f>
        <v>920.37300000000005</v>
      </c>
      <c r="F13" s="3093">
        <v>711.4</v>
      </c>
      <c r="G13" s="3093">
        <v>1002</v>
      </c>
      <c r="H13" s="3098">
        <v>1850</v>
      </c>
      <c r="I13" s="3098">
        <v>1017</v>
      </c>
      <c r="J13" s="3098">
        <v>3044</v>
      </c>
      <c r="K13" s="3098">
        <f>410+24.9+5.2</f>
        <v>440.09999999999997</v>
      </c>
      <c r="L13" s="3100">
        <f>9.4+152.2</f>
        <v>161.6</v>
      </c>
      <c r="M13" s="3099"/>
      <c r="N13" s="3088"/>
      <c r="O13" s="3088"/>
      <c r="P13" s="3088"/>
      <c r="Q13" s="3088"/>
      <c r="R13" s="3088"/>
      <c r="S13" s="3088"/>
      <c r="T13" s="3088"/>
      <c r="U13" s="3088"/>
      <c r="V13" s="3088"/>
      <c r="W13" s="3088"/>
      <c r="X13" s="3088"/>
      <c r="Y13" s="3088"/>
      <c r="Z13" s="3088"/>
      <c r="AA13" s="3088"/>
      <c r="AB13" s="3088"/>
      <c r="AC13" s="3088"/>
      <c r="AD13" s="3088"/>
      <c r="AE13" s="3088"/>
      <c r="AF13" s="3088"/>
      <c r="AG13" s="3088"/>
      <c r="AH13" s="3088"/>
    </row>
    <row r="14" spans="1:34" s="3089" customFormat="1" ht="22.5" customHeight="1" x14ac:dyDescent="0.2">
      <c r="A14" s="3095" t="s">
        <v>4654</v>
      </c>
      <c r="B14" s="3096" t="s">
        <v>4655</v>
      </c>
      <c r="C14" s="3092" t="s">
        <v>4643</v>
      </c>
      <c r="D14" s="3092" t="s">
        <v>4643</v>
      </c>
      <c r="E14" s="3093">
        <v>0.48199999999999998</v>
      </c>
      <c r="F14" s="3098" t="s">
        <v>4643</v>
      </c>
      <c r="G14" s="3098" t="s">
        <v>4643</v>
      </c>
      <c r="H14" s="3098">
        <v>195</v>
      </c>
      <c r="I14" s="3098">
        <v>19</v>
      </c>
      <c r="J14" s="3098">
        <v>181</v>
      </c>
      <c r="K14" s="3100">
        <f>13.4+1151.378</f>
        <v>1164.778</v>
      </c>
      <c r="L14" s="3100" t="s">
        <v>4643</v>
      </c>
      <c r="M14" s="3099"/>
      <c r="N14" s="3088"/>
      <c r="O14" s="3088"/>
      <c r="P14" s="3088"/>
      <c r="Q14" s="3088"/>
      <c r="R14" s="3088"/>
      <c r="S14" s="3088"/>
      <c r="T14" s="3088"/>
      <c r="U14" s="3088"/>
      <c r="V14" s="3088"/>
      <c r="W14" s="3088"/>
      <c r="X14" s="3088"/>
      <c r="Y14" s="3088"/>
      <c r="Z14" s="3088"/>
      <c r="AA14" s="3088"/>
      <c r="AB14" s="3088"/>
      <c r="AC14" s="3088"/>
      <c r="AD14" s="3088"/>
      <c r="AE14" s="3088"/>
      <c r="AF14" s="3088"/>
      <c r="AG14" s="3088"/>
      <c r="AH14" s="3088"/>
    </row>
    <row r="15" spans="1:34" s="3089" customFormat="1" ht="22.5" customHeight="1" x14ac:dyDescent="0.2">
      <c r="A15" s="3095" t="s">
        <v>4656</v>
      </c>
      <c r="B15" s="3096" t="s">
        <v>4718</v>
      </c>
      <c r="C15" s="3092">
        <v>12.14</v>
      </c>
      <c r="D15" s="3092">
        <v>113</v>
      </c>
      <c r="E15" s="3093">
        <v>209</v>
      </c>
      <c r="F15" s="3093">
        <v>209.2</v>
      </c>
      <c r="G15" s="3098">
        <v>1063</v>
      </c>
      <c r="H15" s="3098">
        <v>1253</v>
      </c>
      <c r="I15" s="3098">
        <v>2381</v>
      </c>
      <c r="J15" s="3098">
        <v>618</v>
      </c>
      <c r="K15" s="3098">
        <f>307+101.1+170.794</f>
        <v>578.89400000000001</v>
      </c>
      <c r="L15" s="3098">
        <f>15+704.6+411.2</f>
        <v>1130.8</v>
      </c>
      <c r="M15" s="3099"/>
      <c r="N15" s="3088"/>
      <c r="O15" s="3088"/>
      <c r="P15" s="3088"/>
      <c r="Q15" s="3088"/>
      <c r="R15" s="3088"/>
      <c r="S15" s="3088"/>
      <c r="T15" s="3088"/>
      <c r="U15" s="3088"/>
      <c r="V15" s="3088"/>
      <c r="W15" s="3088"/>
      <c r="X15" s="3088"/>
      <c r="Y15" s="3088"/>
      <c r="Z15" s="3088"/>
      <c r="AA15" s="3088"/>
      <c r="AB15" s="3088"/>
      <c r="AC15" s="3088"/>
      <c r="AD15" s="3088"/>
      <c r="AE15" s="3088"/>
      <c r="AF15" s="3088"/>
      <c r="AG15" s="3088"/>
      <c r="AH15" s="3088"/>
    </row>
    <row r="16" spans="1:34" s="3102" customFormat="1" ht="24" customHeight="1" x14ac:dyDescent="0.2">
      <c r="A16" s="3095" t="s">
        <v>4658</v>
      </c>
      <c r="B16" s="3096" t="s">
        <v>4659</v>
      </c>
      <c r="C16" s="3097">
        <v>90.756</v>
      </c>
      <c r="D16" s="3097">
        <v>245.41200000000001</v>
      </c>
      <c r="E16" s="3098">
        <v>213</v>
      </c>
      <c r="F16" s="3098">
        <v>329.8</v>
      </c>
      <c r="G16" s="3098">
        <v>124</v>
      </c>
      <c r="H16" s="3098">
        <v>164</v>
      </c>
      <c r="I16" s="3098">
        <v>253.6</v>
      </c>
      <c r="J16" s="3098">
        <v>862</v>
      </c>
      <c r="K16" s="3098">
        <f>241+75.6+92.296</f>
        <v>408.89600000000002</v>
      </c>
      <c r="L16" s="3098">
        <f>45+68+111.1</f>
        <v>224.1</v>
      </c>
      <c r="M16" s="3099"/>
      <c r="N16" s="3101"/>
      <c r="O16" s="3101"/>
      <c r="P16" s="3101"/>
      <c r="Q16" s="3101"/>
      <c r="R16" s="3101"/>
      <c r="S16" s="3101"/>
      <c r="T16" s="3101"/>
      <c r="U16" s="3101"/>
      <c r="V16" s="3101"/>
      <c r="W16" s="3101"/>
      <c r="X16" s="3101"/>
      <c r="Y16" s="3101"/>
      <c r="Z16" s="3101"/>
      <c r="AA16" s="3101"/>
      <c r="AB16" s="3101"/>
      <c r="AC16" s="3101"/>
      <c r="AD16" s="3101"/>
      <c r="AE16" s="3101"/>
      <c r="AF16" s="3101"/>
      <c r="AG16" s="3101"/>
      <c r="AH16" s="3101"/>
    </row>
    <row r="17" spans="1:34" s="3102" customFormat="1" ht="24" customHeight="1" x14ac:dyDescent="0.2">
      <c r="A17" s="3095" t="s">
        <v>4661</v>
      </c>
      <c r="B17" s="3096" t="s">
        <v>4662</v>
      </c>
      <c r="C17" s="3097" t="s">
        <v>4643</v>
      </c>
      <c r="D17" s="3097" t="s">
        <v>4643</v>
      </c>
      <c r="E17" s="3098" t="s">
        <v>4643</v>
      </c>
      <c r="F17" s="3098" t="s">
        <v>4643</v>
      </c>
      <c r="G17" s="3098">
        <v>71.3</v>
      </c>
      <c r="H17" s="3093">
        <v>34</v>
      </c>
      <c r="I17" s="3093">
        <v>28</v>
      </c>
      <c r="J17" s="3093">
        <v>152</v>
      </c>
      <c r="K17" s="3093">
        <v>5.04</v>
      </c>
      <c r="L17" s="3100" t="s">
        <v>4643</v>
      </c>
      <c r="M17" s="3099"/>
      <c r="N17" s="3101"/>
      <c r="O17" s="3101"/>
      <c r="P17" s="3101"/>
      <c r="Q17" s="3101"/>
      <c r="R17" s="3101"/>
      <c r="S17" s="3101"/>
      <c r="T17" s="3101"/>
      <c r="U17" s="3101"/>
      <c r="V17" s="3101"/>
      <c r="W17" s="3101"/>
      <c r="X17" s="3101"/>
      <c r="Y17" s="3101"/>
      <c r="Z17" s="3101"/>
      <c r="AA17" s="3101"/>
      <c r="AB17" s="3101"/>
      <c r="AC17" s="3101"/>
      <c r="AD17" s="3101"/>
      <c r="AE17" s="3101"/>
      <c r="AF17" s="3101"/>
      <c r="AG17" s="3101"/>
      <c r="AH17" s="3101"/>
    </row>
    <row r="18" spans="1:34" s="3102" customFormat="1" ht="24" customHeight="1" x14ac:dyDescent="0.2">
      <c r="A18" s="3095" t="s">
        <v>4663</v>
      </c>
      <c r="B18" s="3096" t="s">
        <v>4664</v>
      </c>
      <c r="C18" s="3097" t="s">
        <v>4643</v>
      </c>
      <c r="D18" s="3097" t="s">
        <v>4643</v>
      </c>
      <c r="E18" s="3098" t="s">
        <v>4643</v>
      </c>
      <c r="F18" s="3098" t="s">
        <v>4643</v>
      </c>
      <c r="G18" s="3098" t="s">
        <v>4643</v>
      </c>
      <c r="H18" s="3098">
        <v>8</v>
      </c>
      <c r="I18" s="3098">
        <v>11</v>
      </c>
      <c r="J18" s="3098">
        <f>43+1.5</f>
        <v>44.5</v>
      </c>
      <c r="K18" s="3100" t="s">
        <v>4643</v>
      </c>
      <c r="L18" s="3100">
        <v>16</v>
      </c>
      <c r="M18" s="3099"/>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row>
    <row r="19" spans="1:34" s="3102" customFormat="1" ht="24" customHeight="1" x14ac:dyDescent="0.2">
      <c r="A19" s="3095" t="s">
        <v>4665</v>
      </c>
      <c r="B19" s="3096" t="s">
        <v>365</v>
      </c>
      <c r="C19" s="3097" t="s">
        <v>4643</v>
      </c>
      <c r="D19" s="3097" t="s">
        <v>4643</v>
      </c>
      <c r="E19" s="3098">
        <v>18.298999999999999</v>
      </c>
      <c r="F19" s="3098" t="s">
        <v>4643</v>
      </c>
      <c r="G19" s="3098" t="s">
        <v>4643</v>
      </c>
      <c r="H19" s="3098">
        <v>575</v>
      </c>
      <c r="I19" s="3098" t="s">
        <v>4643</v>
      </c>
      <c r="J19" s="3098">
        <v>13</v>
      </c>
      <c r="K19" s="3100" t="s">
        <v>4643</v>
      </c>
      <c r="L19" s="3100" t="s">
        <v>4643</v>
      </c>
      <c r="M19" s="3099"/>
      <c r="N19" s="3101"/>
      <c r="O19" s="3101"/>
      <c r="P19" s="3101"/>
      <c r="Q19" s="3101"/>
      <c r="R19" s="3101"/>
      <c r="S19" s="3101"/>
      <c r="T19" s="3101"/>
      <c r="U19" s="3101"/>
      <c r="V19" s="3101"/>
      <c r="W19" s="3101"/>
      <c r="X19" s="3101"/>
      <c r="Y19" s="3101"/>
      <c r="Z19" s="3101"/>
      <c r="AA19" s="3101"/>
      <c r="AB19" s="3101"/>
      <c r="AC19" s="3101"/>
      <c r="AD19" s="3101"/>
      <c r="AE19" s="3101"/>
      <c r="AF19" s="3101"/>
      <c r="AG19" s="3101"/>
      <c r="AH19" s="3101"/>
    </row>
    <row r="20" spans="1:34" s="3102" customFormat="1" ht="24" customHeight="1" x14ac:dyDescent="0.2">
      <c r="A20" s="3095" t="s">
        <v>4666</v>
      </c>
      <c r="B20" s="3096" t="s">
        <v>4667</v>
      </c>
      <c r="C20" s="3097" t="s">
        <v>4643</v>
      </c>
      <c r="D20" s="3097" t="s">
        <v>4643</v>
      </c>
      <c r="E20" s="3098" t="s">
        <v>4643</v>
      </c>
      <c r="F20" s="3098" t="s">
        <v>4643</v>
      </c>
      <c r="G20" s="3098">
        <v>1374.999</v>
      </c>
      <c r="H20" s="3098">
        <v>72</v>
      </c>
      <c r="I20" s="3098">
        <v>274</v>
      </c>
      <c r="J20" s="3098">
        <v>40</v>
      </c>
      <c r="K20" s="3100">
        <v>531</v>
      </c>
      <c r="L20" s="3100" t="s">
        <v>4643</v>
      </c>
      <c r="M20" s="3099"/>
      <c r="N20" s="3101"/>
      <c r="O20" s="3101"/>
      <c r="P20" s="3101"/>
      <c r="Q20" s="3101"/>
      <c r="R20" s="3101"/>
      <c r="S20" s="3101"/>
      <c r="T20" s="3101"/>
      <c r="U20" s="3101"/>
      <c r="V20" s="3101"/>
      <c r="W20" s="3101"/>
      <c r="X20" s="3101"/>
      <c r="Y20" s="3101"/>
      <c r="Z20" s="3101"/>
      <c r="AA20" s="3101"/>
      <c r="AB20" s="3101"/>
      <c r="AC20" s="3101"/>
      <c r="AD20" s="3101"/>
      <c r="AE20" s="3101"/>
      <c r="AF20" s="3101"/>
      <c r="AG20" s="3101"/>
      <c r="AH20" s="3101"/>
    </row>
    <row r="21" spans="1:34" s="3102" customFormat="1" ht="24" customHeight="1" x14ac:dyDescent="0.2">
      <c r="A21" s="3095" t="s">
        <v>4668</v>
      </c>
      <c r="B21" s="3096" t="s">
        <v>4669</v>
      </c>
      <c r="C21" s="3097" t="s">
        <v>4643</v>
      </c>
      <c r="D21" s="3097" t="s">
        <v>4643</v>
      </c>
      <c r="E21" s="3098" t="s">
        <v>4643</v>
      </c>
      <c r="F21" s="3098" t="s">
        <v>4643</v>
      </c>
      <c r="G21" s="3098" t="s">
        <v>4643</v>
      </c>
      <c r="H21" s="3098" t="s">
        <v>4643</v>
      </c>
      <c r="I21" s="3098">
        <v>42</v>
      </c>
      <c r="J21" s="3098">
        <f>7+4.6</f>
        <v>11.6</v>
      </c>
      <c r="K21" s="3100" t="s">
        <v>4643</v>
      </c>
      <c r="L21" s="3100" t="s">
        <v>4643</v>
      </c>
      <c r="M21" s="3099"/>
      <c r="N21" s="3101"/>
      <c r="O21" s="3101"/>
      <c r="P21" s="3101"/>
      <c r="Q21" s="3101"/>
      <c r="R21" s="3101"/>
      <c r="S21" s="3101"/>
      <c r="T21" s="3101"/>
      <c r="U21" s="3101"/>
      <c r="V21" s="3101"/>
      <c r="W21" s="3101"/>
      <c r="X21" s="3101"/>
      <c r="Y21" s="3101"/>
      <c r="Z21" s="3101"/>
      <c r="AA21" s="3101"/>
      <c r="AB21" s="3101"/>
      <c r="AC21" s="3101"/>
      <c r="AD21" s="3101"/>
      <c r="AE21" s="3101"/>
      <c r="AF21" s="3101"/>
      <c r="AG21" s="3101"/>
      <c r="AH21" s="3101"/>
    </row>
    <row r="22" spans="1:34" s="3102" customFormat="1" ht="24" customHeight="1" x14ac:dyDescent="0.2">
      <c r="A22" s="3095" t="s">
        <v>4719</v>
      </c>
      <c r="B22" s="3096" t="s">
        <v>4720</v>
      </c>
      <c r="C22" s="3097" t="s">
        <v>4643</v>
      </c>
      <c r="D22" s="3097" t="s">
        <v>4643</v>
      </c>
      <c r="E22" s="3098" t="s">
        <v>4643</v>
      </c>
      <c r="F22" s="3098" t="s">
        <v>4643</v>
      </c>
      <c r="G22" s="3098" t="s">
        <v>4643</v>
      </c>
      <c r="H22" s="3098">
        <v>3</v>
      </c>
      <c r="I22" s="3098" t="s">
        <v>4643</v>
      </c>
      <c r="J22" s="3098">
        <v>19</v>
      </c>
      <c r="K22" s="3098">
        <v>2</v>
      </c>
      <c r="L22" s="3100">
        <v>1.1000000000000001</v>
      </c>
      <c r="M22" s="3099"/>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row>
    <row r="23" spans="1:34" s="3102" customFormat="1" ht="16.5" hidden="1" customHeight="1" x14ac:dyDescent="0.2">
      <c r="A23" s="3095"/>
      <c r="B23" s="3096"/>
      <c r="C23" s="3097"/>
      <c r="D23" s="3097"/>
      <c r="E23" s="3098"/>
      <c r="F23" s="3098"/>
      <c r="G23" s="3098"/>
      <c r="H23" s="3098"/>
      <c r="I23" s="3098"/>
      <c r="J23" s="3098"/>
      <c r="K23" s="3098"/>
      <c r="L23" s="3098"/>
      <c r="M23" s="3101"/>
      <c r="N23" s="3101"/>
      <c r="O23" s="3101"/>
      <c r="P23" s="3101"/>
      <c r="Q23" s="3101"/>
      <c r="R23" s="3101"/>
      <c r="S23" s="3101"/>
      <c r="T23" s="3101"/>
      <c r="U23" s="3101"/>
      <c r="V23" s="3101"/>
      <c r="W23" s="3101"/>
      <c r="X23" s="3101"/>
      <c r="Y23" s="3101"/>
      <c r="Z23" s="3101"/>
      <c r="AA23" s="3101"/>
      <c r="AB23" s="3101"/>
      <c r="AC23" s="3101"/>
      <c r="AD23" s="3101"/>
      <c r="AE23" s="3101"/>
      <c r="AF23" s="3101"/>
      <c r="AG23" s="3101"/>
      <c r="AH23" s="3101"/>
    </row>
    <row r="24" spans="1:34" s="3105" customFormat="1" ht="18" customHeight="1" x14ac:dyDescent="0.2">
      <c r="A24" s="3494" t="s">
        <v>4016</v>
      </c>
      <c r="B24" s="3495"/>
      <c r="C24" s="3103">
        <f>SUM(C6:C22)+1</f>
        <v>1134.2790000000002</v>
      </c>
      <c r="D24" s="3103">
        <f>SUM(D6:D22)-1</f>
        <v>1826.38</v>
      </c>
      <c r="E24" s="3104">
        <f>SUM(E6:E22)-2</f>
        <v>1611.7670000000001</v>
      </c>
      <c r="F24" s="3104">
        <f>SUM(F6:F22)</f>
        <v>1412.2049999999999</v>
      </c>
      <c r="G24" s="3104">
        <f>SUM(G6:G22)</f>
        <v>4009.2489999999998</v>
      </c>
      <c r="H24" s="3104">
        <f>SUM(H6:H22)</f>
        <v>6101</v>
      </c>
      <c r="I24" s="3104">
        <f>SUM(I6:I22)+1</f>
        <v>5548.6</v>
      </c>
      <c r="J24" s="3104">
        <f>SUM(J6:J22)</f>
        <v>6329.1</v>
      </c>
      <c r="K24" s="3104">
        <f>SUM(K6:K22)</f>
        <v>3480.4630000000002</v>
      </c>
      <c r="L24" s="3104">
        <f>SUM(L6:L22)+1</f>
        <v>1654.3999999999996</v>
      </c>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row>
    <row r="25" spans="1:34" s="3084" customFormat="1" ht="36" customHeight="1" x14ac:dyDescent="0.2">
      <c r="A25" s="3496" t="s">
        <v>4721</v>
      </c>
      <c r="B25" s="3496"/>
      <c r="C25" s="3496"/>
      <c r="D25" s="3496"/>
      <c r="E25" s="3496"/>
      <c r="F25" s="3496"/>
      <c r="G25" s="3496"/>
      <c r="H25" s="3496"/>
      <c r="I25" s="3496"/>
      <c r="J25" s="3496"/>
      <c r="K25" s="3496"/>
      <c r="L25" s="3497"/>
    </row>
    <row r="26" spans="1:34" s="3084" customFormat="1" ht="9" customHeight="1" x14ac:dyDescent="0.2">
      <c r="A26" s="3106"/>
      <c r="B26" s="3106"/>
      <c r="C26" s="3106"/>
      <c r="D26" s="3106"/>
      <c r="E26" s="3106"/>
      <c r="F26" s="3106"/>
      <c r="G26" s="3106"/>
      <c r="H26" s="3106"/>
      <c r="I26" s="3106"/>
      <c r="J26" s="3106"/>
      <c r="K26" s="3106"/>
      <c r="L26" s="3106"/>
    </row>
    <row r="27" spans="1:34" s="3084" customFormat="1" ht="16.5" x14ac:dyDescent="0.2">
      <c r="A27" s="3082" t="s">
        <v>4722</v>
      </c>
      <c r="B27" s="3107"/>
      <c r="E27" s="3108"/>
      <c r="F27" s="3108"/>
      <c r="N27" s="3109"/>
    </row>
    <row r="28" spans="1:34" s="3084" customFormat="1" ht="16.5" x14ac:dyDescent="0.2">
      <c r="A28" s="3082" t="s">
        <v>4673</v>
      </c>
      <c r="B28" s="3107"/>
      <c r="E28" s="3108"/>
      <c r="F28" s="3108"/>
      <c r="N28" s="3109"/>
    </row>
    <row r="29" spans="1:34" s="3110" customFormat="1" ht="12" customHeight="1" x14ac:dyDescent="0.2">
      <c r="A29" s="3084"/>
      <c r="B29" s="3084"/>
      <c r="C29" s="3084"/>
      <c r="D29" s="3086"/>
      <c r="E29" s="3086"/>
      <c r="F29" s="3084"/>
      <c r="I29" s="3087"/>
      <c r="J29" s="3087"/>
      <c r="K29" s="3087"/>
      <c r="L29" s="3087" t="s">
        <v>73</v>
      </c>
    </row>
    <row r="30" spans="1:34" s="3115" customFormat="1" ht="27.75" customHeight="1" x14ac:dyDescent="0.2">
      <c r="A30" s="3498" t="s">
        <v>4723</v>
      </c>
      <c r="B30" s="3499"/>
      <c r="C30" s="3111" t="s">
        <v>4631</v>
      </c>
      <c r="D30" s="3112" t="s">
        <v>4632</v>
      </c>
      <c r="E30" s="3113" t="s">
        <v>4633</v>
      </c>
      <c r="F30" s="3113" t="s">
        <v>4634</v>
      </c>
      <c r="G30" s="3113" t="s">
        <v>4676</v>
      </c>
      <c r="H30" s="3113" t="s">
        <v>4677</v>
      </c>
      <c r="I30" s="3113" t="s">
        <v>4678</v>
      </c>
      <c r="J30" s="3113" t="s">
        <v>4638</v>
      </c>
      <c r="K30" s="3113" t="s">
        <v>4639</v>
      </c>
      <c r="L30" s="3113" t="s">
        <v>4640</v>
      </c>
      <c r="M30" s="3114"/>
      <c r="N30" s="3114"/>
      <c r="O30" s="3114"/>
      <c r="P30" s="3114"/>
      <c r="Q30" s="3114"/>
      <c r="R30" s="3114"/>
      <c r="S30" s="3114"/>
      <c r="T30" s="3114"/>
      <c r="U30" s="3114"/>
      <c r="V30" s="3114"/>
      <c r="W30" s="3114"/>
      <c r="X30" s="3114"/>
      <c r="Y30" s="3114"/>
      <c r="Z30" s="3114"/>
      <c r="AA30" s="3114"/>
      <c r="AB30" s="3114"/>
      <c r="AC30" s="3114"/>
      <c r="AD30" s="3114"/>
      <c r="AE30" s="3114"/>
      <c r="AF30" s="3114"/>
      <c r="AG30" s="3114"/>
      <c r="AH30" s="3114"/>
    </row>
    <row r="31" spans="1:34" s="3105" customFormat="1" ht="16.5" customHeight="1" x14ac:dyDescent="0.2">
      <c r="A31" s="3500" t="s">
        <v>4679</v>
      </c>
      <c r="B31" s="3501"/>
      <c r="C31" s="3116">
        <f>C32+C40+C62</f>
        <v>1133.704</v>
      </c>
      <c r="D31" s="3116">
        <f>D32+D40+D62</f>
        <v>1825.7029999999997</v>
      </c>
      <c r="E31" s="3117">
        <f>E32+E40+E62</f>
        <v>1612.22</v>
      </c>
      <c r="F31" s="3117">
        <f>F32+F40+F62+1</f>
        <v>1412.15</v>
      </c>
      <c r="G31" s="3117">
        <f t="shared" ref="G31:L31" si="0">G32+G40+G62</f>
        <v>4009.1</v>
      </c>
      <c r="H31" s="3117">
        <f t="shared" si="0"/>
        <v>6100.9639999999999</v>
      </c>
      <c r="I31" s="3117">
        <f t="shared" si="0"/>
        <v>5548.9219999999996</v>
      </c>
      <c r="J31" s="3117">
        <f>J32+J40+J62</f>
        <v>6329</v>
      </c>
      <c r="K31" s="3117">
        <f t="shared" si="0"/>
        <v>3480.3</v>
      </c>
      <c r="L31" s="3117">
        <f t="shared" si="0"/>
        <v>1653.8667</v>
      </c>
      <c r="M31" s="3088"/>
      <c r="N31" s="3118"/>
      <c r="O31" s="3118"/>
      <c r="P31" s="3088"/>
      <c r="Q31" s="3088"/>
      <c r="R31" s="3088"/>
      <c r="S31" s="3088"/>
      <c r="T31" s="3088"/>
      <c r="U31" s="3088"/>
      <c r="V31" s="3088"/>
      <c r="W31" s="3088"/>
      <c r="X31" s="3088"/>
      <c r="Y31" s="3088"/>
      <c r="Z31" s="3088"/>
      <c r="AA31" s="3088"/>
      <c r="AB31" s="3088"/>
      <c r="AC31" s="3088"/>
      <c r="AD31" s="3088"/>
      <c r="AE31" s="3088"/>
      <c r="AF31" s="3088"/>
      <c r="AG31" s="3088"/>
      <c r="AH31" s="3088"/>
    </row>
    <row r="32" spans="1:34" s="3105" customFormat="1" ht="16.5" customHeight="1" x14ac:dyDescent="0.2">
      <c r="A32" s="3502" t="s">
        <v>4724</v>
      </c>
      <c r="B32" s="3503"/>
      <c r="C32" s="3119">
        <v>13.042000000000002</v>
      </c>
      <c r="D32" s="3120">
        <f t="shared" ref="D32:G32" si="1">D33+D38</f>
        <v>243.16899999999998</v>
      </c>
      <c r="E32" s="3121">
        <f t="shared" si="1"/>
        <v>296.18</v>
      </c>
      <c r="F32" s="3121">
        <f t="shared" si="1"/>
        <v>381.5</v>
      </c>
      <c r="G32" s="3121">
        <f t="shared" si="1"/>
        <v>947.1</v>
      </c>
      <c r="H32" s="3121">
        <v>318.47099999999995</v>
      </c>
      <c r="I32" s="3122">
        <v>878.52699999999993</v>
      </c>
      <c r="J32" s="3122">
        <f>J33+J38</f>
        <v>1079</v>
      </c>
      <c r="K32" s="3122">
        <f>K33+K38</f>
        <v>2161.1</v>
      </c>
      <c r="L32" s="3122">
        <f>L33+L38</f>
        <v>508.79999999999995</v>
      </c>
      <c r="M32" s="3088"/>
      <c r="N32" s="3118"/>
      <c r="O32" s="3118"/>
      <c r="P32" s="3118"/>
      <c r="Q32" s="3088"/>
      <c r="R32" s="3088"/>
      <c r="S32" s="3088"/>
      <c r="T32" s="3088"/>
      <c r="U32" s="3088"/>
      <c r="V32" s="3088"/>
      <c r="W32" s="3088"/>
      <c r="X32" s="3088"/>
      <c r="Y32" s="3088"/>
      <c r="Z32" s="3088"/>
      <c r="AA32" s="3088"/>
      <c r="AB32" s="3088"/>
      <c r="AC32" s="3088"/>
      <c r="AD32" s="3088"/>
      <c r="AE32" s="3088"/>
      <c r="AF32" s="3088"/>
      <c r="AG32" s="3088"/>
      <c r="AH32" s="3088"/>
    </row>
    <row r="33" spans="1:34" s="3105" customFormat="1" ht="16.5" customHeight="1" x14ac:dyDescent="0.2">
      <c r="A33" s="3123" t="s">
        <v>4725</v>
      </c>
      <c r="B33" s="3124"/>
      <c r="C33" s="3125">
        <v>13.042000000000002</v>
      </c>
      <c r="D33" s="3126">
        <v>148.74799999999999</v>
      </c>
      <c r="E33" s="3127">
        <f>E34+E36</f>
        <v>283.47000000000003</v>
      </c>
      <c r="F33" s="3127">
        <f>F34</f>
        <v>356.8</v>
      </c>
      <c r="G33" s="3127">
        <v>881.1</v>
      </c>
      <c r="H33" s="3127">
        <v>290.45799999999997</v>
      </c>
      <c r="I33" s="3127">
        <v>848.26099999999997</v>
      </c>
      <c r="J33" s="3127">
        <f>J34+J36+J37</f>
        <v>876</v>
      </c>
      <c r="K33" s="3127">
        <f>K34+K36</f>
        <v>2085.1</v>
      </c>
      <c r="L33" s="3127">
        <f>L34+L36</f>
        <v>492.79999999999995</v>
      </c>
      <c r="M33" s="3088"/>
      <c r="N33" s="3118"/>
      <c r="O33" s="3118"/>
      <c r="P33" s="3088"/>
      <c r="Q33" s="3088"/>
      <c r="R33" s="3088"/>
      <c r="S33" s="3088"/>
      <c r="T33" s="3088"/>
      <c r="U33" s="3088"/>
      <c r="V33" s="3088"/>
      <c r="W33" s="3088"/>
      <c r="X33" s="3088"/>
      <c r="Y33" s="3088"/>
      <c r="Z33" s="3088"/>
      <c r="AA33" s="3088"/>
      <c r="AB33" s="3088"/>
      <c r="AC33" s="3088"/>
      <c r="AD33" s="3088"/>
      <c r="AE33" s="3088"/>
      <c r="AF33" s="3088"/>
      <c r="AG33" s="3088"/>
      <c r="AH33" s="3088"/>
    </row>
    <row r="34" spans="1:34" s="3105" customFormat="1" ht="16.5" customHeight="1" x14ac:dyDescent="0.2">
      <c r="A34" s="3123" t="s">
        <v>4726</v>
      </c>
      <c r="B34" s="3124"/>
      <c r="C34" s="3125">
        <v>13.042000000000002</v>
      </c>
      <c r="D34" s="3126">
        <v>148.74799999999999</v>
      </c>
      <c r="E34" s="3127">
        <v>282.3</v>
      </c>
      <c r="F34" s="3127">
        <v>356.8</v>
      </c>
      <c r="G34" s="3127">
        <v>94</v>
      </c>
      <c r="H34" s="3127">
        <v>183.214</v>
      </c>
      <c r="I34" s="3127">
        <v>728.26099999999997</v>
      </c>
      <c r="J34" s="3127">
        <v>735</v>
      </c>
      <c r="K34" s="3127">
        <f>2+27+8+K35+0.2+12+1+78+20+1+1+1151</f>
        <v>1970.2</v>
      </c>
      <c r="L34" s="3127">
        <f>6+L35+5.3+2.8+32.8+10.6+38.9</f>
        <v>158.1</v>
      </c>
      <c r="M34" s="3088"/>
      <c r="N34" s="3118"/>
      <c r="O34" s="3118"/>
      <c r="P34" s="3088"/>
      <c r="Q34" s="3088"/>
      <c r="R34" s="3088"/>
      <c r="S34" s="3088"/>
      <c r="T34" s="3088"/>
      <c r="U34" s="3088"/>
      <c r="V34" s="3088"/>
      <c r="W34" s="3088"/>
      <c r="X34" s="3088"/>
      <c r="Y34" s="3088"/>
      <c r="Z34" s="3088"/>
      <c r="AA34" s="3088"/>
      <c r="AB34" s="3088"/>
      <c r="AC34" s="3088"/>
      <c r="AD34" s="3088"/>
      <c r="AE34" s="3088"/>
      <c r="AF34" s="3088"/>
      <c r="AG34" s="3088"/>
      <c r="AH34" s="3088"/>
    </row>
    <row r="35" spans="1:34" s="3105" customFormat="1" ht="16.5" customHeight="1" x14ac:dyDescent="0.2">
      <c r="A35" s="3123" t="s">
        <v>4727</v>
      </c>
      <c r="B35" s="3124"/>
      <c r="C35" s="3125">
        <v>1.9730000000000001</v>
      </c>
      <c r="D35" s="3126">
        <v>65.108999999999995</v>
      </c>
      <c r="E35" s="3127">
        <v>150.26</v>
      </c>
      <c r="F35" s="3127">
        <v>288.3</v>
      </c>
      <c r="G35" s="3127">
        <v>10.1</v>
      </c>
      <c r="H35" s="3127">
        <v>43.88</v>
      </c>
      <c r="I35" s="3127">
        <v>184</v>
      </c>
      <c r="J35" s="3127">
        <v>214</v>
      </c>
      <c r="K35" s="3127">
        <f>543+64+62</f>
        <v>669</v>
      </c>
      <c r="L35" s="3127">
        <f>32+27.6+2.1</f>
        <v>61.7</v>
      </c>
      <c r="M35" s="3088"/>
      <c r="N35" s="3118"/>
      <c r="O35" s="3118"/>
      <c r="P35" s="3088"/>
      <c r="Q35" s="3088"/>
      <c r="R35" s="3088"/>
      <c r="S35" s="3088"/>
      <c r="T35" s="3088"/>
      <c r="U35" s="3088"/>
      <c r="V35" s="3088"/>
      <c r="W35" s="3088"/>
      <c r="X35" s="3088"/>
      <c r="Y35" s="3088"/>
      <c r="Z35" s="3088"/>
      <c r="AA35" s="3088"/>
      <c r="AB35" s="3088"/>
      <c r="AC35" s="3088"/>
      <c r="AD35" s="3088"/>
      <c r="AE35" s="3088"/>
      <c r="AF35" s="3088"/>
      <c r="AG35" s="3088"/>
      <c r="AH35" s="3088"/>
    </row>
    <row r="36" spans="1:34" s="3105" customFormat="1" ht="16.5" customHeight="1" x14ac:dyDescent="0.2">
      <c r="A36" s="3123" t="s">
        <v>4728</v>
      </c>
      <c r="B36" s="3124"/>
      <c r="C36" s="3128">
        <v>0</v>
      </c>
      <c r="D36" s="3128">
        <v>0</v>
      </c>
      <c r="E36" s="3129">
        <v>1.17</v>
      </c>
      <c r="F36" s="3130">
        <v>0</v>
      </c>
      <c r="G36" s="3127">
        <v>787</v>
      </c>
      <c r="H36" s="3127">
        <v>61.248999999999995</v>
      </c>
      <c r="I36" s="3130">
        <v>0</v>
      </c>
      <c r="J36" s="3127">
        <v>125</v>
      </c>
      <c r="K36" s="3127">
        <v>114.9</v>
      </c>
      <c r="L36" s="3127">
        <f>6+328.7</f>
        <v>334.7</v>
      </c>
      <c r="M36" s="3088"/>
      <c r="N36" s="3118"/>
      <c r="O36" s="3118"/>
      <c r="P36" s="3088"/>
      <c r="Q36" s="3088"/>
      <c r="R36" s="3088"/>
      <c r="S36" s="3088"/>
      <c r="T36" s="3088"/>
      <c r="U36" s="3088"/>
      <c r="V36" s="3088"/>
      <c r="W36" s="3088"/>
      <c r="X36" s="3088"/>
      <c r="Y36" s="3088"/>
      <c r="Z36" s="3088"/>
      <c r="AA36" s="3088"/>
      <c r="AB36" s="3088"/>
      <c r="AC36" s="3088"/>
      <c r="AD36" s="3088"/>
      <c r="AE36" s="3088"/>
      <c r="AF36" s="3088"/>
      <c r="AG36" s="3088"/>
      <c r="AH36" s="3088"/>
    </row>
    <row r="37" spans="1:34" s="3105" customFormat="1" ht="16.5" customHeight="1" x14ac:dyDescent="0.2">
      <c r="A37" s="3123" t="s">
        <v>283</v>
      </c>
      <c r="B37" s="3124"/>
      <c r="C37" s="3131" t="s">
        <v>4643</v>
      </c>
      <c r="D37" s="3128" t="s">
        <v>4643</v>
      </c>
      <c r="E37" s="3130" t="s">
        <v>4643</v>
      </c>
      <c r="F37" s="3130" t="s">
        <v>4643</v>
      </c>
      <c r="G37" s="3130" t="s">
        <v>4643</v>
      </c>
      <c r="H37" s="3093">
        <v>46</v>
      </c>
      <c r="I37" s="3093">
        <v>120</v>
      </c>
      <c r="J37" s="3093">
        <v>16</v>
      </c>
      <c r="K37" s="3130">
        <v>0</v>
      </c>
      <c r="L37" s="3130">
        <v>0</v>
      </c>
      <c r="M37" s="3088"/>
      <c r="N37" s="3118"/>
      <c r="O37" s="3118"/>
      <c r="P37" s="3088"/>
      <c r="Q37" s="3088"/>
      <c r="R37" s="3088"/>
      <c r="S37" s="3088"/>
      <c r="T37" s="3088"/>
      <c r="U37" s="3088"/>
      <c r="V37" s="3088"/>
      <c r="W37" s="3088"/>
      <c r="X37" s="3088"/>
      <c r="Y37" s="3088"/>
      <c r="Z37" s="3088"/>
      <c r="AA37" s="3088"/>
      <c r="AB37" s="3088"/>
      <c r="AC37" s="3088"/>
      <c r="AD37" s="3088"/>
      <c r="AE37" s="3088"/>
      <c r="AF37" s="3088"/>
      <c r="AG37" s="3088"/>
      <c r="AH37" s="3088"/>
    </row>
    <row r="38" spans="1:34" s="3105" customFormat="1" ht="16.5" customHeight="1" x14ac:dyDescent="0.2">
      <c r="A38" s="3123" t="s">
        <v>4729</v>
      </c>
      <c r="B38" s="3124"/>
      <c r="C38" s="3128" t="s">
        <v>4643</v>
      </c>
      <c r="D38" s="3126">
        <v>94.421000000000006</v>
      </c>
      <c r="E38" s="3127">
        <f>E39</f>
        <v>12.71</v>
      </c>
      <c r="F38" s="3127">
        <f>F39</f>
        <v>24.7</v>
      </c>
      <c r="G38" s="3127">
        <v>66</v>
      </c>
      <c r="H38" s="3127">
        <v>28.012999999999998</v>
      </c>
      <c r="I38" s="3127">
        <v>30.265999999999998</v>
      </c>
      <c r="J38" s="3127">
        <v>203</v>
      </c>
      <c r="K38" s="3127">
        <f>24+35+K39+1</f>
        <v>76</v>
      </c>
      <c r="L38" s="3127">
        <f>14+L39</f>
        <v>16</v>
      </c>
      <c r="M38" s="3088"/>
      <c r="N38" s="3118"/>
      <c r="O38" s="3118"/>
      <c r="P38" s="3088"/>
      <c r="Q38" s="3088"/>
      <c r="R38" s="3088"/>
      <c r="S38" s="3088"/>
      <c r="T38" s="3088"/>
      <c r="U38" s="3088"/>
      <c r="V38" s="3088"/>
      <c r="W38" s="3088"/>
      <c r="X38" s="3088"/>
      <c r="Y38" s="3088"/>
      <c r="Z38" s="3088"/>
      <c r="AA38" s="3088"/>
      <c r="AB38" s="3088"/>
      <c r="AC38" s="3088"/>
      <c r="AD38" s="3088"/>
      <c r="AE38" s="3088"/>
      <c r="AF38" s="3088"/>
      <c r="AG38" s="3088"/>
      <c r="AH38" s="3088"/>
    </row>
    <row r="39" spans="1:34" s="3105" customFormat="1" ht="16.5" customHeight="1" x14ac:dyDescent="0.2">
      <c r="A39" s="3123" t="s">
        <v>4730</v>
      </c>
      <c r="B39" s="3124"/>
      <c r="C39" s="3128" t="s">
        <v>4643</v>
      </c>
      <c r="D39" s="3126">
        <v>94.421000000000006</v>
      </c>
      <c r="E39" s="3127">
        <v>12.71</v>
      </c>
      <c r="F39" s="3127">
        <v>24.7</v>
      </c>
      <c r="G39" s="3127">
        <v>56</v>
      </c>
      <c r="H39" s="3127">
        <v>25.18</v>
      </c>
      <c r="I39" s="3127">
        <v>6.266</v>
      </c>
      <c r="J39" s="3127">
        <v>108</v>
      </c>
      <c r="K39" s="3127">
        <f>14+2</f>
        <v>16</v>
      </c>
      <c r="L39" s="3127">
        <v>2</v>
      </c>
      <c r="M39" s="3088"/>
      <c r="N39" s="3118"/>
      <c r="O39" s="3118"/>
      <c r="P39" s="3088"/>
      <c r="Q39" s="3088"/>
      <c r="R39" s="3088"/>
      <c r="S39" s="3088"/>
      <c r="T39" s="3088"/>
      <c r="U39" s="3088"/>
      <c r="V39" s="3088"/>
      <c r="W39" s="3088"/>
      <c r="X39" s="3088"/>
      <c r="Y39" s="3088"/>
      <c r="Z39" s="3088"/>
      <c r="AA39" s="3088"/>
      <c r="AB39" s="3088"/>
      <c r="AC39" s="3088"/>
      <c r="AD39" s="3088"/>
      <c r="AE39" s="3088"/>
      <c r="AF39" s="3088"/>
      <c r="AG39" s="3088"/>
      <c r="AH39" s="3088"/>
    </row>
    <row r="40" spans="1:34" s="3105" customFormat="1" ht="16.5" customHeight="1" x14ac:dyDescent="0.2">
      <c r="A40" s="3132" t="s">
        <v>4731</v>
      </c>
      <c r="B40" s="3124"/>
      <c r="C40" s="3119">
        <f t="shared" ref="C40:G40" si="2">C41+C50</f>
        <v>1005.755</v>
      </c>
      <c r="D40" s="3119">
        <f t="shared" si="2"/>
        <v>1551.723</v>
      </c>
      <c r="E40" s="3122">
        <f t="shared" si="2"/>
        <v>1316.04</v>
      </c>
      <c r="F40" s="3122">
        <f t="shared" si="2"/>
        <v>1029.6500000000001</v>
      </c>
      <c r="G40" s="3122">
        <f t="shared" si="2"/>
        <v>3062</v>
      </c>
      <c r="H40" s="3122">
        <v>5694.4930000000004</v>
      </c>
      <c r="I40" s="3122">
        <v>4670.3949999999995</v>
      </c>
      <c r="J40" s="3122">
        <f>J41+J50</f>
        <v>5242</v>
      </c>
      <c r="K40" s="3122">
        <f>K41+K50+34</f>
        <v>1319.2</v>
      </c>
      <c r="L40" s="3122">
        <f>0.2667+L41+L50</f>
        <v>1145.0667000000001</v>
      </c>
      <c r="M40" s="3088"/>
      <c r="N40" s="3118"/>
      <c r="O40" s="3118"/>
      <c r="P40" s="3088"/>
      <c r="Q40" s="3088"/>
      <c r="R40" s="3088"/>
      <c r="S40" s="3088"/>
      <c r="T40" s="3088"/>
      <c r="U40" s="3088"/>
      <c r="V40" s="3088"/>
      <c r="W40" s="3088"/>
      <c r="X40" s="3088"/>
      <c r="Y40" s="3088"/>
      <c r="Z40" s="3088"/>
      <c r="AA40" s="3088"/>
      <c r="AB40" s="3088"/>
      <c r="AC40" s="3088"/>
      <c r="AD40" s="3088"/>
      <c r="AE40" s="3088"/>
      <c r="AF40" s="3088"/>
      <c r="AG40" s="3088"/>
      <c r="AH40" s="3088"/>
    </row>
    <row r="41" spans="1:34" s="3105" customFormat="1" ht="16.5" customHeight="1" x14ac:dyDescent="0.2">
      <c r="A41" s="3123" t="s">
        <v>4732</v>
      </c>
      <c r="B41" s="3124"/>
      <c r="C41" s="3125">
        <f t="shared" ref="C41:G41" si="3">C42+C43+C44+C45+C46+C47+C48+C49</f>
        <v>862.04899999999998</v>
      </c>
      <c r="D41" s="3125">
        <f t="shared" si="3"/>
        <v>1186.0229999999999</v>
      </c>
      <c r="E41" s="3127">
        <f t="shared" si="3"/>
        <v>589.54000000000008</v>
      </c>
      <c r="F41" s="3127">
        <f t="shared" si="3"/>
        <v>669.3</v>
      </c>
      <c r="G41" s="3127">
        <f t="shared" si="3"/>
        <v>1288.0000000000002</v>
      </c>
      <c r="H41" s="3127">
        <v>4502.7430000000004</v>
      </c>
      <c r="I41" s="3127">
        <v>3255.1949999999997</v>
      </c>
      <c r="J41" s="3127">
        <f>SUM(J42:J49)</f>
        <v>4444</v>
      </c>
      <c r="K41" s="3127">
        <f>K42+K43+K44+K45+K46+K47+K48+K49</f>
        <v>950</v>
      </c>
      <c r="L41" s="3127">
        <f>L42+L43+L44+L45+L46+L47+L48+L49</f>
        <v>870.1</v>
      </c>
      <c r="M41" s="3088"/>
      <c r="N41" s="3118"/>
      <c r="O41" s="3118"/>
      <c r="P41" s="3088"/>
      <c r="Q41" s="3088"/>
      <c r="R41" s="3088"/>
      <c r="S41" s="3088"/>
      <c r="T41" s="3088"/>
      <c r="U41" s="3088"/>
      <c r="V41" s="3088"/>
      <c r="W41" s="3088"/>
      <c r="X41" s="3088"/>
      <c r="Y41" s="3088"/>
      <c r="Z41" s="3088"/>
      <c r="AA41" s="3088"/>
      <c r="AB41" s="3088"/>
      <c r="AC41" s="3088"/>
      <c r="AD41" s="3088"/>
      <c r="AE41" s="3088"/>
      <c r="AF41" s="3088"/>
      <c r="AG41" s="3088"/>
      <c r="AH41" s="3088"/>
    </row>
    <row r="42" spans="1:34" s="3105" customFormat="1" ht="16.5" customHeight="1" x14ac:dyDescent="0.2">
      <c r="A42" s="3123" t="s">
        <v>4733</v>
      </c>
      <c r="B42" s="3124"/>
      <c r="C42" s="3133">
        <v>0</v>
      </c>
      <c r="D42" s="3133">
        <v>0</v>
      </c>
      <c r="E42" s="3127">
        <v>4.47</v>
      </c>
      <c r="F42" s="3134">
        <v>0</v>
      </c>
      <c r="G42" s="3134">
        <v>0</v>
      </c>
      <c r="H42" s="3134">
        <v>0</v>
      </c>
      <c r="I42" s="3134">
        <v>0</v>
      </c>
      <c r="J42" s="3127">
        <v>1</v>
      </c>
      <c r="K42" s="3134">
        <v>0</v>
      </c>
      <c r="L42" s="3134">
        <v>0</v>
      </c>
      <c r="M42" s="3088"/>
      <c r="N42" s="3118"/>
      <c r="O42" s="3118"/>
      <c r="P42" s="3088"/>
      <c r="Q42" s="3088"/>
      <c r="R42" s="3088"/>
      <c r="S42" s="3088"/>
      <c r="T42" s="3088"/>
      <c r="U42" s="3088"/>
      <c r="V42" s="3088"/>
      <c r="W42" s="3088"/>
      <c r="X42" s="3088"/>
      <c r="Y42" s="3088"/>
      <c r="Z42" s="3088"/>
      <c r="AA42" s="3088"/>
      <c r="AB42" s="3088"/>
      <c r="AC42" s="3088"/>
      <c r="AD42" s="3088"/>
      <c r="AE42" s="3088"/>
      <c r="AF42" s="3088"/>
      <c r="AG42" s="3088"/>
      <c r="AH42" s="3088"/>
    </row>
    <row r="43" spans="1:34" s="3105" customFormat="1" ht="16.5" customHeight="1" x14ac:dyDescent="0.2">
      <c r="A43" s="3123" t="s">
        <v>4734</v>
      </c>
      <c r="B43" s="3124"/>
      <c r="C43" s="3133">
        <v>0</v>
      </c>
      <c r="D43" s="3133">
        <v>0</v>
      </c>
      <c r="E43" s="3134">
        <v>0</v>
      </c>
      <c r="F43" s="3134">
        <v>0</v>
      </c>
      <c r="G43" s="3134">
        <v>0</v>
      </c>
      <c r="H43" s="3127">
        <v>39</v>
      </c>
      <c r="I43" s="3127">
        <v>6.0620000000000003</v>
      </c>
      <c r="J43" s="3127">
        <v>498</v>
      </c>
      <c r="K43" s="3127">
        <f>124+3+3</f>
        <v>130</v>
      </c>
      <c r="L43" s="3127">
        <f>8.6+74.8</f>
        <v>83.399999999999991</v>
      </c>
      <c r="M43" s="3088"/>
      <c r="N43" s="3118"/>
      <c r="O43" s="3118"/>
      <c r="P43" s="3088"/>
      <c r="Q43" s="3088"/>
      <c r="R43" s="3088"/>
      <c r="S43" s="3088"/>
      <c r="T43" s="3088"/>
      <c r="U43" s="3088"/>
      <c r="V43" s="3088"/>
      <c r="W43" s="3088"/>
      <c r="X43" s="3088"/>
      <c r="Y43" s="3088"/>
      <c r="Z43" s="3088"/>
      <c r="AA43" s="3088"/>
      <c r="AB43" s="3088"/>
      <c r="AC43" s="3088"/>
      <c r="AD43" s="3088"/>
      <c r="AE43" s="3088"/>
      <c r="AF43" s="3088"/>
      <c r="AG43" s="3088"/>
      <c r="AH43" s="3088"/>
    </row>
    <row r="44" spans="1:34" s="3105" customFormat="1" ht="16.5" customHeight="1" x14ac:dyDescent="0.2">
      <c r="A44" s="3123" t="s">
        <v>4735</v>
      </c>
      <c r="B44" s="3124"/>
      <c r="C44" s="3125">
        <v>291.45299999999997</v>
      </c>
      <c r="D44" s="3126">
        <v>267.36399999999998</v>
      </c>
      <c r="E44" s="3127">
        <v>234.77</v>
      </c>
      <c r="F44" s="3127">
        <v>95</v>
      </c>
      <c r="G44" s="3127">
        <v>71.3</v>
      </c>
      <c r="H44" s="3127">
        <v>1182.8969999999999</v>
      </c>
      <c r="I44" s="3127">
        <v>151</v>
      </c>
      <c r="J44" s="3127">
        <v>897</v>
      </c>
      <c r="K44" s="3127">
        <f>50+1+167</f>
        <v>218</v>
      </c>
      <c r="L44" s="3127">
        <f>11.4+1.1</f>
        <v>12.5</v>
      </c>
      <c r="M44" s="3088"/>
      <c r="N44" s="3118"/>
      <c r="O44" s="3118"/>
      <c r="P44" s="3088"/>
      <c r="Q44" s="3088"/>
      <c r="R44" s="3088"/>
      <c r="S44" s="3088"/>
      <c r="T44" s="3088"/>
      <c r="U44" s="3088"/>
      <c r="V44" s="3088"/>
      <c r="W44" s="3088"/>
      <c r="X44" s="3088"/>
      <c r="Y44" s="3088"/>
      <c r="Z44" s="3088"/>
      <c r="AA44" s="3088"/>
      <c r="AB44" s="3088"/>
      <c r="AC44" s="3088"/>
      <c r="AD44" s="3088"/>
      <c r="AE44" s="3088"/>
      <c r="AF44" s="3088"/>
      <c r="AG44" s="3088"/>
      <c r="AH44" s="3088"/>
    </row>
    <row r="45" spans="1:34" s="3105" customFormat="1" ht="16.5" customHeight="1" x14ac:dyDescent="0.2">
      <c r="A45" s="3123" t="s">
        <v>4736</v>
      </c>
      <c r="B45" s="3124"/>
      <c r="C45" s="3125">
        <v>269.738</v>
      </c>
      <c r="D45" s="3126">
        <v>146.17500000000001</v>
      </c>
      <c r="E45" s="3127">
        <v>9.6</v>
      </c>
      <c r="F45" s="3127">
        <v>9</v>
      </c>
      <c r="G45" s="3127">
        <v>9</v>
      </c>
      <c r="H45" s="3127">
        <v>671</v>
      </c>
      <c r="I45" s="3127">
        <v>78</v>
      </c>
      <c r="J45" s="3127">
        <v>16</v>
      </c>
      <c r="K45" s="3135">
        <v>6</v>
      </c>
      <c r="L45" s="3135">
        <v>620.6</v>
      </c>
      <c r="M45" s="3088"/>
      <c r="N45" s="3118"/>
      <c r="O45" s="3118"/>
      <c r="P45" s="3088"/>
      <c r="Q45" s="3088"/>
      <c r="R45" s="3088"/>
      <c r="S45" s="3088"/>
      <c r="T45" s="3088"/>
      <c r="U45" s="3088"/>
      <c r="V45" s="3088"/>
      <c r="W45" s="3088"/>
      <c r="X45" s="3088"/>
      <c r="Y45" s="3088"/>
      <c r="Z45" s="3088"/>
      <c r="AA45" s="3088"/>
      <c r="AB45" s="3088"/>
      <c r="AC45" s="3088"/>
      <c r="AD45" s="3088"/>
      <c r="AE45" s="3088"/>
      <c r="AF45" s="3088"/>
      <c r="AG45" s="3088"/>
      <c r="AH45" s="3088"/>
    </row>
    <row r="46" spans="1:34" s="3105" customFormat="1" ht="16.5" customHeight="1" x14ac:dyDescent="0.2">
      <c r="A46" s="3123" t="s">
        <v>4737</v>
      </c>
      <c r="B46" s="3124"/>
      <c r="C46" s="3125">
        <v>5.508</v>
      </c>
      <c r="D46" s="3126">
        <v>127.434</v>
      </c>
      <c r="E46" s="3127">
        <v>139.93</v>
      </c>
      <c r="F46" s="3127">
        <v>86</v>
      </c>
      <c r="G46" s="3127">
        <v>98.1</v>
      </c>
      <c r="H46" s="3127">
        <v>352.358</v>
      </c>
      <c r="I46" s="3127">
        <v>55</v>
      </c>
      <c r="J46" s="3127">
        <v>72</v>
      </c>
      <c r="K46" s="3135">
        <f>3+10</f>
        <v>13</v>
      </c>
      <c r="L46" s="3135">
        <v>26.4</v>
      </c>
      <c r="M46" s="3088"/>
      <c r="N46" s="3118"/>
      <c r="O46" s="3118"/>
      <c r="P46" s="3088"/>
      <c r="Q46" s="3088"/>
      <c r="R46" s="3088"/>
      <c r="S46" s="3088"/>
      <c r="T46" s="3088"/>
      <c r="U46" s="3088"/>
      <c r="V46" s="3088"/>
      <c r="W46" s="3088"/>
      <c r="X46" s="3088"/>
      <c r="Y46" s="3088"/>
      <c r="Z46" s="3088"/>
      <c r="AA46" s="3088"/>
      <c r="AB46" s="3088"/>
      <c r="AC46" s="3088"/>
      <c r="AD46" s="3088"/>
      <c r="AE46" s="3088"/>
      <c r="AF46" s="3088"/>
      <c r="AG46" s="3088"/>
      <c r="AH46" s="3088"/>
    </row>
    <row r="47" spans="1:34" s="3105" customFormat="1" ht="16.5" customHeight="1" x14ac:dyDescent="0.2">
      <c r="A47" s="3123" t="s">
        <v>4738</v>
      </c>
      <c r="B47" s="3124"/>
      <c r="C47" s="3125">
        <v>187.185</v>
      </c>
      <c r="D47" s="3126">
        <v>175.42099999999999</v>
      </c>
      <c r="E47" s="3127">
        <v>166.91</v>
      </c>
      <c r="F47" s="3127">
        <v>209.9</v>
      </c>
      <c r="G47" s="3127">
        <v>109</v>
      </c>
      <c r="H47" s="3093">
        <v>77</v>
      </c>
      <c r="I47" s="3127">
        <v>5</v>
      </c>
      <c r="J47" s="3127">
        <v>157</v>
      </c>
      <c r="K47" s="3127">
        <f>8+48+13</f>
        <v>69</v>
      </c>
      <c r="L47" s="3127">
        <f>3+5.6+21.6</f>
        <v>30.200000000000003</v>
      </c>
      <c r="M47" s="3088"/>
      <c r="N47" s="3118"/>
      <c r="O47" s="3118"/>
      <c r="P47" s="3088"/>
      <c r="Q47" s="3088"/>
      <c r="R47" s="3088"/>
      <c r="S47" s="3088"/>
      <c r="T47" s="3088"/>
      <c r="U47" s="3088"/>
      <c r="V47" s="3088"/>
      <c r="W47" s="3088"/>
      <c r="X47" s="3088"/>
      <c r="Y47" s="3088"/>
      <c r="Z47" s="3088"/>
      <c r="AA47" s="3088"/>
      <c r="AB47" s="3088"/>
      <c r="AC47" s="3088"/>
      <c r="AD47" s="3088"/>
      <c r="AE47" s="3088"/>
      <c r="AF47" s="3088"/>
      <c r="AG47" s="3088"/>
      <c r="AH47" s="3088"/>
    </row>
    <row r="48" spans="1:34" s="3105" customFormat="1" ht="16.5" customHeight="1" x14ac:dyDescent="0.2">
      <c r="A48" s="3123" t="s">
        <v>4739</v>
      </c>
      <c r="B48" s="3124"/>
      <c r="C48" s="3125">
        <v>13.68</v>
      </c>
      <c r="D48" s="3126">
        <v>35.116</v>
      </c>
      <c r="E48" s="3127">
        <v>20.440000000000001</v>
      </c>
      <c r="F48" s="3127">
        <v>70.400000000000006</v>
      </c>
      <c r="G48" s="3127">
        <v>325.3</v>
      </c>
      <c r="H48" s="3127">
        <v>77.007999999999996</v>
      </c>
      <c r="I48" s="3127">
        <v>77</v>
      </c>
      <c r="J48" s="3127">
        <v>47</v>
      </c>
      <c r="K48" s="3127">
        <f>27+5+14</f>
        <v>46</v>
      </c>
      <c r="L48" s="3127">
        <v>8.1999999999999993</v>
      </c>
      <c r="M48" s="3088"/>
      <c r="N48" s="3118"/>
      <c r="O48" s="3118"/>
      <c r="P48" s="3088"/>
      <c r="Q48" s="3088"/>
      <c r="R48" s="3088"/>
      <c r="S48" s="3088"/>
      <c r="T48" s="3088"/>
      <c r="U48" s="3088"/>
      <c r="V48" s="3088"/>
      <c r="W48" s="3088"/>
      <c r="X48" s="3088"/>
      <c r="Y48" s="3088"/>
      <c r="Z48" s="3088"/>
      <c r="AA48" s="3088"/>
      <c r="AB48" s="3088"/>
      <c r="AC48" s="3088"/>
      <c r="AD48" s="3088"/>
      <c r="AE48" s="3088"/>
      <c r="AF48" s="3088"/>
      <c r="AG48" s="3088"/>
      <c r="AH48" s="3088"/>
    </row>
    <row r="49" spans="1:34" s="3105" customFormat="1" ht="16.5" customHeight="1" x14ac:dyDescent="0.2">
      <c r="A49" s="3123" t="s">
        <v>4740</v>
      </c>
      <c r="B49" s="3124"/>
      <c r="C49" s="3125">
        <v>94.485000000000014</v>
      </c>
      <c r="D49" s="3125">
        <v>434.51299999999998</v>
      </c>
      <c r="E49" s="3127">
        <v>13.420000000000041</v>
      </c>
      <c r="F49" s="3127">
        <v>198.99999999999997</v>
      </c>
      <c r="G49" s="3127">
        <v>675.30000000000018</v>
      </c>
      <c r="H49" s="3127">
        <v>2103.48</v>
      </c>
      <c r="I49" s="3127">
        <v>2883.1329999999998</v>
      </c>
      <c r="J49" s="3127">
        <v>2756</v>
      </c>
      <c r="K49" s="3127">
        <f>96+371+1</f>
        <v>468</v>
      </c>
      <c r="L49" s="3127">
        <f>52+19+6.1+11.7</f>
        <v>88.8</v>
      </c>
      <c r="M49" s="3088"/>
      <c r="N49" s="3118"/>
      <c r="O49" s="3118"/>
      <c r="P49" s="3088"/>
      <c r="Q49" s="3088"/>
      <c r="R49" s="3088"/>
      <c r="S49" s="3088"/>
      <c r="T49" s="3088"/>
      <c r="U49" s="3088"/>
      <c r="V49" s="3088"/>
      <c r="W49" s="3088"/>
      <c r="X49" s="3088"/>
      <c r="Y49" s="3088"/>
      <c r="Z49" s="3088"/>
      <c r="AA49" s="3088"/>
      <c r="AB49" s="3088"/>
      <c r="AC49" s="3088"/>
      <c r="AD49" s="3088"/>
      <c r="AE49" s="3088"/>
      <c r="AF49" s="3088"/>
      <c r="AG49" s="3088"/>
      <c r="AH49" s="3088"/>
    </row>
    <row r="50" spans="1:34" s="3105" customFormat="1" ht="16.5" customHeight="1" x14ac:dyDescent="0.2">
      <c r="A50" s="3123" t="s">
        <v>4741</v>
      </c>
      <c r="B50" s="3124"/>
      <c r="C50" s="3125">
        <v>143.70599999999999</v>
      </c>
      <c r="D50" s="3126">
        <f t="shared" ref="D50:G50" si="4">D51+D61</f>
        <v>365.7</v>
      </c>
      <c r="E50" s="3136">
        <f t="shared" si="4"/>
        <v>726.5</v>
      </c>
      <c r="F50" s="3136">
        <f t="shared" si="4"/>
        <v>360.35</v>
      </c>
      <c r="G50" s="3136">
        <f t="shared" si="4"/>
        <v>1774</v>
      </c>
      <c r="H50" s="3136">
        <v>1191.75</v>
      </c>
      <c r="I50" s="3136">
        <v>1415.2</v>
      </c>
      <c r="J50" s="3127">
        <f>J51+J61</f>
        <v>798</v>
      </c>
      <c r="K50" s="3127">
        <f>K51+K61+14</f>
        <v>335.2</v>
      </c>
      <c r="L50" s="3127">
        <f>L51+L61</f>
        <v>274.7</v>
      </c>
      <c r="M50" s="3088"/>
      <c r="N50" s="3118"/>
      <c r="O50" s="3118"/>
      <c r="P50" s="3088"/>
      <c r="Q50" s="3088"/>
      <c r="R50" s="3088"/>
      <c r="S50" s="3088"/>
      <c r="T50" s="3088"/>
      <c r="U50" s="3088"/>
      <c r="V50" s="3088"/>
      <c r="W50" s="3088"/>
      <c r="X50" s="3088"/>
      <c r="Y50" s="3088"/>
      <c r="Z50" s="3088"/>
      <c r="AA50" s="3088"/>
      <c r="AB50" s="3088"/>
      <c r="AC50" s="3088"/>
      <c r="AD50" s="3088"/>
      <c r="AE50" s="3088"/>
      <c r="AF50" s="3088"/>
      <c r="AG50" s="3088"/>
      <c r="AH50" s="3088"/>
    </row>
    <row r="51" spans="1:34" s="3105" customFormat="1" ht="16.5" customHeight="1" x14ac:dyDescent="0.2">
      <c r="A51" s="3123" t="s">
        <v>4742</v>
      </c>
      <c r="B51" s="3124"/>
      <c r="C51" s="3125">
        <f>134.39</f>
        <v>134.38999999999999</v>
      </c>
      <c r="D51" s="3126">
        <v>331</v>
      </c>
      <c r="E51" s="3136">
        <v>723</v>
      </c>
      <c r="F51" s="3136">
        <v>349</v>
      </c>
      <c r="G51" s="3136">
        <v>1774</v>
      </c>
      <c r="H51" s="3136">
        <v>973.75</v>
      </c>
      <c r="I51" s="3136">
        <v>1370.2</v>
      </c>
      <c r="J51" s="3127">
        <f>J52+J54</f>
        <v>576</v>
      </c>
      <c r="K51" s="3127">
        <f>K52+K54</f>
        <v>278.2</v>
      </c>
      <c r="L51" s="3127">
        <f>L52+L54</f>
        <v>256</v>
      </c>
      <c r="M51" s="3088"/>
      <c r="N51" s="3118"/>
      <c r="O51" s="3118"/>
      <c r="P51" s="3088"/>
      <c r="Q51" s="3088"/>
      <c r="R51" s="3088"/>
      <c r="S51" s="3088"/>
      <c r="T51" s="3088"/>
      <c r="U51" s="3088"/>
      <c r="V51" s="3088"/>
      <c r="W51" s="3088"/>
      <c r="X51" s="3088"/>
      <c r="Y51" s="3088"/>
      <c r="Z51" s="3088"/>
      <c r="AA51" s="3088"/>
      <c r="AB51" s="3088"/>
      <c r="AC51" s="3088"/>
      <c r="AD51" s="3088"/>
      <c r="AE51" s="3088"/>
      <c r="AF51" s="3088"/>
      <c r="AG51" s="3088"/>
      <c r="AH51" s="3088"/>
    </row>
    <row r="52" spans="1:34" s="3105" customFormat="1" ht="16.5" customHeight="1" x14ac:dyDescent="0.2">
      <c r="A52" s="3504" t="s">
        <v>4743</v>
      </c>
      <c r="B52" s="3505"/>
      <c r="C52" s="3128">
        <v>0</v>
      </c>
      <c r="D52" s="3128">
        <v>0</v>
      </c>
      <c r="E52" s="3130">
        <v>0</v>
      </c>
      <c r="F52" s="3130">
        <v>0</v>
      </c>
      <c r="G52" s="3130">
        <v>0</v>
      </c>
      <c r="H52" s="3127">
        <v>45.35</v>
      </c>
      <c r="I52" s="3130">
        <v>0</v>
      </c>
      <c r="J52" s="3127">
        <v>175</v>
      </c>
      <c r="K52" s="3127">
        <f>1+K53</f>
        <v>190</v>
      </c>
      <c r="L52" s="3127">
        <f>L53+27</f>
        <v>95.2</v>
      </c>
      <c r="M52" s="3088"/>
      <c r="N52" s="3118"/>
      <c r="O52" s="3118"/>
      <c r="P52" s="3088"/>
      <c r="Q52" s="3088"/>
      <c r="R52" s="3088"/>
      <c r="S52" s="3088"/>
      <c r="T52" s="3088"/>
      <c r="U52" s="3088"/>
      <c r="V52" s="3088"/>
      <c r="W52" s="3088"/>
      <c r="X52" s="3088"/>
      <c r="Y52" s="3088"/>
      <c r="Z52" s="3088"/>
      <c r="AA52" s="3088"/>
      <c r="AB52" s="3088"/>
      <c r="AC52" s="3088"/>
      <c r="AD52" s="3088"/>
      <c r="AE52" s="3088"/>
      <c r="AF52" s="3088"/>
      <c r="AG52" s="3088"/>
      <c r="AH52" s="3088"/>
    </row>
    <row r="53" spans="1:34" s="3141" customFormat="1" ht="16.5" customHeight="1" x14ac:dyDescent="0.2">
      <c r="A53" s="3492" t="s">
        <v>4744</v>
      </c>
      <c r="B53" s="3493"/>
      <c r="C53" s="3137">
        <v>0</v>
      </c>
      <c r="D53" s="3137">
        <v>0</v>
      </c>
      <c r="E53" s="3138">
        <v>0</v>
      </c>
      <c r="F53" s="3138">
        <v>0</v>
      </c>
      <c r="G53" s="3138">
        <v>0</v>
      </c>
      <c r="H53" s="3139">
        <v>45.35</v>
      </c>
      <c r="I53" s="3138">
        <v>0</v>
      </c>
      <c r="J53" s="3139">
        <v>174</v>
      </c>
      <c r="K53" s="3139">
        <f>188+1</f>
        <v>189</v>
      </c>
      <c r="L53" s="3139">
        <f>9+36.9+13.8+8.5</f>
        <v>68.2</v>
      </c>
      <c r="M53" s="3108"/>
      <c r="N53" s="3140"/>
      <c r="O53" s="3140"/>
      <c r="P53" s="3108"/>
      <c r="Q53" s="3108"/>
      <c r="R53" s="3108"/>
      <c r="S53" s="3108"/>
      <c r="T53" s="3108"/>
      <c r="U53" s="3108"/>
      <c r="V53" s="3108"/>
      <c r="W53" s="3108"/>
      <c r="X53" s="3108"/>
      <c r="Y53" s="3108"/>
      <c r="Z53" s="3108"/>
      <c r="AA53" s="3108"/>
      <c r="AB53" s="3108"/>
      <c r="AC53" s="3108"/>
      <c r="AD53" s="3108"/>
      <c r="AE53" s="3108"/>
      <c r="AF53" s="3108"/>
      <c r="AG53" s="3108"/>
      <c r="AH53" s="3108"/>
    </row>
    <row r="54" spans="1:34" s="3105" customFormat="1" ht="16.5" customHeight="1" x14ac:dyDescent="0.2">
      <c r="A54" s="3123" t="s">
        <v>4745</v>
      </c>
      <c r="B54" s="3124"/>
      <c r="C54" s="3125">
        <f t="shared" ref="C54:J54" si="5">C55+C58</f>
        <v>2</v>
      </c>
      <c r="D54" s="3125">
        <f t="shared" si="5"/>
        <v>30.9</v>
      </c>
      <c r="E54" s="3127">
        <f t="shared" si="5"/>
        <v>45.099999999999994</v>
      </c>
      <c r="F54" s="3127">
        <f t="shared" si="5"/>
        <v>12</v>
      </c>
      <c r="G54" s="3127">
        <f t="shared" si="5"/>
        <v>1702.8</v>
      </c>
      <c r="H54" s="3127">
        <v>928.4</v>
      </c>
      <c r="I54" s="3127">
        <v>1370.2</v>
      </c>
      <c r="J54" s="3127">
        <f t="shared" si="5"/>
        <v>401</v>
      </c>
      <c r="K54" s="3127">
        <f>K55+K58</f>
        <v>88.2</v>
      </c>
      <c r="L54" s="3127">
        <f>L55+L58</f>
        <v>160.79999999999998</v>
      </c>
      <c r="M54" s="3088"/>
      <c r="N54" s="3118"/>
      <c r="O54" s="3118"/>
      <c r="P54" s="3088"/>
      <c r="Q54" s="3088"/>
      <c r="R54" s="3088"/>
      <c r="S54" s="3088"/>
      <c r="T54" s="3088"/>
      <c r="U54" s="3088"/>
      <c r="V54" s="3088"/>
      <c r="W54" s="3088"/>
      <c r="X54" s="3088"/>
      <c r="Y54" s="3088"/>
      <c r="Z54" s="3088"/>
      <c r="AA54" s="3088"/>
      <c r="AB54" s="3088"/>
      <c r="AC54" s="3088"/>
      <c r="AD54" s="3088"/>
      <c r="AE54" s="3088"/>
      <c r="AF54" s="3088"/>
      <c r="AG54" s="3088"/>
      <c r="AH54" s="3088"/>
    </row>
    <row r="55" spans="1:34" s="3141" customFormat="1" ht="16.5" customHeight="1" x14ac:dyDescent="0.2">
      <c r="A55" s="3492" t="s">
        <v>4746</v>
      </c>
      <c r="B55" s="3493"/>
      <c r="C55" s="3142">
        <v>2</v>
      </c>
      <c r="D55" s="3143">
        <f>D56</f>
        <v>30.9</v>
      </c>
      <c r="E55" s="3144">
        <f>E56</f>
        <v>27.4</v>
      </c>
      <c r="F55" s="3144">
        <f>F56</f>
        <v>12</v>
      </c>
      <c r="G55" s="3144">
        <f>G56</f>
        <v>1027</v>
      </c>
      <c r="H55" s="3144">
        <v>677</v>
      </c>
      <c r="I55" s="3144">
        <v>556</v>
      </c>
      <c r="J55" s="3139">
        <v>360</v>
      </c>
      <c r="K55" s="3138">
        <f>K56+K57</f>
        <v>0</v>
      </c>
      <c r="L55" s="3139">
        <f>L56+L57</f>
        <v>160.79999999999998</v>
      </c>
      <c r="M55" s="3108"/>
      <c r="N55" s="3140"/>
      <c r="O55" s="3140"/>
      <c r="P55" s="3108"/>
      <c r="Q55" s="3108"/>
      <c r="R55" s="3108"/>
      <c r="S55" s="3108"/>
      <c r="T55" s="3108"/>
      <c r="U55" s="3108"/>
      <c r="V55" s="3108"/>
      <c r="W55" s="3108"/>
      <c r="X55" s="3108"/>
      <c r="Y55" s="3108"/>
      <c r="Z55" s="3108"/>
      <c r="AA55" s="3108"/>
      <c r="AB55" s="3108"/>
      <c r="AC55" s="3108"/>
      <c r="AD55" s="3108"/>
      <c r="AE55" s="3108"/>
      <c r="AF55" s="3108"/>
      <c r="AG55" s="3108"/>
      <c r="AH55" s="3108"/>
    </row>
    <row r="56" spans="1:34" s="3105" customFormat="1" ht="16.5" customHeight="1" x14ac:dyDescent="0.2">
      <c r="A56" s="3145" t="s">
        <v>4612</v>
      </c>
      <c r="B56" s="3124"/>
      <c r="C56" s="3125"/>
      <c r="D56" s="3126">
        <v>30.9</v>
      </c>
      <c r="E56" s="3127">
        <v>27.4</v>
      </c>
      <c r="F56" s="3127">
        <v>12</v>
      </c>
      <c r="G56" s="3127">
        <v>1027</v>
      </c>
      <c r="H56" s="3127">
        <v>61</v>
      </c>
      <c r="I56" s="3127">
        <v>308.2</v>
      </c>
      <c r="J56" s="3127">
        <v>21</v>
      </c>
      <c r="K56" s="3130">
        <v>0</v>
      </c>
      <c r="L56" s="3127">
        <f>8.6+19</f>
        <v>27.6</v>
      </c>
      <c r="M56" s="3088"/>
      <c r="N56" s="3118"/>
      <c r="O56" s="3118"/>
      <c r="P56" s="3088"/>
      <c r="Q56" s="3088"/>
      <c r="R56" s="3088"/>
      <c r="S56" s="3088"/>
      <c r="T56" s="3088"/>
      <c r="U56" s="3088"/>
      <c r="V56" s="3088"/>
      <c r="W56" s="3088"/>
      <c r="X56" s="3088"/>
      <c r="Y56" s="3088"/>
      <c r="Z56" s="3088"/>
      <c r="AA56" s="3088"/>
      <c r="AB56" s="3088"/>
      <c r="AC56" s="3088"/>
      <c r="AD56" s="3088"/>
      <c r="AE56" s="3088"/>
      <c r="AF56" s="3088"/>
      <c r="AG56" s="3088"/>
      <c r="AH56" s="3088"/>
    </row>
    <row r="57" spans="1:34" s="3105" customFormat="1" ht="16.5" customHeight="1" x14ac:dyDescent="0.2">
      <c r="A57" s="3145" t="s">
        <v>245</v>
      </c>
      <c r="B57" s="3124"/>
      <c r="C57" s="3125"/>
      <c r="D57" s="3128">
        <v>0</v>
      </c>
      <c r="E57" s="3130">
        <v>0</v>
      </c>
      <c r="F57" s="3130">
        <v>0</v>
      </c>
      <c r="G57" s="3130">
        <v>0</v>
      </c>
      <c r="H57" s="3127">
        <v>616</v>
      </c>
      <c r="I57" s="3127">
        <v>247.8</v>
      </c>
      <c r="J57" s="3127">
        <v>339</v>
      </c>
      <c r="K57" s="3130">
        <v>0</v>
      </c>
      <c r="L57" s="3127">
        <v>133.19999999999999</v>
      </c>
      <c r="M57" s="3088"/>
      <c r="N57" s="3118"/>
      <c r="O57" s="3118"/>
      <c r="P57" s="3088"/>
      <c r="Q57" s="3088"/>
      <c r="R57" s="3088"/>
      <c r="S57" s="3088"/>
      <c r="T57" s="3088"/>
      <c r="U57" s="3088"/>
      <c r="V57" s="3088"/>
      <c r="W57" s="3088"/>
      <c r="X57" s="3088"/>
      <c r="Y57" s="3088"/>
      <c r="Z57" s="3088"/>
      <c r="AA57" s="3088"/>
      <c r="AB57" s="3088"/>
      <c r="AC57" s="3088"/>
      <c r="AD57" s="3088"/>
      <c r="AE57" s="3088"/>
      <c r="AF57" s="3088"/>
      <c r="AG57" s="3088"/>
      <c r="AH57" s="3088"/>
    </row>
    <row r="58" spans="1:34" s="3141" customFormat="1" ht="16.5" customHeight="1" x14ac:dyDescent="0.2">
      <c r="A58" s="3492" t="s">
        <v>4747</v>
      </c>
      <c r="B58" s="3493"/>
      <c r="C58" s="3137">
        <v>0</v>
      </c>
      <c r="D58" s="3137">
        <v>0</v>
      </c>
      <c r="E58" s="3139">
        <f>E59+E60</f>
        <v>17.7</v>
      </c>
      <c r="F58" s="3138">
        <v>0</v>
      </c>
      <c r="G58" s="3139">
        <f>G59+G60</f>
        <v>675.8</v>
      </c>
      <c r="H58" s="3139">
        <v>251</v>
      </c>
      <c r="I58" s="3139">
        <v>814.2</v>
      </c>
      <c r="J58" s="3139">
        <v>41</v>
      </c>
      <c r="K58" s="3139">
        <f>K59+K60</f>
        <v>88.2</v>
      </c>
      <c r="L58" s="3139">
        <v>0</v>
      </c>
      <c r="M58" s="3108"/>
      <c r="N58" s="3140"/>
      <c r="O58" s="3140"/>
      <c r="P58" s="3108"/>
      <c r="Q58" s="3108"/>
      <c r="R58" s="3108"/>
      <c r="S58" s="3108"/>
      <c r="T58" s="3108"/>
      <c r="U58" s="3108"/>
      <c r="V58" s="3108"/>
      <c r="W58" s="3108"/>
      <c r="X58" s="3108"/>
      <c r="Y58" s="3108"/>
      <c r="Z58" s="3108"/>
      <c r="AA58" s="3108"/>
      <c r="AB58" s="3108"/>
      <c r="AC58" s="3108"/>
      <c r="AD58" s="3108"/>
      <c r="AE58" s="3108"/>
      <c r="AF58" s="3108"/>
      <c r="AG58" s="3108"/>
      <c r="AH58" s="3108"/>
    </row>
    <row r="59" spans="1:34" s="3105" customFormat="1" ht="16.5" customHeight="1" x14ac:dyDescent="0.2">
      <c r="A59" s="3145" t="s">
        <v>4707</v>
      </c>
      <c r="B59" s="3146"/>
      <c r="C59" s="3147"/>
      <c r="D59" s="3128">
        <v>0</v>
      </c>
      <c r="E59" s="3130">
        <v>0</v>
      </c>
      <c r="F59" s="3130">
        <v>0</v>
      </c>
      <c r="G59" s="3130">
        <v>0</v>
      </c>
      <c r="H59" s="3130">
        <v>0</v>
      </c>
      <c r="I59" s="3136">
        <v>2.2000000000000002</v>
      </c>
      <c r="J59" s="3127">
        <v>6</v>
      </c>
      <c r="K59" s="3130">
        <v>0</v>
      </c>
      <c r="L59" s="3130">
        <v>0</v>
      </c>
      <c r="M59" s="3088"/>
      <c r="N59" s="3118"/>
      <c r="O59" s="3118"/>
      <c r="P59" s="3088"/>
      <c r="Q59" s="3088"/>
      <c r="R59" s="3088"/>
      <c r="S59" s="3088"/>
      <c r="T59" s="3088"/>
      <c r="U59" s="3088"/>
      <c r="V59" s="3088"/>
      <c r="W59" s="3088"/>
      <c r="X59" s="3088"/>
      <c r="Y59" s="3088"/>
      <c r="Z59" s="3088"/>
      <c r="AA59" s="3088"/>
      <c r="AB59" s="3088"/>
      <c r="AC59" s="3088"/>
      <c r="AD59" s="3088"/>
      <c r="AE59" s="3088"/>
      <c r="AF59" s="3088"/>
      <c r="AG59" s="3088"/>
      <c r="AH59" s="3088"/>
    </row>
    <row r="60" spans="1:34" s="3105" customFormat="1" ht="16.5" customHeight="1" x14ac:dyDescent="0.2">
      <c r="A60" s="3145" t="s">
        <v>245</v>
      </c>
      <c r="B60" s="3146"/>
      <c r="C60" s="3147"/>
      <c r="D60" s="3128">
        <v>0</v>
      </c>
      <c r="E60" s="3127">
        <f>1.7+16</f>
        <v>17.7</v>
      </c>
      <c r="F60" s="3130">
        <v>0</v>
      </c>
      <c r="G60" s="3127">
        <f>23+36+616.8</f>
        <v>675.8</v>
      </c>
      <c r="H60" s="3127">
        <v>251.4</v>
      </c>
      <c r="I60" s="3127">
        <v>812</v>
      </c>
      <c r="J60" s="3127">
        <v>35</v>
      </c>
      <c r="K60" s="3127">
        <f>13+74+0.3+0.9</f>
        <v>88.2</v>
      </c>
      <c r="L60" s="3127">
        <v>0</v>
      </c>
      <c r="M60" s="3088"/>
      <c r="N60" s="3118"/>
      <c r="O60" s="3118"/>
      <c r="P60" s="3088"/>
      <c r="Q60" s="3088"/>
      <c r="R60" s="3088"/>
      <c r="S60" s="3088"/>
      <c r="T60" s="3088"/>
      <c r="U60" s="3088"/>
      <c r="V60" s="3088"/>
      <c r="W60" s="3088"/>
      <c r="X60" s="3088"/>
      <c r="Y60" s="3088"/>
      <c r="Z60" s="3088"/>
      <c r="AA60" s="3088"/>
      <c r="AB60" s="3088"/>
      <c r="AC60" s="3088"/>
      <c r="AD60" s="3088"/>
      <c r="AE60" s="3088"/>
      <c r="AF60" s="3088"/>
      <c r="AG60" s="3088"/>
      <c r="AH60" s="3088"/>
    </row>
    <row r="61" spans="1:34" s="3105" customFormat="1" ht="16.5" customHeight="1" x14ac:dyDescent="0.2">
      <c r="A61" s="3148" t="s">
        <v>4748</v>
      </c>
      <c r="B61" s="3146"/>
      <c r="C61" s="3147"/>
      <c r="D61" s="3126">
        <v>34.700000000000003</v>
      </c>
      <c r="E61" s="3136">
        <v>3.5</v>
      </c>
      <c r="F61" s="3136">
        <v>11.35</v>
      </c>
      <c r="G61" s="3130">
        <v>0</v>
      </c>
      <c r="H61" s="3136">
        <v>218</v>
      </c>
      <c r="I61" s="3136">
        <v>45</v>
      </c>
      <c r="J61" s="3127">
        <v>222</v>
      </c>
      <c r="K61" s="3127">
        <v>43</v>
      </c>
      <c r="L61" s="3127">
        <f>8+10.7</f>
        <v>18.7</v>
      </c>
      <c r="M61" s="3088"/>
      <c r="N61" s="3118"/>
      <c r="O61" s="3118"/>
      <c r="P61" s="3088"/>
      <c r="Q61" s="3088"/>
      <c r="R61" s="3088"/>
      <c r="S61" s="3088"/>
      <c r="T61" s="3088"/>
      <c r="U61" s="3088"/>
      <c r="V61" s="3088"/>
      <c r="W61" s="3088"/>
      <c r="X61" s="3088"/>
      <c r="Y61" s="3088"/>
      <c r="Z61" s="3088"/>
      <c r="AA61" s="3088"/>
      <c r="AB61" s="3088"/>
      <c r="AC61" s="3088"/>
      <c r="AD61" s="3088"/>
      <c r="AE61" s="3088"/>
      <c r="AF61" s="3088"/>
      <c r="AG61" s="3088"/>
      <c r="AH61" s="3088"/>
    </row>
    <row r="62" spans="1:34" s="3105" customFormat="1" ht="12.75" customHeight="1" x14ac:dyDescent="0.2">
      <c r="A62" s="3149" t="s">
        <v>4749</v>
      </c>
      <c r="B62" s="3150"/>
      <c r="C62" s="3151">
        <v>114.907</v>
      </c>
      <c r="D62" s="3151">
        <v>30.811</v>
      </c>
      <c r="E62" s="3152">
        <v>0</v>
      </c>
      <c r="F62" s="3152">
        <v>0</v>
      </c>
      <c r="G62" s="3152">
        <v>0</v>
      </c>
      <c r="H62" s="3153">
        <v>88</v>
      </c>
      <c r="I62" s="3152">
        <v>0</v>
      </c>
      <c r="J62" s="3153">
        <v>8</v>
      </c>
      <c r="K62" s="3152">
        <v>0</v>
      </c>
      <c r="L62" s="3152">
        <v>0</v>
      </c>
      <c r="M62" s="3088"/>
      <c r="N62" s="3118"/>
      <c r="O62" s="3118"/>
      <c r="P62" s="3088"/>
      <c r="Q62" s="3088"/>
      <c r="R62" s="3088"/>
      <c r="S62" s="3088"/>
      <c r="T62" s="3088"/>
      <c r="U62" s="3088"/>
      <c r="V62" s="3088"/>
      <c r="W62" s="3088"/>
      <c r="X62" s="3088"/>
      <c r="Y62" s="3088"/>
      <c r="Z62" s="3088"/>
      <c r="AA62" s="3088"/>
      <c r="AB62" s="3088"/>
      <c r="AC62" s="3088"/>
      <c r="AD62" s="3088"/>
      <c r="AE62" s="3088"/>
      <c r="AF62" s="3088"/>
      <c r="AG62" s="3088"/>
      <c r="AH62" s="3088"/>
    </row>
    <row r="63" spans="1:34" s="3154" customFormat="1" ht="27" customHeight="1" x14ac:dyDescent="0.2">
      <c r="A63" s="3480" t="s">
        <v>4710</v>
      </c>
      <c r="B63" s="3480"/>
      <c r="C63" s="3480"/>
      <c r="D63" s="3480"/>
      <c r="E63" s="3480"/>
      <c r="F63" s="3480"/>
      <c r="G63" s="3480"/>
      <c r="H63" s="3480"/>
      <c r="I63" s="3480"/>
      <c r="J63" s="3480"/>
      <c r="K63" s="3480"/>
      <c r="L63" s="3480"/>
    </row>
    <row r="64" spans="1:34" s="3154" customFormat="1" ht="27" customHeight="1" x14ac:dyDescent="0.2">
      <c r="A64" s="3481" t="s">
        <v>4711</v>
      </c>
      <c r="B64" s="3481"/>
      <c r="C64" s="3481"/>
      <c r="D64" s="3481"/>
      <c r="E64" s="3481"/>
      <c r="F64" s="3481"/>
      <c r="G64" s="3481"/>
      <c r="H64" s="3481"/>
      <c r="I64" s="3481"/>
      <c r="J64" s="3481"/>
      <c r="K64" s="3481"/>
      <c r="L64" s="3481"/>
    </row>
    <row r="65" spans="1:12" s="3154" customFormat="1" ht="13.5" x14ac:dyDescent="0.2">
      <c r="A65" s="3076" t="s">
        <v>239</v>
      </c>
      <c r="B65" s="3077"/>
      <c r="C65" s="3077"/>
      <c r="D65" s="3077"/>
      <c r="E65" s="3077"/>
      <c r="F65" s="3077"/>
      <c r="G65" s="3075"/>
      <c r="H65" s="3474"/>
      <c r="I65" s="3475"/>
      <c r="J65" s="3475"/>
      <c r="K65" s="3078"/>
      <c r="L65" s="3078"/>
    </row>
    <row r="66" spans="1:12" s="3154" customFormat="1" ht="12" x14ac:dyDescent="0.2">
      <c r="A66" s="3076" t="s">
        <v>4712</v>
      </c>
      <c r="B66" s="3075"/>
      <c r="C66" s="3075"/>
      <c r="D66" s="3075"/>
      <c r="E66" s="3075"/>
      <c r="F66" s="3075"/>
      <c r="G66" s="3075"/>
      <c r="H66" s="3075"/>
      <c r="I66" s="3075"/>
      <c r="J66" s="3075"/>
      <c r="K66" s="3075"/>
    </row>
    <row r="67" spans="1:12" s="3084" customFormat="1" ht="12" x14ac:dyDescent="0.2">
      <c r="E67" s="3155"/>
      <c r="F67" s="3156"/>
    </row>
    <row r="68" spans="1:12" s="3084" customFormat="1" ht="12" x14ac:dyDescent="0.2">
      <c r="E68" s="3155"/>
      <c r="F68" s="3155"/>
    </row>
    <row r="69" spans="1:12" s="3084" customFormat="1" ht="12" x14ac:dyDescent="0.2">
      <c r="E69" s="3155"/>
      <c r="F69" s="3155"/>
    </row>
    <row r="70" spans="1:12" s="3084" customFormat="1" ht="12" x14ac:dyDescent="0.2">
      <c r="E70" s="3155"/>
      <c r="F70" s="3155"/>
    </row>
    <row r="71" spans="1:12" s="3084" customFormat="1" ht="12" x14ac:dyDescent="0.2">
      <c r="E71" s="3155"/>
      <c r="F71" s="3155"/>
    </row>
    <row r="72" spans="1:12" s="3084" customFormat="1" ht="12" x14ac:dyDescent="0.2">
      <c r="E72" s="3155"/>
      <c r="F72" s="3155"/>
    </row>
    <row r="73" spans="1:12" s="3084" customFormat="1" ht="12" x14ac:dyDescent="0.2">
      <c r="E73" s="3088"/>
      <c r="F73" s="3088"/>
    </row>
    <row r="74" spans="1:12" s="3084" customFormat="1" ht="12" x14ac:dyDescent="0.2">
      <c r="E74" s="3088"/>
      <c r="F74" s="3088"/>
    </row>
    <row r="75" spans="1:12" s="3084" customFormat="1" ht="12" x14ac:dyDescent="0.2">
      <c r="E75" s="3088"/>
      <c r="F75" s="3088"/>
    </row>
    <row r="76" spans="1:12" s="3084" customFormat="1" ht="12" x14ac:dyDescent="0.2">
      <c r="E76" s="3088"/>
      <c r="F76" s="3088"/>
    </row>
    <row r="77" spans="1:12" s="3084" customFormat="1" ht="12" x14ac:dyDescent="0.2">
      <c r="E77" s="3088"/>
      <c r="F77" s="3088"/>
    </row>
    <row r="78" spans="1:12" s="3084" customFormat="1" ht="12" x14ac:dyDescent="0.2">
      <c r="E78" s="3088"/>
      <c r="F78" s="3088"/>
    </row>
    <row r="79" spans="1:12" ht="12" x14ac:dyDescent="0.2">
      <c r="E79" s="3089"/>
      <c r="F79" s="3089"/>
    </row>
  </sheetData>
  <mergeCells count="24">
    <mergeCell ref="L4:L5"/>
    <mergeCell ref="A4:A5"/>
    <mergeCell ref="B4:B5"/>
    <mergeCell ref="C4:C5"/>
    <mergeCell ref="D4:D5"/>
    <mergeCell ref="E4:E5"/>
    <mergeCell ref="F4:F5"/>
    <mergeCell ref="G4:G5"/>
    <mergeCell ref="H4:H5"/>
    <mergeCell ref="I4:I5"/>
    <mergeCell ref="J4:J5"/>
    <mergeCell ref="K4:K5"/>
    <mergeCell ref="H65:J65"/>
    <mergeCell ref="A24:B24"/>
    <mergeCell ref="A25:L25"/>
    <mergeCell ref="A30:B30"/>
    <mergeCell ref="A31:B31"/>
    <mergeCell ref="A32:B32"/>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I4" sqref="I4"/>
    </sheetView>
  </sheetViews>
  <sheetFormatPr defaultRowHeight="15" x14ac:dyDescent="0.25"/>
  <cols>
    <col min="1" max="1" width="30.5703125" style="3002" customWidth="1"/>
    <col min="2" max="2" width="16.7109375" style="3002" customWidth="1"/>
    <col min="3" max="3" width="30.5703125" style="3002" customWidth="1"/>
    <col min="4" max="4" width="19.85546875" style="3002" customWidth="1"/>
    <col min="5" max="5" width="18.7109375" style="3002" customWidth="1"/>
    <col min="6" max="6" width="15.42578125" style="3003" customWidth="1"/>
    <col min="7" max="7" width="9.140625" style="3003"/>
    <col min="8" max="16384" width="9.140625" style="3002"/>
  </cols>
  <sheetData>
    <row r="2" spans="1:7" ht="42" customHeight="1" x14ac:dyDescent="0.25">
      <c r="A2" s="3512" t="s">
        <v>4606</v>
      </c>
      <c r="B2" s="3512"/>
      <c r="C2" s="3512"/>
      <c r="D2" s="3512"/>
    </row>
    <row r="3" spans="1:7" ht="30" customHeight="1" thickBot="1" x14ac:dyDescent="0.4">
      <c r="A3" s="3004"/>
      <c r="B3" s="3004"/>
      <c r="C3" s="3004"/>
      <c r="D3" s="3005" t="s">
        <v>3724</v>
      </c>
    </row>
    <row r="4" spans="1:7" ht="39.75" customHeight="1" thickBot="1" x14ac:dyDescent="0.3">
      <c r="A4" s="3513" t="s">
        <v>4607</v>
      </c>
      <c r="B4" s="3514"/>
      <c r="C4" s="3513" t="s">
        <v>4608</v>
      </c>
      <c r="D4" s="3513"/>
    </row>
    <row r="5" spans="1:7" ht="41.25" customHeight="1" thickBot="1" x14ac:dyDescent="0.3">
      <c r="A5" s="3006" t="s">
        <v>4609</v>
      </c>
      <c r="B5" s="3007">
        <v>297248</v>
      </c>
      <c r="C5" s="3006" t="s">
        <v>4610</v>
      </c>
      <c r="D5" s="3008">
        <v>229933</v>
      </c>
    </row>
    <row r="6" spans="1:7" s="3012" customFormat="1" ht="30" customHeight="1" x14ac:dyDescent="0.25">
      <c r="A6" s="3009" t="s">
        <v>4611</v>
      </c>
      <c r="B6" s="3010">
        <v>46552</v>
      </c>
      <c r="C6" s="3009" t="s">
        <v>4612</v>
      </c>
      <c r="D6" s="3011">
        <v>108312</v>
      </c>
      <c r="F6" s="3013"/>
      <c r="G6" s="3014"/>
    </row>
    <row r="7" spans="1:7" s="3012" customFormat="1" ht="30" customHeight="1" x14ac:dyDescent="0.25">
      <c r="A7" s="3015" t="s">
        <v>4613</v>
      </c>
      <c r="B7" s="3016">
        <v>34771</v>
      </c>
      <c r="C7" s="3015" t="s">
        <v>4614</v>
      </c>
      <c r="D7" s="3017">
        <v>25184</v>
      </c>
      <c r="F7" s="3013"/>
      <c r="G7" s="3014"/>
    </row>
    <row r="8" spans="1:7" s="3012" customFormat="1" ht="30" customHeight="1" x14ac:dyDescent="0.25">
      <c r="A8" s="3015" t="s">
        <v>4612</v>
      </c>
      <c r="B8" s="3016">
        <v>26167</v>
      </c>
      <c r="C8" s="3015" t="s">
        <v>4615</v>
      </c>
      <c r="D8" s="3017">
        <v>14375</v>
      </c>
      <c r="F8" s="3013"/>
      <c r="G8" s="3014"/>
    </row>
    <row r="9" spans="1:7" s="3012" customFormat="1" ht="30" customHeight="1" x14ac:dyDescent="0.25">
      <c r="A9" s="3015" t="s">
        <v>4616</v>
      </c>
      <c r="B9" s="3016">
        <v>24259</v>
      </c>
      <c r="C9" s="3015" t="s">
        <v>4611</v>
      </c>
      <c r="D9" s="3017">
        <v>5337</v>
      </c>
      <c r="F9" s="3013"/>
      <c r="G9" s="3014"/>
    </row>
    <row r="10" spans="1:7" s="3012" customFormat="1" ht="30" customHeight="1" x14ac:dyDescent="0.25">
      <c r="A10" s="3015" t="s">
        <v>4617</v>
      </c>
      <c r="B10" s="3016">
        <v>11809</v>
      </c>
      <c r="C10" s="3015" t="s">
        <v>4618</v>
      </c>
      <c r="D10" s="3017">
        <v>4949</v>
      </c>
      <c r="F10" s="3013"/>
      <c r="G10" s="3014"/>
    </row>
    <row r="11" spans="1:7" s="3012" customFormat="1" ht="30" customHeight="1" x14ac:dyDescent="0.25">
      <c r="A11" s="3015" t="s">
        <v>4618</v>
      </c>
      <c r="B11" s="3016">
        <v>9387</v>
      </c>
      <c r="C11" s="3015" t="s">
        <v>4616</v>
      </c>
      <c r="D11" s="3017">
        <v>4494</v>
      </c>
      <c r="F11" s="3013"/>
      <c r="G11" s="3014"/>
    </row>
    <row r="12" spans="1:7" s="3012" customFormat="1" ht="30" customHeight="1" x14ac:dyDescent="0.25">
      <c r="A12" s="3015" t="s">
        <v>4614</v>
      </c>
      <c r="B12" s="3016">
        <v>8376</v>
      </c>
      <c r="C12" s="3015" t="s">
        <v>4619</v>
      </c>
      <c r="D12" s="3017">
        <v>4208</v>
      </c>
      <c r="F12" s="3013"/>
      <c r="G12" s="3014"/>
    </row>
    <row r="13" spans="1:7" s="3012" customFormat="1" ht="30" customHeight="1" x14ac:dyDescent="0.25">
      <c r="A13" s="3015" t="s">
        <v>4620</v>
      </c>
      <c r="B13" s="3016">
        <v>6422</v>
      </c>
      <c r="C13" s="3015" t="s">
        <v>4621</v>
      </c>
      <c r="D13" s="3017">
        <v>4076</v>
      </c>
      <c r="F13" s="3013"/>
      <c r="G13" s="3014"/>
    </row>
    <row r="14" spans="1:7" s="3012" customFormat="1" ht="30" customHeight="1" x14ac:dyDescent="0.25">
      <c r="A14" s="3015" t="s">
        <v>4622</v>
      </c>
      <c r="B14" s="3016">
        <v>6302</v>
      </c>
      <c r="C14" s="3015" t="s">
        <v>4617</v>
      </c>
      <c r="D14" s="3017">
        <v>3288</v>
      </c>
      <c r="F14" s="3013"/>
      <c r="G14" s="3014"/>
    </row>
    <row r="15" spans="1:7" s="3012" customFormat="1" ht="30" customHeight="1" thickBot="1" x14ac:dyDescent="0.3">
      <c r="A15" s="3018" t="s">
        <v>4623</v>
      </c>
      <c r="B15" s="3019">
        <v>5988</v>
      </c>
      <c r="C15" s="3018" t="s">
        <v>4624</v>
      </c>
      <c r="D15" s="3020">
        <v>3091</v>
      </c>
      <c r="F15" s="3013"/>
      <c r="G15" s="3014"/>
    </row>
    <row r="16" spans="1:7" s="3012" customFormat="1" ht="17.25" customHeight="1" x14ac:dyDescent="0.25">
      <c r="A16" s="3515" t="s">
        <v>4625</v>
      </c>
      <c r="B16" s="3515"/>
      <c r="C16" s="3515"/>
      <c r="D16" s="3515"/>
      <c r="F16" s="3013"/>
      <c r="G16" s="3014"/>
    </row>
    <row r="17" spans="1:2" x14ac:dyDescent="0.25">
      <c r="A17" s="3021" t="s">
        <v>4626</v>
      </c>
      <c r="B17" s="3022"/>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view="pageBreakPreview" zoomScale="70" zoomScaleNormal="60" zoomScaleSheetLayoutView="70" workbookViewId="0">
      <selection sqref="A1:F1"/>
    </sheetView>
  </sheetViews>
  <sheetFormatPr defaultRowHeight="24" x14ac:dyDescent="0.45"/>
  <cols>
    <col min="1" max="1" width="7.5703125" style="3219" customWidth="1"/>
    <col min="2" max="2" width="57.28515625" style="3175" customWidth="1"/>
    <col min="3" max="8" width="20.7109375" style="3159" customWidth="1"/>
    <col min="9" max="10" width="9.140625" style="3159"/>
    <col min="11" max="11" width="10.140625" style="3159" bestFit="1" customWidth="1"/>
    <col min="12" max="12" width="10.5703125" style="3159" bestFit="1" customWidth="1"/>
    <col min="13" max="16384" width="9.140625" style="3159"/>
  </cols>
  <sheetData>
    <row r="1" spans="1:11" ht="46.5" customHeight="1" x14ac:dyDescent="0.55000000000000004">
      <c r="A1" s="3516" t="s">
        <v>4750</v>
      </c>
      <c r="B1" s="3517"/>
      <c r="C1" s="3517"/>
      <c r="D1" s="3517"/>
      <c r="E1" s="3517"/>
      <c r="F1" s="3517"/>
      <c r="G1" s="3158"/>
      <c r="H1" s="3158"/>
    </row>
    <row r="2" spans="1:11" ht="34.5" customHeight="1" thickBot="1" x14ac:dyDescent="0.5">
      <c r="A2" s="3160"/>
      <c r="B2" s="3161"/>
      <c r="C2" s="3162"/>
      <c r="D2" s="3162"/>
      <c r="E2" s="3162"/>
      <c r="F2" s="3162"/>
      <c r="H2" s="3162" t="s">
        <v>73</v>
      </c>
    </row>
    <row r="3" spans="1:11" s="3166" customFormat="1" ht="46.5" customHeight="1" thickBot="1" x14ac:dyDescent="0.55000000000000004">
      <c r="A3" s="3163"/>
      <c r="B3" s="3164"/>
      <c r="C3" s="3518" t="s">
        <v>4751</v>
      </c>
      <c r="D3" s="3519"/>
      <c r="E3" s="3519"/>
      <c r="F3" s="3520"/>
      <c r="G3" s="3521" t="s">
        <v>4751</v>
      </c>
      <c r="H3" s="3165" t="s">
        <v>4752</v>
      </c>
    </row>
    <row r="4" spans="1:11" s="3166" customFormat="1" ht="63" customHeight="1" x14ac:dyDescent="0.5">
      <c r="A4" s="3167"/>
      <c r="B4" s="3168"/>
      <c r="C4" s="3169" t="s">
        <v>4753</v>
      </c>
      <c r="D4" s="3169" t="s">
        <v>4754</v>
      </c>
      <c r="E4" s="3169" t="s">
        <v>4755</v>
      </c>
      <c r="F4" s="3170" t="s">
        <v>4756</v>
      </c>
      <c r="G4" s="3522"/>
      <c r="H4" s="3169" t="s">
        <v>4753</v>
      </c>
    </row>
    <row r="5" spans="1:11" s="3175" customFormat="1" ht="17.25" customHeight="1" x14ac:dyDescent="0.45">
      <c r="A5" s="3171"/>
      <c r="B5" s="3172"/>
      <c r="C5" s="3173"/>
      <c r="D5" s="3173"/>
      <c r="E5" s="3173"/>
      <c r="F5" s="3173"/>
      <c r="G5" s="3174"/>
      <c r="H5" s="3174"/>
    </row>
    <row r="6" spans="1:11" s="3178" customFormat="1" ht="27.75" customHeight="1" x14ac:dyDescent="0.45">
      <c r="A6" s="3171" t="s">
        <v>4757</v>
      </c>
      <c r="B6" s="3176" t="s">
        <v>4758</v>
      </c>
      <c r="C6" s="3177">
        <f t="shared" ref="C6:E6" si="0">C7+C41+C71</f>
        <v>-6299</v>
      </c>
      <c r="D6" s="3177">
        <f t="shared" si="0"/>
        <v>-5227.0467312402325</v>
      </c>
      <c r="E6" s="3177">
        <f t="shared" si="0"/>
        <v>-5964</v>
      </c>
      <c r="F6" s="3177">
        <f>F7+F41+F71</f>
        <v>-2214</v>
      </c>
      <c r="G6" s="3177">
        <f>C6+D6+E6+F6</f>
        <v>-19704.046731240232</v>
      </c>
      <c r="H6" s="3177">
        <v>-2507</v>
      </c>
      <c r="K6" s="3179"/>
    </row>
    <row r="7" spans="1:11" s="3178" customFormat="1" ht="27.75" customHeight="1" x14ac:dyDescent="0.45">
      <c r="A7" s="3171" t="s">
        <v>4759</v>
      </c>
      <c r="B7" s="3176" t="s">
        <v>4760</v>
      </c>
      <c r="C7" s="3177">
        <f>C8+C18</f>
        <v>-8738</v>
      </c>
      <c r="D7" s="3177">
        <f t="shared" ref="D7:F7" si="1">D8+D18</f>
        <v>-10271</v>
      </c>
      <c r="E7" s="3177">
        <f t="shared" si="1"/>
        <v>-12126</v>
      </c>
      <c r="F7" s="3177">
        <f t="shared" si="1"/>
        <v>-12400</v>
      </c>
      <c r="G7" s="3177">
        <f t="shared" ref="G7:G53" si="2">C7+D7+E7+F7</f>
        <v>-43535</v>
      </c>
      <c r="H7" s="3177">
        <v>-5079</v>
      </c>
    </row>
    <row r="8" spans="1:11" s="3178" customFormat="1" ht="27.75" customHeight="1" x14ac:dyDescent="0.45">
      <c r="A8" s="3171"/>
      <c r="B8" s="3176" t="s">
        <v>4761</v>
      </c>
      <c r="C8" s="3177">
        <f>C9+C10</f>
        <v>-14241</v>
      </c>
      <c r="D8" s="3177">
        <f>D9+D10</f>
        <v>-15501</v>
      </c>
      <c r="E8" s="3177">
        <f>E9+E10</f>
        <v>-15520</v>
      </c>
      <c r="F8" s="3177">
        <f>F9+F10</f>
        <v>-19368</v>
      </c>
      <c r="G8" s="3177">
        <f t="shared" si="2"/>
        <v>-64630</v>
      </c>
      <c r="H8" s="3177">
        <v>-14159</v>
      </c>
    </row>
    <row r="9" spans="1:11" s="3175" customFormat="1" ht="27.75" customHeight="1" x14ac:dyDescent="0.45">
      <c r="A9" s="3171"/>
      <c r="B9" s="3180" t="s">
        <v>4762</v>
      </c>
      <c r="C9" s="3181">
        <f t="shared" ref="C9:F10" si="3">C12+C15</f>
        <v>22484</v>
      </c>
      <c r="D9" s="3181">
        <f t="shared" si="3"/>
        <v>25063</v>
      </c>
      <c r="E9" s="3181">
        <f t="shared" si="3"/>
        <v>24032</v>
      </c>
      <c r="F9" s="3181">
        <f t="shared" si="3"/>
        <v>22529</v>
      </c>
      <c r="G9" s="3181">
        <f t="shared" si="2"/>
        <v>94108</v>
      </c>
      <c r="H9" s="3181">
        <v>21158</v>
      </c>
    </row>
    <row r="10" spans="1:11" s="3175" customFormat="1" ht="27.75" customHeight="1" x14ac:dyDescent="0.45">
      <c r="A10" s="3171"/>
      <c r="B10" s="3180" t="s">
        <v>4763</v>
      </c>
      <c r="C10" s="3182">
        <f t="shared" si="3"/>
        <v>-36725</v>
      </c>
      <c r="D10" s="3182">
        <f>D13+D16</f>
        <v>-40564</v>
      </c>
      <c r="E10" s="3182">
        <f>E13+E16</f>
        <v>-39552</v>
      </c>
      <c r="F10" s="3182">
        <f>F13+F16</f>
        <v>-41897</v>
      </c>
      <c r="G10" s="3182">
        <f t="shared" si="2"/>
        <v>-158738</v>
      </c>
      <c r="H10" s="3182">
        <v>-35317</v>
      </c>
    </row>
    <row r="11" spans="1:11" s="3175" customFormat="1" ht="27.75" customHeight="1" x14ac:dyDescent="0.45">
      <c r="A11" s="3171"/>
      <c r="B11" s="3180" t="s">
        <v>4764</v>
      </c>
      <c r="C11" s="3181">
        <f t="shared" ref="C11:F11" si="4">C12+C13</f>
        <v>-15608</v>
      </c>
      <c r="D11" s="3181">
        <f t="shared" si="4"/>
        <v>-17094</v>
      </c>
      <c r="E11" s="3181">
        <f t="shared" si="4"/>
        <v>-16815</v>
      </c>
      <c r="F11" s="3181">
        <f t="shared" si="4"/>
        <v>-20919</v>
      </c>
      <c r="G11" s="3181">
        <f t="shared" si="2"/>
        <v>-70436</v>
      </c>
      <c r="H11" s="3181">
        <v>-15295</v>
      </c>
    </row>
    <row r="12" spans="1:11" s="3175" customFormat="1" ht="27.75" customHeight="1" x14ac:dyDescent="0.45">
      <c r="A12" s="3171"/>
      <c r="B12" s="3180" t="s">
        <v>4765</v>
      </c>
      <c r="C12" s="3181">
        <v>20584</v>
      </c>
      <c r="D12" s="3181">
        <v>22913</v>
      </c>
      <c r="E12" s="3181">
        <v>22132</v>
      </c>
      <c r="F12" s="3181">
        <v>20479</v>
      </c>
      <c r="G12" s="3181">
        <f t="shared" si="2"/>
        <v>86108</v>
      </c>
      <c r="H12" s="3181">
        <v>19658</v>
      </c>
    </row>
    <row r="13" spans="1:11" s="3175" customFormat="1" ht="27.75" customHeight="1" x14ac:dyDescent="0.45">
      <c r="A13" s="3171"/>
      <c r="B13" s="3180" t="s">
        <v>4766</v>
      </c>
      <c r="C13" s="3181">
        <v>-36192</v>
      </c>
      <c r="D13" s="3181">
        <v>-40007</v>
      </c>
      <c r="E13" s="3181">
        <v>-38947</v>
      </c>
      <c r="F13" s="3181">
        <v>-41398</v>
      </c>
      <c r="G13" s="3181">
        <f t="shared" si="2"/>
        <v>-156544</v>
      </c>
      <c r="H13" s="3181">
        <v>-34953</v>
      </c>
    </row>
    <row r="14" spans="1:11" s="3175" customFormat="1" ht="27.75" customHeight="1" x14ac:dyDescent="0.45">
      <c r="A14" s="3183"/>
      <c r="B14" s="3180" t="s">
        <v>4767</v>
      </c>
      <c r="C14" s="3182">
        <f t="shared" ref="C14:F14" si="5">C15+C16</f>
        <v>1367</v>
      </c>
      <c r="D14" s="3182">
        <f t="shared" si="5"/>
        <v>1593</v>
      </c>
      <c r="E14" s="3182">
        <f t="shared" si="5"/>
        <v>1295</v>
      </c>
      <c r="F14" s="3182">
        <f t="shared" si="5"/>
        <v>1551</v>
      </c>
      <c r="G14" s="3182">
        <f t="shared" si="2"/>
        <v>5806</v>
      </c>
      <c r="H14" s="3182">
        <v>1136</v>
      </c>
    </row>
    <row r="15" spans="1:11" s="3175" customFormat="1" ht="27.75" customHeight="1" x14ac:dyDescent="0.45">
      <c r="A15" s="3171"/>
      <c r="B15" s="3180" t="s">
        <v>4765</v>
      </c>
      <c r="C15" s="3181">
        <v>1900</v>
      </c>
      <c r="D15" s="3181">
        <v>2150</v>
      </c>
      <c r="E15" s="3181">
        <v>1900</v>
      </c>
      <c r="F15" s="3181">
        <v>2050</v>
      </c>
      <c r="G15" s="3181">
        <f t="shared" si="2"/>
        <v>8000</v>
      </c>
      <c r="H15" s="3181">
        <v>1500</v>
      </c>
    </row>
    <row r="16" spans="1:11" s="3175" customFormat="1" ht="27.75" customHeight="1" x14ac:dyDescent="0.45">
      <c r="A16" s="3171"/>
      <c r="B16" s="3180" t="s">
        <v>4766</v>
      </c>
      <c r="C16" s="3182">
        <v>-533</v>
      </c>
      <c r="D16" s="3182">
        <v>-557</v>
      </c>
      <c r="E16" s="3182">
        <v>-605</v>
      </c>
      <c r="F16" s="3182">
        <v>-499</v>
      </c>
      <c r="G16" s="3182">
        <f t="shared" si="2"/>
        <v>-2194</v>
      </c>
      <c r="H16" s="3182">
        <v>-364</v>
      </c>
    </row>
    <row r="17" spans="1:10" s="3175" customFormat="1" ht="27.75" customHeight="1" x14ac:dyDescent="0.45">
      <c r="A17" s="3171"/>
      <c r="B17" s="3180" t="s">
        <v>4768</v>
      </c>
      <c r="C17" s="3181">
        <v>-192</v>
      </c>
      <c r="D17" s="3181">
        <v>-231</v>
      </c>
      <c r="E17" s="3181">
        <v>-177</v>
      </c>
      <c r="F17" s="3181">
        <v>-151</v>
      </c>
      <c r="G17" s="3181">
        <f t="shared" si="2"/>
        <v>-751</v>
      </c>
      <c r="H17" s="3181">
        <v>-195</v>
      </c>
    </row>
    <row r="18" spans="1:10" s="3178" customFormat="1" ht="27.75" customHeight="1" x14ac:dyDescent="0.45">
      <c r="A18" s="3171"/>
      <c r="B18" s="3176" t="s">
        <v>4769</v>
      </c>
      <c r="C18" s="3184">
        <f>C19+C30</f>
        <v>5503</v>
      </c>
      <c r="D18" s="3184">
        <f t="shared" ref="D18:F18" si="6">D19+D30</f>
        <v>5230</v>
      </c>
      <c r="E18" s="3184">
        <f t="shared" si="6"/>
        <v>3394</v>
      </c>
      <c r="F18" s="3184">
        <f t="shared" si="6"/>
        <v>6968</v>
      </c>
      <c r="G18" s="3184">
        <f t="shared" si="2"/>
        <v>21095</v>
      </c>
      <c r="H18" s="3184">
        <v>9080</v>
      </c>
    </row>
    <row r="19" spans="1:10" s="3175" customFormat="1" ht="27.75" customHeight="1" x14ac:dyDescent="0.45">
      <c r="A19" s="3171"/>
      <c r="B19" s="3180" t="s">
        <v>4770</v>
      </c>
      <c r="C19" s="3182">
        <f t="shared" ref="C19:F19" si="7">C20+C24+C27</f>
        <v>25046</v>
      </c>
      <c r="D19" s="3182">
        <f t="shared" si="7"/>
        <v>23993</v>
      </c>
      <c r="E19" s="3182">
        <f t="shared" si="7"/>
        <v>23387</v>
      </c>
      <c r="F19" s="3182">
        <f t="shared" si="7"/>
        <v>27209</v>
      </c>
      <c r="G19" s="3182">
        <f t="shared" si="2"/>
        <v>99635</v>
      </c>
      <c r="H19" s="3182">
        <v>26540</v>
      </c>
    </row>
    <row r="20" spans="1:10" s="3175" customFormat="1" ht="27.75" customHeight="1" x14ac:dyDescent="0.45">
      <c r="A20" s="3171"/>
      <c r="B20" s="3180" t="s">
        <v>4771</v>
      </c>
      <c r="C20" s="3181">
        <f>SUM(C21:C23)</f>
        <v>3121</v>
      </c>
      <c r="D20" s="3181">
        <f t="shared" ref="D20:E20" si="8">SUM(D21:D23)</f>
        <v>2451</v>
      </c>
      <c r="E20" s="3181">
        <f t="shared" si="8"/>
        <v>2975</v>
      </c>
      <c r="F20" s="3181">
        <f>SUM(F21:F23)</f>
        <v>3300</v>
      </c>
      <c r="G20" s="3181">
        <f t="shared" si="2"/>
        <v>11847</v>
      </c>
      <c r="H20" s="3181">
        <v>3263</v>
      </c>
    </row>
    <row r="21" spans="1:10" s="3188" customFormat="1" ht="27.75" customHeight="1" x14ac:dyDescent="0.45">
      <c r="A21" s="3185"/>
      <c r="B21" s="3186" t="s">
        <v>4772</v>
      </c>
      <c r="C21" s="3187">
        <v>2236</v>
      </c>
      <c r="D21" s="3187">
        <v>1669</v>
      </c>
      <c r="E21" s="3187">
        <v>2270</v>
      </c>
      <c r="F21" s="3187">
        <v>2488</v>
      </c>
      <c r="G21" s="3187">
        <f t="shared" si="2"/>
        <v>8663</v>
      </c>
      <c r="H21" s="3187">
        <v>2346</v>
      </c>
    </row>
    <row r="22" spans="1:10" s="3188" customFormat="1" ht="27.75" customHeight="1" x14ac:dyDescent="0.45">
      <c r="A22" s="3185"/>
      <c r="B22" s="3186" t="s">
        <v>4773</v>
      </c>
      <c r="C22" s="3187">
        <v>180</v>
      </c>
      <c r="D22" s="3187">
        <v>178</v>
      </c>
      <c r="E22" s="3187">
        <v>145</v>
      </c>
      <c r="F22" s="3187">
        <v>199</v>
      </c>
      <c r="G22" s="3187">
        <f t="shared" si="2"/>
        <v>702</v>
      </c>
      <c r="H22" s="3187">
        <v>184</v>
      </c>
    </row>
    <row r="23" spans="1:10" s="3188" customFormat="1" ht="27.75" customHeight="1" x14ac:dyDescent="0.45">
      <c r="A23" s="3185"/>
      <c r="B23" s="3186" t="s">
        <v>4774</v>
      </c>
      <c r="C23" s="3187">
        <v>705</v>
      </c>
      <c r="D23" s="3187">
        <v>604</v>
      </c>
      <c r="E23" s="3187">
        <v>560</v>
      </c>
      <c r="F23" s="3187">
        <v>613</v>
      </c>
      <c r="G23" s="3187">
        <f t="shared" si="2"/>
        <v>2482</v>
      </c>
      <c r="H23" s="3187">
        <v>733</v>
      </c>
    </row>
    <row r="24" spans="1:10" s="3175" customFormat="1" ht="27.75" customHeight="1" x14ac:dyDescent="0.45">
      <c r="A24" s="3183"/>
      <c r="B24" s="3180" t="s">
        <v>4775</v>
      </c>
      <c r="C24" s="3182">
        <f t="shared" ref="C24:F24" si="9">C25+C26</f>
        <v>13172</v>
      </c>
      <c r="D24" s="3182">
        <f t="shared" si="9"/>
        <v>11068</v>
      </c>
      <c r="E24" s="3182">
        <f t="shared" si="9"/>
        <v>10929</v>
      </c>
      <c r="F24" s="3182">
        <f t="shared" si="9"/>
        <v>15022</v>
      </c>
      <c r="G24" s="3182">
        <f t="shared" si="2"/>
        <v>50191</v>
      </c>
      <c r="H24" s="3182">
        <v>15003</v>
      </c>
    </row>
    <row r="25" spans="1:10" s="3188" customFormat="1" ht="27.75" customHeight="1" x14ac:dyDescent="0.45">
      <c r="A25" s="3185"/>
      <c r="B25" s="3186" t="s">
        <v>4776</v>
      </c>
      <c r="C25" s="3187">
        <v>4182</v>
      </c>
      <c r="D25" s="3187">
        <v>3659</v>
      </c>
      <c r="E25" s="3187">
        <v>3010</v>
      </c>
      <c r="F25" s="3187">
        <v>4876</v>
      </c>
      <c r="G25" s="3187">
        <f t="shared" si="2"/>
        <v>15727</v>
      </c>
      <c r="H25" s="3187">
        <v>5114</v>
      </c>
    </row>
    <row r="26" spans="1:10" s="3188" customFormat="1" ht="27.75" customHeight="1" x14ac:dyDescent="0.45">
      <c r="A26" s="3189"/>
      <c r="B26" s="3186" t="s">
        <v>4777</v>
      </c>
      <c r="C26" s="3187">
        <v>8990</v>
      </c>
      <c r="D26" s="3187">
        <v>7409</v>
      </c>
      <c r="E26" s="3187">
        <v>7919</v>
      </c>
      <c r="F26" s="3187">
        <v>10146</v>
      </c>
      <c r="G26" s="3187">
        <f t="shared" si="2"/>
        <v>34464</v>
      </c>
      <c r="H26" s="3187">
        <v>9889</v>
      </c>
    </row>
    <row r="27" spans="1:10" s="3175" customFormat="1" ht="27.75" customHeight="1" x14ac:dyDescent="0.45">
      <c r="A27" s="3171"/>
      <c r="B27" s="3180" t="s">
        <v>4778</v>
      </c>
      <c r="C27" s="3182">
        <f t="shared" ref="C27:E27" si="10">C28+C29</f>
        <v>8753</v>
      </c>
      <c r="D27" s="3182">
        <f t="shared" si="10"/>
        <v>10474</v>
      </c>
      <c r="E27" s="3182">
        <f t="shared" si="10"/>
        <v>9483</v>
      </c>
      <c r="F27" s="3182">
        <f>F28+F29</f>
        <v>8887</v>
      </c>
      <c r="G27" s="3182">
        <f t="shared" si="2"/>
        <v>37597</v>
      </c>
      <c r="H27" s="3182">
        <v>8274</v>
      </c>
      <c r="J27" s="3190"/>
    </row>
    <row r="28" spans="1:10" s="3188" customFormat="1" ht="27.75" customHeight="1" x14ac:dyDescent="0.45">
      <c r="A28" s="3185"/>
      <c r="B28" s="3186" t="s">
        <v>4779</v>
      </c>
      <c r="C28" s="3187">
        <v>8357</v>
      </c>
      <c r="D28" s="3187">
        <v>10157</v>
      </c>
      <c r="E28" s="3187">
        <v>9097</v>
      </c>
      <c r="F28" s="3187">
        <v>8547</v>
      </c>
      <c r="G28" s="3187">
        <f t="shared" si="2"/>
        <v>36158</v>
      </c>
      <c r="H28" s="3187">
        <v>8060</v>
      </c>
    </row>
    <row r="29" spans="1:10" s="3188" customFormat="1" ht="27.75" customHeight="1" x14ac:dyDescent="0.45">
      <c r="A29" s="3185"/>
      <c r="B29" s="3186" t="s">
        <v>4780</v>
      </c>
      <c r="C29" s="3187">
        <v>396</v>
      </c>
      <c r="D29" s="3187">
        <v>317</v>
      </c>
      <c r="E29" s="3187">
        <v>386</v>
      </c>
      <c r="F29" s="3187">
        <v>340</v>
      </c>
      <c r="G29" s="3187">
        <f t="shared" si="2"/>
        <v>1439</v>
      </c>
      <c r="H29" s="3187">
        <v>214</v>
      </c>
    </row>
    <row r="30" spans="1:10" s="3175" customFormat="1" ht="27.75" customHeight="1" x14ac:dyDescent="0.45">
      <c r="A30" s="3171"/>
      <c r="B30" s="3180" t="s">
        <v>4781</v>
      </c>
      <c r="C30" s="3181">
        <f t="shared" ref="C30:F30" si="11">C31+C35+C38</f>
        <v>-19543</v>
      </c>
      <c r="D30" s="3181">
        <f t="shared" si="11"/>
        <v>-18763</v>
      </c>
      <c r="E30" s="3181">
        <f t="shared" si="11"/>
        <v>-19993</v>
      </c>
      <c r="F30" s="3181">
        <f t="shared" si="11"/>
        <v>-20241</v>
      </c>
      <c r="G30" s="3181">
        <f t="shared" si="2"/>
        <v>-78540</v>
      </c>
      <c r="H30" s="3181">
        <v>-17460</v>
      </c>
    </row>
    <row r="31" spans="1:10" s="3175" customFormat="1" ht="27.75" customHeight="1" x14ac:dyDescent="0.45">
      <c r="A31" s="3171"/>
      <c r="B31" s="3180" t="s">
        <v>4771</v>
      </c>
      <c r="C31" s="3181">
        <f>SUM(C32:C34)</f>
        <v>-5228</v>
      </c>
      <c r="D31" s="3181">
        <f t="shared" ref="D31:F31" si="12">SUM(D32:D34)</f>
        <v>-4826</v>
      </c>
      <c r="E31" s="3181">
        <f t="shared" si="12"/>
        <v>-5255</v>
      </c>
      <c r="F31" s="3181">
        <f t="shared" si="12"/>
        <v>-5445</v>
      </c>
      <c r="G31" s="3181">
        <f t="shared" si="2"/>
        <v>-20754</v>
      </c>
      <c r="H31" s="3181">
        <v>-4914</v>
      </c>
    </row>
    <row r="32" spans="1:10" s="3188" customFormat="1" ht="27.75" customHeight="1" x14ac:dyDescent="0.45">
      <c r="A32" s="3185"/>
      <c r="B32" s="3186" t="s">
        <v>4772</v>
      </c>
      <c r="C32" s="3187">
        <v>-628</v>
      </c>
      <c r="D32" s="3187">
        <v>-594</v>
      </c>
      <c r="E32" s="3187">
        <v>-613</v>
      </c>
      <c r="F32" s="3187">
        <v>-578</v>
      </c>
      <c r="G32" s="3187">
        <f t="shared" si="2"/>
        <v>-2413</v>
      </c>
      <c r="H32" s="3187">
        <v>-639</v>
      </c>
    </row>
    <row r="33" spans="1:13" s="3188" customFormat="1" ht="27.75" customHeight="1" x14ac:dyDescent="0.45">
      <c r="A33" s="3185"/>
      <c r="B33" s="3186" t="s">
        <v>4773</v>
      </c>
      <c r="C33" s="3187">
        <v>-2424</v>
      </c>
      <c r="D33" s="3187">
        <v>-2550</v>
      </c>
      <c r="E33" s="3187">
        <v>-2703</v>
      </c>
      <c r="F33" s="3187">
        <v>-2651</v>
      </c>
      <c r="G33" s="3187">
        <f t="shared" si="2"/>
        <v>-10328</v>
      </c>
      <c r="H33" s="3187">
        <v>-2226</v>
      </c>
    </row>
    <row r="34" spans="1:13" s="3188" customFormat="1" ht="27.75" customHeight="1" x14ac:dyDescent="0.45">
      <c r="A34" s="3185"/>
      <c r="B34" s="3186" t="s">
        <v>4774</v>
      </c>
      <c r="C34" s="3187">
        <v>-2176</v>
      </c>
      <c r="D34" s="3187">
        <v>-1682</v>
      </c>
      <c r="E34" s="3187">
        <v>-1939</v>
      </c>
      <c r="F34" s="3187">
        <v>-2216</v>
      </c>
      <c r="G34" s="3187">
        <f t="shared" si="2"/>
        <v>-8013</v>
      </c>
      <c r="H34" s="3187">
        <v>-2049</v>
      </c>
    </row>
    <row r="35" spans="1:13" s="3175" customFormat="1" ht="27.75" customHeight="1" x14ac:dyDescent="0.45">
      <c r="A35" s="3183"/>
      <c r="B35" s="3180" t="s">
        <v>4775</v>
      </c>
      <c r="C35" s="3182">
        <f>C36+C37</f>
        <v>-4563</v>
      </c>
      <c r="D35" s="3182">
        <f t="shared" ref="D35:F35" si="13">D36+D37</f>
        <v>-4114</v>
      </c>
      <c r="E35" s="3182">
        <f t="shared" si="13"/>
        <v>-5302</v>
      </c>
      <c r="F35" s="3182">
        <f t="shared" si="13"/>
        <v>-5418</v>
      </c>
      <c r="G35" s="3182">
        <f t="shared" si="2"/>
        <v>-19397</v>
      </c>
      <c r="H35" s="3182">
        <v>-4991</v>
      </c>
    </row>
    <row r="36" spans="1:13" s="3188" customFormat="1" ht="27.75" customHeight="1" x14ac:dyDescent="0.45">
      <c r="A36" s="3185"/>
      <c r="B36" s="3186" t="s">
        <v>4776</v>
      </c>
      <c r="C36" s="3187">
        <v>-487</v>
      </c>
      <c r="D36" s="3187">
        <v>-330</v>
      </c>
      <c r="E36" s="3187">
        <v>-468</v>
      </c>
      <c r="F36" s="3187">
        <v>-281</v>
      </c>
      <c r="G36" s="3187">
        <f t="shared" si="2"/>
        <v>-1566</v>
      </c>
      <c r="H36" s="3187">
        <v>-210</v>
      </c>
    </row>
    <row r="37" spans="1:13" s="3188" customFormat="1" ht="27.75" customHeight="1" x14ac:dyDescent="0.45">
      <c r="A37" s="3189"/>
      <c r="B37" s="3186" t="s">
        <v>4777</v>
      </c>
      <c r="C37" s="3187">
        <v>-4076</v>
      </c>
      <c r="D37" s="3187">
        <v>-3784</v>
      </c>
      <c r="E37" s="3187">
        <v>-4834</v>
      </c>
      <c r="F37" s="3187">
        <v>-5137</v>
      </c>
      <c r="G37" s="3187">
        <f t="shared" si="2"/>
        <v>-17831</v>
      </c>
      <c r="H37" s="3187">
        <v>-4781</v>
      </c>
    </row>
    <row r="38" spans="1:13" s="3175" customFormat="1" ht="27.75" customHeight="1" x14ac:dyDescent="0.45">
      <c r="A38" s="3171"/>
      <c r="B38" s="3180" t="s">
        <v>4778</v>
      </c>
      <c r="C38" s="3191">
        <f>C39+C40</f>
        <v>-9752</v>
      </c>
      <c r="D38" s="3191">
        <f>D39+D40</f>
        <v>-9823</v>
      </c>
      <c r="E38" s="3191">
        <f>E39+E40</f>
        <v>-9436</v>
      </c>
      <c r="F38" s="3191">
        <f>F39+F40</f>
        <v>-9378</v>
      </c>
      <c r="G38" s="3191">
        <f>C38+D38+E38+F38</f>
        <v>-38389</v>
      </c>
      <c r="H38" s="3191">
        <v>-7555</v>
      </c>
    </row>
    <row r="39" spans="1:13" s="3188" customFormat="1" ht="27.75" customHeight="1" x14ac:dyDescent="0.45">
      <c r="A39" s="3189"/>
      <c r="B39" s="3186" t="s">
        <v>4779</v>
      </c>
      <c r="C39" s="3192">
        <v>-8970</v>
      </c>
      <c r="D39" s="3192">
        <v>-9458</v>
      </c>
      <c r="E39" s="3192">
        <v>-9148</v>
      </c>
      <c r="F39" s="3192">
        <v>-8948</v>
      </c>
      <c r="G39" s="3192">
        <f t="shared" si="2"/>
        <v>-36524</v>
      </c>
      <c r="H39" s="3192">
        <v>-7312</v>
      </c>
    </row>
    <row r="40" spans="1:13" s="3188" customFormat="1" ht="27.75" customHeight="1" x14ac:dyDescent="0.45">
      <c r="A40" s="3189"/>
      <c r="B40" s="3186" t="s">
        <v>4780</v>
      </c>
      <c r="C40" s="3192">
        <v>-782</v>
      </c>
      <c r="D40" s="3192">
        <v>-365</v>
      </c>
      <c r="E40" s="3192">
        <v>-288</v>
      </c>
      <c r="F40" s="3192">
        <v>-430</v>
      </c>
      <c r="G40" s="3192">
        <f t="shared" si="2"/>
        <v>-1865</v>
      </c>
      <c r="H40" s="3192">
        <v>-243</v>
      </c>
    </row>
    <row r="41" spans="1:13" s="3175" customFormat="1" ht="27.75" customHeight="1" x14ac:dyDescent="0.45">
      <c r="A41" s="3171" t="s">
        <v>4782</v>
      </c>
      <c r="B41" s="3176" t="s">
        <v>4783</v>
      </c>
      <c r="C41" s="3193">
        <f t="shared" ref="C41:F41" si="14">C42+C59</f>
        <v>4300</v>
      </c>
      <c r="D41" s="3193">
        <f t="shared" si="14"/>
        <v>7355.9532687597675</v>
      </c>
      <c r="E41" s="3193">
        <f t="shared" si="14"/>
        <v>7879</v>
      </c>
      <c r="F41" s="3193">
        <f t="shared" si="14"/>
        <v>12213</v>
      </c>
      <c r="G41" s="3193">
        <f t="shared" si="2"/>
        <v>31747.953268759768</v>
      </c>
      <c r="H41" s="3193">
        <v>5442</v>
      </c>
    </row>
    <row r="42" spans="1:13" s="3175" customFormat="1" ht="27.75" customHeight="1" x14ac:dyDescent="0.45">
      <c r="A42" s="3171"/>
      <c r="B42" s="3180" t="s">
        <v>4784</v>
      </c>
      <c r="C42" s="3181">
        <f t="shared" ref="C42:E42" si="15">C43+C44+C46+C48</f>
        <v>49090</v>
      </c>
      <c r="D42" s="3181">
        <f t="shared" si="15"/>
        <v>59265.869497846521</v>
      </c>
      <c r="E42" s="3181">
        <f t="shared" si="15"/>
        <v>55029</v>
      </c>
      <c r="F42" s="3181">
        <f>F43+F44+F46+F48</f>
        <v>55727</v>
      </c>
      <c r="G42" s="3181">
        <f t="shared" si="2"/>
        <v>219111.86949784652</v>
      </c>
      <c r="H42" s="3181">
        <v>50629</v>
      </c>
      <c r="I42" s="3190"/>
      <c r="J42" s="3190"/>
      <c r="K42" s="3190"/>
    </row>
    <row r="43" spans="1:13" s="3175" customFormat="1" ht="27.75" customHeight="1" x14ac:dyDescent="0.45">
      <c r="A43" s="3171"/>
      <c r="B43" s="3180" t="s">
        <v>4785</v>
      </c>
      <c r="C43" s="3181">
        <v>11</v>
      </c>
      <c r="D43" s="3181">
        <v>13</v>
      </c>
      <c r="E43" s="3181">
        <v>11</v>
      </c>
      <c r="F43" s="3194">
        <v>11</v>
      </c>
      <c r="G43" s="3194">
        <f t="shared" si="2"/>
        <v>46</v>
      </c>
      <c r="H43" s="3194">
        <v>12</v>
      </c>
      <c r="I43" s="3190"/>
      <c r="J43" s="3190"/>
      <c r="K43" s="3190"/>
    </row>
    <row r="44" spans="1:13" s="3175" customFormat="1" ht="27.75" customHeight="1" x14ac:dyDescent="0.45">
      <c r="A44" s="3171"/>
      <c r="B44" s="3180" t="s">
        <v>4786</v>
      </c>
      <c r="C44" s="3181">
        <f>145+C45</f>
        <v>28044</v>
      </c>
      <c r="D44" s="3181">
        <f>304+D45</f>
        <v>34041.631655166668</v>
      </c>
      <c r="E44" s="3181">
        <f>43+E45</f>
        <v>33204</v>
      </c>
      <c r="F44" s="3181">
        <f>31+F45</f>
        <v>34654</v>
      </c>
      <c r="G44" s="3181">
        <f t="shared" si="2"/>
        <v>129943.63165516667</v>
      </c>
      <c r="H44" s="3181">
        <v>33041</v>
      </c>
      <c r="I44" s="3190"/>
      <c r="J44" s="3190"/>
      <c r="K44" s="3190"/>
      <c r="L44" s="3190"/>
      <c r="M44" s="3190"/>
    </row>
    <row r="45" spans="1:13" s="3188" customFormat="1" ht="24.75" customHeight="1" x14ac:dyDescent="0.45">
      <c r="A45" s="3195"/>
      <c r="B45" s="3186" t="s">
        <v>4787</v>
      </c>
      <c r="C45" s="3187">
        <v>27899</v>
      </c>
      <c r="D45" s="3187">
        <v>33737.631655166668</v>
      </c>
      <c r="E45" s="3187">
        <v>33161</v>
      </c>
      <c r="F45" s="3187">
        <v>34623</v>
      </c>
      <c r="G45" s="3187">
        <f t="shared" si="2"/>
        <v>129420.63165516667</v>
      </c>
      <c r="H45" s="3187">
        <v>33002</v>
      </c>
      <c r="I45" s="3196"/>
      <c r="J45" s="3196"/>
      <c r="K45" s="3196"/>
    </row>
    <row r="46" spans="1:13" s="3175" customFormat="1" ht="27.75" customHeight="1" x14ac:dyDescent="0.45">
      <c r="A46" s="3171"/>
      <c r="B46" s="3180" t="s">
        <v>4788</v>
      </c>
      <c r="C46" s="3181">
        <f>965+C47</f>
        <v>13374</v>
      </c>
      <c r="D46" s="3181">
        <f>474+D47</f>
        <v>15228.550749563747</v>
      </c>
      <c r="E46" s="3181">
        <f>236+E47</f>
        <v>13359</v>
      </c>
      <c r="F46" s="3181">
        <f>319+F47</f>
        <v>13119</v>
      </c>
      <c r="G46" s="3181">
        <f>C46+D46+E46+F46</f>
        <v>55080.550749563743</v>
      </c>
      <c r="H46" s="3181">
        <v>9617</v>
      </c>
      <c r="I46" s="3190"/>
      <c r="J46" s="3190"/>
      <c r="K46" s="3190"/>
      <c r="L46" s="3190"/>
      <c r="M46" s="3190"/>
    </row>
    <row r="47" spans="1:13" s="3188" customFormat="1" ht="24.75" customHeight="1" x14ac:dyDescent="0.45">
      <c r="A47" s="3195"/>
      <c r="B47" s="3186" t="s">
        <v>4787</v>
      </c>
      <c r="C47" s="3187">
        <v>12409</v>
      </c>
      <c r="D47" s="3187">
        <v>14754.550749563747</v>
      </c>
      <c r="E47" s="3187">
        <v>13123</v>
      </c>
      <c r="F47" s="3187">
        <v>12800</v>
      </c>
      <c r="G47" s="3187">
        <f t="shared" si="2"/>
        <v>53086.550749563743</v>
      </c>
      <c r="H47" s="3187">
        <v>9552</v>
      </c>
    </row>
    <row r="48" spans="1:13" s="3175" customFormat="1" ht="27.75" customHeight="1" x14ac:dyDescent="0.45">
      <c r="A48" s="3183"/>
      <c r="B48" s="3180" t="s">
        <v>4789</v>
      </c>
      <c r="C48" s="3181">
        <f>SUM(C49:C52)</f>
        <v>7661</v>
      </c>
      <c r="D48" s="3181">
        <f>SUM(D49:D52)</f>
        <v>9982.6870931161102</v>
      </c>
      <c r="E48" s="3181">
        <f>SUM(E49:E52)</f>
        <v>8455</v>
      </c>
      <c r="F48" s="3181">
        <f>SUM(F49:F52)</f>
        <v>7943</v>
      </c>
      <c r="G48" s="3181">
        <f>C48+D48+E48+F48</f>
        <v>34041.68709311611</v>
      </c>
      <c r="H48" s="3181">
        <v>7959</v>
      </c>
      <c r="I48" s="3190"/>
      <c r="J48" s="3190"/>
      <c r="K48" s="3190"/>
    </row>
    <row r="49" spans="1:11" s="3188" customFormat="1" ht="27.75" customHeight="1" x14ac:dyDescent="0.45">
      <c r="A49" s="3189"/>
      <c r="B49" s="3186" t="s">
        <v>4790</v>
      </c>
      <c r="C49" s="3182">
        <v>0</v>
      </c>
      <c r="D49" s="3182">
        <v>0</v>
      </c>
      <c r="E49" s="3182">
        <v>0</v>
      </c>
      <c r="F49" s="3182">
        <v>0</v>
      </c>
      <c r="G49" s="3182">
        <f t="shared" si="2"/>
        <v>0</v>
      </c>
      <c r="H49" s="3182">
        <v>0</v>
      </c>
      <c r="I49" s="3196"/>
      <c r="J49" s="3196"/>
      <c r="K49" s="3196"/>
    </row>
    <row r="50" spans="1:11" s="3188" customFormat="1" ht="27.75" customHeight="1" x14ac:dyDescent="0.45">
      <c r="A50" s="3189"/>
      <c r="B50" s="3186" t="s">
        <v>4791</v>
      </c>
      <c r="C50" s="3182">
        <v>271</v>
      </c>
      <c r="D50" s="3182">
        <v>350</v>
      </c>
      <c r="E50" s="3182">
        <v>336</v>
      </c>
      <c r="F50" s="3182">
        <v>298</v>
      </c>
      <c r="G50" s="3182">
        <f t="shared" si="2"/>
        <v>1255</v>
      </c>
      <c r="H50" s="3182">
        <v>490</v>
      </c>
      <c r="I50" s="3196"/>
      <c r="J50" s="3196"/>
      <c r="K50" s="3196"/>
    </row>
    <row r="51" spans="1:11" s="3188" customFormat="1" ht="27.75" customHeight="1" x14ac:dyDescent="0.45">
      <c r="A51" s="3189"/>
      <c r="B51" s="3186" t="s">
        <v>4792</v>
      </c>
      <c r="C51" s="3182">
        <v>3750</v>
      </c>
      <c r="D51" s="3182">
        <v>4009</v>
      </c>
      <c r="E51" s="3182">
        <v>3738</v>
      </c>
      <c r="F51" s="3182">
        <v>3497</v>
      </c>
      <c r="G51" s="3182">
        <f t="shared" si="2"/>
        <v>14994</v>
      </c>
      <c r="H51" s="3182">
        <v>3734</v>
      </c>
      <c r="I51" s="3196"/>
      <c r="J51" s="3196"/>
      <c r="K51" s="3196"/>
    </row>
    <row r="52" spans="1:11" s="3188" customFormat="1" ht="27.75" customHeight="1" x14ac:dyDescent="0.45">
      <c r="A52" s="3189"/>
      <c r="B52" s="3186" t="s">
        <v>4793</v>
      </c>
      <c r="C52" s="3182">
        <f>83+C53</f>
        <v>3640</v>
      </c>
      <c r="D52" s="3182">
        <f>107+D53</f>
        <v>5623.6870931161102</v>
      </c>
      <c r="E52" s="3182">
        <f>41+E53</f>
        <v>4381</v>
      </c>
      <c r="F52" s="3182">
        <v>4148</v>
      </c>
      <c r="G52" s="3182">
        <f t="shared" si="2"/>
        <v>17792.68709311611</v>
      </c>
      <c r="H52" s="3182">
        <v>3735</v>
      </c>
      <c r="I52" s="3196"/>
      <c r="J52" s="3196"/>
      <c r="K52" s="3196"/>
    </row>
    <row r="53" spans="1:11" s="3188" customFormat="1" ht="27.75" customHeight="1" thickBot="1" x14ac:dyDescent="0.5">
      <c r="A53" s="3197"/>
      <c r="B53" s="3198" t="s">
        <v>4787</v>
      </c>
      <c r="C53" s="3199">
        <v>3557</v>
      </c>
      <c r="D53" s="3199">
        <v>5516.6870931161102</v>
      </c>
      <c r="E53" s="3199">
        <v>4340</v>
      </c>
      <c r="F53" s="3199">
        <v>4144</v>
      </c>
      <c r="G53" s="3199">
        <f t="shared" si="2"/>
        <v>17557.68709311611</v>
      </c>
      <c r="H53" s="3199">
        <v>3726</v>
      </c>
    </row>
    <row r="54" spans="1:11" ht="43.5" customHeight="1" x14ac:dyDescent="0.5">
      <c r="A54" s="3200" t="s">
        <v>323</v>
      </c>
      <c r="B54" s="3188"/>
    </row>
    <row r="55" spans="1:11" ht="39" customHeight="1" thickBot="1" x14ac:dyDescent="0.5">
      <c r="A55" s="3201"/>
      <c r="C55" s="3162"/>
      <c r="D55" s="3162"/>
      <c r="H55" s="3162" t="s">
        <v>73</v>
      </c>
    </row>
    <row r="56" spans="1:11" s="3175" customFormat="1" ht="41.25" customHeight="1" thickBot="1" x14ac:dyDescent="0.5">
      <c r="A56" s="3163"/>
      <c r="B56" s="3202"/>
      <c r="C56" s="3518" t="s">
        <v>4751</v>
      </c>
      <c r="D56" s="3519"/>
      <c r="E56" s="3519"/>
      <c r="F56" s="3520"/>
      <c r="G56" s="3521" t="s">
        <v>4751</v>
      </c>
      <c r="H56" s="3165" t="s">
        <v>4752</v>
      </c>
    </row>
    <row r="57" spans="1:11" s="3175" customFormat="1" ht="54.75" customHeight="1" x14ac:dyDescent="0.45">
      <c r="A57" s="3167"/>
      <c r="B57" s="3203"/>
      <c r="C57" s="3169" t="s">
        <v>4753</v>
      </c>
      <c r="D57" s="3169" t="s">
        <v>4754</v>
      </c>
      <c r="E57" s="3169" t="s">
        <v>4755</v>
      </c>
      <c r="F57" s="3170" t="s">
        <v>4756</v>
      </c>
      <c r="G57" s="3522"/>
      <c r="H57" s="3169" t="s">
        <v>4753</v>
      </c>
    </row>
    <row r="58" spans="1:11" s="3175" customFormat="1" ht="21" customHeight="1" x14ac:dyDescent="0.45">
      <c r="A58" s="3171"/>
      <c r="B58" s="3204"/>
      <c r="C58" s="3173"/>
      <c r="D58" s="3173"/>
      <c r="E58" s="3173"/>
      <c r="F58" s="3205"/>
      <c r="G58" s="3173"/>
      <c r="H58" s="3173"/>
    </row>
    <row r="59" spans="1:11" s="3175" customFormat="1" ht="24.75" customHeight="1" x14ac:dyDescent="0.45">
      <c r="A59" s="3206"/>
      <c r="B59" s="3180" t="s">
        <v>4781</v>
      </c>
      <c r="C59" s="3182">
        <f>C60+C61+C63+C65</f>
        <v>-44790</v>
      </c>
      <c r="D59" s="3182">
        <f>D60+D61+D63+D65</f>
        <v>-51909.916229086753</v>
      </c>
      <c r="E59" s="3182">
        <f>E60+E61+E63+E65</f>
        <v>-47150</v>
      </c>
      <c r="F59" s="3182">
        <f>F60+F61+F63+F65</f>
        <v>-43514</v>
      </c>
      <c r="G59" s="3182">
        <f>C59+D59+E59+F59</f>
        <v>-187363.91622908675</v>
      </c>
      <c r="H59" s="3182">
        <v>-45187</v>
      </c>
      <c r="I59" s="3190"/>
      <c r="J59" s="3190"/>
      <c r="K59" s="3190"/>
    </row>
    <row r="60" spans="1:11" s="3175" customFormat="1" ht="24.75" customHeight="1" x14ac:dyDescent="0.45">
      <c r="A60" s="3206"/>
      <c r="B60" s="3180" t="s">
        <v>4794</v>
      </c>
      <c r="C60" s="3182">
        <v>-58</v>
      </c>
      <c r="D60" s="3182">
        <v>-68</v>
      </c>
      <c r="E60" s="3182">
        <v>-56</v>
      </c>
      <c r="F60" s="3182">
        <v>-68</v>
      </c>
      <c r="G60" s="3182">
        <f t="shared" ref="G60:G119" si="16">C60+D60+E60+F60</f>
        <v>-250</v>
      </c>
      <c r="H60" s="3182">
        <v>-52</v>
      </c>
      <c r="I60" s="3190"/>
      <c r="J60" s="3190"/>
      <c r="K60" s="3190"/>
    </row>
    <row r="61" spans="1:11" s="3175" customFormat="1" ht="24.75" customHeight="1" x14ac:dyDescent="0.45">
      <c r="A61" s="3206"/>
      <c r="B61" s="3180" t="s">
        <v>4786</v>
      </c>
      <c r="C61" s="3182">
        <f>-715+C62</f>
        <v>-33439</v>
      </c>
      <c r="D61" s="3182">
        <f>-3119+D62</f>
        <v>-39557.804694516773</v>
      </c>
      <c r="E61" s="3182">
        <f>-1127+E62</f>
        <v>-35538</v>
      </c>
      <c r="F61" s="3182">
        <f>-151+F62</f>
        <v>-32351</v>
      </c>
      <c r="G61" s="3182">
        <f t="shared" si="16"/>
        <v>-140885.80469451676</v>
      </c>
      <c r="H61" s="3182">
        <v>-36134</v>
      </c>
      <c r="I61" s="3190"/>
      <c r="J61" s="3190"/>
      <c r="K61" s="3190"/>
    </row>
    <row r="62" spans="1:11" s="3188" customFormat="1" ht="24.75" customHeight="1" x14ac:dyDescent="0.45">
      <c r="A62" s="3195"/>
      <c r="B62" s="3186" t="s">
        <v>4787</v>
      </c>
      <c r="C62" s="3187">
        <v>-32724</v>
      </c>
      <c r="D62" s="3187">
        <v>-36438.804694516773</v>
      </c>
      <c r="E62" s="3187">
        <v>-34411</v>
      </c>
      <c r="F62" s="3187">
        <v>-32200</v>
      </c>
      <c r="G62" s="3187">
        <f t="shared" si="16"/>
        <v>-135773.80469451676</v>
      </c>
      <c r="H62" s="3187">
        <v>-32579</v>
      </c>
    </row>
    <row r="63" spans="1:11" s="3175" customFormat="1" ht="24.75" customHeight="1" x14ac:dyDescent="0.45">
      <c r="A63" s="3206"/>
      <c r="B63" s="3180" t="s">
        <v>4788</v>
      </c>
      <c r="C63" s="3182">
        <f>-842+C64</f>
        <v>-2665</v>
      </c>
      <c r="D63" s="3182">
        <f>-866+D64</f>
        <v>-2850.0023486281748</v>
      </c>
      <c r="E63" s="3182">
        <f>-609+E64</f>
        <v>-2472</v>
      </c>
      <c r="F63" s="3182">
        <f>-370+F64</f>
        <v>-2049</v>
      </c>
      <c r="G63" s="3182">
        <f t="shared" si="16"/>
        <v>-10036.002348628175</v>
      </c>
      <c r="H63" s="3182">
        <v>-2424</v>
      </c>
      <c r="I63" s="3190"/>
      <c r="J63" s="3190"/>
      <c r="K63" s="3190"/>
    </row>
    <row r="64" spans="1:11" s="3188" customFormat="1" ht="24.75" customHeight="1" x14ac:dyDescent="0.45">
      <c r="A64" s="3195"/>
      <c r="B64" s="3186" t="s">
        <v>4787</v>
      </c>
      <c r="C64" s="3187">
        <v>-1823</v>
      </c>
      <c r="D64" s="3187">
        <v>-1984.0023486281748</v>
      </c>
      <c r="E64" s="3187">
        <v>-1863</v>
      </c>
      <c r="F64" s="3187">
        <v>-1679</v>
      </c>
      <c r="G64" s="3187">
        <f t="shared" si="16"/>
        <v>-7349.0023486281752</v>
      </c>
      <c r="H64" s="3187">
        <v>-1927</v>
      </c>
    </row>
    <row r="65" spans="1:11" s="3175" customFormat="1" ht="24.75" customHeight="1" x14ac:dyDescent="0.45">
      <c r="A65" s="3206"/>
      <c r="B65" s="3180" t="s">
        <v>4789</v>
      </c>
      <c r="C65" s="3207">
        <f>SUM(C66:C69)</f>
        <v>-8628</v>
      </c>
      <c r="D65" s="3207">
        <f>SUM(D66:D69)</f>
        <v>-9434.1091859418048</v>
      </c>
      <c r="E65" s="3207">
        <f>SUM(E66:E69)</f>
        <v>-9084</v>
      </c>
      <c r="F65" s="3207">
        <f>SUM(F66:F69)</f>
        <v>-9046</v>
      </c>
      <c r="G65" s="3207">
        <f t="shared" si="16"/>
        <v>-36192.109185941808</v>
      </c>
      <c r="H65" s="3207">
        <v>-6577</v>
      </c>
      <c r="I65" s="3190"/>
      <c r="J65" s="3190"/>
      <c r="K65" s="3190"/>
    </row>
    <row r="66" spans="1:11" s="3188" customFormat="1" ht="24.75" customHeight="1" x14ac:dyDescent="0.45">
      <c r="A66" s="3195"/>
      <c r="B66" s="3186" t="s">
        <v>4790</v>
      </c>
      <c r="C66" s="3182">
        <v>-251</v>
      </c>
      <c r="D66" s="3182">
        <v>-96</v>
      </c>
      <c r="E66" s="3182">
        <v>-248</v>
      </c>
      <c r="F66" s="3182">
        <v>-100</v>
      </c>
      <c r="G66" s="3182">
        <f t="shared" si="16"/>
        <v>-695</v>
      </c>
      <c r="H66" s="3182">
        <v>-245</v>
      </c>
      <c r="I66" s="3196"/>
      <c r="J66" s="3196"/>
      <c r="K66" s="3196"/>
    </row>
    <row r="67" spans="1:11" s="3188" customFormat="1" ht="24.75" customHeight="1" x14ac:dyDescent="0.45">
      <c r="A67" s="3195"/>
      <c r="B67" s="3186" t="s">
        <v>4791</v>
      </c>
      <c r="C67" s="3182">
        <v>0</v>
      </c>
      <c r="D67" s="3182">
        <v>0</v>
      </c>
      <c r="E67" s="3182">
        <v>0</v>
      </c>
      <c r="F67" s="3182">
        <v>0</v>
      </c>
      <c r="G67" s="3182">
        <f t="shared" si="16"/>
        <v>0</v>
      </c>
      <c r="H67" s="3182">
        <v>0</v>
      </c>
      <c r="I67" s="3196"/>
      <c r="J67" s="3196"/>
      <c r="K67" s="3196"/>
    </row>
    <row r="68" spans="1:11" s="3188" customFormat="1" ht="24.75" customHeight="1" x14ac:dyDescent="0.45">
      <c r="A68" s="3195"/>
      <c r="B68" s="3186" t="s">
        <v>4792</v>
      </c>
      <c r="C68" s="3182">
        <v>-1255</v>
      </c>
      <c r="D68" s="3182">
        <v>-1411</v>
      </c>
      <c r="E68" s="3182">
        <v>-1145</v>
      </c>
      <c r="F68" s="3182">
        <v>-1147</v>
      </c>
      <c r="G68" s="3182">
        <f t="shared" si="16"/>
        <v>-4958</v>
      </c>
      <c r="H68" s="3182">
        <v>-1094</v>
      </c>
      <c r="I68" s="3196"/>
      <c r="J68" s="3196"/>
      <c r="K68" s="3196"/>
    </row>
    <row r="69" spans="1:11" s="3188" customFormat="1" ht="24.75" customHeight="1" x14ac:dyDescent="0.45">
      <c r="A69" s="3195"/>
      <c r="B69" s="3186" t="s">
        <v>4793</v>
      </c>
      <c r="C69" s="3182">
        <f>-1378+C70</f>
        <v>-7122</v>
      </c>
      <c r="D69" s="3182">
        <f>-1416+D70</f>
        <v>-7927.1091859418057</v>
      </c>
      <c r="E69" s="3182">
        <f>-1275+E70</f>
        <v>-7691</v>
      </c>
      <c r="F69" s="3182">
        <f>-1152+F70</f>
        <v>-7799</v>
      </c>
      <c r="G69" s="3182">
        <f t="shared" si="16"/>
        <v>-30539.109185941805</v>
      </c>
      <c r="H69" s="3182">
        <v>-5238</v>
      </c>
    </row>
    <row r="70" spans="1:11" s="3188" customFormat="1" ht="24.75" customHeight="1" x14ac:dyDescent="0.45">
      <c r="A70" s="3195"/>
      <c r="B70" s="3186" t="s">
        <v>4787</v>
      </c>
      <c r="C70" s="3187">
        <v>-5744</v>
      </c>
      <c r="D70" s="3187">
        <v>-6511.1091859418057</v>
      </c>
      <c r="E70" s="3187">
        <v>-6416</v>
      </c>
      <c r="F70" s="3187">
        <v>-6647</v>
      </c>
      <c r="G70" s="3187">
        <f t="shared" si="16"/>
        <v>-25318.109185941805</v>
      </c>
      <c r="H70" s="3187">
        <v>-5104</v>
      </c>
    </row>
    <row r="71" spans="1:11" s="3175" customFormat="1" ht="24.75" customHeight="1" x14ac:dyDescent="0.45">
      <c r="A71" s="3206" t="s">
        <v>4795</v>
      </c>
      <c r="B71" s="3176" t="s">
        <v>4796</v>
      </c>
      <c r="C71" s="3193">
        <f>C72+C75</f>
        <v>-1861</v>
      </c>
      <c r="D71" s="3193">
        <f>D72+D75</f>
        <v>-2312</v>
      </c>
      <c r="E71" s="3193">
        <f>E72+E75</f>
        <v>-1717</v>
      </c>
      <c r="F71" s="3193">
        <f>F72+F75</f>
        <v>-2027</v>
      </c>
      <c r="G71" s="3193">
        <f t="shared" si="16"/>
        <v>-7917</v>
      </c>
      <c r="H71" s="3193">
        <v>-2870</v>
      </c>
    </row>
    <row r="72" spans="1:11" s="3175" customFormat="1" ht="24.75" customHeight="1" x14ac:dyDescent="0.45">
      <c r="A72" s="3206"/>
      <c r="B72" s="3180" t="s">
        <v>4770</v>
      </c>
      <c r="C72" s="3207">
        <f>C73+C74</f>
        <v>2581</v>
      </c>
      <c r="D72" s="3207">
        <f>D73+D74</f>
        <v>2247</v>
      </c>
      <c r="E72" s="3207">
        <f>E73+E74</f>
        <v>2540</v>
      </c>
      <c r="F72" s="3207">
        <f>F73+F74</f>
        <v>2222</v>
      </c>
      <c r="G72" s="3207">
        <f t="shared" si="16"/>
        <v>9590</v>
      </c>
      <c r="H72" s="3207">
        <v>1515</v>
      </c>
    </row>
    <row r="73" spans="1:11" s="3175" customFormat="1" ht="24.75" customHeight="1" x14ac:dyDescent="0.45">
      <c r="A73" s="3206"/>
      <c r="B73" s="3180" t="s">
        <v>4797</v>
      </c>
      <c r="C73" s="3182">
        <v>1568</v>
      </c>
      <c r="D73" s="3182">
        <v>1930</v>
      </c>
      <c r="E73" s="3182">
        <v>2426</v>
      </c>
      <c r="F73" s="3182">
        <v>2065</v>
      </c>
      <c r="G73" s="3182">
        <f t="shared" si="16"/>
        <v>7989</v>
      </c>
      <c r="H73" s="3182">
        <v>1354</v>
      </c>
    </row>
    <row r="74" spans="1:11" s="3175" customFormat="1" ht="24.75" customHeight="1" x14ac:dyDescent="0.45">
      <c r="A74" s="3206"/>
      <c r="B74" s="3180" t="s">
        <v>4798</v>
      </c>
      <c r="C74" s="3182">
        <v>1013</v>
      </c>
      <c r="D74" s="3182">
        <v>317</v>
      </c>
      <c r="E74" s="3182">
        <v>114</v>
      </c>
      <c r="F74" s="3182">
        <v>157</v>
      </c>
      <c r="G74" s="3182">
        <f t="shared" si="16"/>
        <v>1601</v>
      </c>
      <c r="H74" s="3182">
        <v>161</v>
      </c>
    </row>
    <row r="75" spans="1:11" s="3175" customFormat="1" ht="24.75" customHeight="1" x14ac:dyDescent="0.45">
      <c r="A75" s="3206"/>
      <c r="B75" s="3180" t="s">
        <v>4781</v>
      </c>
      <c r="C75" s="3207">
        <f>C76+C78</f>
        <v>-4442</v>
      </c>
      <c r="D75" s="3207">
        <f>D76+D78</f>
        <v>-4559</v>
      </c>
      <c r="E75" s="3207">
        <f>E76+E78</f>
        <v>-4257</v>
      </c>
      <c r="F75" s="3207">
        <f>F76+F78</f>
        <v>-4249</v>
      </c>
      <c r="G75" s="3207">
        <f t="shared" si="16"/>
        <v>-17507</v>
      </c>
      <c r="H75" s="3207">
        <v>-4385</v>
      </c>
    </row>
    <row r="76" spans="1:11" s="3175" customFormat="1" ht="24.75" customHeight="1" x14ac:dyDescent="0.45">
      <c r="A76" s="3206"/>
      <c r="B76" s="3180" t="s">
        <v>4797</v>
      </c>
      <c r="C76" s="3182">
        <f>-1474+C77</f>
        <v>-4418</v>
      </c>
      <c r="D76" s="3182">
        <f>-1776+D77</f>
        <v>-4539</v>
      </c>
      <c r="E76" s="3182">
        <f>-2112+E77</f>
        <v>-4235</v>
      </c>
      <c r="F76" s="3182">
        <f>-1458+F77</f>
        <v>-4245</v>
      </c>
      <c r="G76" s="3182">
        <f t="shared" si="16"/>
        <v>-17437</v>
      </c>
      <c r="H76" s="3182">
        <v>-4380</v>
      </c>
      <c r="I76" s="3190"/>
    </row>
    <row r="77" spans="1:11" s="3188" customFormat="1" ht="24.75" customHeight="1" x14ac:dyDescent="0.45">
      <c r="A77" s="3195"/>
      <c r="B77" s="3186" t="s">
        <v>4787</v>
      </c>
      <c r="C77" s="3187">
        <v>-2944</v>
      </c>
      <c r="D77" s="3187">
        <v>-2763</v>
      </c>
      <c r="E77" s="3187">
        <v>-2123</v>
      </c>
      <c r="F77" s="3187">
        <v>-2787</v>
      </c>
      <c r="G77" s="3187">
        <f t="shared" si="16"/>
        <v>-10617</v>
      </c>
      <c r="H77" s="3187">
        <v>-2957</v>
      </c>
    </row>
    <row r="78" spans="1:11" s="3175" customFormat="1" ht="24.75" customHeight="1" x14ac:dyDescent="0.45">
      <c r="A78" s="3206"/>
      <c r="B78" s="3180" t="s">
        <v>4798</v>
      </c>
      <c r="C78" s="3182">
        <v>-24</v>
      </c>
      <c r="D78" s="3182">
        <v>-20</v>
      </c>
      <c r="E78" s="3182">
        <v>-22</v>
      </c>
      <c r="F78" s="3182">
        <v>-4</v>
      </c>
      <c r="G78" s="3182">
        <f t="shared" si="16"/>
        <v>-70</v>
      </c>
      <c r="H78" s="3182">
        <v>-5</v>
      </c>
    </row>
    <row r="79" spans="1:11" s="3175" customFormat="1" ht="24.75" customHeight="1" x14ac:dyDescent="0.45">
      <c r="A79" s="3206" t="s">
        <v>4799</v>
      </c>
      <c r="B79" s="3176" t="s">
        <v>4800</v>
      </c>
      <c r="C79" s="3208">
        <f t="shared" ref="C79:F79" si="17">C80+C82</f>
        <v>3552.7180614975387</v>
      </c>
      <c r="D79" s="3208">
        <f t="shared" si="17"/>
        <v>6712.0211186399556</v>
      </c>
      <c r="E79" s="3208">
        <f t="shared" si="17"/>
        <v>4228.0451363165421</v>
      </c>
      <c r="F79" s="3208">
        <f t="shared" si="17"/>
        <v>3377.8954896679475</v>
      </c>
      <c r="G79" s="3208">
        <f t="shared" si="16"/>
        <v>17870.679806121982</v>
      </c>
      <c r="H79" s="3208">
        <v>5037</v>
      </c>
    </row>
    <row r="80" spans="1:11" s="3175" customFormat="1" ht="24.75" customHeight="1" x14ac:dyDescent="0.45">
      <c r="A80" s="3206" t="s">
        <v>4801</v>
      </c>
      <c r="B80" s="3176" t="s">
        <v>4802</v>
      </c>
      <c r="C80" s="3208">
        <f>C81</f>
        <v>-23.949859700000001</v>
      </c>
      <c r="D80" s="3208">
        <f t="shared" ref="D80:F80" si="18">D81</f>
        <v>-59</v>
      </c>
      <c r="E80" s="3208">
        <f t="shared" si="18"/>
        <v>-36.021142680000004</v>
      </c>
      <c r="F80" s="3208">
        <f t="shared" si="18"/>
        <v>-17.11353424</v>
      </c>
      <c r="G80" s="3208">
        <f t="shared" si="16"/>
        <v>-136.08453662000002</v>
      </c>
      <c r="H80" s="3208">
        <v>-4</v>
      </c>
      <c r="I80" s="3178"/>
    </row>
    <row r="81" spans="1:11" s="3188" customFormat="1" ht="24.75" customHeight="1" x14ac:dyDescent="0.45">
      <c r="A81" s="3195"/>
      <c r="B81" s="3186" t="s">
        <v>4803</v>
      </c>
      <c r="C81" s="3209">
        <v>-23.949859700000001</v>
      </c>
      <c r="D81" s="3209">
        <v>-59</v>
      </c>
      <c r="E81" s="3209">
        <v>-36.021142680000004</v>
      </c>
      <c r="F81" s="3209">
        <v>-17.11353424</v>
      </c>
      <c r="G81" s="3209">
        <f t="shared" si="16"/>
        <v>-136.08453662000002</v>
      </c>
      <c r="H81" s="3209">
        <v>-4</v>
      </c>
      <c r="I81" s="3175"/>
    </row>
    <row r="82" spans="1:11" s="3175" customFormat="1" ht="24.75" customHeight="1" x14ac:dyDescent="0.45">
      <c r="A82" s="3206" t="s">
        <v>4804</v>
      </c>
      <c r="B82" s="3176" t="s">
        <v>4805</v>
      </c>
      <c r="C82" s="3193">
        <f t="shared" ref="C82:F82" si="19">C83+C88+C99+C114</f>
        <v>3576.6679211975388</v>
      </c>
      <c r="D82" s="3193">
        <f t="shared" si="19"/>
        <v>6771.0211186399556</v>
      </c>
      <c r="E82" s="3193">
        <f t="shared" si="19"/>
        <v>4264.0662789965418</v>
      </c>
      <c r="F82" s="3193">
        <f t="shared" si="19"/>
        <v>3395.0090239079473</v>
      </c>
      <c r="G82" s="3193">
        <f t="shared" si="16"/>
        <v>18006.764342741983</v>
      </c>
      <c r="H82" s="3193">
        <v>5041</v>
      </c>
      <c r="I82" s="3188"/>
      <c r="J82" s="3190"/>
    </row>
    <row r="83" spans="1:11" s="3178" customFormat="1" ht="24.75" customHeight="1" x14ac:dyDescent="0.45">
      <c r="A83" s="3206"/>
      <c r="B83" s="3176" t="s">
        <v>4806</v>
      </c>
      <c r="C83" s="3208">
        <f t="shared" ref="C83:F83" si="20">C84+C86</f>
        <v>16577.323172535733</v>
      </c>
      <c r="D83" s="3208">
        <f t="shared" si="20"/>
        <v>-953.65664318166819</v>
      </c>
      <c r="E83" s="3208">
        <f t="shared" si="20"/>
        <v>-3016.0090981175454</v>
      </c>
      <c r="F83" s="3208">
        <f t="shared" si="20"/>
        <v>-899.20279286869481</v>
      </c>
      <c r="G83" s="3208">
        <f t="shared" si="16"/>
        <v>11708.454638367824</v>
      </c>
      <c r="H83" s="3208">
        <v>110888</v>
      </c>
      <c r="I83" s="3175"/>
    </row>
    <row r="84" spans="1:11" s="3175" customFormat="1" ht="24.75" customHeight="1" x14ac:dyDescent="0.45">
      <c r="A84" s="3206"/>
      <c r="B84" s="3180" t="s">
        <v>4807</v>
      </c>
      <c r="C84" s="3181">
        <v>-59086.636634608032</v>
      </c>
      <c r="D84" s="3181">
        <v>-60882.563034699735</v>
      </c>
      <c r="E84" s="3181">
        <v>-55243.903736027227</v>
      </c>
      <c r="F84" s="3181">
        <v>-55613.745345884701</v>
      </c>
      <c r="G84" s="3181">
        <f t="shared" si="16"/>
        <v>-230826.84875121969</v>
      </c>
      <c r="H84" s="3181">
        <v>-34406</v>
      </c>
      <c r="I84" s="3188"/>
    </row>
    <row r="85" spans="1:11" s="3188" customFormat="1" ht="24.75" customHeight="1" x14ac:dyDescent="0.45">
      <c r="A85" s="3195"/>
      <c r="B85" s="3186" t="s">
        <v>4787</v>
      </c>
      <c r="C85" s="3192">
        <v>-58972.803321438034</v>
      </c>
      <c r="D85" s="3192">
        <v>-60298.563034699735</v>
      </c>
      <c r="E85" s="3192">
        <v>-54635.435706667224</v>
      </c>
      <c r="F85" s="3192">
        <v>-55031.8205851659</v>
      </c>
      <c r="G85" s="3192">
        <f t="shared" si="16"/>
        <v>-228938.62264797089</v>
      </c>
      <c r="H85" s="3192">
        <v>-34479</v>
      </c>
      <c r="I85" s="3190"/>
    </row>
    <row r="86" spans="1:11" s="3175" customFormat="1" ht="24.75" customHeight="1" x14ac:dyDescent="0.45">
      <c r="A86" s="3206"/>
      <c r="B86" s="3180" t="s">
        <v>4808</v>
      </c>
      <c r="C86" s="3182">
        <v>75663.959807143765</v>
      </c>
      <c r="D86" s="3182">
        <v>59928.906391518067</v>
      </c>
      <c r="E86" s="3181">
        <v>52227.894637909681</v>
      </c>
      <c r="F86" s="3181">
        <v>54714.542553016006</v>
      </c>
      <c r="G86" s="3181">
        <f t="shared" si="16"/>
        <v>242535.30338958753</v>
      </c>
      <c r="H86" s="3181">
        <v>145294</v>
      </c>
      <c r="I86" s="3190"/>
    </row>
    <row r="87" spans="1:11" s="3188" customFormat="1" ht="24.75" customHeight="1" x14ac:dyDescent="0.45">
      <c r="A87" s="3195"/>
      <c r="B87" s="3186" t="s">
        <v>4787</v>
      </c>
      <c r="C87" s="3192">
        <v>73545.75057681257</v>
      </c>
      <c r="D87" s="3192">
        <v>59083.616937806066</v>
      </c>
      <c r="E87" s="3192">
        <v>50061.552752581381</v>
      </c>
      <c r="F87" s="3192">
        <v>52542.418190613003</v>
      </c>
      <c r="G87" s="3192">
        <f t="shared" si="16"/>
        <v>235233.33845781305</v>
      </c>
      <c r="H87" s="3192">
        <v>142448</v>
      </c>
      <c r="I87" s="3190"/>
    </row>
    <row r="88" spans="1:11" s="3175" customFormat="1" ht="24.75" customHeight="1" x14ac:dyDescent="0.45">
      <c r="A88" s="3206"/>
      <c r="B88" s="3176" t="s">
        <v>4809</v>
      </c>
      <c r="C88" s="3208">
        <f t="shared" ref="C88:F88" si="21">C89+C94</f>
        <v>-4935.2250387108752</v>
      </c>
      <c r="D88" s="3208">
        <f t="shared" si="21"/>
        <v>-9410.7249489380993</v>
      </c>
      <c r="E88" s="3208">
        <f t="shared" si="21"/>
        <v>-3455.8125934524596</v>
      </c>
      <c r="F88" s="3208">
        <f t="shared" si="21"/>
        <v>-6839.995590446355</v>
      </c>
      <c r="G88" s="3208">
        <f t="shared" si="16"/>
        <v>-24641.758171547794</v>
      </c>
      <c r="H88" s="3208">
        <v>-69748</v>
      </c>
      <c r="I88" s="3190"/>
      <c r="J88" s="3190"/>
      <c r="K88" s="3190"/>
    </row>
    <row r="89" spans="1:11" s="3175" customFormat="1" ht="24.75" customHeight="1" x14ac:dyDescent="0.45">
      <c r="A89" s="3206"/>
      <c r="B89" s="3176" t="s">
        <v>4810</v>
      </c>
      <c r="C89" s="3184">
        <f t="shared" ref="C89:F89" si="22">C90+C92</f>
        <v>-6988.1205144251298</v>
      </c>
      <c r="D89" s="3184">
        <f t="shared" si="22"/>
        <v>-12652.389350061761</v>
      </c>
      <c r="E89" s="3184">
        <f t="shared" si="22"/>
        <v>-8505.7593040995271</v>
      </c>
      <c r="F89" s="3184">
        <f t="shared" si="22"/>
        <v>-11813.946720461046</v>
      </c>
      <c r="G89" s="3193">
        <f t="shared" si="16"/>
        <v>-39960.215889047467</v>
      </c>
      <c r="H89" s="3193">
        <v>-64498</v>
      </c>
      <c r="I89" s="3190"/>
      <c r="J89" s="3190"/>
      <c r="K89" s="3190"/>
    </row>
    <row r="90" spans="1:11" s="3175" customFormat="1" ht="24.75" customHeight="1" x14ac:dyDescent="0.45">
      <c r="A90" s="3206"/>
      <c r="B90" s="3180" t="s">
        <v>4811</v>
      </c>
      <c r="C90" s="3181">
        <v>-3882.3102899334563</v>
      </c>
      <c r="D90" s="3181">
        <v>-9844.0936397500664</v>
      </c>
      <c r="E90" s="3181">
        <v>-6253.6480942333083</v>
      </c>
      <c r="F90" s="3181">
        <v>-9229.2188906929368</v>
      </c>
      <c r="G90" s="3181">
        <f t="shared" si="16"/>
        <v>-29209.270914609766</v>
      </c>
      <c r="H90" s="3181">
        <v>-59099</v>
      </c>
      <c r="I90" s="3190"/>
      <c r="J90" s="3190"/>
      <c r="K90" s="3190"/>
    </row>
    <row r="91" spans="1:11" s="3188" customFormat="1" ht="24.75" customHeight="1" x14ac:dyDescent="0.45">
      <c r="A91" s="3195"/>
      <c r="B91" s="3186" t="s">
        <v>4787</v>
      </c>
      <c r="C91" s="3192">
        <v>-6988.0730051062665</v>
      </c>
      <c r="D91" s="3192">
        <v>-6991.0936397500664</v>
      </c>
      <c r="E91" s="3192">
        <v>-5254.9261563545087</v>
      </c>
      <c r="F91" s="3192">
        <v>-6731.03160279227</v>
      </c>
      <c r="G91" s="3192">
        <f t="shared" si="16"/>
        <v>-25965.124404003112</v>
      </c>
      <c r="H91" s="3192">
        <v>-57009</v>
      </c>
      <c r="I91" s="3190"/>
      <c r="J91" s="3190"/>
      <c r="K91" s="3190"/>
    </row>
    <row r="92" spans="1:11" s="3175" customFormat="1" ht="24.75" customHeight="1" x14ac:dyDescent="0.45">
      <c r="A92" s="3206"/>
      <c r="B92" s="3180" t="s">
        <v>4812</v>
      </c>
      <c r="C92" s="3181">
        <v>-3105.8102244916736</v>
      </c>
      <c r="D92" s="3181">
        <v>-2808.2957103116951</v>
      </c>
      <c r="E92" s="3181">
        <v>-2252.1112098662184</v>
      </c>
      <c r="F92" s="3181">
        <v>-2584.72782976811</v>
      </c>
      <c r="G92" s="3181">
        <f t="shared" si="16"/>
        <v>-10750.944974437696</v>
      </c>
      <c r="H92" s="3181">
        <v>-5399</v>
      </c>
      <c r="I92" s="3190"/>
      <c r="J92" s="3190"/>
      <c r="K92" s="3190"/>
    </row>
    <row r="93" spans="1:11" s="3188" customFormat="1" ht="24.75" customHeight="1" x14ac:dyDescent="0.45">
      <c r="A93" s="3195"/>
      <c r="B93" s="3186" t="s">
        <v>4787</v>
      </c>
      <c r="C93" s="3192">
        <v>-3105.8102244916736</v>
      </c>
      <c r="D93" s="3192">
        <v>-2808.2957103116951</v>
      </c>
      <c r="E93" s="3192">
        <v>-2252.1112098662184</v>
      </c>
      <c r="F93" s="3192">
        <v>-2584.72782976811</v>
      </c>
      <c r="G93" s="3192">
        <f t="shared" si="16"/>
        <v>-10750.944974437696</v>
      </c>
      <c r="H93" s="3192">
        <v>-4979</v>
      </c>
      <c r="I93" s="3190"/>
      <c r="J93" s="3190"/>
      <c r="K93" s="3190"/>
    </row>
    <row r="94" spans="1:11" s="3175" customFormat="1" ht="24.75" customHeight="1" x14ac:dyDescent="0.45">
      <c r="A94" s="3206"/>
      <c r="B94" s="3176" t="s">
        <v>4813</v>
      </c>
      <c r="C94" s="3208">
        <f t="shared" ref="C94:F94" si="23">C95+C97</f>
        <v>2052.8954757142546</v>
      </c>
      <c r="D94" s="3208">
        <f t="shared" si="23"/>
        <v>3241.6644011236631</v>
      </c>
      <c r="E94" s="3208">
        <f t="shared" si="23"/>
        <v>5049.9467106470674</v>
      </c>
      <c r="F94" s="3208">
        <f t="shared" si="23"/>
        <v>4973.9511300146914</v>
      </c>
      <c r="G94" s="3208">
        <f t="shared" si="16"/>
        <v>15318.457717499678</v>
      </c>
      <c r="H94" s="3208">
        <v>-5250</v>
      </c>
      <c r="I94" s="3190"/>
      <c r="J94" s="3190"/>
      <c r="K94" s="3190"/>
    </row>
    <row r="95" spans="1:11" s="3210" customFormat="1" ht="24.75" customHeight="1" x14ac:dyDescent="0.45">
      <c r="A95" s="3206"/>
      <c r="B95" s="3180" t="s">
        <v>4811</v>
      </c>
      <c r="C95" s="3181">
        <v>2658.0950601994036</v>
      </c>
      <c r="D95" s="3181">
        <v>191.32661601440486</v>
      </c>
      <c r="E95" s="3181">
        <v>3395.2425001396537</v>
      </c>
      <c r="F95" s="3181">
        <v>3754.006868914691</v>
      </c>
      <c r="G95" s="3181">
        <f t="shared" si="16"/>
        <v>9998.6710452681546</v>
      </c>
      <c r="H95" s="3181">
        <v>-6202</v>
      </c>
      <c r="I95" s="3190"/>
      <c r="J95" s="3190"/>
      <c r="K95" s="3190"/>
    </row>
    <row r="96" spans="1:11" s="3188" customFormat="1" ht="24.75" customHeight="1" x14ac:dyDescent="0.45">
      <c r="A96" s="3195"/>
      <c r="B96" s="3186" t="s">
        <v>4787</v>
      </c>
      <c r="C96" s="3192">
        <v>4026.4710866994037</v>
      </c>
      <c r="D96" s="3192">
        <v>2400.3266160144049</v>
      </c>
      <c r="E96" s="3192">
        <v>4195.3013853096536</v>
      </c>
      <c r="F96" s="3192">
        <v>4508.7890636146903</v>
      </c>
      <c r="G96" s="3192">
        <f t="shared" si="16"/>
        <v>15130.888151638152</v>
      </c>
      <c r="H96" s="3192">
        <v>-6220</v>
      </c>
      <c r="I96" s="3175"/>
      <c r="J96" s="3190"/>
      <c r="K96" s="3190"/>
    </row>
    <row r="97" spans="1:11" s="3210" customFormat="1" ht="24.75" customHeight="1" x14ac:dyDescent="0.45">
      <c r="A97" s="3206"/>
      <c r="B97" s="3180" t="s">
        <v>4812</v>
      </c>
      <c r="C97" s="3181">
        <v>-605.19958448514899</v>
      </c>
      <c r="D97" s="3181">
        <v>3050.3377851092582</v>
      </c>
      <c r="E97" s="3181">
        <v>1654.7042105074133</v>
      </c>
      <c r="F97" s="3181">
        <v>1219.9442610999999</v>
      </c>
      <c r="G97" s="3181">
        <f t="shared" si="16"/>
        <v>5319.786672231523</v>
      </c>
      <c r="H97" s="3181">
        <v>952</v>
      </c>
      <c r="I97" s="3175"/>
      <c r="J97" s="3190"/>
      <c r="K97" s="3190"/>
    </row>
    <row r="98" spans="1:11" s="3188" customFormat="1" ht="24.75" customHeight="1" x14ac:dyDescent="0.45">
      <c r="A98" s="3195"/>
      <c r="B98" s="3186" t="s">
        <v>4787</v>
      </c>
      <c r="C98" s="3192">
        <v>1006.6177716748509</v>
      </c>
      <c r="D98" s="3192">
        <v>2543.3377851092582</v>
      </c>
      <c r="E98" s="3192">
        <v>1048.8253463274134</v>
      </c>
      <c r="F98" s="3192">
        <v>1085</v>
      </c>
      <c r="G98" s="3192">
        <f t="shared" si="16"/>
        <v>5683.7809031115221</v>
      </c>
      <c r="H98" s="3192">
        <v>907</v>
      </c>
      <c r="I98" s="3175"/>
      <c r="J98" s="3190"/>
      <c r="K98" s="3190"/>
    </row>
    <row r="99" spans="1:11" s="3175" customFormat="1" ht="24.75" customHeight="1" x14ac:dyDescent="0.45">
      <c r="A99" s="3206"/>
      <c r="B99" s="3176" t="s">
        <v>4814</v>
      </c>
      <c r="C99" s="3208">
        <f t="shared" ref="C99:F99" si="24">C100+C107</f>
        <v>-3610.7164854300354</v>
      </c>
      <c r="D99" s="3208">
        <f t="shared" si="24"/>
        <v>19775.679710759723</v>
      </c>
      <c r="E99" s="3208">
        <f t="shared" si="24"/>
        <v>16640.952655438683</v>
      </c>
      <c r="F99" s="3208">
        <f t="shared" si="24"/>
        <v>18094.432503685995</v>
      </c>
      <c r="G99" s="3208">
        <f t="shared" si="16"/>
        <v>50900.348384454366</v>
      </c>
      <c r="H99" s="3208">
        <v>-30323</v>
      </c>
    </row>
    <row r="100" spans="1:11" s="3175" customFormat="1" ht="24.75" customHeight="1" x14ac:dyDescent="0.45">
      <c r="A100" s="3206"/>
      <c r="B100" s="3176" t="s">
        <v>4815</v>
      </c>
      <c r="C100" s="3208">
        <f t="shared" ref="C100:F100" si="25">C101+C102+C103+C104+C106</f>
        <v>122028.94061253998</v>
      </c>
      <c r="D100" s="3208">
        <f t="shared" si="25"/>
        <v>191429.58057395084</v>
      </c>
      <c r="E100" s="3208">
        <f t="shared" si="25"/>
        <v>-306146.06276947423</v>
      </c>
      <c r="F100" s="3208">
        <f t="shared" si="25"/>
        <v>-264490.85764159466</v>
      </c>
      <c r="G100" s="3208">
        <f t="shared" si="16"/>
        <v>-257178.39922457805</v>
      </c>
      <c r="H100" s="3208">
        <v>-64927</v>
      </c>
    </row>
    <row r="101" spans="1:11" s="3175" customFormat="1" ht="24.75" customHeight="1" x14ac:dyDescent="0.45">
      <c r="A101" s="3206"/>
      <c r="B101" s="3180" t="s">
        <v>4816</v>
      </c>
      <c r="C101" s="3181">
        <v>0</v>
      </c>
      <c r="D101" s="3181">
        <v>0</v>
      </c>
      <c r="E101" s="3181">
        <v>0</v>
      </c>
      <c r="F101" s="3181">
        <v>0</v>
      </c>
      <c r="G101" s="3181">
        <f t="shared" si="16"/>
        <v>0</v>
      </c>
      <c r="H101" s="3181">
        <v>0</v>
      </c>
    </row>
    <row r="102" spans="1:11" s="3175" customFormat="1" ht="24.75" customHeight="1" x14ac:dyDescent="0.45">
      <c r="A102" s="3206"/>
      <c r="B102" s="3180" t="s">
        <v>4817</v>
      </c>
      <c r="C102" s="3181">
        <v>0</v>
      </c>
      <c r="D102" s="3181">
        <v>0</v>
      </c>
      <c r="E102" s="3181">
        <v>0</v>
      </c>
      <c r="F102" s="3181">
        <v>0</v>
      </c>
      <c r="G102" s="3181">
        <f t="shared" si="16"/>
        <v>0</v>
      </c>
      <c r="H102" s="3181">
        <v>0</v>
      </c>
      <c r="I102" s="3188"/>
    </row>
    <row r="103" spans="1:11" s="3175" customFormat="1" ht="24.75" customHeight="1" x14ac:dyDescent="0.45">
      <c r="A103" s="3206"/>
      <c r="B103" s="3180" t="s">
        <v>22</v>
      </c>
      <c r="C103" s="3181">
        <v>-33482.393030981781</v>
      </c>
      <c r="D103" s="3181">
        <v>95324</v>
      </c>
      <c r="E103" s="3181">
        <v>22008.313893382499</v>
      </c>
      <c r="F103" s="3181">
        <v>-8055.2558174326723</v>
      </c>
      <c r="G103" s="3181">
        <f t="shared" si="16"/>
        <v>75794.665044968046</v>
      </c>
      <c r="H103" s="3181">
        <v>29145</v>
      </c>
    </row>
    <row r="104" spans="1:11" s="3175" customFormat="1" ht="24.75" customHeight="1" x14ac:dyDescent="0.45">
      <c r="A104" s="3206"/>
      <c r="B104" s="3180" t="s">
        <v>4818</v>
      </c>
      <c r="C104" s="3181">
        <v>155948.33364352176</v>
      </c>
      <c r="D104" s="3181">
        <v>95945.580573950836</v>
      </c>
      <c r="E104" s="3181">
        <v>-328245.97066285671</v>
      </c>
      <c r="F104" s="3181">
        <v>-255754.27482416201</v>
      </c>
      <c r="G104" s="3181">
        <f t="shared" si="16"/>
        <v>-332106.33126954612</v>
      </c>
      <c r="H104" s="3181">
        <v>-94095</v>
      </c>
    </row>
    <row r="105" spans="1:11" s="3188" customFormat="1" ht="24.75" customHeight="1" x14ac:dyDescent="0.45">
      <c r="A105" s="3195"/>
      <c r="B105" s="3186" t="s">
        <v>4787</v>
      </c>
      <c r="C105" s="3192">
        <v>155948.33364352176</v>
      </c>
      <c r="D105" s="3192">
        <v>95945.580573950836</v>
      </c>
      <c r="E105" s="3192">
        <v>-328245.97066285671</v>
      </c>
      <c r="F105" s="3192">
        <v>-255754.27482416201</v>
      </c>
      <c r="G105" s="3192">
        <f t="shared" si="16"/>
        <v>-332106.33126954612</v>
      </c>
      <c r="H105" s="3192">
        <v>-94095</v>
      </c>
      <c r="I105" s="3175"/>
    </row>
    <row r="106" spans="1:11" s="3175" customFormat="1" ht="24.75" customHeight="1" x14ac:dyDescent="0.45">
      <c r="A106" s="3206"/>
      <c r="B106" s="3180" t="s">
        <v>4819</v>
      </c>
      <c r="C106" s="3181">
        <v>-437</v>
      </c>
      <c r="D106" s="3181">
        <v>160</v>
      </c>
      <c r="E106" s="3181">
        <v>91.593999999999994</v>
      </c>
      <c r="F106" s="3181">
        <v>-681.327</v>
      </c>
      <c r="G106" s="3181">
        <f t="shared" si="16"/>
        <v>-866.73299999999995</v>
      </c>
      <c r="H106" s="3181">
        <v>23</v>
      </c>
    </row>
    <row r="107" spans="1:11" s="3175" customFormat="1" ht="24.75" customHeight="1" x14ac:dyDescent="0.45">
      <c r="A107" s="3206"/>
      <c r="B107" s="3176" t="s">
        <v>4813</v>
      </c>
      <c r="C107" s="3193">
        <f t="shared" ref="C107:F107" si="26">C108+C109+C110+C111+C113</f>
        <v>-125639.65709797002</v>
      </c>
      <c r="D107" s="3193">
        <f t="shared" si="26"/>
        <v>-171653.90086319111</v>
      </c>
      <c r="E107" s="3193">
        <f t="shared" si="26"/>
        <v>322787.01542491291</v>
      </c>
      <c r="F107" s="3193">
        <f t="shared" si="26"/>
        <v>282585.29014528065</v>
      </c>
      <c r="G107" s="3193">
        <f t="shared" si="16"/>
        <v>308078.74760903243</v>
      </c>
      <c r="H107" s="3193">
        <v>34604</v>
      </c>
    </row>
    <row r="108" spans="1:11" s="3175" customFormat="1" ht="24.75" customHeight="1" x14ac:dyDescent="0.45">
      <c r="A108" s="3206"/>
      <c r="B108" s="3180" t="s">
        <v>4816</v>
      </c>
      <c r="C108" s="3181">
        <v>-14</v>
      </c>
      <c r="D108" s="3181">
        <v>-232</v>
      </c>
      <c r="E108" s="3181">
        <v>-623</v>
      </c>
      <c r="F108" s="3181">
        <v>145</v>
      </c>
      <c r="G108" s="3181">
        <f t="shared" si="16"/>
        <v>-724</v>
      </c>
      <c r="H108" s="3181">
        <v>-645</v>
      </c>
      <c r="I108" s="3190"/>
    </row>
    <row r="109" spans="1:11" s="3175" customFormat="1" ht="24.75" customHeight="1" x14ac:dyDescent="0.45">
      <c r="A109" s="3206"/>
      <c r="B109" s="3180" t="s">
        <v>4817</v>
      </c>
      <c r="C109" s="3181">
        <v>24</v>
      </c>
      <c r="D109" s="3181">
        <v>10.818698372181998</v>
      </c>
      <c r="E109" s="3181">
        <v>51.729723042793978</v>
      </c>
      <c r="F109" s="3181">
        <v>177.20313633649099</v>
      </c>
      <c r="G109" s="3181">
        <f t="shared" si="16"/>
        <v>263.75155775146698</v>
      </c>
      <c r="H109" s="3181">
        <v>-63</v>
      </c>
      <c r="I109" s="3188"/>
    </row>
    <row r="110" spans="1:11" s="3175" customFormat="1" ht="24.75" customHeight="1" x14ac:dyDescent="0.45">
      <c r="A110" s="3206"/>
      <c r="B110" s="3180" t="s">
        <v>22</v>
      </c>
      <c r="C110" s="3181">
        <v>-12496.621294907778</v>
      </c>
      <c r="D110" s="3181">
        <v>-64193</v>
      </c>
      <c r="E110" s="3181">
        <v>28.104190998016357</v>
      </c>
      <c r="F110" s="3181">
        <v>-8972.4402343486145</v>
      </c>
      <c r="G110" s="3181">
        <f t="shared" si="16"/>
        <v>-85633.957338258377</v>
      </c>
      <c r="H110" s="3181">
        <v>-3547</v>
      </c>
    </row>
    <row r="111" spans="1:11" s="3175" customFormat="1" ht="24.75" customHeight="1" x14ac:dyDescent="0.45">
      <c r="A111" s="3206"/>
      <c r="B111" s="3180" t="s">
        <v>4818</v>
      </c>
      <c r="C111" s="3181">
        <v>-115546.28679559403</v>
      </c>
      <c r="D111" s="3181">
        <v>-109985.71956156331</v>
      </c>
      <c r="E111" s="3181">
        <v>320606.13030092709</v>
      </c>
      <c r="F111" s="3181">
        <v>288768.10658945778</v>
      </c>
      <c r="G111" s="3181">
        <f t="shared" si="16"/>
        <v>383842.23053322756</v>
      </c>
      <c r="H111" s="3181">
        <v>36571</v>
      </c>
    </row>
    <row r="112" spans="1:11" s="3188" customFormat="1" ht="24.75" customHeight="1" x14ac:dyDescent="0.45">
      <c r="A112" s="3195"/>
      <c r="B112" s="3186" t="s">
        <v>4787</v>
      </c>
      <c r="C112" s="3192">
        <v>-114288</v>
      </c>
      <c r="D112" s="3192">
        <v>-109860.71956156331</v>
      </c>
      <c r="E112" s="3192">
        <v>321176.52798360522</v>
      </c>
      <c r="F112" s="3192">
        <v>289835.22679129499</v>
      </c>
      <c r="G112" s="3192">
        <f t="shared" si="16"/>
        <v>386863.03521333693</v>
      </c>
      <c r="H112" s="3192">
        <v>36868</v>
      </c>
      <c r="I112" s="3175"/>
    </row>
    <row r="113" spans="1:9" s="3175" customFormat="1" ht="24.75" customHeight="1" x14ac:dyDescent="0.45">
      <c r="A113" s="3206"/>
      <c r="B113" s="3180" t="s">
        <v>4819</v>
      </c>
      <c r="C113" s="3181">
        <v>2393.2509925317877</v>
      </c>
      <c r="D113" s="3181">
        <v>2746</v>
      </c>
      <c r="E113" s="3181">
        <v>2724.0512099450088</v>
      </c>
      <c r="F113" s="3181">
        <v>2467.4206538350136</v>
      </c>
      <c r="G113" s="3181">
        <f t="shared" si="16"/>
        <v>10330.722856311811</v>
      </c>
      <c r="H113" s="3181">
        <v>2288</v>
      </c>
    </row>
    <row r="114" spans="1:9" s="3175" customFormat="1" ht="24.75" customHeight="1" x14ac:dyDescent="0.45">
      <c r="A114" s="3206"/>
      <c r="B114" s="3176" t="s">
        <v>4820</v>
      </c>
      <c r="C114" s="3208">
        <f t="shared" ref="C114:F114" si="27">SUM(C115:C119)</f>
        <v>-4454.7137271972824</v>
      </c>
      <c r="D114" s="3208">
        <f t="shared" si="27"/>
        <v>-2640.277</v>
      </c>
      <c r="E114" s="3208">
        <f t="shared" si="27"/>
        <v>-5905.0646848721362</v>
      </c>
      <c r="F114" s="3208">
        <f t="shared" si="27"/>
        <v>-6960.2250964629984</v>
      </c>
      <c r="G114" s="3208">
        <f t="shared" si="16"/>
        <v>-19960.280508532414</v>
      </c>
      <c r="H114" s="3208">
        <v>-5776</v>
      </c>
    </row>
    <row r="115" spans="1:9" s="3175" customFormat="1" ht="24.75" customHeight="1" x14ac:dyDescent="0.45">
      <c r="A115" s="3206"/>
      <c r="B115" s="3180" t="s">
        <v>4821</v>
      </c>
      <c r="C115" s="3181">
        <v>-1342.0993030500001</v>
      </c>
      <c r="D115" s="3181">
        <v>6</v>
      </c>
      <c r="E115" s="3181">
        <v>-245.0617997452016</v>
      </c>
      <c r="F115" s="3181">
        <v>-107.89261783760035</v>
      </c>
      <c r="G115" s="3181">
        <f t="shared" si="16"/>
        <v>-1689.053720632802</v>
      </c>
      <c r="H115" s="3181">
        <v>-1406</v>
      </c>
    </row>
    <row r="116" spans="1:9" s="3175" customFormat="1" ht="24.75" customHeight="1" x14ac:dyDescent="0.45">
      <c r="A116" s="3206"/>
      <c r="B116" s="3180" t="s">
        <v>4822</v>
      </c>
      <c r="C116" s="3181">
        <v>-0.19373935000038148</v>
      </c>
      <c r="D116" s="3181">
        <v>-0.10199999999999999</v>
      </c>
      <c r="E116" s="3181">
        <v>-14.863573420420662</v>
      </c>
      <c r="F116" s="3181">
        <v>-32.746303390971967</v>
      </c>
      <c r="G116" s="3181">
        <f t="shared" si="16"/>
        <v>-47.905616161393013</v>
      </c>
      <c r="H116" s="3181">
        <v>565</v>
      </c>
    </row>
    <row r="117" spans="1:9" s="3175" customFormat="1" ht="24.75" customHeight="1" x14ac:dyDescent="0.45">
      <c r="A117" s="3206"/>
      <c r="B117" s="3180" t="s">
        <v>4823</v>
      </c>
      <c r="C117" s="3207">
        <v>313.98731483273144</v>
      </c>
      <c r="D117" s="3207">
        <v>-4.1749999999999998</v>
      </c>
      <c r="E117" s="3181">
        <v>-0.77874805637598643</v>
      </c>
      <c r="F117" s="3181">
        <v>0</v>
      </c>
      <c r="G117" s="3181">
        <f t="shared" si="16"/>
        <v>309.03356677635543</v>
      </c>
      <c r="H117" s="3181">
        <v>-510</v>
      </c>
    </row>
    <row r="118" spans="1:9" s="3175" customFormat="1" ht="24.75" customHeight="1" x14ac:dyDescent="0.45">
      <c r="A118" s="3206"/>
      <c r="B118" s="3180" t="s">
        <v>4824</v>
      </c>
      <c r="C118" s="3207">
        <v>-3426.4079996300134</v>
      </c>
      <c r="D118" s="3207">
        <v>-2642</v>
      </c>
      <c r="E118" s="3181">
        <v>-5644.3605636501379</v>
      </c>
      <c r="F118" s="3181">
        <v>-6819.5861752344263</v>
      </c>
      <c r="G118" s="3181">
        <f t="shared" si="16"/>
        <v>-18532.354738514579</v>
      </c>
      <c r="H118" s="3181">
        <v>-4425</v>
      </c>
    </row>
    <row r="119" spans="1:9" s="3175" customFormat="1" ht="24.75" customHeight="1" x14ac:dyDescent="0.5">
      <c r="A119" s="3206"/>
      <c r="B119" s="3180" t="s">
        <v>4825</v>
      </c>
      <c r="C119" s="3207">
        <v>0</v>
      </c>
      <c r="D119" s="3207">
        <v>0</v>
      </c>
      <c r="E119" s="3181">
        <v>0</v>
      </c>
      <c r="F119" s="3181">
        <v>0</v>
      </c>
      <c r="G119" s="3181">
        <f t="shared" si="16"/>
        <v>0</v>
      </c>
      <c r="H119" s="3181">
        <v>0</v>
      </c>
      <c r="I119" s="3166"/>
    </row>
    <row r="120" spans="1:9" s="3175" customFormat="1" ht="24.75" customHeight="1" x14ac:dyDescent="0.45">
      <c r="A120" s="3206" t="s">
        <v>4826</v>
      </c>
      <c r="B120" s="3176" t="s">
        <v>4827</v>
      </c>
      <c r="C120" s="3208">
        <f>-(C6+C79)</f>
        <v>2746.2819385024613</v>
      </c>
      <c r="D120" s="3208">
        <f t="shared" ref="D120:F120" si="28">-(D6+D79)</f>
        <v>-1484.9743873997231</v>
      </c>
      <c r="E120" s="3208">
        <f t="shared" si="28"/>
        <v>1735.9548636834579</v>
      </c>
      <c r="F120" s="3208">
        <f t="shared" si="28"/>
        <v>-1163.8954896679475</v>
      </c>
      <c r="G120" s="3208">
        <f>C120+D120+E120+F120</f>
        <v>1833.3669251182487</v>
      </c>
      <c r="H120" s="3208">
        <v>-2530</v>
      </c>
      <c r="I120" s="3159"/>
    </row>
    <row r="121" spans="1:9" s="3175" customFormat="1" ht="7.5" customHeight="1" thickBot="1" x14ac:dyDescent="0.5">
      <c r="A121" s="3211"/>
      <c r="B121" s="3212"/>
      <c r="C121" s="3213"/>
      <c r="D121" s="3213"/>
      <c r="E121" s="3213"/>
      <c r="F121" s="3214"/>
      <c r="G121" s="3215"/>
      <c r="H121" s="3215"/>
    </row>
    <row r="122" spans="1:9" s="3166" customFormat="1" ht="37.5" customHeight="1" x14ac:dyDescent="0.5">
      <c r="A122" s="3216" t="s">
        <v>4828</v>
      </c>
      <c r="B122" s="3216"/>
      <c r="C122" s="3216"/>
      <c r="D122" s="3216"/>
      <c r="E122" s="3216"/>
      <c r="F122" s="3216"/>
      <c r="G122" s="3216"/>
      <c r="H122" s="3216"/>
    </row>
    <row r="123" spans="1:9" ht="27" x14ac:dyDescent="0.5">
      <c r="A123" s="3216" t="s">
        <v>239</v>
      </c>
      <c r="C123" s="3217"/>
      <c r="D123" s="3217"/>
      <c r="E123" s="3217"/>
      <c r="F123" s="3217"/>
      <c r="G123" s="3218"/>
      <c r="H123" s="3218"/>
    </row>
    <row r="124" spans="1:9" ht="27" x14ac:dyDescent="0.5">
      <c r="A124" s="3216" t="s">
        <v>4829</v>
      </c>
      <c r="C124" s="3217"/>
      <c r="D124" s="3217"/>
      <c r="E124" s="3217"/>
      <c r="F124" s="3217"/>
      <c r="G124" s="3217"/>
      <c r="H124" s="3217"/>
    </row>
    <row r="125" spans="1:9" ht="26.25" x14ac:dyDescent="0.45">
      <c r="C125" s="3217"/>
      <c r="D125" s="3217"/>
      <c r="E125" s="3217"/>
      <c r="F125" s="3217"/>
      <c r="G125" s="3217"/>
      <c r="H125" s="3217"/>
    </row>
    <row r="126" spans="1:9" ht="26.25" x14ac:dyDescent="0.45">
      <c r="C126" s="3217"/>
      <c r="D126" s="3217"/>
      <c r="E126" s="3217"/>
      <c r="F126" s="3217"/>
      <c r="G126" s="3217"/>
      <c r="H126" s="3217"/>
    </row>
    <row r="127" spans="1:9" ht="26.25" x14ac:dyDescent="0.45">
      <c r="C127" s="3217"/>
      <c r="D127" s="3217"/>
      <c r="E127" s="3217"/>
      <c r="F127" s="3217"/>
      <c r="G127" s="3217"/>
      <c r="H127" s="3217"/>
    </row>
    <row r="128" spans="1:9" ht="25.5" customHeight="1" x14ac:dyDescent="0.45"/>
  </sheetData>
  <mergeCells count="5">
    <mergeCell ref="A1:F1"/>
    <mergeCell ref="C3:F3"/>
    <mergeCell ref="G3:G4"/>
    <mergeCell ref="C56:F56"/>
    <mergeCell ref="G56:G57"/>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Z40"/>
  <sheetViews>
    <sheetView zoomScaleNormal="100" workbookViewId="0">
      <pane xSplit="27" ySplit="3" topLeftCell="AN4" activePane="bottomRight" state="frozen"/>
      <selection pane="topRight" activeCell="AB1" sqref="AB1"/>
      <selection pane="bottomLeft" activeCell="A4" sqref="A4"/>
      <selection pane="bottomRight" activeCell="AZ40" sqref="A1:AZ40"/>
    </sheetView>
  </sheetViews>
  <sheetFormatPr defaultColWidth="30.42578125" defaultRowHeight="12.75" x14ac:dyDescent="0.2"/>
  <cols>
    <col min="1" max="1" width="37.42578125" style="2318" customWidth="1"/>
    <col min="2" max="10" width="10.85546875" style="2319" hidden="1" customWidth="1"/>
    <col min="11" max="15" width="11.7109375" style="2319" hidden="1" customWidth="1"/>
    <col min="16" max="39" width="11.85546875" style="2319" hidden="1" customWidth="1"/>
    <col min="40" max="42" width="11.85546875" style="2319" bestFit="1" customWidth="1"/>
    <col min="43" max="47" width="11.85546875" style="2320" bestFit="1" customWidth="1"/>
    <col min="48" max="48" width="12.7109375" style="2320" bestFit="1" customWidth="1"/>
    <col min="49" max="52" width="12.7109375" style="2320" customWidth="1"/>
    <col min="53" max="257" width="30.42578125" style="2319"/>
    <col min="258" max="258" width="34.85546875" style="2319" customWidth="1"/>
    <col min="259" max="267" width="10.85546875" style="2319" customWidth="1"/>
    <col min="268" max="279" width="11.7109375" style="2319" customWidth="1"/>
    <col min="280" max="280" width="30.42578125" style="2319"/>
    <col min="281" max="281" width="37" style="2319" customWidth="1"/>
    <col min="282" max="513" width="30.42578125" style="2319"/>
    <col min="514" max="514" width="34.85546875" style="2319" customWidth="1"/>
    <col min="515" max="523" width="10.85546875" style="2319" customWidth="1"/>
    <col min="524" max="535" width="11.7109375" style="2319" customWidth="1"/>
    <col min="536" max="536" width="30.42578125" style="2319"/>
    <col min="537" max="537" width="37" style="2319" customWidth="1"/>
    <col min="538" max="769" width="30.42578125" style="2319"/>
    <col min="770" max="770" width="34.85546875" style="2319" customWidth="1"/>
    <col min="771" max="779" width="10.85546875" style="2319" customWidth="1"/>
    <col min="780" max="791" width="11.7109375" style="2319" customWidth="1"/>
    <col min="792" max="792" width="30.42578125" style="2319"/>
    <col min="793" max="793" width="37" style="2319" customWidth="1"/>
    <col min="794" max="1025" width="30.42578125" style="2319"/>
    <col min="1026" max="1026" width="34.85546875" style="2319" customWidth="1"/>
    <col min="1027" max="1035" width="10.85546875" style="2319" customWidth="1"/>
    <col min="1036" max="1047" width="11.7109375" style="2319" customWidth="1"/>
    <col min="1048" max="1048" width="30.42578125" style="2319"/>
    <col min="1049" max="1049" width="37" style="2319" customWidth="1"/>
    <col min="1050" max="1281" width="30.42578125" style="2319"/>
    <col min="1282" max="1282" width="34.85546875" style="2319" customWidth="1"/>
    <col min="1283" max="1291" width="10.85546875" style="2319" customWidth="1"/>
    <col min="1292" max="1303" width="11.7109375" style="2319" customWidth="1"/>
    <col min="1304" max="1304" width="30.42578125" style="2319"/>
    <col min="1305" max="1305" width="37" style="2319" customWidth="1"/>
    <col min="1306" max="1537" width="30.42578125" style="2319"/>
    <col min="1538" max="1538" width="34.85546875" style="2319" customWidth="1"/>
    <col min="1539" max="1547" width="10.85546875" style="2319" customWidth="1"/>
    <col min="1548" max="1559" width="11.7109375" style="2319" customWidth="1"/>
    <col min="1560" max="1560" width="30.42578125" style="2319"/>
    <col min="1561" max="1561" width="37" style="2319" customWidth="1"/>
    <col min="1562" max="1793" width="30.42578125" style="2319"/>
    <col min="1794" max="1794" width="34.85546875" style="2319" customWidth="1"/>
    <col min="1795" max="1803" width="10.85546875" style="2319" customWidth="1"/>
    <col min="1804" max="1815" width="11.7109375" style="2319" customWidth="1"/>
    <col min="1816" max="1816" width="30.42578125" style="2319"/>
    <col min="1817" max="1817" width="37" style="2319" customWidth="1"/>
    <col min="1818" max="2049" width="30.42578125" style="2319"/>
    <col min="2050" max="2050" width="34.85546875" style="2319" customWidth="1"/>
    <col min="2051" max="2059" width="10.85546875" style="2319" customWidth="1"/>
    <col min="2060" max="2071" width="11.7109375" style="2319" customWidth="1"/>
    <col min="2072" max="2072" width="30.42578125" style="2319"/>
    <col min="2073" max="2073" width="37" style="2319" customWidth="1"/>
    <col min="2074" max="2305" width="30.42578125" style="2319"/>
    <col min="2306" max="2306" width="34.85546875" style="2319" customWidth="1"/>
    <col min="2307" max="2315" width="10.85546875" style="2319" customWidth="1"/>
    <col min="2316" max="2327" width="11.7109375" style="2319" customWidth="1"/>
    <col min="2328" max="2328" width="30.42578125" style="2319"/>
    <col min="2329" max="2329" width="37" style="2319" customWidth="1"/>
    <col min="2330" max="2561" width="30.42578125" style="2319"/>
    <col min="2562" max="2562" width="34.85546875" style="2319" customWidth="1"/>
    <col min="2563" max="2571" width="10.85546875" style="2319" customWidth="1"/>
    <col min="2572" max="2583" width="11.7109375" style="2319" customWidth="1"/>
    <col min="2584" max="2584" width="30.42578125" style="2319"/>
    <col min="2585" max="2585" width="37" style="2319" customWidth="1"/>
    <col min="2586" max="2817" width="30.42578125" style="2319"/>
    <col min="2818" max="2818" width="34.85546875" style="2319" customWidth="1"/>
    <col min="2819" max="2827" width="10.85546875" style="2319" customWidth="1"/>
    <col min="2828" max="2839" width="11.7109375" style="2319" customWidth="1"/>
    <col min="2840" max="2840" width="30.42578125" style="2319"/>
    <col min="2841" max="2841" width="37" style="2319" customWidth="1"/>
    <col min="2842" max="3073" width="30.42578125" style="2319"/>
    <col min="3074" max="3074" width="34.85546875" style="2319" customWidth="1"/>
    <col min="3075" max="3083" width="10.85546875" style="2319" customWidth="1"/>
    <col min="3084" max="3095" width="11.7109375" style="2319" customWidth="1"/>
    <col min="3096" max="3096" width="30.42578125" style="2319"/>
    <col min="3097" max="3097" width="37" style="2319" customWidth="1"/>
    <col min="3098" max="3329" width="30.42578125" style="2319"/>
    <col min="3330" max="3330" width="34.85546875" style="2319" customWidth="1"/>
    <col min="3331" max="3339" width="10.85546875" style="2319" customWidth="1"/>
    <col min="3340" max="3351" width="11.7109375" style="2319" customWidth="1"/>
    <col min="3352" max="3352" width="30.42578125" style="2319"/>
    <col min="3353" max="3353" width="37" style="2319" customWidth="1"/>
    <col min="3354" max="3585" width="30.42578125" style="2319"/>
    <col min="3586" max="3586" width="34.85546875" style="2319" customWidth="1"/>
    <col min="3587" max="3595" width="10.85546875" style="2319" customWidth="1"/>
    <col min="3596" max="3607" width="11.7109375" style="2319" customWidth="1"/>
    <col min="3608" max="3608" width="30.42578125" style="2319"/>
    <col min="3609" max="3609" width="37" style="2319" customWidth="1"/>
    <col min="3610" max="3841" width="30.42578125" style="2319"/>
    <col min="3842" max="3842" width="34.85546875" style="2319" customWidth="1"/>
    <col min="3843" max="3851" width="10.85546875" style="2319" customWidth="1"/>
    <col min="3852" max="3863" width="11.7109375" style="2319" customWidth="1"/>
    <col min="3864" max="3864" width="30.42578125" style="2319"/>
    <col min="3865" max="3865" width="37" style="2319" customWidth="1"/>
    <col min="3866" max="4097" width="30.42578125" style="2319"/>
    <col min="4098" max="4098" width="34.85546875" style="2319" customWidth="1"/>
    <col min="4099" max="4107" width="10.85546875" style="2319" customWidth="1"/>
    <col min="4108" max="4119" width="11.7109375" style="2319" customWidth="1"/>
    <col min="4120" max="4120" width="30.42578125" style="2319"/>
    <col min="4121" max="4121" width="37" style="2319" customWidth="1"/>
    <col min="4122" max="4353" width="30.42578125" style="2319"/>
    <col min="4354" max="4354" width="34.85546875" style="2319" customWidth="1"/>
    <col min="4355" max="4363" width="10.85546875" style="2319" customWidth="1"/>
    <col min="4364" max="4375" width="11.7109375" style="2319" customWidth="1"/>
    <col min="4376" max="4376" width="30.42578125" style="2319"/>
    <col min="4377" max="4377" width="37" style="2319" customWidth="1"/>
    <col min="4378" max="4609" width="30.42578125" style="2319"/>
    <col min="4610" max="4610" width="34.85546875" style="2319" customWidth="1"/>
    <col min="4611" max="4619" width="10.85546875" style="2319" customWidth="1"/>
    <col min="4620" max="4631" width="11.7109375" style="2319" customWidth="1"/>
    <col min="4632" max="4632" width="30.42578125" style="2319"/>
    <col min="4633" max="4633" width="37" style="2319" customWidth="1"/>
    <col min="4634" max="4865" width="30.42578125" style="2319"/>
    <col min="4866" max="4866" width="34.85546875" style="2319" customWidth="1"/>
    <col min="4867" max="4875" width="10.85546875" style="2319" customWidth="1"/>
    <col min="4876" max="4887" width="11.7109375" style="2319" customWidth="1"/>
    <col min="4888" max="4888" width="30.42578125" style="2319"/>
    <col min="4889" max="4889" width="37" style="2319" customWidth="1"/>
    <col min="4890" max="5121" width="30.42578125" style="2319"/>
    <col min="5122" max="5122" width="34.85546875" style="2319" customWidth="1"/>
    <col min="5123" max="5131" width="10.85546875" style="2319" customWidth="1"/>
    <col min="5132" max="5143" width="11.7109375" style="2319" customWidth="1"/>
    <col min="5144" max="5144" width="30.42578125" style="2319"/>
    <col min="5145" max="5145" width="37" style="2319" customWidth="1"/>
    <col min="5146" max="5377" width="30.42578125" style="2319"/>
    <col min="5378" max="5378" width="34.85546875" style="2319" customWidth="1"/>
    <col min="5379" max="5387" width="10.85546875" style="2319" customWidth="1"/>
    <col min="5388" max="5399" width="11.7109375" style="2319" customWidth="1"/>
    <col min="5400" max="5400" width="30.42578125" style="2319"/>
    <col min="5401" max="5401" width="37" style="2319" customWidth="1"/>
    <col min="5402" max="5633" width="30.42578125" style="2319"/>
    <col min="5634" max="5634" width="34.85546875" style="2319" customWidth="1"/>
    <col min="5635" max="5643" width="10.85546875" style="2319" customWidth="1"/>
    <col min="5644" max="5655" width="11.7109375" style="2319" customWidth="1"/>
    <col min="5656" max="5656" width="30.42578125" style="2319"/>
    <col min="5657" max="5657" width="37" style="2319" customWidth="1"/>
    <col min="5658" max="5889" width="30.42578125" style="2319"/>
    <col min="5890" max="5890" width="34.85546875" style="2319" customWidth="1"/>
    <col min="5891" max="5899" width="10.85546875" style="2319" customWidth="1"/>
    <col min="5900" max="5911" width="11.7109375" style="2319" customWidth="1"/>
    <col min="5912" max="5912" width="30.42578125" style="2319"/>
    <col min="5913" max="5913" width="37" style="2319" customWidth="1"/>
    <col min="5914" max="6145" width="30.42578125" style="2319"/>
    <col min="6146" max="6146" width="34.85546875" style="2319" customWidth="1"/>
    <col min="6147" max="6155" width="10.85546875" style="2319" customWidth="1"/>
    <col min="6156" max="6167" width="11.7109375" style="2319" customWidth="1"/>
    <col min="6168" max="6168" width="30.42578125" style="2319"/>
    <col min="6169" max="6169" width="37" style="2319" customWidth="1"/>
    <col min="6170" max="6401" width="30.42578125" style="2319"/>
    <col min="6402" max="6402" width="34.85546875" style="2319" customWidth="1"/>
    <col min="6403" max="6411" width="10.85546875" style="2319" customWidth="1"/>
    <col min="6412" max="6423" width="11.7109375" style="2319" customWidth="1"/>
    <col min="6424" max="6424" width="30.42578125" style="2319"/>
    <col min="6425" max="6425" width="37" style="2319" customWidth="1"/>
    <col min="6426" max="6657" width="30.42578125" style="2319"/>
    <col min="6658" max="6658" width="34.85546875" style="2319" customWidth="1"/>
    <col min="6659" max="6667" width="10.85546875" style="2319" customWidth="1"/>
    <col min="6668" max="6679" width="11.7109375" style="2319" customWidth="1"/>
    <col min="6680" max="6680" width="30.42578125" style="2319"/>
    <col min="6681" max="6681" width="37" style="2319" customWidth="1"/>
    <col min="6682" max="6913" width="30.42578125" style="2319"/>
    <col min="6914" max="6914" width="34.85546875" style="2319" customWidth="1"/>
    <col min="6915" max="6923" width="10.85546875" style="2319" customWidth="1"/>
    <col min="6924" max="6935" width="11.7109375" style="2319" customWidth="1"/>
    <col min="6936" max="6936" width="30.42578125" style="2319"/>
    <col min="6937" max="6937" width="37" style="2319" customWidth="1"/>
    <col min="6938" max="7169" width="30.42578125" style="2319"/>
    <col min="7170" max="7170" width="34.85546875" style="2319" customWidth="1"/>
    <col min="7171" max="7179" width="10.85546875" style="2319" customWidth="1"/>
    <col min="7180" max="7191" width="11.7109375" style="2319" customWidth="1"/>
    <col min="7192" max="7192" width="30.42578125" style="2319"/>
    <col min="7193" max="7193" width="37" style="2319" customWidth="1"/>
    <col min="7194" max="7425" width="30.42578125" style="2319"/>
    <col min="7426" max="7426" width="34.85546875" style="2319" customWidth="1"/>
    <col min="7427" max="7435" width="10.85546875" style="2319" customWidth="1"/>
    <col min="7436" max="7447" width="11.7109375" style="2319" customWidth="1"/>
    <col min="7448" max="7448" width="30.42578125" style="2319"/>
    <col min="7449" max="7449" width="37" style="2319" customWidth="1"/>
    <col min="7450" max="7681" width="30.42578125" style="2319"/>
    <col min="7682" max="7682" width="34.85546875" style="2319" customWidth="1"/>
    <col min="7683" max="7691" width="10.85546875" style="2319" customWidth="1"/>
    <col min="7692" max="7703" width="11.7109375" style="2319" customWidth="1"/>
    <col min="7704" max="7704" width="30.42578125" style="2319"/>
    <col min="7705" max="7705" width="37" style="2319" customWidth="1"/>
    <col min="7706" max="7937" width="30.42578125" style="2319"/>
    <col min="7938" max="7938" width="34.85546875" style="2319" customWidth="1"/>
    <col min="7939" max="7947" width="10.85546875" style="2319" customWidth="1"/>
    <col min="7948" max="7959" width="11.7109375" style="2319" customWidth="1"/>
    <col min="7960" max="7960" width="30.42578125" style="2319"/>
    <col min="7961" max="7961" width="37" style="2319" customWidth="1"/>
    <col min="7962" max="8193" width="30.42578125" style="2319"/>
    <col min="8194" max="8194" width="34.85546875" style="2319" customWidth="1"/>
    <col min="8195" max="8203" width="10.85546875" style="2319" customWidth="1"/>
    <col min="8204" max="8215" width="11.7109375" style="2319" customWidth="1"/>
    <col min="8216" max="8216" width="30.42578125" style="2319"/>
    <col min="8217" max="8217" width="37" style="2319" customWidth="1"/>
    <col min="8218" max="8449" width="30.42578125" style="2319"/>
    <col min="8450" max="8450" width="34.85546875" style="2319" customWidth="1"/>
    <col min="8451" max="8459" width="10.85546875" style="2319" customWidth="1"/>
    <col min="8460" max="8471" width="11.7109375" style="2319" customWidth="1"/>
    <col min="8472" max="8472" width="30.42578125" style="2319"/>
    <col min="8473" max="8473" width="37" style="2319" customWidth="1"/>
    <col min="8474" max="8705" width="30.42578125" style="2319"/>
    <col min="8706" max="8706" width="34.85546875" style="2319" customWidth="1"/>
    <col min="8707" max="8715" width="10.85546875" style="2319" customWidth="1"/>
    <col min="8716" max="8727" width="11.7109375" style="2319" customWidth="1"/>
    <col min="8728" max="8728" width="30.42578125" style="2319"/>
    <col min="8729" max="8729" width="37" style="2319" customWidth="1"/>
    <col min="8730" max="8961" width="30.42578125" style="2319"/>
    <col min="8962" max="8962" width="34.85546875" style="2319" customWidth="1"/>
    <col min="8963" max="8971" width="10.85546875" style="2319" customWidth="1"/>
    <col min="8972" max="8983" width="11.7109375" style="2319" customWidth="1"/>
    <col min="8984" max="8984" width="30.42578125" style="2319"/>
    <col min="8985" max="8985" width="37" style="2319" customWidth="1"/>
    <col min="8986" max="9217" width="30.42578125" style="2319"/>
    <col min="9218" max="9218" width="34.85546875" style="2319" customWidth="1"/>
    <col min="9219" max="9227" width="10.85546875" style="2319" customWidth="1"/>
    <col min="9228" max="9239" width="11.7109375" style="2319" customWidth="1"/>
    <col min="9240" max="9240" width="30.42578125" style="2319"/>
    <col min="9241" max="9241" width="37" style="2319" customWidth="1"/>
    <col min="9242" max="9473" width="30.42578125" style="2319"/>
    <col min="9474" max="9474" width="34.85546875" style="2319" customWidth="1"/>
    <col min="9475" max="9483" width="10.85546875" style="2319" customWidth="1"/>
    <col min="9484" max="9495" width="11.7109375" style="2319" customWidth="1"/>
    <col min="9496" max="9496" width="30.42578125" style="2319"/>
    <col min="9497" max="9497" width="37" style="2319" customWidth="1"/>
    <col min="9498" max="9729" width="30.42578125" style="2319"/>
    <col min="9730" max="9730" width="34.85546875" style="2319" customWidth="1"/>
    <col min="9731" max="9739" width="10.85546875" style="2319" customWidth="1"/>
    <col min="9740" max="9751" width="11.7109375" style="2319" customWidth="1"/>
    <col min="9752" max="9752" width="30.42578125" style="2319"/>
    <col min="9753" max="9753" width="37" style="2319" customWidth="1"/>
    <col min="9754" max="9985" width="30.42578125" style="2319"/>
    <col min="9986" max="9986" width="34.85546875" style="2319" customWidth="1"/>
    <col min="9987" max="9995" width="10.85546875" style="2319" customWidth="1"/>
    <col min="9996" max="10007" width="11.7109375" style="2319" customWidth="1"/>
    <col min="10008" max="10008" width="30.42578125" style="2319"/>
    <col min="10009" max="10009" width="37" style="2319" customWidth="1"/>
    <col min="10010" max="10241" width="30.42578125" style="2319"/>
    <col min="10242" max="10242" width="34.85546875" style="2319" customWidth="1"/>
    <col min="10243" max="10251" width="10.85546875" style="2319" customWidth="1"/>
    <col min="10252" max="10263" width="11.7109375" style="2319" customWidth="1"/>
    <col min="10264" max="10264" width="30.42578125" style="2319"/>
    <col min="10265" max="10265" width="37" style="2319" customWidth="1"/>
    <col min="10266" max="10497" width="30.42578125" style="2319"/>
    <col min="10498" max="10498" width="34.85546875" style="2319" customWidth="1"/>
    <col min="10499" max="10507" width="10.85546875" style="2319" customWidth="1"/>
    <col min="10508" max="10519" width="11.7109375" style="2319" customWidth="1"/>
    <col min="10520" max="10520" width="30.42578125" style="2319"/>
    <col min="10521" max="10521" width="37" style="2319" customWidth="1"/>
    <col min="10522" max="10753" width="30.42578125" style="2319"/>
    <col min="10754" max="10754" width="34.85546875" style="2319" customWidth="1"/>
    <col min="10755" max="10763" width="10.85546875" style="2319" customWidth="1"/>
    <col min="10764" max="10775" width="11.7109375" style="2319" customWidth="1"/>
    <col min="10776" max="10776" width="30.42578125" style="2319"/>
    <col min="10777" max="10777" width="37" style="2319" customWidth="1"/>
    <col min="10778" max="11009" width="30.42578125" style="2319"/>
    <col min="11010" max="11010" width="34.85546875" style="2319" customWidth="1"/>
    <col min="11011" max="11019" width="10.85546875" style="2319" customWidth="1"/>
    <col min="11020" max="11031" width="11.7109375" style="2319" customWidth="1"/>
    <col min="11032" max="11032" width="30.42578125" style="2319"/>
    <col min="11033" max="11033" width="37" style="2319" customWidth="1"/>
    <col min="11034" max="11265" width="30.42578125" style="2319"/>
    <col min="11266" max="11266" width="34.85546875" style="2319" customWidth="1"/>
    <col min="11267" max="11275" width="10.85546875" style="2319" customWidth="1"/>
    <col min="11276" max="11287" width="11.7109375" style="2319" customWidth="1"/>
    <col min="11288" max="11288" width="30.42578125" style="2319"/>
    <col min="11289" max="11289" width="37" style="2319" customWidth="1"/>
    <col min="11290" max="11521" width="30.42578125" style="2319"/>
    <col min="11522" max="11522" width="34.85546875" style="2319" customWidth="1"/>
    <col min="11523" max="11531" width="10.85546875" style="2319" customWidth="1"/>
    <col min="11532" max="11543" width="11.7109375" style="2319" customWidth="1"/>
    <col min="11544" max="11544" width="30.42578125" style="2319"/>
    <col min="11545" max="11545" width="37" style="2319" customWidth="1"/>
    <col min="11546" max="11777" width="30.42578125" style="2319"/>
    <col min="11778" max="11778" width="34.85546875" style="2319" customWidth="1"/>
    <col min="11779" max="11787" width="10.85546875" style="2319" customWidth="1"/>
    <col min="11788" max="11799" width="11.7109375" style="2319" customWidth="1"/>
    <col min="11800" max="11800" width="30.42578125" style="2319"/>
    <col min="11801" max="11801" width="37" style="2319" customWidth="1"/>
    <col min="11802" max="12033" width="30.42578125" style="2319"/>
    <col min="12034" max="12034" width="34.85546875" style="2319" customWidth="1"/>
    <col min="12035" max="12043" width="10.85546875" style="2319" customWidth="1"/>
    <col min="12044" max="12055" width="11.7109375" style="2319" customWidth="1"/>
    <col min="12056" max="12056" width="30.42578125" style="2319"/>
    <col min="12057" max="12057" width="37" style="2319" customWidth="1"/>
    <col min="12058" max="12289" width="30.42578125" style="2319"/>
    <col min="12290" max="12290" width="34.85546875" style="2319" customWidth="1"/>
    <col min="12291" max="12299" width="10.85546875" style="2319" customWidth="1"/>
    <col min="12300" max="12311" width="11.7109375" style="2319" customWidth="1"/>
    <col min="12312" max="12312" width="30.42578125" style="2319"/>
    <col min="12313" max="12313" width="37" style="2319" customWidth="1"/>
    <col min="12314" max="12545" width="30.42578125" style="2319"/>
    <col min="12546" max="12546" width="34.85546875" style="2319" customWidth="1"/>
    <col min="12547" max="12555" width="10.85546875" style="2319" customWidth="1"/>
    <col min="12556" max="12567" width="11.7109375" style="2319" customWidth="1"/>
    <col min="12568" max="12568" width="30.42578125" style="2319"/>
    <col min="12569" max="12569" width="37" style="2319" customWidth="1"/>
    <col min="12570" max="12801" width="30.42578125" style="2319"/>
    <col min="12802" max="12802" width="34.85546875" style="2319" customWidth="1"/>
    <col min="12803" max="12811" width="10.85546875" style="2319" customWidth="1"/>
    <col min="12812" max="12823" width="11.7109375" style="2319" customWidth="1"/>
    <col min="12824" max="12824" width="30.42578125" style="2319"/>
    <col min="12825" max="12825" width="37" style="2319" customWidth="1"/>
    <col min="12826" max="13057" width="30.42578125" style="2319"/>
    <col min="13058" max="13058" width="34.85546875" style="2319" customWidth="1"/>
    <col min="13059" max="13067" width="10.85546875" style="2319" customWidth="1"/>
    <col min="13068" max="13079" width="11.7109375" style="2319" customWidth="1"/>
    <col min="13080" max="13080" width="30.42578125" style="2319"/>
    <col min="13081" max="13081" width="37" style="2319" customWidth="1"/>
    <col min="13082" max="13313" width="30.42578125" style="2319"/>
    <col min="13314" max="13314" width="34.85546875" style="2319" customWidth="1"/>
    <col min="13315" max="13323" width="10.85546875" style="2319" customWidth="1"/>
    <col min="13324" max="13335" width="11.7109375" style="2319" customWidth="1"/>
    <col min="13336" max="13336" width="30.42578125" style="2319"/>
    <col min="13337" max="13337" width="37" style="2319" customWidth="1"/>
    <col min="13338" max="13569" width="30.42578125" style="2319"/>
    <col min="13570" max="13570" width="34.85546875" style="2319" customWidth="1"/>
    <col min="13571" max="13579" width="10.85546875" style="2319" customWidth="1"/>
    <col min="13580" max="13591" width="11.7109375" style="2319" customWidth="1"/>
    <col min="13592" max="13592" width="30.42578125" style="2319"/>
    <col min="13593" max="13593" width="37" style="2319" customWidth="1"/>
    <col min="13594" max="13825" width="30.42578125" style="2319"/>
    <col min="13826" max="13826" width="34.85546875" style="2319" customWidth="1"/>
    <col min="13827" max="13835" width="10.85546875" style="2319" customWidth="1"/>
    <col min="13836" max="13847" width="11.7109375" style="2319" customWidth="1"/>
    <col min="13848" max="13848" width="30.42578125" style="2319"/>
    <col min="13849" max="13849" width="37" style="2319" customWidth="1"/>
    <col min="13850" max="14081" width="30.42578125" style="2319"/>
    <col min="14082" max="14082" width="34.85546875" style="2319" customWidth="1"/>
    <col min="14083" max="14091" width="10.85546875" style="2319" customWidth="1"/>
    <col min="14092" max="14103" width="11.7109375" style="2319" customWidth="1"/>
    <col min="14104" max="14104" width="30.42578125" style="2319"/>
    <col min="14105" max="14105" width="37" style="2319" customWidth="1"/>
    <col min="14106" max="14337" width="30.42578125" style="2319"/>
    <col min="14338" max="14338" width="34.85546875" style="2319" customWidth="1"/>
    <col min="14339" max="14347" width="10.85546875" style="2319" customWidth="1"/>
    <col min="14348" max="14359" width="11.7109375" style="2319" customWidth="1"/>
    <col min="14360" max="14360" width="30.42578125" style="2319"/>
    <col min="14361" max="14361" width="37" style="2319" customWidth="1"/>
    <col min="14362" max="14593" width="30.42578125" style="2319"/>
    <col min="14594" max="14594" width="34.85546875" style="2319" customWidth="1"/>
    <col min="14595" max="14603" width="10.85546875" style="2319" customWidth="1"/>
    <col min="14604" max="14615" width="11.7109375" style="2319" customWidth="1"/>
    <col min="14616" max="14616" width="30.42578125" style="2319"/>
    <col min="14617" max="14617" width="37" style="2319" customWidth="1"/>
    <col min="14618" max="14849" width="30.42578125" style="2319"/>
    <col min="14850" max="14850" width="34.85546875" style="2319" customWidth="1"/>
    <col min="14851" max="14859" width="10.85546875" style="2319" customWidth="1"/>
    <col min="14860" max="14871" width="11.7109375" style="2319" customWidth="1"/>
    <col min="14872" max="14872" width="30.42578125" style="2319"/>
    <col min="14873" max="14873" width="37" style="2319" customWidth="1"/>
    <col min="14874" max="15105" width="30.42578125" style="2319"/>
    <col min="15106" max="15106" width="34.85546875" style="2319" customWidth="1"/>
    <col min="15107" max="15115" width="10.85546875" style="2319" customWidth="1"/>
    <col min="15116" max="15127" width="11.7109375" style="2319" customWidth="1"/>
    <col min="15128" max="15128" width="30.42578125" style="2319"/>
    <col min="15129" max="15129" width="37" style="2319" customWidth="1"/>
    <col min="15130" max="15361" width="30.42578125" style="2319"/>
    <col min="15362" max="15362" width="34.85546875" style="2319" customWidth="1"/>
    <col min="15363" max="15371" width="10.85546875" style="2319" customWidth="1"/>
    <col min="15372" max="15383" width="11.7109375" style="2319" customWidth="1"/>
    <col min="15384" max="15384" width="30.42578125" style="2319"/>
    <col min="15385" max="15385" width="37" style="2319" customWidth="1"/>
    <col min="15386" max="15617" width="30.42578125" style="2319"/>
    <col min="15618" max="15618" width="34.85546875" style="2319" customWidth="1"/>
    <col min="15619" max="15627" width="10.85546875" style="2319" customWidth="1"/>
    <col min="15628" max="15639" width="11.7109375" style="2319" customWidth="1"/>
    <col min="15640" max="15640" width="30.42578125" style="2319"/>
    <col min="15641" max="15641" width="37" style="2319" customWidth="1"/>
    <col min="15642" max="15873" width="30.42578125" style="2319"/>
    <col min="15874" max="15874" width="34.85546875" style="2319" customWidth="1"/>
    <col min="15875" max="15883" width="10.85546875" style="2319" customWidth="1"/>
    <col min="15884" max="15895" width="11.7109375" style="2319" customWidth="1"/>
    <col min="15896" max="15896" width="30.42578125" style="2319"/>
    <col min="15897" max="15897" width="37" style="2319" customWidth="1"/>
    <col min="15898" max="16129" width="30.42578125" style="2319"/>
    <col min="16130" max="16130" width="34.85546875" style="2319" customWidth="1"/>
    <col min="16131" max="16139" width="10.85546875" style="2319" customWidth="1"/>
    <col min="16140" max="16151" width="11.7109375" style="2319" customWidth="1"/>
    <col min="16152" max="16152" width="30.42578125" style="2319"/>
    <col min="16153" max="16153" width="37" style="2319" customWidth="1"/>
    <col min="16154" max="16384" width="30.42578125" style="2319"/>
  </cols>
  <sheetData>
    <row r="1" spans="1:52" s="2316" customFormat="1" ht="23.25" x14ac:dyDescent="0.2">
      <c r="A1" s="2315" t="s">
        <v>4020</v>
      </c>
      <c r="AQ1" s="2317"/>
      <c r="AR1" s="2317"/>
      <c r="AS1" s="2317"/>
      <c r="AT1" s="2317"/>
      <c r="AU1" s="2317"/>
      <c r="AV1" s="2317"/>
      <c r="AW1" s="2317"/>
      <c r="AX1" s="2317"/>
      <c r="AY1" s="2317"/>
      <c r="AZ1" s="2317"/>
    </row>
    <row r="2" spans="1:52" ht="13.5" thickBot="1" x14ac:dyDescent="0.25">
      <c r="AU2" s="2321"/>
      <c r="AV2" s="2321"/>
      <c r="AW2" s="2321"/>
      <c r="AX2" s="2321"/>
      <c r="AY2" s="2321"/>
      <c r="AZ2" s="2321"/>
    </row>
    <row r="3" spans="1:52" s="2326" customFormat="1" ht="26.25" customHeight="1" x14ac:dyDescent="0.2">
      <c r="A3" s="2322"/>
      <c r="B3" s="2323">
        <v>40910</v>
      </c>
      <c r="C3" s="2324">
        <v>40941</v>
      </c>
      <c r="D3" s="2324">
        <v>40971</v>
      </c>
      <c r="E3" s="2324">
        <v>41003</v>
      </c>
      <c r="F3" s="2324">
        <v>41034</v>
      </c>
      <c r="G3" s="2324">
        <v>41066</v>
      </c>
      <c r="H3" s="2324">
        <v>41097</v>
      </c>
      <c r="I3" s="2324">
        <v>41129</v>
      </c>
      <c r="J3" s="2324">
        <v>41161</v>
      </c>
      <c r="K3" s="2324">
        <v>41192</v>
      </c>
      <c r="L3" s="2324">
        <v>41224</v>
      </c>
      <c r="M3" s="2324">
        <v>41255</v>
      </c>
      <c r="N3" s="2324">
        <v>41275</v>
      </c>
      <c r="O3" s="2324">
        <v>41307</v>
      </c>
      <c r="P3" s="2325">
        <v>41336</v>
      </c>
      <c r="Q3" s="2325">
        <v>41399</v>
      </c>
      <c r="R3" s="2325">
        <v>41431</v>
      </c>
      <c r="S3" s="2325">
        <v>41462</v>
      </c>
      <c r="T3" s="2325">
        <v>41494</v>
      </c>
      <c r="U3" s="2325">
        <v>41526</v>
      </c>
      <c r="V3" s="2325">
        <v>41557</v>
      </c>
      <c r="W3" s="2325">
        <v>41588</v>
      </c>
      <c r="X3" s="2325">
        <v>41619</v>
      </c>
      <c r="Y3" s="2325">
        <v>41640</v>
      </c>
      <c r="Z3" s="2325">
        <v>41671</v>
      </c>
      <c r="AA3" s="2325">
        <v>41700</v>
      </c>
      <c r="AB3" s="2325">
        <v>41732</v>
      </c>
      <c r="AC3" s="2325">
        <v>41762</v>
      </c>
      <c r="AD3" s="2325">
        <v>41794</v>
      </c>
      <c r="AE3" s="2325">
        <v>41825</v>
      </c>
      <c r="AF3" s="2325">
        <v>41857</v>
      </c>
      <c r="AG3" s="2325">
        <v>41889</v>
      </c>
      <c r="AH3" s="2325">
        <v>41919</v>
      </c>
      <c r="AI3" s="2325">
        <v>41950</v>
      </c>
      <c r="AJ3" s="2325">
        <v>41980</v>
      </c>
      <c r="AK3" s="2325">
        <v>42012</v>
      </c>
      <c r="AL3" s="2325">
        <v>42037</v>
      </c>
      <c r="AM3" s="2325">
        <v>42064</v>
      </c>
      <c r="AN3" s="2325">
        <v>42096</v>
      </c>
      <c r="AO3" s="2325">
        <v>42127</v>
      </c>
      <c r="AP3" s="2325">
        <v>42159</v>
      </c>
      <c r="AQ3" s="2325">
        <v>42189</v>
      </c>
      <c r="AR3" s="2325">
        <v>42220</v>
      </c>
      <c r="AS3" s="2325">
        <v>42252</v>
      </c>
      <c r="AT3" s="2325">
        <v>42282</v>
      </c>
      <c r="AU3" s="2325">
        <v>42313</v>
      </c>
      <c r="AV3" s="2325">
        <v>42343</v>
      </c>
      <c r="AW3" s="2325">
        <v>42375</v>
      </c>
      <c r="AX3" s="2325">
        <v>42407</v>
      </c>
      <c r="AY3" s="2325">
        <v>42436</v>
      </c>
      <c r="AZ3" s="2325">
        <v>42461</v>
      </c>
    </row>
    <row r="4" spans="1:52" ht="26.25" customHeight="1" x14ac:dyDescent="0.2">
      <c r="A4" s="2327" t="s">
        <v>4021</v>
      </c>
      <c r="B4" s="2328">
        <v>430</v>
      </c>
      <c r="C4" s="2329">
        <v>430</v>
      </c>
      <c r="D4" s="2329">
        <v>432</v>
      </c>
      <c r="E4" s="2329">
        <v>431</v>
      </c>
      <c r="F4" s="2329">
        <v>431</v>
      </c>
      <c r="G4" s="2329">
        <v>430</v>
      </c>
      <c r="H4" s="2329">
        <v>432</v>
      </c>
      <c r="I4" s="2329">
        <v>433</v>
      </c>
      <c r="J4" s="2329">
        <v>436</v>
      </c>
      <c r="K4" s="2329">
        <v>437</v>
      </c>
      <c r="L4" s="2329">
        <v>438</v>
      </c>
      <c r="M4" s="2329">
        <v>441</v>
      </c>
      <c r="N4" s="2329">
        <v>442</v>
      </c>
      <c r="O4" s="2329">
        <v>443</v>
      </c>
      <c r="P4" s="2330">
        <v>446</v>
      </c>
      <c r="Q4" s="2330">
        <v>447</v>
      </c>
      <c r="R4" s="2330">
        <v>450</v>
      </c>
      <c r="S4" s="2330">
        <v>448</v>
      </c>
      <c r="T4" s="2330">
        <v>448</v>
      </c>
      <c r="U4" s="2330">
        <v>449</v>
      </c>
      <c r="V4" s="2330">
        <v>448</v>
      </c>
      <c r="W4" s="2330">
        <v>449</v>
      </c>
      <c r="X4" s="2330">
        <v>450</v>
      </c>
      <c r="Y4" s="2330">
        <v>450</v>
      </c>
      <c r="Z4" s="2330">
        <v>449</v>
      </c>
      <c r="AA4" s="2330">
        <v>451</v>
      </c>
      <c r="AB4" s="2330">
        <v>451</v>
      </c>
      <c r="AC4" s="2330">
        <v>452</v>
      </c>
      <c r="AD4" s="2330">
        <v>454</v>
      </c>
      <c r="AE4" s="2330">
        <v>453</v>
      </c>
      <c r="AF4" s="2330">
        <v>453</v>
      </c>
      <c r="AG4" s="2330">
        <v>453</v>
      </c>
      <c r="AH4" s="2330">
        <v>453</v>
      </c>
      <c r="AI4" s="2330">
        <v>453</v>
      </c>
      <c r="AJ4" s="2330">
        <v>455</v>
      </c>
      <c r="AK4" s="2330">
        <v>456</v>
      </c>
      <c r="AL4" s="2330">
        <v>454</v>
      </c>
      <c r="AM4" s="2330">
        <v>459</v>
      </c>
      <c r="AN4" s="2330">
        <v>461</v>
      </c>
      <c r="AO4" s="2330">
        <v>462</v>
      </c>
      <c r="AP4" s="2330">
        <v>460</v>
      </c>
      <c r="AQ4" s="2330">
        <v>460</v>
      </c>
      <c r="AR4" s="2331">
        <v>460</v>
      </c>
      <c r="AS4" s="2331">
        <v>461</v>
      </c>
      <c r="AT4" s="2332">
        <v>460</v>
      </c>
      <c r="AU4" s="2332">
        <v>459</v>
      </c>
      <c r="AV4" s="2332">
        <f>'[75]Dec-15'!$W$8</f>
        <v>464</v>
      </c>
      <c r="AW4" s="2332">
        <f>'[76]Jan-16'!$U$8</f>
        <v>464</v>
      </c>
      <c r="AX4" s="2332">
        <v>465</v>
      </c>
      <c r="AY4" s="2332">
        <v>465</v>
      </c>
      <c r="AZ4" s="2332">
        <v>465</v>
      </c>
    </row>
    <row r="5" spans="1:52" ht="6.75" customHeight="1" thickBot="1" x14ac:dyDescent="0.25">
      <c r="A5" s="2333"/>
      <c r="B5" s="2329"/>
      <c r="C5" s="2329"/>
      <c r="D5" s="2329"/>
      <c r="E5" s="2329"/>
      <c r="F5" s="2329"/>
      <c r="G5" s="2329"/>
      <c r="H5" s="2329"/>
      <c r="I5" s="2329"/>
      <c r="J5" s="2329"/>
      <c r="K5" s="2329"/>
      <c r="L5" s="2329"/>
      <c r="M5" s="2329"/>
      <c r="N5" s="2329"/>
      <c r="O5" s="2329"/>
      <c r="P5" s="2330"/>
      <c r="Q5" s="2330"/>
      <c r="R5" s="2330"/>
      <c r="S5" s="2330"/>
      <c r="T5" s="2330"/>
      <c r="U5" s="2330"/>
      <c r="V5" s="2330"/>
      <c r="W5" s="2330"/>
      <c r="X5" s="2330"/>
      <c r="Y5" s="2330"/>
      <c r="Z5" s="2330"/>
      <c r="AA5" s="2330"/>
      <c r="AB5" s="2330"/>
      <c r="AC5" s="2330"/>
      <c r="AD5" s="2330"/>
      <c r="AE5" s="2330"/>
      <c r="AF5" s="2330"/>
      <c r="AG5" s="2330"/>
      <c r="AH5" s="2330"/>
      <c r="AI5" s="2330"/>
      <c r="AJ5" s="2330"/>
      <c r="AK5" s="2330"/>
      <c r="AL5" s="2330"/>
      <c r="AM5" s="2330"/>
      <c r="AN5" s="2330"/>
      <c r="AO5" s="2330"/>
      <c r="AP5" s="2330"/>
      <c r="AQ5" s="2334"/>
      <c r="AR5" s="2335"/>
      <c r="AS5" s="2335"/>
      <c r="AT5" s="2335"/>
      <c r="AU5" s="2335"/>
      <c r="AV5" s="2335"/>
      <c r="AW5" s="2335"/>
      <c r="AX5" s="2335"/>
      <c r="AY5" s="2335"/>
      <c r="AZ5" s="2336"/>
    </row>
    <row r="6" spans="1:52" ht="12.75" customHeight="1" thickBot="1" x14ac:dyDescent="0.25">
      <c r="A6" s="2337"/>
      <c r="B6" s="2338"/>
      <c r="C6" s="2339"/>
      <c r="D6" s="2339"/>
      <c r="E6" s="2339"/>
      <c r="F6" s="2339"/>
      <c r="G6" s="2339"/>
      <c r="H6" s="2339"/>
      <c r="I6" s="2339"/>
      <c r="J6" s="2339"/>
      <c r="K6" s="2339"/>
      <c r="L6" s="2339"/>
      <c r="M6" s="2339"/>
      <c r="N6" s="2339"/>
      <c r="O6" s="2339"/>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2340"/>
      <c r="AM6" s="2340"/>
      <c r="AN6" s="2340"/>
      <c r="AO6" s="2340"/>
      <c r="AP6" s="2340"/>
      <c r="AQ6" s="2341"/>
      <c r="AR6" s="2341"/>
      <c r="AS6" s="2341"/>
      <c r="AT6" s="2341"/>
      <c r="AU6" s="2341"/>
      <c r="AV6" s="2341"/>
      <c r="AW6" s="2341"/>
      <c r="AX6" s="2341"/>
      <c r="AY6" s="2341"/>
      <c r="AZ6" s="2342"/>
    </row>
    <row r="7" spans="1:52" s="2345" customFormat="1" ht="27" customHeight="1" x14ac:dyDescent="0.2">
      <c r="A7" s="2327" t="s">
        <v>4022</v>
      </c>
      <c r="B7" s="2343">
        <v>4736872</v>
      </c>
      <c r="C7" s="2343">
        <v>4319467</v>
      </c>
      <c r="D7" s="2343">
        <v>4841422</v>
      </c>
      <c r="E7" s="2343">
        <v>4758541</v>
      </c>
      <c r="F7" s="2343">
        <v>4845776</v>
      </c>
      <c r="G7" s="2343">
        <v>4496701</v>
      </c>
      <c r="H7" s="2343">
        <v>4733299</v>
      </c>
      <c r="I7" s="2343">
        <v>4753864</v>
      </c>
      <c r="J7" s="2343">
        <v>4589854</v>
      </c>
      <c r="K7" s="2343">
        <v>5016549</v>
      </c>
      <c r="L7" s="2343">
        <v>4831238</v>
      </c>
      <c r="M7" s="2343">
        <v>6407067</v>
      </c>
      <c r="N7" s="2343">
        <v>4875444</v>
      </c>
      <c r="O7" s="2343">
        <v>4576070</v>
      </c>
      <c r="P7" s="2344">
        <v>5159362</v>
      </c>
      <c r="Q7" s="2344">
        <v>5247975</v>
      </c>
      <c r="R7" s="2344">
        <v>4677566</v>
      </c>
      <c r="S7" s="2344">
        <v>5215652</v>
      </c>
      <c r="T7" s="2344">
        <v>5146740</v>
      </c>
      <c r="U7" s="2344">
        <v>4946438</v>
      </c>
      <c r="V7" s="2344">
        <v>5139787</v>
      </c>
      <c r="W7" s="2344">
        <v>5093468</v>
      </c>
      <c r="X7" s="2344">
        <v>6796552</v>
      </c>
      <c r="Y7" s="2344">
        <v>5089885</v>
      </c>
      <c r="Z7" s="2344">
        <v>4795824</v>
      </c>
      <c r="AA7" s="2344">
        <v>5439117</v>
      </c>
      <c r="AB7" s="2344">
        <v>5556138</v>
      </c>
      <c r="AC7" s="2344">
        <v>5635041</v>
      </c>
      <c r="AD7" s="2344">
        <v>5320280</v>
      </c>
      <c r="AE7" s="2344">
        <v>5507836</v>
      </c>
      <c r="AF7" s="2344">
        <v>5233474</v>
      </c>
      <c r="AG7" s="2344">
        <v>5283765</v>
      </c>
      <c r="AH7" s="2344">
        <v>5542287</v>
      </c>
      <c r="AI7" s="2344">
        <v>5430649</v>
      </c>
      <c r="AJ7" s="2344">
        <v>7185702</v>
      </c>
      <c r="AK7" s="2344">
        <v>5576038</v>
      </c>
      <c r="AL7" s="2344">
        <v>5217581</v>
      </c>
      <c r="AM7" s="2344">
        <v>5980306</v>
      </c>
      <c r="AN7" s="2344">
        <v>5385116</v>
      </c>
      <c r="AO7" s="2344">
        <v>5476327</v>
      </c>
      <c r="AP7" s="2344">
        <v>5381144</v>
      </c>
      <c r="AQ7" s="2344">
        <v>5583771</v>
      </c>
      <c r="AR7" s="2331">
        <v>5722712</v>
      </c>
      <c r="AS7" s="2331">
        <v>5278224</v>
      </c>
      <c r="AT7" s="2331">
        <v>5641964</v>
      </c>
      <c r="AU7" s="2331">
        <v>5639078</v>
      </c>
      <c r="AV7" s="2331">
        <f>'[75]Dec-15'!$W$81</f>
        <v>7340347</v>
      </c>
      <c r="AW7" s="2331">
        <f>'[76]Jan-16'!$U$81</f>
        <v>5541738</v>
      </c>
      <c r="AX7" s="2331">
        <v>5436047</v>
      </c>
      <c r="AY7" s="2331">
        <v>5734387</v>
      </c>
      <c r="AZ7" s="2332">
        <v>5520603</v>
      </c>
    </row>
    <row r="8" spans="1:52" s="2348" customFormat="1" ht="26.25" customHeight="1" thickBot="1" x14ac:dyDescent="0.25">
      <c r="A8" s="2327" t="s">
        <v>4023</v>
      </c>
      <c r="B8" s="2346">
        <v>9717.9310000000005</v>
      </c>
      <c r="C8" s="2346">
        <v>8695.5310000000009</v>
      </c>
      <c r="D8" s="2346">
        <v>9537</v>
      </c>
      <c r="E8" s="2346">
        <v>9328.3799999999992</v>
      </c>
      <c r="F8" s="2346">
        <v>9365.3790000000008</v>
      </c>
      <c r="G8" s="2346">
        <v>8566.6859999999997</v>
      </c>
      <c r="H8" s="2346">
        <v>9187.1509999999998</v>
      </c>
      <c r="I8" s="2346">
        <v>9327.4629999999997</v>
      </c>
      <c r="J8" s="2346">
        <v>8899.0619999999999</v>
      </c>
      <c r="K8" s="2346">
        <v>10019.85</v>
      </c>
      <c r="L8" s="2346">
        <v>9953.0740000000005</v>
      </c>
      <c r="M8" s="2346">
        <v>14412.458000000001</v>
      </c>
      <c r="N8" s="2346">
        <v>10301.35</v>
      </c>
      <c r="O8" s="2346">
        <v>9300.4850000000006</v>
      </c>
      <c r="P8" s="2347">
        <v>10679.24</v>
      </c>
      <c r="Q8" s="2347">
        <v>11267.702789999999</v>
      </c>
      <c r="R8" s="2347">
        <v>9276.9660000000003</v>
      </c>
      <c r="S8" s="2347">
        <v>10612.598168220002</v>
      </c>
      <c r="T8" s="2347">
        <v>10549.572</v>
      </c>
      <c r="U8" s="2347">
        <v>9942</v>
      </c>
      <c r="V8" s="2347">
        <v>10729.645</v>
      </c>
      <c r="W8" s="2347">
        <v>10840.106</v>
      </c>
      <c r="X8" s="2347">
        <v>15747.023999999999</v>
      </c>
      <c r="Y8" s="2347">
        <v>11116.937</v>
      </c>
      <c r="Z8" s="2347">
        <v>12597.385472538999</v>
      </c>
      <c r="AA8" s="2347">
        <v>11425</v>
      </c>
      <c r="AB8" s="2347">
        <v>11616.532999999999</v>
      </c>
      <c r="AC8" s="2347">
        <v>11411.8463010512</v>
      </c>
      <c r="AD8" s="2347">
        <v>10729.509122245256</v>
      </c>
      <c r="AE8" s="2347">
        <v>11263.006257917899</v>
      </c>
      <c r="AF8" s="2347">
        <v>10996.251</v>
      </c>
      <c r="AG8" s="2347">
        <v>10655</v>
      </c>
      <c r="AH8" s="2347">
        <v>11325.603999999999</v>
      </c>
      <c r="AI8" s="2347">
        <v>11628.968000000001</v>
      </c>
      <c r="AJ8" s="2347">
        <v>17038.289164287296</v>
      </c>
      <c r="AK8" s="2347">
        <v>11990.63</v>
      </c>
      <c r="AL8" s="2347">
        <v>11039</v>
      </c>
      <c r="AM8" s="2347">
        <v>12689.204079463199</v>
      </c>
      <c r="AN8" s="2347">
        <v>11416</v>
      </c>
      <c r="AO8" s="2347">
        <v>11568.88887716</v>
      </c>
      <c r="AP8" s="2347">
        <v>11032.510690999999</v>
      </c>
      <c r="AQ8" s="2347">
        <v>11767</v>
      </c>
      <c r="AR8" s="2331">
        <v>12212</v>
      </c>
      <c r="AS8" s="2331">
        <v>10979.015160000001</v>
      </c>
      <c r="AT8" s="2331">
        <v>12170</v>
      </c>
      <c r="AU8" s="2331">
        <v>12319</v>
      </c>
      <c r="AV8" s="2331">
        <f>'[75]Dec-15'!$W$82/1000000</f>
        <v>17686.962684089995</v>
      </c>
      <c r="AW8" s="2331">
        <f>'[76]Jan-16'!$U$82/1000000</f>
        <v>12299.68105725</v>
      </c>
      <c r="AX8" s="2331">
        <v>11863</v>
      </c>
      <c r="AY8" s="2331">
        <v>12300</v>
      </c>
      <c r="AZ8" s="2332">
        <v>12047</v>
      </c>
    </row>
    <row r="9" spans="1:52" ht="12.75" customHeight="1" thickBot="1" x14ac:dyDescent="0.25">
      <c r="A9" s="2337"/>
      <c r="B9" s="2338"/>
      <c r="C9" s="2339"/>
      <c r="D9" s="2339"/>
      <c r="E9" s="2339"/>
      <c r="F9" s="2339"/>
      <c r="G9" s="2339"/>
      <c r="H9" s="2339"/>
      <c r="I9" s="2339"/>
      <c r="J9" s="2339"/>
      <c r="K9" s="2339"/>
      <c r="L9" s="2339"/>
      <c r="M9" s="2339"/>
      <c r="N9" s="2339"/>
      <c r="O9" s="2339"/>
      <c r="P9" s="2340"/>
      <c r="Q9" s="2340"/>
      <c r="R9" s="2340"/>
      <c r="S9" s="2340"/>
      <c r="T9" s="2340"/>
      <c r="U9" s="2340"/>
      <c r="V9" s="2340"/>
      <c r="W9" s="2340"/>
      <c r="X9" s="2340"/>
      <c r="Y9" s="2340"/>
      <c r="Z9" s="2340"/>
      <c r="AA9" s="2340"/>
      <c r="AB9" s="2340"/>
      <c r="AC9" s="2340"/>
      <c r="AD9" s="2340"/>
      <c r="AE9" s="2340"/>
      <c r="AF9" s="2340"/>
      <c r="AG9" s="2340"/>
      <c r="AH9" s="2340"/>
      <c r="AI9" s="2340"/>
      <c r="AJ9" s="2340"/>
      <c r="AK9" s="2340"/>
      <c r="AL9" s="2340"/>
      <c r="AM9" s="2340"/>
      <c r="AN9" s="2340"/>
      <c r="AO9" s="2340"/>
      <c r="AP9" s="2340"/>
      <c r="AQ9" s="2340"/>
      <c r="AR9" s="2340"/>
      <c r="AS9" s="2340"/>
      <c r="AT9" s="2340"/>
      <c r="AU9" s="2340"/>
      <c r="AV9" s="2340"/>
      <c r="AW9" s="2340"/>
      <c r="AX9" s="2340"/>
      <c r="AY9" s="2340"/>
      <c r="AZ9" s="2340"/>
    </row>
    <row r="10" spans="1:52" s="2345" customFormat="1" ht="21" customHeight="1" x14ac:dyDescent="0.2">
      <c r="A10" s="2349" t="s">
        <v>4024</v>
      </c>
      <c r="B10" s="2343"/>
      <c r="C10" s="2343"/>
      <c r="D10" s="2343"/>
      <c r="E10" s="2343"/>
      <c r="F10" s="2343"/>
      <c r="G10" s="2343"/>
      <c r="H10" s="2343"/>
      <c r="I10" s="2343"/>
      <c r="J10" s="2343"/>
      <c r="K10" s="2343"/>
      <c r="L10" s="2343"/>
      <c r="M10" s="2343"/>
      <c r="N10" s="2343"/>
      <c r="O10" s="2343"/>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c r="AP10" s="2344"/>
      <c r="AQ10" s="2344"/>
      <c r="AR10" s="2335"/>
      <c r="AS10" s="2335"/>
      <c r="AT10" s="2335"/>
      <c r="AU10" s="2335"/>
      <c r="AV10" s="2335"/>
      <c r="AW10" s="2335"/>
      <c r="AX10" s="2335"/>
      <c r="AY10" s="2335"/>
      <c r="AZ10" s="2335"/>
    </row>
    <row r="11" spans="1:52" s="2345" customFormat="1" ht="21" customHeight="1" x14ac:dyDescent="0.2">
      <c r="A11" s="2349" t="s">
        <v>4025</v>
      </c>
      <c r="B11" s="2343">
        <v>217833</v>
      </c>
      <c r="C11" s="2343">
        <v>218440</v>
      </c>
      <c r="D11" s="2343">
        <v>220363</v>
      </c>
      <c r="E11" s="2343">
        <v>222289</v>
      </c>
      <c r="F11" s="2343">
        <v>223633</v>
      </c>
      <c r="G11" s="2343">
        <v>226293</v>
      </c>
      <c r="H11" s="2343">
        <v>228062</v>
      </c>
      <c r="I11" s="2343">
        <v>230520</v>
      </c>
      <c r="J11" s="2343">
        <v>232313</v>
      </c>
      <c r="K11" s="2343">
        <v>234282</v>
      </c>
      <c r="L11" s="2343">
        <v>236503</v>
      </c>
      <c r="M11" s="2343">
        <v>237812</v>
      </c>
      <c r="N11" s="2343">
        <v>239431</v>
      </c>
      <c r="O11" s="2343">
        <v>240890</v>
      </c>
      <c r="P11" s="2344">
        <v>243148</v>
      </c>
      <c r="Q11" s="2344">
        <v>247861</v>
      </c>
      <c r="R11" s="2344">
        <v>249000</v>
      </c>
      <c r="S11" s="2344">
        <v>248770</v>
      </c>
      <c r="T11" s="2344">
        <v>249862</v>
      </c>
      <c r="U11" s="2344">
        <v>249642</v>
      </c>
      <c r="V11" s="2344">
        <v>250272</v>
      </c>
      <c r="W11" s="2344">
        <v>257682</v>
      </c>
      <c r="X11" s="2344">
        <v>252165</v>
      </c>
      <c r="Y11" s="2344">
        <v>252070</v>
      </c>
      <c r="Z11" s="2344">
        <v>252161</v>
      </c>
      <c r="AA11" s="2344">
        <v>252895</v>
      </c>
      <c r="AB11" s="2344">
        <v>252541</v>
      </c>
      <c r="AC11" s="2344">
        <v>252930</v>
      </c>
      <c r="AD11" s="2344">
        <v>253033</v>
      </c>
      <c r="AE11" s="2344">
        <v>253289</v>
      </c>
      <c r="AF11" s="2344">
        <v>252512</v>
      </c>
      <c r="AG11" s="2344">
        <v>252682</v>
      </c>
      <c r="AH11" s="2344">
        <v>252812</v>
      </c>
      <c r="AI11" s="2344">
        <v>252541</v>
      </c>
      <c r="AJ11" s="2344">
        <v>250726</v>
      </c>
      <c r="AK11" s="2344">
        <v>265937</v>
      </c>
      <c r="AL11" s="2344">
        <v>266358</v>
      </c>
      <c r="AM11" s="2344">
        <v>266642</v>
      </c>
      <c r="AN11" s="2344">
        <v>266410</v>
      </c>
      <c r="AO11" s="2344">
        <v>268626</v>
      </c>
      <c r="AP11" s="2344">
        <v>267241</v>
      </c>
      <c r="AQ11" s="2344">
        <v>268192</v>
      </c>
      <c r="AR11" s="2331">
        <v>269386</v>
      </c>
      <c r="AS11" s="2331">
        <v>268893</v>
      </c>
      <c r="AT11" s="2331">
        <v>265119</v>
      </c>
      <c r="AU11" s="2331">
        <v>265161</v>
      </c>
      <c r="AV11" s="2331">
        <f>'[75]Dec-15'!$W$10</f>
        <v>268819</v>
      </c>
      <c r="AW11" s="2331">
        <f>'[76]Jan-16'!$U$10</f>
        <v>265463</v>
      </c>
      <c r="AX11" s="2331">
        <v>265728</v>
      </c>
      <c r="AY11" s="2331">
        <v>266566</v>
      </c>
      <c r="AZ11" s="2331">
        <v>256809</v>
      </c>
    </row>
    <row r="12" spans="1:52" s="2345" customFormat="1" ht="21" customHeight="1" x14ac:dyDescent="0.2">
      <c r="A12" s="2349" t="s">
        <v>4026</v>
      </c>
      <c r="B12" s="2343">
        <v>1125462</v>
      </c>
      <c r="C12" s="2343">
        <v>1123191</v>
      </c>
      <c r="D12" s="2343">
        <v>1131773</v>
      </c>
      <c r="E12" s="2343">
        <v>1137796</v>
      </c>
      <c r="F12" s="2343">
        <v>1145652</v>
      </c>
      <c r="G12" s="2343">
        <v>1152561</v>
      </c>
      <c r="H12" s="2343">
        <v>1158333</v>
      </c>
      <c r="I12" s="2343">
        <v>1156033</v>
      </c>
      <c r="J12" s="2343">
        <v>1160146</v>
      </c>
      <c r="K12" s="2343">
        <v>1166886</v>
      </c>
      <c r="L12" s="2343">
        <v>1173671</v>
      </c>
      <c r="M12" s="2343">
        <v>1172152</v>
      </c>
      <c r="N12" s="2343">
        <v>1179490</v>
      </c>
      <c r="O12" s="2343">
        <v>1183780</v>
      </c>
      <c r="P12" s="2344">
        <v>1182678</v>
      </c>
      <c r="Q12" s="2344">
        <v>1183040</v>
      </c>
      <c r="R12" s="2344">
        <v>1190074</v>
      </c>
      <c r="S12" s="2344">
        <v>1195802</v>
      </c>
      <c r="T12" s="2344">
        <v>1180108</v>
      </c>
      <c r="U12" s="2344">
        <v>1187521</v>
      </c>
      <c r="V12" s="2344">
        <v>1191561</v>
      </c>
      <c r="W12" s="2344">
        <v>1201494</v>
      </c>
      <c r="X12" s="2344">
        <f>1175622+37972</f>
        <v>1213594</v>
      </c>
      <c r="Y12" s="2344">
        <f>1184810+38424</f>
        <v>1223234</v>
      </c>
      <c r="Z12" s="2344">
        <v>1226926</v>
      </c>
      <c r="AA12" s="2344">
        <v>1236622</v>
      </c>
      <c r="AB12" s="2344">
        <v>1248579</v>
      </c>
      <c r="AC12" s="2344">
        <v>1259241</v>
      </c>
      <c r="AD12" s="2344">
        <v>1271746</v>
      </c>
      <c r="AE12" s="2344">
        <v>1280600</v>
      </c>
      <c r="AF12" s="2344">
        <v>1292888</v>
      </c>
      <c r="AG12" s="2344">
        <v>1303518</v>
      </c>
      <c r="AH12" s="2344">
        <v>1303973</v>
      </c>
      <c r="AI12" s="2344">
        <v>1307517</v>
      </c>
      <c r="AJ12" s="2344">
        <v>1311014</v>
      </c>
      <c r="AK12" s="2344">
        <v>1317748</v>
      </c>
      <c r="AL12" s="2344">
        <v>1306992</v>
      </c>
      <c r="AM12" s="2344">
        <v>1317885</v>
      </c>
      <c r="AN12" s="2344">
        <v>1321883</v>
      </c>
      <c r="AO12" s="2344">
        <v>1332786</v>
      </c>
      <c r="AP12" s="2344">
        <f>1238424+98349</f>
        <v>1336773</v>
      </c>
      <c r="AQ12" s="2344">
        <v>1350469</v>
      </c>
      <c r="AR12" s="2331">
        <v>1350319</v>
      </c>
      <c r="AS12" s="2331">
        <v>1370899</v>
      </c>
      <c r="AT12" s="2331">
        <v>1384618</v>
      </c>
      <c r="AU12" s="2331">
        <v>1395334</v>
      </c>
      <c r="AV12" s="2331">
        <f>'[75]Dec-15'!$W$11+'[75]Dec-15'!$W$12</f>
        <v>1401132</v>
      </c>
      <c r="AW12" s="2331">
        <f>'[76]Jan-16'!$U$11+'[76]Jan-16'!$U$12</f>
        <v>1413190</v>
      </c>
      <c r="AX12" s="2331">
        <v>1429076</v>
      </c>
      <c r="AY12" s="2331">
        <v>1428073</v>
      </c>
      <c r="AZ12" s="2331">
        <v>1400973</v>
      </c>
    </row>
    <row r="13" spans="1:52" s="2345" customFormat="1" ht="21" customHeight="1" x14ac:dyDescent="0.2">
      <c r="A13" s="2349" t="s">
        <v>4027</v>
      </c>
      <c r="B13" s="2343">
        <v>1343295</v>
      </c>
      <c r="C13" s="2343">
        <v>1341631</v>
      </c>
      <c r="D13" s="2343">
        <v>1352136</v>
      </c>
      <c r="E13" s="2343">
        <v>1360085</v>
      </c>
      <c r="F13" s="2343">
        <v>1369285</v>
      </c>
      <c r="G13" s="2343">
        <v>1378854</v>
      </c>
      <c r="H13" s="2343">
        <v>1386395</v>
      </c>
      <c r="I13" s="2343">
        <v>1386553</v>
      </c>
      <c r="J13" s="2343">
        <v>1392459</v>
      </c>
      <c r="K13" s="2343">
        <v>1401168</v>
      </c>
      <c r="L13" s="2343">
        <v>1410174</v>
      </c>
      <c r="M13" s="2343">
        <v>1409964</v>
      </c>
      <c r="N13" s="2343">
        <v>1418921</v>
      </c>
      <c r="O13" s="2343">
        <v>1424670</v>
      </c>
      <c r="P13" s="2344">
        <v>1425826</v>
      </c>
      <c r="Q13" s="2344">
        <v>1430901</v>
      </c>
      <c r="R13" s="2344">
        <v>1439074</v>
      </c>
      <c r="S13" s="2344">
        <v>1444572</v>
      </c>
      <c r="T13" s="2344">
        <v>1429970</v>
      </c>
      <c r="U13" s="2344">
        <v>1437163</v>
      </c>
      <c r="V13" s="2344">
        <v>1441833</v>
      </c>
      <c r="W13" s="2344">
        <v>1459176</v>
      </c>
      <c r="X13" s="2344">
        <f>X11+X12</f>
        <v>1465759</v>
      </c>
      <c r="Y13" s="2344">
        <f>Y11+Y12</f>
        <v>1475304</v>
      </c>
      <c r="Z13" s="2344">
        <v>1479087</v>
      </c>
      <c r="AA13" s="2344">
        <v>1489517</v>
      </c>
      <c r="AB13" s="2344">
        <v>1501120</v>
      </c>
      <c r="AC13" s="2344">
        <v>1512171</v>
      </c>
      <c r="AD13" s="2344">
        <v>1524779</v>
      </c>
      <c r="AE13" s="2344">
        <v>1533889</v>
      </c>
      <c r="AF13" s="2344">
        <v>1545400</v>
      </c>
      <c r="AG13" s="2344">
        <v>1556200</v>
      </c>
      <c r="AH13" s="2344">
        <v>1556785</v>
      </c>
      <c r="AI13" s="2344">
        <v>1560058</v>
      </c>
      <c r="AJ13" s="2344">
        <v>1561740</v>
      </c>
      <c r="AK13" s="2344">
        <v>1583685</v>
      </c>
      <c r="AL13" s="2344">
        <v>1573350</v>
      </c>
      <c r="AM13" s="2344">
        <v>1584527</v>
      </c>
      <c r="AN13" s="2344">
        <v>1588293</v>
      </c>
      <c r="AO13" s="2344">
        <v>1601412</v>
      </c>
      <c r="AP13" s="2344">
        <f>AP11+AP12</f>
        <v>1604014</v>
      </c>
      <c r="AQ13" s="2344">
        <f>AQ11+AQ12</f>
        <v>1618661</v>
      </c>
      <c r="AR13" s="2331">
        <f>AR11+AR12</f>
        <v>1619705</v>
      </c>
      <c r="AS13" s="2331">
        <v>1639792</v>
      </c>
      <c r="AT13" s="2331">
        <f>AT11+AT12</f>
        <v>1649737</v>
      </c>
      <c r="AU13" s="2331">
        <v>1660495</v>
      </c>
      <c r="AV13" s="2331">
        <f>'[75]Dec-15'!$W$9</f>
        <v>1669951</v>
      </c>
      <c r="AW13" s="2331">
        <f>'[76]Jan-16'!$U$9</f>
        <v>1678653</v>
      </c>
      <c r="AX13" s="2331">
        <v>1694804</v>
      </c>
      <c r="AY13" s="2331">
        <v>1694639</v>
      </c>
      <c r="AZ13" s="2331">
        <f>SUM(AZ11:AZ12)</f>
        <v>1657782</v>
      </c>
    </row>
    <row r="14" spans="1:52" s="2345" customFormat="1" ht="10.5" customHeight="1" x14ac:dyDescent="0.2">
      <c r="A14" s="2350"/>
      <c r="B14" s="2343"/>
      <c r="C14" s="2343"/>
      <c r="D14" s="2343"/>
      <c r="E14" s="2343"/>
      <c r="F14" s="2343"/>
      <c r="G14" s="2343"/>
      <c r="H14" s="2343"/>
      <c r="I14" s="2343"/>
      <c r="J14" s="2343"/>
      <c r="K14" s="2343"/>
      <c r="L14" s="2343"/>
      <c r="M14" s="2343"/>
      <c r="N14" s="2343"/>
      <c r="O14" s="2343"/>
      <c r="P14" s="2344"/>
      <c r="Q14" s="2344"/>
      <c r="R14" s="2344"/>
      <c r="S14" s="2344"/>
      <c r="T14" s="2344"/>
      <c r="U14" s="2344"/>
      <c r="V14" s="2344"/>
      <c r="W14" s="2344"/>
      <c r="X14" s="2344"/>
      <c r="Y14" s="2344"/>
      <c r="Z14" s="2344"/>
      <c r="AA14" s="2344"/>
      <c r="AB14" s="2344"/>
      <c r="AC14" s="2344"/>
      <c r="AD14" s="2344"/>
      <c r="AE14" s="2344"/>
      <c r="AF14" s="2344"/>
      <c r="AG14" s="2344"/>
      <c r="AH14" s="2344"/>
      <c r="AI14" s="2344"/>
      <c r="AJ14" s="2344"/>
      <c r="AK14" s="2344"/>
      <c r="AL14" s="2344"/>
      <c r="AM14" s="2344"/>
      <c r="AN14" s="2344"/>
      <c r="AO14" s="2344"/>
      <c r="AP14" s="2344"/>
      <c r="AQ14" s="2344"/>
      <c r="AR14" s="2335"/>
      <c r="AS14" s="2335"/>
      <c r="AT14" s="2335"/>
      <c r="AU14" s="2335"/>
      <c r="AV14" s="2335"/>
      <c r="AW14" s="2335"/>
      <c r="AX14" s="2335"/>
      <c r="AY14" s="2335"/>
      <c r="AZ14" s="2335"/>
    </row>
    <row r="15" spans="1:52" ht="21" customHeight="1" x14ac:dyDescent="0.2">
      <c r="A15" s="2327" t="s">
        <v>4028</v>
      </c>
      <c r="B15" s="2329"/>
      <c r="C15" s="2329"/>
      <c r="D15" s="2329"/>
      <c r="E15" s="2329"/>
      <c r="F15" s="2329"/>
      <c r="G15" s="2329"/>
      <c r="H15" s="2329"/>
      <c r="I15" s="2329"/>
      <c r="J15" s="2329"/>
      <c r="K15" s="2329"/>
      <c r="L15" s="2329"/>
      <c r="M15" s="2329"/>
      <c r="N15" s="2329"/>
      <c r="O15" s="2329"/>
      <c r="P15" s="2330"/>
      <c r="Q15" s="2330"/>
      <c r="R15" s="2330"/>
      <c r="S15" s="2330"/>
      <c r="T15" s="2330"/>
      <c r="U15" s="2330"/>
      <c r="V15" s="2330"/>
      <c r="W15" s="2330"/>
      <c r="X15" s="2330"/>
      <c r="Y15" s="2330"/>
      <c r="Z15" s="2330"/>
      <c r="AA15" s="2330"/>
      <c r="AB15" s="2330"/>
      <c r="AC15" s="2330"/>
      <c r="AD15" s="2330"/>
      <c r="AE15" s="2330"/>
      <c r="AF15" s="2330"/>
      <c r="AG15" s="2330"/>
      <c r="AH15" s="2330"/>
      <c r="AI15" s="2330"/>
      <c r="AJ15" s="2330"/>
      <c r="AK15" s="2330"/>
      <c r="AL15" s="2330"/>
      <c r="AM15" s="2330"/>
      <c r="AN15" s="2330"/>
      <c r="AO15" s="2330"/>
      <c r="AP15" s="2330"/>
      <c r="AQ15" s="2330"/>
      <c r="AR15" s="2335"/>
      <c r="AS15" s="2335"/>
      <c r="AT15" s="2335"/>
      <c r="AU15" s="2335"/>
      <c r="AV15" s="2335"/>
      <c r="AW15" s="2335"/>
      <c r="AX15" s="2335"/>
      <c r="AY15" s="2335"/>
      <c r="AZ15" s="2335"/>
    </row>
    <row r="16" spans="1:52" ht="21" customHeight="1" x14ac:dyDescent="0.2">
      <c r="A16" s="2327" t="s">
        <v>4029</v>
      </c>
      <c r="B16" s="2351">
        <v>1777.4069999999999</v>
      </c>
      <c r="C16" s="2351">
        <v>1936.1579999999999</v>
      </c>
      <c r="D16" s="2351">
        <v>1783.1</v>
      </c>
      <c r="E16" s="2351">
        <v>1826.7139999999999</v>
      </c>
      <c r="F16" s="2351">
        <v>1802.921</v>
      </c>
      <c r="G16" s="2351">
        <v>2058.0140000000001</v>
      </c>
      <c r="H16" s="2351">
        <v>1840.4</v>
      </c>
      <c r="I16" s="2351">
        <v>1876.7748510900001</v>
      </c>
      <c r="J16" s="2351">
        <v>2145.3510000000001</v>
      </c>
      <c r="K16" s="2351">
        <v>1888.6757088499999</v>
      </c>
      <c r="L16" s="2351">
        <v>1936.9884865000001</v>
      </c>
      <c r="M16" s="2351">
        <v>2030.9</v>
      </c>
      <c r="N16" s="2351">
        <v>1944.5847732499999</v>
      </c>
      <c r="O16" s="2351">
        <v>2204.8490000000002</v>
      </c>
      <c r="P16" s="2335">
        <v>2184</v>
      </c>
      <c r="Q16" s="2335">
        <v>1998.104</v>
      </c>
      <c r="R16" s="2335">
        <v>2287.8440000000001</v>
      </c>
      <c r="S16" s="2335">
        <v>2010.63382864</v>
      </c>
      <c r="T16" s="2335">
        <v>2051.136</v>
      </c>
      <c r="U16" s="2335">
        <v>2096.4110000000001</v>
      </c>
      <c r="V16" s="2335">
        <v>2069.3939999999998</v>
      </c>
      <c r="W16" s="2335">
        <v>2360.2869999999998</v>
      </c>
      <c r="X16" s="2335">
        <v>2150.1</v>
      </c>
      <c r="Y16" s="2335">
        <v>2083.1619999999998</v>
      </c>
      <c r="Z16" s="2335">
        <v>2375.2124715299997</v>
      </c>
      <c r="AA16" s="2335">
        <v>2762.3</v>
      </c>
      <c r="AB16" s="2335">
        <v>2128.5</v>
      </c>
      <c r="AC16" s="2335">
        <v>2127.5531944978407</v>
      </c>
      <c r="AD16" s="2335">
        <v>2183.9802014154002</v>
      </c>
      <c r="AE16" s="2352">
        <v>2170.4123403595731</v>
      </c>
      <c r="AF16" s="2352">
        <v>2511.826</v>
      </c>
      <c r="AG16" s="2352">
        <v>2502.8000000000002</v>
      </c>
      <c r="AH16" s="2352">
        <v>2205.2550000000001</v>
      </c>
      <c r="AI16" s="2352">
        <v>2592.556</v>
      </c>
      <c r="AJ16" s="2352">
        <v>2289.9284545</v>
      </c>
      <c r="AK16" s="2352">
        <v>2207.8710000000001</v>
      </c>
      <c r="AL16" s="2352">
        <v>2604.3139999999999</v>
      </c>
      <c r="AM16" s="2352">
        <v>2217.2256069599998</v>
      </c>
      <c r="AN16" s="2352">
        <v>2234.4</v>
      </c>
      <c r="AO16" s="2352">
        <v>2571.6</v>
      </c>
      <c r="AP16" s="2352">
        <v>2239.1999999999998</v>
      </c>
      <c r="AQ16" s="2335">
        <v>2221.5</v>
      </c>
      <c r="AR16" s="2335">
        <v>2595.4</v>
      </c>
      <c r="AS16" s="2335">
        <v>2286.6660000000002</v>
      </c>
      <c r="AT16" s="2335">
        <v>2282.6999999999998</v>
      </c>
      <c r="AU16" s="2335">
        <v>2340.1999999999998</v>
      </c>
      <c r="AV16" s="2335">
        <f>'[75]Dec-15'!$W$85/1000000</f>
        <v>2392.2612589599999</v>
      </c>
      <c r="AW16" s="2335">
        <f>'[76]Jan-16'!$U$85/1000000</f>
        <v>2750.5519697300001</v>
      </c>
      <c r="AX16" s="2335">
        <v>2666.4</v>
      </c>
      <c r="AY16" s="2335">
        <v>2280.1999999999998</v>
      </c>
      <c r="AZ16" s="2335">
        <v>2735.3</v>
      </c>
    </row>
    <row r="17" spans="1:52" ht="17.25" customHeight="1" x14ac:dyDescent="0.2">
      <c r="A17" s="2353" t="s">
        <v>4030</v>
      </c>
      <c r="B17" s="2329"/>
      <c r="C17" s="2329"/>
      <c r="D17" s="2329"/>
      <c r="E17" s="2329"/>
      <c r="F17" s="2329"/>
      <c r="G17" s="2329"/>
      <c r="H17" s="2329"/>
      <c r="I17" s="2329"/>
      <c r="J17" s="2329"/>
      <c r="K17" s="2329"/>
      <c r="L17" s="2329"/>
      <c r="M17" s="2329"/>
      <c r="N17" s="2329"/>
      <c r="O17" s="2329"/>
      <c r="P17" s="2330"/>
      <c r="Q17" s="2330"/>
      <c r="R17" s="2330"/>
      <c r="S17" s="2330"/>
      <c r="T17" s="2330"/>
      <c r="U17" s="2330"/>
      <c r="V17" s="2330"/>
      <c r="W17" s="2330"/>
      <c r="X17" s="2330"/>
      <c r="Y17" s="2330"/>
      <c r="Z17" s="2330"/>
      <c r="AA17" s="2330"/>
      <c r="AB17" s="2330"/>
      <c r="AC17" s="2330"/>
      <c r="AD17" s="2330"/>
      <c r="AE17" s="2330"/>
      <c r="AF17" s="2330"/>
      <c r="AG17" s="2330"/>
      <c r="AH17" s="2330"/>
      <c r="AI17" s="2330"/>
      <c r="AJ17" s="2330"/>
      <c r="AK17" s="2330"/>
      <c r="AL17" s="2330"/>
      <c r="AM17" s="2330"/>
      <c r="AN17" s="2330"/>
      <c r="AO17" s="2330"/>
      <c r="AP17" s="2354"/>
      <c r="AQ17" s="2330"/>
      <c r="AR17" s="2335"/>
      <c r="AS17" s="2335"/>
      <c r="AT17" s="2335"/>
      <c r="AU17" s="2335"/>
      <c r="AV17" s="2335"/>
      <c r="AW17" s="2335"/>
      <c r="AX17" s="2335"/>
      <c r="AY17" s="2335"/>
      <c r="AZ17" s="2335"/>
    </row>
    <row r="18" spans="1:52" ht="3" hidden="1" customHeight="1" x14ac:dyDescent="0.2">
      <c r="A18" s="2353"/>
      <c r="B18" s="2329"/>
      <c r="C18" s="2329"/>
      <c r="D18" s="2329"/>
      <c r="E18" s="2329"/>
      <c r="F18" s="2329"/>
      <c r="G18" s="2329"/>
      <c r="H18" s="2329"/>
      <c r="I18" s="2329"/>
      <c r="J18" s="2329"/>
      <c r="K18" s="2329"/>
      <c r="L18" s="2329"/>
      <c r="M18" s="2329"/>
      <c r="N18" s="2329"/>
      <c r="O18" s="2329"/>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c r="AK18" s="2330"/>
      <c r="AL18" s="2330"/>
      <c r="AM18" s="2330"/>
      <c r="AN18" s="2330"/>
      <c r="AO18" s="2330"/>
      <c r="AP18" s="2354"/>
      <c r="AQ18" s="2330"/>
      <c r="AR18" s="2335"/>
      <c r="AS18" s="2335"/>
      <c r="AT18" s="2335"/>
      <c r="AU18" s="2335"/>
      <c r="AV18" s="2335"/>
      <c r="AW18" s="2335"/>
      <c r="AX18" s="2335"/>
      <c r="AY18" s="2335"/>
      <c r="AZ18" s="2335"/>
    </row>
    <row r="19" spans="1:52" ht="45" customHeight="1" x14ac:dyDescent="0.2">
      <c r="A19" s="2355" t="s">
        <v>4031</v>
      </c>
      <c r="B19" s="2356">
        <v>1653.548</v>
      </c>
      <c r="C19" s="2356">
        <v>1868</v>
      </c>
      <c r="D19" s="2356">
        <v>1644.9</v>
      </c>
      <c r="E19" s="2356">
        <v>1705.598</v>
      </c>
      <c r="F19" s="2356">
        <v>1670.386</v>
      </c>
      <c r="G19" s="2356">
        <v>1975.72</v>
      </c>
      <c r="H19" s="2356">
        <v>1696.6</v>
      </c>
      <c r="I19" s="2356">
        <v>1733</v>
      </c>
      <c r="J19" s="2356">
        <v>2010.8</v>
      </c>
      <c r="K19" s="2356">
        <v>1699.6338372499999</v>
      </c>
      <c r="L19" s="2356">
        <v>1785</v>
      </c>
      <c r="M19" s="2356">
        <v>1875.2</v>
      </c>
      <c r="N19" s="2356">
        <v>1785.2</v>
      </c>
      <c r="O19" s="2356">
        <v>2059.2438339999999</v>
      </c>
      <c r="P19" s="2357">
        <v>2034.5</v>
      </c>
      <c r="Q19" s="2357">
        <v>1694.6310000000001</v>
      </c>
      <c r="R19" s="2357">
        <v>2111.96</v>
      </c>
      <c r="S19" s="2357">
        <v>1828.7</v>
      </c>
      <c r="T19" s="2357">
        <v>1871.5685989999999</v>
      </c>
      <c r="U19" s="2357">
        <v>1931.6114359999999</v>
      </c>
      <c r="V19" s="2357">
        <v>1890.0830000000001</v>
      </c>
      <c r="W19" s="2357">
        <v>2159.6999999999998</v>
      </c>
      <c r="X19" s="2357">
        <v>1886.122957</v>
      </c>
      <c r="Y19" s="2357">
        <v>1878.82953</v>
      </c>
      <c r="Z19" s="2357">
        <f>2161.864417</f>
        <v>2161.8644169999998</v>
      </c>
      <c r="AA19" s="2357">
        <v>2096.4</v>
      </c>
      <c r="AB19" s="2357">
        <v>1900.873</v>
      </c>
      <c r="AC19" s="2357">
        <v>1888.9531746600001</v>
      </c>
      <c r="AD19" s="2357">
        <v>1933.0822313799999</v>
      </c>
      <c r="AE19" s="2357">
        <v>1912.00970123</v>
      </c>
      <c r="AF19" s="2357">
        <v>2225.6917119999998</v>
      </c>
      <c r="AG19" s="2357">
        <v>1967.910183</v>
      </c>
      <c r="AH19" s="2357">
        <v>1928.447598</v>
      </c>
      <c r="AI19" s="2357">
        <v>2281.4585520000001</v>
      </c>
      <c r="AJ19" s="2357">
        <v>2100.7479556100002</v>
      </c>
      <c r="AK19" s="2357">
        <v>2035.3217948399999</v>
      </c>
      <c r="AL19" s="2357">
        <v>2347.9804989999998</v>
      </c>
      <c r="AM19" s="2357">
        <v>1956.1879021956202</v>
      </c>
      <c r="AN19" s="2357">
        <v>2032.6</v>
      </c>
      <c r="AO19" s="2357">
        <v>2286.6</v>
      </c>
      <c r="AP19" s="2358">
        <v>2030.9124650000001</v>
      </c>
      <c r="AQ19" s="2357">
        <v>2014</v>
      </c>
      <c r="AR19" s="2357">
        <v>2375.4</v>
      </c>
      <c r="AS19" s="2357">
        <v>2079.1999999999998</v>
      </c>
      <c r="AT19" s="2357">
        <v>2093.4</v>
      </c>
      <c r="AU19" s="2357">
        <v>2130.4</v>
      </c>
      <c r="AV19" s="2357">
        <f>'[75]Dec-15'!$W$86/1000000</f>
        <v>2180.4343491199998</v>
      </c>
      <c r="AW19" s="2357">
        <f>'[76]Jan-16'!$U$86/1000000</f>
        <v>2464.6599109100002</v>
      </c>
      <c r="AX19" s="2357">
        <v>2435.9</v>
      </c>
      <c r="AY19" s="2357">
        <v>2098.6</v>
      </c>
      <c r="AZ19" s="2357">
        <v>2528.9</v>
      </c>
    </row>
    <row r="20" spans="1:52" ht="12" customHeight="1" x14ac:dyDescent="0.2">
      <c r="A20" s="2355"/>
      <c r="B20" s="2329"/>
      <c r="C20" s="2329"/>
      <c r="D20" s="2329"/>
      <c r="E20" s="2329"/>
      <c r="F20" s="2329"/>
      <c r="G20" s="2329"/>
      <c r="H20" s="2329"/>
      <c r="I20" s="2329"/>
      <c r="J20" s="2329"/>
      <c r="K20" s="2329"/>
      <c r="L20" s="2329"/>
      <c r="M20" s="2329"/>
      <c r="N20" s="2329"/>
      <c r="O20" s="2329"/>
      <c r="P20" s="2330"/>
      <c r="Q20" s="2330"/>
      <c r="R20" s="2330"/>
      <c r="S20" s="2330"/>
      <c r="T20" s="2330"/>
      <c r="U20" s="2330"/>
      <c r="V20" s="2330"/>
      <c r="W20" s="2330"/>
      <c r="X20" s="2330"/>
      <c r="Y20" s="2330"/>
      <c r="Z20" s="2330"/>
      <c r="AA20" s="2330"/>
      <c r="AB20" s="2330"/>
      <c r="AC20" s="2330"/>
      <c r="AD20" s="2330"/>
      <c r="AE20" s="2330"/>
      <c r="AF20" s="2330"/>
      <c r="AG20" s="2330"/>
      <c r="AH20" s="2330"/>
      <c r="AI20" s="2330"/>
      <c r="AJ20" s="2330"/>
      <c r="AK20" s="2330"/>
      <c r="AL20" s="2330"/>
      <c r="AM20" s="2330"/>
      <c r="AN20" s="2330"/>
      <c r="AO20" s="2330"/>
      <c r="AP20" s="2330"/>
      <c r="AQ20" s="2330"/>
      <c r="AR20" s="2334"/>
      <c r="AS20" s="2334"/>
      <c r="AT20" s="2334"/>
      <c r="AU20" s="2334"/>
      <c r="AV20" s="2334"/>
      <c r="AW20" s="2334"/>
      <c r="AX20" s="2334"/>
      <c r="AY20" s="2334"/>
      <c r="AZ20" s="2334"/>
    </row>
    <row r="21" spans="1:52" ht="52.5" customHeight="1" x14ac:dyDescent="0.2">
      <c r="A21" s="2359" t="s">
        <v>4032</v>
      </c>
      <c r="B21" s="2329"/>
      <c r="C21" s="2329"/>
      <c r="D21" s="2360">
        <v>95</v>
      </c>
      <c r="E21" s="2329"/>
      <c r="F21" s="2329"/>
      <c r="G21" s="2360">
        <v>78.242999999999995</v>
      </c>
      <c r="H21" s="2329"/>
      <c r="I21" s="2329"/>
      <c r="J21" s="2360">
        <v>83.507603654000008</v>
      </c>
      <c r="K21" s="2329"/>
      <c r="L21" s="2329"/>
      <c r="M21" s="2360">
        <v>87.3</v>
      </c>
      <c r="N21" s="2329"/>
      <c r="O21" s="2329"/>
      <c r="P21" s="2361">
        <v>89.837412358800009</v>
      </c>
      <c r="Q21" s="2330"/>
      <c r="R21" s="2330">
        <v>115.1</v>
      </c>
      <c r="S21" s="2330"/>
      <c r="T21" s="2330"/>
      <c r="U21" s="2330">
        <v>117.9</v>
      </c>
      <c r="V21" s="2330"/>
      <c r="W21" s="2330"/>
      <c r="X21" s="2362">
        <v>124.21299999999999</v>
      </c>
      <c r="Y21" s="2362"/>
      <c r="Z21" s="2362"/>
      <c r="AA21" s="2362">
        <v>139.63999999999999</v>
      </c>
      <c r="AB21" s="2362"/>
      <c r="AC21" s="2362"/>
      <c r="AD21" s="2362">
        <v>150.70099999999999</v>
      </c>
      <c r="AE21" s="2362"/>
      <c r="AF21" s="2362"/>
      <c r="AG21" s="2362">
        <v>158.79</v>
      </c>
      <c r="AH21" s="2362"/>
      <c r="AI21" s="2362"/>
      <c r="AJ21" s="2362">
        <v>180.48079826594008</v>
      </c>
      <c r="AK21" s="2362"/>
      <c r="AL21" s="2362"/>
      <c r="AM21" s="2362">
        <v>198.345</v>
      </c>
      <c r="AN21" s="2362"/>
      <c r="AO21" s="2362"/>
      <c r="AP21" s="2362">
        <v>198.8</v>
      </c>
      <c r="AQ21" s="2362"/>
      <c r="AR21" s="2363"/>
      <c r="AS21" s="2362">
        <v>175.7</v>
      </c>
      <c r="AT21" s="2363"/>
      <c r="AU21" s="2363"/>
      <c r="AV21" s="2362">
        <f>'[77]in Mtius'!$CQ$30+'[77]in Mtius'!$CQ$33</f>
        <v>202.73486250069999</v>
      </c>
      <c r="AW21" s="2363"/>
      <c r="AX21" s="2363"/>
      <c r="AY21" s="2362">
        <v>395.7</v>
      </c>
      <c r="AZ21" s="2363"/>
    </row>
    <row r="22" spans="1:52" ht="15.75" thickBot="1" x14ac:dyDescent="0.25">
      <c r="A22" s="2364"/>
      <c r="B22" s="2365"/>
      <c r="C22" s="2365"/>
      <c r="D22" s="2365"/>
      <c r="E22" s="2365"/>
      <c r="F22" s="2365"/>
      <c r="G22" s="2365"/>
      <c r="H22" s="2365"/>
      <c r="I22" s="2365"/>
      <c r="J22" s="2365"/>
      <c r="K22" s="2365"/>
      <c r="L22" s="2365"/>
      <c r="M22" s="2365"/>
      <c r="N22" s="2365"/>
      <c r="O22" s="2365"/>
      <c r="P22" s="2365"/>
      <c r="Q22" s="2365"/>
      <c r="R22" s="2365"/>
      <c r="S22" s="2365"/>
      <c r="T22" s="2365"/>
      <c r="U22" s="2365"/>
      <c r="V22" s="2365"/>
      <c r="W22" s="2365"/>
      <c r="X22" s="2365"/>
      <c r="Y22" s="2365"/>
      <c r="Z22" s="2365"/>
      <c r="AA22" s="2366"/>
      <c r="AB22" s="2366"/>
      <c r="AC22" s="2366"/>
      <c r="AD22" s="2366"/>
      <c r="AE22" s="2366"/>
      <c r="AF22" s="2366"/>
      <c r="AG22" s="2366"/>
      <c r="AH22" s="2366"/>
      <c r="AI22" s="2366"/>
      <c r="AJ22" s="2366"/>
      <c r="AK22" s="2366"/>
      <c r="AL22" s="2366"/>
      <c r="AM22" s="2366"/>
      <c r="AN22" s="2366"/>
      <c r="AO22" s="2366"/>
      <c r="AP22" s="2366"/>
      <c r="AQ22" s="2366"/>
      <c r="AR22" s="2367"/>
      <c r="AS22" s="2367"/>
      <c r="AT22" s="2367"/>
      <c r="AU22" s="2367"/>
      <c r="AV22" s="2367"/>
      <c r="AW22" s="2367"/>
      <c r="AX22" s="2367"/>
      <c r="AY22" s="2367"/>
      <c r="AZ22" s="2367"/>
    </row>
    <row r="23" spans="1:52" ht="15" x14ac:dyDescent="0.2">
      <c r="A23" s="2368" t="s">
        <v>4033</v>
      </c>
      <c r="B23" s="2368"/>
      <c r="C23" s="2368"/>
      <c r="D23" s="2368"/>
      <c r="E23" s="2368"/>
      <c r="F23" s="2368"/>
      <c r="G23" s="2368"/>
      <c r="H23" s="2368"/>
      <c r="I23" s="2368"/>
      <c r="J23" s="2368"/>
      <c r="K23" s="2368"/>
      <c r="L23" s="2368"/>
      <c r="M23" s="2368"/>
      <c r="N23" s="2368"/>
      <c r="O23" s="2368"/>
      <c r="P23" s="2368"/>
      <c r="Q23" s="2368"/>
      <c r="R23" s="2368"/>
      <c r="AQ23" s="2319"/>
    </row>
    <row r="24" spans="1:52" ht="15" x14ac:dyDescent="0.2">
      <c r="A24" s="2368" t="s">
        <v>4034</v>
      </c>
      <c r="B24" s="2368"/>
      <c r="C24" s="2368"/>
      <c r="D24" s="2368"/>
      <c r="E24" s="2368"/>
      <c r="F24" s="2368"/>
      <c r="G24" s="2368"/>
      <c r="H24" s="2368"/>
      <c r="I24" s="2368"/>
      <c r="J24" s="2368"/>
      <c r="K24" s="2368"/>
      <c r="L24" s="2368"/>
      <c r="M24" s="2368"/>
      <c r="N24" s="2368"/>
      <c r="O24" s="2368"/>
      <c r="P24" s="2368"/>
      <c r="Q24" s="2368"/>
      <c r="R24" s="2368"/>
      <c r="AQ24" s="2319"/>
    </row>
    <row r="25" spans="1:52" ht="15" x14ac:dyDescent="0.2">
      <c r="A25" s="2368" t="s">
        <v>4035</v>
      </c>
      <c r="B25" s="2368"/>
      <c r="C25" s="2368"/>
      <c r="D25" s="2368"/>
      <c r="E25" s="2368"/>
      <c r="F25" s="2368"/>
      <c r="G25" s="2368"/>
      <c r="H25" s="2368"/>
      <c r="I25" s="2368"/>
      <c r="J25" s="2368"/>
      <c r="K25" s="2368"/>
      <c r="L25" s="2368"/>
      <c r="M25" s="2368"/>
      <c r="N25" s="2368"/>
      <c r="O25" s="2368"/>
      <c r="P25" s="2368"/>
      <c r="Q25" s="2368"/>
      <c r="R25" s="2368"/>
      <c r="AQ25" s="2319"/>
    </row>
    <row r="26" spans="1:52" ht="15" x14ac:dyDescent="0.2">
      <c r="A26" s="2369" t="s">
        <v>556</v>
      </c>
      <c r="B26" s="2368"/>
      <c r="C26" s="2368"/>
      <c r="D26" s="2368"/>
      <c r="E26" s="2368"/>
      <c r="F26" s="2368"/>
      <c r="G26" s="2368"/>
      <c r="H26" s="2368"/>
      <c r="I26" s="2368"/>
      <c r="J26" s="2368"/>
      <c r="K26" s="2368"/>
      <c r="L26" s="2368"/>
      <c r="M26" s="2368"/>
      <c r="N26" s="2368"/>
      <c r="O26" s="2368"/>
      <c r="P26" s="2368"/>
      <c r="Q26" s="2368"/>
      <c r="R26" s="2368"/>
      <c r="AQ26" s="2319"/>
    </row>
    <row r="27" spans="1:52" ht="6" customHeight="1" x14ac:dyDescent="0.2">
      <c r="A27" s="2369"/>
      <c r="B27" s="2368"/>
      <c r="C27" s="2368"/>
      <c r="D27" s="2368"/>
      <c r="E27" s="2368"/>
      <c r="F27" s="2368"/>
      <c r="G27" s="2368"/>
      <c r="H27" s="2368"/>
      <c r="I27" s="2368"/>
      <c r="J27" s="2368"/>
      <c r="K27" s="2368"/>
      <c r="L27" s="2368"/>
      <c r="M27" s="2368"/>
      <c r="N27" s="2368"/>
      <c r="O27" s="2368"/>
      <c r="P27" s="2368"/>
      <c r="Q27" s="2368"/>
      <c r="R27" s="2368"/>
      <c r="AQ27" s="2319"/>
    </row>
    <row r="28" spans="1:52" s="2374" customFormat="1" ht="18.75" x14ac:dyDescent="0.25">
      <c r="A28" s="2370" t="s">
        <v>4036</v>
      </c>
      <c r="B28" s="2371"/>
      <c r="C28" s="2371"/>
      <c r="D28" s="2371"/>
      <c r="E28" s="2371"/>
      <c r="F28" s="2371"/>
      <c r="G28" s="2371"/>
      <c r="H28" s="2371"/>
      <c r="I28" s="2371"/>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2"/>
      <c r="AR28" s="2373"/>
      <c r="AS28" s="2373"/>
      <c r="AT28" s="2373"/>
      <c r="AU28" s="2373"/>
      <c r="AV28" s="2373"/>
      <c r="AW28" s="2373"/>
      <c r="AX28" s="2373"/>
      <c r="AY28" s="2373"/>
      <c r="AZ28" s="2373"/>
    </row>
    <row r="29" spans="1:52" s="2374" customFormat="1" ht="15.75" thickBot="1" x14ac:dyDescent="0.3">
      <c r="B29" s="2371"/>
      <c r="C29" s="2371"/>
      <c r="D29" s="2371"/>
      <c r="E29" s="2371"/>
      <c r="F29" s="2371"/>
      <c r="G29" s="2371"/>
      <c r="H29" s="2371"/>
      <c r="I29" s="2371"/>
      <c r="J29" s="2371"/>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2"/>
      <c r="AR29" s="2373"/>
      <c r="AS29" s="2373"/>
      <c r="AT29" s="2373"/>
      <c r="AU29" s="2373"/>
      <c r="AV29" s="2373"/>
      <c r="AW29" s="2373"/>
      <c r="AX29" s="2373"/>
      <c r="AY29" s="2373"/>
      <c r="AZ29" s="2373"/>
    </row>
    <row r="30" spans="1:52" s="2380" customFormat="1" ht="27" customHeight="1" x14ac:dyDescent="0.2">
      <c r="A30" s="2375"/>
      <c r="B30" s="2376">
        <v>40910</v>
      </c>
      <c r="C30" s="2377">
        <v>40941</v>
      </c>
      <c r="D30" s="2377">
        <v>40971</v>
      </c>
      <c r="E30" s="2377">
        <v>41003</v>
      </c>
      <c r="F30" s="2377">
        <v>41034</v>
      </c>
      <c r="G30" s="2377">
        <v>41066</v>
      </c>
      <c r="H30" s="2377">
        <v>41097</v>
      </c>
      <c r="I30" s="2377">
        <v>41129</v>
      </c>
      <c r="J30" s="2377">
        <v>41161</v>
      </c>
      <c r="K30" s="2377">
        <v>41192</v>
      </c>
      <c r="L30" s="2377">
        <v>41224</v>
      </c>
      <c r="M30" s="2377">
        <v>41255</v>
      </c>
      <c r="N30" s="2377">
        <v>41275</v>
      </c>
      <c r="O30" s="2377">
        <v>41307</v>
      </c>
      <c r="P30" s="2378">
        <v>41336</v>
      </c>
      <c r="Q30" s="2379">
        <f t="shared" ref="Q30:AL30" si="0">Q3</f>
        <v>41399</v>
      </c>
      <c r="R30" s="2379">
        <f t="shared" si="0"/>
        <v>41431</v>
      </c>
      <c r="S30" s="2379">
        <f t="shared" si="0"/>
        <v>41462</v>
      </c>
      <c r="T30" s="2379">
        <f t="shared" si="0"/>
        <v>41494</v>
      </c>
      <c r="U30" s="2379">
        <f t="shared" si="0"/>
        <v>41526</v>
      </c>
      <c r="V30" s="2379">
        <f t="shared" si="0"/>
        <v>41557</v>
      </c>
      <c r="W30" s="2379">
        <f t="shared" si="0"/>
        <v>41588</v>
      </c>
      <c r="X30" s="2379">
        <f t="shared" si="0"/>
        <v>41619</v>
      </c>
      <c r="Y30" s="2379">
        <f t="shared" si="0"/>
        <v>41640</v>
      </c>
      <c r="Z30" s="2379">
        <f t="shared" si="0"/>
        <v>41671</v>
      </c>
      <c r="AA30" s="2379">
        <f t="shared" si="0"/>
        <v>41700</v>
      </c>
      <c r="AB30" s="2379">
        <f t="shared" si="0"/>
        <v>41732</v>
      </c>
      <c r="AC30" s="2379">
        <f t="shared" si="0"/>
        <v>41762</v>
      </c>
      <c r="AD30" s="2379">
        <f t="shared" si="0"/>
        <v>41794</v>
      </c>
      <c r="AE30" s="2379">
        <f t="shared" si="0"/>
        <v>41825</v>
      </c>
      <c r="AF30" s="2379">
        <f t="shared" si="0"/>
        <v>41857</v>
      </c>
      <c r="AG30" s="2379">
        <f t="shared" si="0"/>
        <v>41889</v>
      </c>
      <c r="AH30" s="2379">
        <f t="shared" si="0"/>
        <v>41919</v>
      </c>
      <c r="AI30" s="2379">
        <f t="shared" si="0"/>
        <v>41950</v>
      </c>
      <c r="AJ30" s="2379">
        <f t="shared" si="0"/>
        <v>41980</v>
      </c>
      <c r="AK30" s="2379">
        <f t="shared" si="0"/>
        <v>42012</v>
      </c>
      <c r="AL30" s="2379">
        <f t="shared" si="0"/>
        <v>42037</v>
      </c>
      <c r="AM30" s="2379">
        <v>42064</v>
      </c>
      <c r="AN30" s="2379">
        <v>42096</v>
      </c>
      <c r="AO30" s="2379">
        <f t="shared" ref="AO30:AT30" si="1">AO3</f>
        <v>42127</v>
      </c>
      <c r="AP30" s="2379">
        <f t="shared" si="1"/>
        <v>42159</v>
      </c>
      <c r="AQ30" s="2379">
        <f t="shared" si="1"/>
        <v>42189</v>
      </c>
      <c r="AR30" s="2379">
        <f t="shared" si="1"/>
        <v>42220</v>
      </c>
      <c r="AS30" s="2379">
        <f t="shared" si="1"/>
        <v>42252</v>
      </c>
      <c r="AT30" s="2379">
        <f t="shared" si="1"/>
        <v>42282</v>
      </c>
      <c r="AU30" s="2325">
        <v>42313</v>
      </c>
      <c r="AV30" s="2325">
        <v>42343</v>
      </c>
      <c r="AW30" s="2325">
        <v>42375</v>
      </c>
      <c r="AX30" s="2325">
        <v>42401</v>
      </c>
      <c r="AY30" s="2325">
        <v>42430</v>
      </c>
      <c r="AZ30" s="2325">
        <v>42461</v>
      </c>
    </row>
    <row r="31" spans="1:52" s="2380" customFormat="1" ht="14.25" customHeight="1" x14ac:dyDescent="0.2">
      <c r="A31" s="2381"/>
      <c r="B31" s="2382"/>
      <c r="C31" s="2382"/>
      <c r="D31" s="2382"/>
      <c r="E31" s="2382"/>
      <c r="F31" s="2382"/>
      <c r="G31" s="2382"/>
      <c r="H31" s="2382"/>
      <c r="I31" s="2382"/>
      <c r="J31" s="2382"/>
      <c r="K31" s="2382"/>
      <c r="L31" s="2382"/>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3"/>
      <c r="AS31" s="2383"/>
      <c r="AT31" s="2383"/>
      <c r="AU31" s="2383"/>
      <c r="AV31" s="2383"/>
      <c r="AW31" s="2383"/>
      <c r="AX31" s="2383"/>
      <c r="AY31" s="2383"/>
      <c r="AZ31" s="2383"/>
    </row>
    <row r="32" spans="1:52" s="2380" customFormat="1" ht="21" customHeight="1" x14ac:dyDescent="0.2">
      <c r="A32" s="2384" t="s">
        <v>4037</v>
      </c>
      <c r="B32" s="2385">
        <v>218504</v>
      </c>
      <c r="C32" s="2385">
        <v>224119</v>
      </c>
      <c r="D32" s="2385">
        <v>228136</v>
      </c>
      <c r="E32" s="2385">
        <v>226594</v>
      </c>
      <c r="F32" s="2385">
        <v>231147</v>
      </c>
      <c r="G32" s="2385">
        <v>235129</v>
      </c>
      <c r="H32" s="2385">
        <v>239464</v>
      </c>
      <c r="I32" s="2385">
        <v>218381</v>
      </c>
      <c r="J32" s="2385">
        <v>220362</v>
      </c>
      <c r="K32" s="2385">
        <v>197884</v>
      </c>
      <c r="L32" s="2385">
        <v>196323</v>
      </c>
      <c r="M32" s="2385">
        <v>200345</v>
      </c>
      <c r="N32" s="2385">
        <v>204835</v>
      </c>
      <c r="O32" s="2385">
        <v>211679</v>
      </c>
      <c r="P32" s="2386">
        <v>216738</v>
      </c>
      <c r="Q32" s="2386">
        <v>225759</v>
      </c>
      <c r="R32" s="2386">
        <v>229500</v>
      </c>
      <c r="S32" s="2386">
        <v>234910</v>
      </c>
      <c r="T32" s="2386">
        <v>235346</v>
      </c>
      <c r="U32" s="2386">
        <v>234435</v>
      </c>
      <c r="V32" s="2386">
        <v>234949</v>
      </c>
      <c r="W32" s="2386">
        <v>237508</v>
      </c>
      <c r="X32" s="2386">
        <v>240808</v>
      </c>
      <c r="Y32" s="2386">
        <v>240601</v>
      </c>
      <c r="Z32" s="2386">
        <v>243965</v>
      </c>
      <c r="AA32" s="2386">
        <v>235627</v>
      </c>
      <c r="AB32" s="2386">
        <v>252507</v>
      </c>
      <c r="AC32" s="2386">
        <v>257288</v>
      </c>
      <c r="AD32" s="2386">
        <v>260171</v>
      </c>
      <c r="AE32" s="2386">
        <v>264655</v>
      </c>
      <c r="AF32" s="2386">
        <v>269188</v>
      </c>
      <c r="AG32" s="2386">
        <v>266521</v>
      </c>
      <c r="AH32" s="2386">
        <v>276104</v>
      </c>
      <c r="AI32" s="2386">
        <v>280712</v>
      </c>
      <c r="AJ32" s="2386">
        <v>285085</v>
      </c>
      <c r="AK32" s="2386">
        <v>288922</v>
      </c>
      <c r="AL32" s="2386">
        <v>294619</v>
      </c>
      <c r="AM32" s="2386">
        <v>299638</v>
      </c>
      <c r="AN32" s="2386">
        <v>217817</v>
      </c>
      <c r="AO32" s="2386">
        <v>300581</v>
      </c>
      <c r="AP32" s="2386">
        <v>278541</v>
      </c>
      <c r="AQ32" s="2387">
        <v>313550</v>
      </c>
      <c r="AR32" s="2387">
        <v>316850</v>
      </c>
      <c r="AS32" s="2387">
        <v>321076</v>
      </c>
      <c r="AT32" s="2387">
        <v>327319</v>
      </c>
      <c r="AU32" s="2387">
        <v>329258</v>
      </c>
      <c r="AV32" s="2387">
        <f>'[75]Dec-15'!$W$48</f>
        <v>332711</v>
      </c>
      <c r="AW32" s="2387">
        <f>'[76]Jan-16'!$U$48</f>
        <v>336839</v>
      </c>
      <c r="AX32" s="2387">
        <v>341151</v>
      </c>
      <c r="AY32" s="2387">
        <v>346276</v>
      </c>
      <c r="AZ32" s="2387">
        <v>350329</v>
      </c>
    </row>
    <row r="33" spans="1:52" s="2380" customFormat="1" ht="6.75" customHeight="1" thickBot="1" x14ac:dyDescent="0.25">
      <c r="A33" s="2384"/>
      <c r="B33" s="2388"/>
      <c r="C33" s="2388"/>
      <c r="D33" s="2388"/>
      <c r="E33" s="2388"/>
      <c r="F33" s="2388"/>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9"/>
      <c r="AR33" s="2390"/>
      <c r="AS33" s="2390"/>
      <c r="AT33" s="2390"/>
      <c r="AU33" s="2390"/>
      <c r="AV33" s="2390"/>
      <c r="AW33" s="2390"/>
      <c r="AX33" s="2390"/>
      <c r="AY33" s="2390"/>
      <c r="AZ33" s="2390"/>
    </row>
    <row r="34" spans="1:52" s="2380" customFormat="1" ht="17.25" customHeight="1" thickBot="1" x14ac:dyDescent="0.25">
      <c r="A34" s="2381"/>
      <c r="B34" s="2391"/>
      <c r="C34" s="2391"/>
      <c r="D34" s="2391"/>
      <c r="E34" s="2391"/>
      <c r="F34" s="2391"/>
      <c r="G34" s="2391"/>
      <c r="H34" s="2391"/>
      <c r="I34" s="2391"/>
      <c r="J34" s="2391"/>
      <c r="K34" s="2391"/>
      <c r="L34" s="2391"/>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2"/>
      <c r="AR34" s="2393"/>
      <c r="AS34" s="2393"/>
      <c r="AT34" s="2393"/>
      <c r="AU34" s="2393"/>
      <c r="AV34" s="2393"/>
      <c r="AW34" s="2393"/>
      <c r="AX34" s="2393"/>
      <c r="AY34" s="2393"/>
      <c r="AZ34" s="2393"/>
    </row>
    <row r="35" spans="1:52" s="2380" customFormat="1" ht="15.75" x14ac:dyDescent="0.2">
      <c r="A35" s="2384" t="s">
        <v>4038</v>
      </c>
      <c r="B35" s="2394">
        <v>238413</v>
      </c>
      <c r="C35" s="2394">
        <v>238093</v>
      </c>
      <c r="D35" s="2394">
        <v>261162</v>
      </c>
      <c r="E35" s="2394">
        <v>277292</v>
      </c>
      <c r="F35" s="2394">
        <v>283585</v>
      </c>
      <c r="G35" s="2394">
        <v>266059</v>
      </c>
      <c r="H35" s="2394">
        <v>290958</v>
      </c>
      <c r="I35" s="2394">
        <v>283367</v>
      </c>
      <c r="J35" s="2394">
        <v>264927</v>
      </c>
      <c r="K35" s="2394">
        <v>315412</v>
      </c>
      <c r="L35" s="2394">
        <v>295863</v>
      </c>
      <c r="M35" s="2394">
        <v>392058</v>
      </c>
      <c r="N35" s="2394">
        <v>351065</v>
      </c>
      <c r="O35" s="2394">
        <v>327122</v>
      </c>
      <c r="P35" s="2395">
        <v>380181</v>
      </c>
      <c r="Q35" s="2395">
        <v>385013</v>
      </c>
      <c r="R35" s="2395">
        <v>366954</v>
      </c>
      <c r="S35" s="2395">
        <v>406022</v>
      </c>
      <c r="T35" s="2395">
        <v>392209</v>
      </c>
      <c r="U35" s="2395">
        <v>375620</v>
      </c>
      <c r="V35" s="2395">
        <v>410190</v>
      </c>
      <c r="W35" s="2395">
        <v>398849</v>
      </c>
      <c r="X35" s="2395">
        <v>525624</v>
      </c>
      <c r="Y35" s="2395">
        <v>402112</v>
      </c>
      <c r="Z35" s="2395">
        <v>375413</v>
      </c>
      <c r="AA35" s="2395">
        <v>422037</v>
      </c>
      <c r="AB35" s="2395">
        <v>435923</v>
      </c>
      <c r="AC35" s="2395">
        <v>441066</v>
      </c>
      <c r="AD35" s="2395">
        <v>420177</v>
      </c>
      <c r="AE35" s="2395">
        <v>454337</v>
      </c>
      <c r="AF35" s="2395">
        <v>481938</v>
      </c>
      <c r="AG35" s="2395">
        <v>466579</v>
      </c>
      <c r="AH35" s="2395">
        <v>504400</v>
      </c>
      <c r="AI35" s="2395">
        <v>500404</v>
      </c>
      <c r="AJ35" s="2395">
        <v>614221</v>
      </c>
      <c r="AK35" s="2395">
        <v>506560</v>
      </c>
      <c r="AL35" s="2395">
        <v>482473</v>
      </c>
      <c r="AM35" s="2395">
        <v>540918</v>
      </c>
      <c r="AN35" s="2395">
        <v>534150</v>
      </c>
      <c r="AO35" s="2395">
        <v>545998</v>
      </c>
      <c r="AP35" s="2395">
        <v>533719</v>
      </c>
      <c r="AQ35" s="2396">
        <v>559970</v>
      </c>
      <c r="AR35" s="2397">
        <v>538596</v>
      </c>
      <c r="AS35" s="2397">
        <v>542153</v>
      </c>
      <c r="AT35" s="2397">
        <v>605573</v>
      </c>
      <c r="AU35" s="2397">
        <v>513673</v>
      </c>
      <c r="AV35" s="2397">
        <f>'[75]Dec-15'!$W$49</f>
        <v>752770</v>
      </c>
      <c r="AW35" s="2397">
        <f>'[76]Jan-16'!$U$49</f>
        <v>566194</v>
      </c>
      <c r="AX35" s="2397">
        <v>550438</v>
      </c>
      <c r="AY35" s="2397">
        <v>588246</v>
      </c>
      <c r="AZ35" s="2397">
        <v>580411</v>
      </c>
    </row>
    <row r="36" spans="1:52" s="2380" customFormat="1" ht="15.75" x14ac:dyDescent="0.2">
      <c r="A36" s="2384" t="s">
        <v>4039</v>
      </c>
      <c r="B36" s="2385">
        <v>43475.962768999998</v>
      </c>
      <c r="C36" s="2385">
        <v>53599.680598999999</v>
      </c>
      <c r="D36" s="2385">
        <v>50754</v>
      </c>
      <c r="E36" s="2385">
        <v>44273.632428999998</v>
      </c>
      <c r="F36" s="2385">
        <v>56415.093000000001</v>
      </c>
      <c r="G36" s="2385">
        <v>69886.773830000006</v>
      </c>
      <c r="H36" s="2385">
        <v>95686.427930000005</v>
      </c>
      <c r="I36" s="2385">
        <v>99053.420203000001</v>
      </c>
      <c r="J36" s="2385">
        <v>109788.97238200001</v>
      </c>
      <c r="K36" s="2385">
        <v>94589.501147999996</v>
      </c>
      <c r="L36" s="2385">
        <v>111014.214874</v>
      </c>
      <c r="M36" s="2385">
        <v>135896.03765000001</v>
      </c>
      <c r="N36" s="2385">
        <v>91072.939985999998</v>
      </c>
      <c r="O36" s="2385">
        <v>105733.91310200001</v>
      </c>
      <c r="P36" s="2386">
        <v>156737.17344799999</v>
      </c>
      <c r="Q36" s="2386">
        <v>88654.171180000005</v>
      </c>
      <c r="R36" s="2386">
        <v>123315.401</v>
      </c>
      <c r="S36" s="2386">
        <v>110439.07325723401</v>
      </c>
      <c r="T36" s="2386">
        <v>83870.612330999997</v>
      </c>
      <c r="U36" s="2386">
        <v>131569.13808400001</v>
      </c>
      <c r="V36" s="2386">
        <v>105040.50852712478</v>
      </c>
      <c r="W36" s="2386">
        <v>84908.775735624222</v>
      </c>
      <c r="X36" s="2386">
        <v>187514.1931471756</v>
      </c>
      <c r="Y36" s="2386">
        <v>117692.056832556</v>
      </c>
      <c r="Z36" s="2386">
        <v>82396.713636</v>
      </c>
      <c r="AA36" s="2386">
        <v>104323</v>
      </c>
      <c r="AB36" s="2386">
        <v>97269</v>
      </c>
      <c r="AC36" s="2386">
        <v>126271.62020400001</v>
      </c>
      <c r="AD36" s="2386">
        <v>179424.24770530299</v>
      </c>
      <c r="AE36" s="2386">
        <v>143778.00127400001</v>
      </c>
      <c r="AF36" s="2386">
        <v>126622.30538200001</v>
      </c>
      <c r="AG36" s="2386">
        <v>146464.13355699999</v>
      </c>
      <c r="AH36" s="2386">
        <v>159790.540978</v>
      </c>
      <c r="AI36" s="2386">
        <v>201645.420835</v>
      </c>
      <c r="AJ36" s="2386">
        <v>268652.59542799997</v>
      </c>
      <c r="AK36" s="2386">
        <v>177035.007265758</v>
      </c>
      <c r="AL36" s="2386">
        <v>213554.44691599999</v>
      </c>
      <c r="AM36" s="2386">
        <f>254231630497.023/1000000</f>
        <v>254231.630497023</v>
      </c>
      <c r="AN36" s="2386">
        <v>212520</v>
      </c>
      <c r="AO36" s="2386">
        <v>170706.24584941001</v>
      </c>
      <c r="AP36" s="2386">
        <v>267765.77055000002</v>
      </c>
      <c r="AQ36" s="2398">
        <v>229795</v>
      </c>
      <c r="AR36" s="2399">
        <v>208017</v>
      </c>
      <c r="AS36" s="2399">
        <v>214494.343333</v>
      </c>
      <c r="AT36" s="2399">
        <v>190866</v>
      </c>
      <c r="AU36" s="2399">
        <v>203633</v>
      </c>
      <c r="AV36" s="2399">
        <f>'[75]Dec-15'!$W$52/1000000</f>
        <v>351154.71471042</v>
      </c>
      <c r="AW36" s="2399">
        <f>'[76]Jan-16'!$U$52/1000000</f>
        <v>181541.17812525001</v>
      </c>
      <c r="AX36" s="2399">
        <v>170732</v>
      </c>
      <c r="AY36" s="2399">
        <v>231749</v>
      </c>
      <c r="AZ36" s="2399">
        <v>168293</v>
      </c>
    </row>
    <row r="37" spans="1:52" s="2380" customFormat="1" ht="16.5" thickBot="1" x14ac:dyDescent="0.25">
      <c r="A37" s="2400" t="s">
        <v>4040</v>
      </c>
      <c r="B37" s="2401">
        <v>43475.962</v>
      </c>
      <c r="C37" s="2401">
        <v>48537.821684000002</v>
      </c>
      <c r="D37" s="2401">
        <v>49277</v>
      </c>
      <c r="E37" s="2401">
        <v>48025.854202000002</v>
      </c>
      <c r="F37" s="2401">
        <v>49703.701975999997</v>
      </c>
      <c r="G37" s="2401">
        <v>53067.547285000001</v>
      </c>
      <c r="H37" s="2401">
        <v>59155.958806000002</v>
      </c>
      <c r="I37" s="2401">
        <v>64143.141479999998</v>
      </c>
      <c r="J37" s="2401">
        <v>69214.900469</v>
      </c>
      <c r="K37" s="2401">
        <v>71752.360537</v>
      </c>
      <c r="L37" s="2401">
        <v>75321.620022000003</v>
      </c>
      <c r="M37" s="2401">
        <v>80369.488157999993</v>
      </c>
      <c r="N37" s="2401">
        <v>91072.939985999998</v>
      </c>
      <c r="O37" s="2401">
        <v>98403.426544000002</v>
      </c>
      <c r="P37" s="2402">
        <v>117848.008845</v>
      </c>
      <c r="Q37" s="2402">
        <v>115113.088988</v>
      </c>
      <c r="R37" s="2402">
        <v>116480.074398</v>
      </c>
      <c r="S37" s="2402">
        <v>115617.07399999999</v>
      </c>
      <c r="T37" s="2402">
        <v>111648.766497</v>
      </c>
      <c r="U37" s="2402">
        <v>113862.141118</v>
      </c>
      <c r="V37" s="2402">
        <v>112979.97785884212</v>
      </c>
      <c r="W37" s="2402">
        <v>110428.05039309504</v>
      </c>
      <c r="X37" s="2402">
        <v>116851.89562260175</v>
      </c>
      <c r="Y37" s="2402">
        <v>117692.05683255615</v>
      </c>
      <c r="Z37" s="2402">
        <v>100044.38523428794</v>
      </c>
      <c r="AA37" s="2402">
        <v>101471</v>
      </c>
      <c r="AB37" s="2402">
        <v>100420</v>
      </c>
      <c r="AC37" s="2402">
        <v>105590.64532</v>
      </c>
      <c r="AD37" s="2402">
        <v>117896.24571768557</v>
      </c>
      <c r="AE37" s="2402">
        <v>121593.60000000001</v>
      </c>
      <c r="AF37" s="2402">
        <v>122222.22262</v>
      </c>
      <c r="AG37" s="2402">
        <v>124915.768279893</v>
      </c>
      <c r="AH37" s="2402">
        <v>128403.24555000001</v>
      </c>
      <c r="AI37" s="2402">
        <v>135061.62512099999</v>
      </c>
      <c r="AJ37" s="2402">
        <v>146194.20597995099</v>
      </c>
      <c r="AK37" s="2402">
        <v>177035.007265758</v>
      </c>
      <c r="AL37" s="2402">
        <v>195294.72709080801</v>
      </c>
      <c r="AM37" s="2402">
        <v>214940</v>
      </c>
      <c r="AN37" s="2402">
        <v>214335</v>
      </c>
      <c r="AO37" s="2402">
        <v>205609</v>
      </c>
      <c r="AP37" s="2403">
        <v>215968.851</v>
      </c>
      <c r="AQ37" s="2404">
        <v>217944</v>
      </c>
      <c r="AR37" s="2405">
        <v>216703</v>
      </c>
      <c r="AS37" s="2405">
        <v>216457.7</v>
      </c>
      <c r="AT37" s="2405">
        <v>213899</v>
      </c>
      <c r="AU37" s="2405">
        <v>212965</v>
      </c>
      <c r="AV37" s="2405">
        <f>[75]working!$AW$32/1000000</f>
        <v>224481.08805775986</v>
      </c>
      <c r="AW37" s="2405">
        <f>[76]working!$AX$32/1000000</f>
        <v>181541.17812525001</v>
      </c>
      <c r="AX37" s="2405">
        <v>176137</v>
      </c>
      <c r="AY37" s="2405">
        <v>194674</v>
      </c>
      <c r="AZ37" s="2405">
        <v>188079</v>
      </c>
    </row>
    <row r="38" spans="1:52" ht="15" x14ac:dyDescent="0.2">
      <c r="A38" s="2406"/>
      <c r="B38" s="2368"/>
      <c r="C38" s="2368"/>
      <c r="D38" s="2368"/>
      <c r="E38" s="2368"/>
      <c r="F38" s="2368"/>
      <c r="G38" s="2368"/>
      <c r="H38" s="2368"/>
      <c r="I38" s="2368"/>
      <c r="J38" s="2368"/>
      <c r="K38" s="2368"/>
      <c r="L38" s="2368"/>
      <c r="M38" s="2368"/>
      <c r="N38" s="2368"/>
      <c r="O38" s="2368"/>
      <c r="P38" s="2368"/>
      <c r="Q38" s="2368"/>
      <c r="R38" s="2368"/>
      <c r="S38" s="2407"/>
    </row>
    <row r="39" spans="1:52" ht="15" x14ac:dyDescent="0.2">
      <c r="A39" s="2369" t="s">
        <v>4041</v>
      </c>
    </row>
    <row r="40" spans="1:52" ht="15" x14ac:dyDescent="0.2">
      <c r="A40" s="2369" t="s">
        <v>556</v>
      </c>
    </row>
  </sheetData>
  <printOptions horizontalCentered="1"/>
  <pageMargins left="0.5" right="0.5" top="0" bottom="0.511811023622047" header="0" footer="7.8740157480315001E-2"/>
  <pageSetup paperSize="9" scale="7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X290"/>
  <sheetViews>
    <sheetView showGridLines="0" zoomScaleNormal="100" zoomScaleSheetLayoutView="90" workbookViewId="0">
      <selection activeCell="F6" sqref="F6"/>
    </sheetView>
  </sheetViews>
  <sheetFormatPr defaultRowHeight="15" x14ac:dyDescent="0.25"/>
  <cols>
    <col min="1" max="1" width="9.28515625" style="172" customWidth="1"/>
    <col min="2" max="2" width="12.28515625" style="172" bestFit="1" customWidth="1"/>
    <col min="3" max="3" width="10.85546875" style="172" bestFit="1" customWidth="1"/>
    <col min="4" max="4" width="12.28515625" style="172" bestFit="1" customWidth="1"/>
    <col min="5" max="5" width="10.85546875" style="172" bestFit="1" customWidth="1"/>
    <col min="6" max="6" width="12.28515625" style="172" bestFit="1" customWidth="1"/>
    <col min="7" max="7" width="10.140625" style="172" customWidth="1"/>
    <col min="8" max="8" width="11.28515625" style="172" bestFit="1" customWidth="1"/>
    <col min="9" max="9" width="10.85546875" style="172" bestFit="1" customWidth="1"/>
    <col min="10" max="10" width="12.28515625" style="172" bestFit="1" customWidth="1"/>
    <col min="11" max="11" width="9.85546875" style="172" customWidth="1"/>
    <col min="12" max="12" width="16" style="172" customWidth="1"/>
    <col min="13" max="13" width="12.42578125" style="172" customWidth="1"/>
    <col min="14" max="14" width="10.140625" style="172" customWidth="1"/>
    <col min="15" max="15" width="18" style="172" customWidth="1"/>
    <col min="16" max="16" width="12.42578125" style="172" bestFit="1" customWidth="1"/>
    <col min="17" max="17" width="12.28515625" style="172" bestFit="1" customWidth="1"/>
    <col min="18" max="18" width="12.140625" style="172" customWidth="1"/>
    <col min="19" max="19" width="12.7109375" style="172" customWidth="1"/>
    <col min="20" max="20" width="12.28515625" style="172" bestFit="1" customWidth="1"/>
    <col min="21" max="23" width="10.85546875" style="172" bestFit="1" customWidth="1"/>
    <col min="24" max="24" width="14.42578125" style="172" bestFit="1" customWidth="1"/>
    <col min="25" max="25" width="17" style="172" customWidth="1"/>
    <col min="26" max="26" width="11.7109375" style="172" bestFit="1" customWidth="1"/>
    <col min="27" max="27" width="13.140625" style="172" bestFit="1" customWidth="1"/>
    <col min="28" max="28" width="5.5703125" style="172" bestFit="1" customWidth="1"/>
    <col min="29" max="29" width="10" style="172" bestFit="1" customWidth="1"/>
    <col min="30" max="31" width="14" style="172" bestFit="1" customWidth="1"/>
    <col min="32" max="33" width="13.140625" style="172" bestFit="1" customWidth="1"/>
    <col min="34" max="34" width="14" style="172" bestFit="1" customWidth="1"/>
    <col min="35" max="38" width="9.28515625" style="172" bestFit="1" customWidth="1"/>
    <col min="39" max="40" width="11.7109375" style="172" bestFit="1" customWidth="1"/>
    <col min="41" max="41" width="9.28515625" style="172" bestFit="1" customWidth="1"/>
    <col min="42" max="42" width="11.7109375" style="172" bestFit="1" customWidth="1"/>
    <col min="43" max="43" width="13.140625" style="172" bestFit="1" customWidth="1"/>
    <col min="44" max="45" width="11.7109375" style="172" bestFit="1" customWidth="1"/>
    <col min="46" max="46" width="9.28515625" style="172" bestFit="1" customWidth="1"/>
    <col min="47" max="47" width="13.140625" style="172" bestFit="1" customWidth="1"/>
    <col min="48" max="48" width="9.28515625" style="172" bestFit="1" customWidth="1"/>
    <col min="49" max="50" width="13.140625" style="172" bestFit="1" customWidth="1"/>
    <col min="51" max="51" width="14.85546875" style="172" bestFit="1" customWidth="1"/>
    <col min="52" max="256" width="9.140625" style="172"/>
    <col min="257" max="257" width="9.28515625" style="172" customWidth="1"/>
    <col min="258" max="258" width="8.85546875" style="172" bestFit="1" customWidth="1"/>
    <col min="259" max="259" width="8.7109375" style="172" bestFit="1" customWidth="1"/>
    <col min="260" max="260" width="8.85546875" style="172" bestFit="1" customWidth="1"/>
    <col min="261" max="261" width="8" style="172" bestFit="1" customWidth="1"/>
    <col min="262" max="262" width="9" style="172" bestFit="1" customWidth="1"/>
    <col min="263" max="263" width="10.140625" style="172" customWidth="1"/>
    <col min="264" max="264" width="11" style="172" bestFit="1" customWidth="1"/>
    <col min="265" max="266" width="10.5703125" style="172" bestFit="1" customWidth="1"/>
    <col min="267" max="267" width="9.85546875" style="172" customWidth="1"/>
    <col min="268" max="268" width="11.5703125" style="172" customWidth="1"/>
    <col min="269" max="269" width="11.42578125" style="172" customWidth="1"/>
    <col min="270" max="270" width="10.140625" style="172" customWidth="1"/>
    <col min="271" max="271" width="10.28515625" style="172" bestFit="1" customWidth="1"/>
    <col min="272" max="272" width="12.140625" style="172" bestFit="1" customWidth="1"/>
    <col min="273" max="273" width="12" style="172" bestFit="1" customWidth="1"/>
    <col min="274" max="274" width="12.140625" style="172" customWidth="1"/>
    <col min="275" max="275" width="10.85546875" style="172" customWidth="1"/>
    <col min="276" max="276" width="8.85546875" style="172" bestFit="1" customWidth="1"/>
    <col min="277" max="277" width="9" style="172" bestFit="1" customWidth="1"/>
    <col min="278" max="278" width="8.5703125" style="172" bestFit="1" customWidth="1"/>
    <col min="279" max="279" width="7.85546875" style="172" bestFit="1" customWidth="1"/>
    <col min="280" max="280" width="10.28515625" style="172" bestFit="1" customWidth="1"/>
    <col min="281" max="281" width="11.85546875" style="172" bestFit="1" customWidth="1"/>
    <col min="282" max="282" width="11.7109375" style="172" bestFit="1" customWidth="1"/>
    <col min="283" max="283" width="13.140625" style="172" bestFit="1" customWidth="1"/>
    <col min="284" max="284" width="5.5703125" style="172" bestFit="1" customWidth="1"/>
    <col min="285" max="285" width="10" style="172" bestFit="1" customWidth="1"/>
    <col min="286" max="287" width="14" style="172" bestFit="1" customWidth="1"/>
    <col min="288" max="289" width="13.140625" style="172" bestFit="1" customWidth="1"/>
    <col min="290" max="290" width="14" style="172" bestFit="1" customWidth="1"/>
    <col min="291" max="294" width="9.28515625" style="172" bestFit="1" customWidth="1"/>
    <col min="295" max="296" width="11.7109375" style="172" bestFit="1" customWidth="1"/>
    <col min="297" max="297" width="9.28515625" style="172" bestFit="1" customWidth="1"/>
    <col min="298" max="298" width="11.7109375" style="172" bestFit="1" customWidth="1"/>
    <col min="299" max="299" width="13.140625" style="172" bestFit="1" customWidth="1"/>
    <col min="300" max="301" width="11.7109375" style="172" bestFit="1" customWidth="1"/>
    <col min="302" max="302" width="9.28515625" style="172" bestFit="1" customWidth="1"/>
    <col min="303" max="303" width="13.140625" style="172" bestFit="1" customWidth="1"/>
    <col min="304" max="304" width="9.28515625" style="172" bestFit="1" customWidth="1"/>
    <col min="305" max="306" width="13.140625" style="172" bestFit="1" customWidth="1"/>
    <col min="307" max="307" width="14.85546875" style="172" bestFit="1" customWidth="1"/>
    <col min="308" max="512" width="9.140625" style="172"/>
    <col min="513" max="513" width="9.28515625" style="172" customWidth="1"/>
    <col min="514" max="514" width="8.85546875" style="172" bestFit="1" customWidth="1"/>
    <col min="515" max="515" width="8.7109375" style="172" bestFit="1" customWidth="1"/>
    <col min="516" max="516" width="8.85546875" style="172" bestFit="1" customWidth="1"/>
    <col min="517" max="517" width="8" style="172" bestFit="1" customWidth="1"/>
    <col min="518" max="518" width="9" style="172" bestFit="1" customWidth="1"/>
    <col min="519" max="519" width="10.140625" style="172" customWidth="1"/>
    <col min="520" max="520" width="11" style="172" bestFit="1" customWidth="1"/>
    <col min="521" max="522" width="10.5703125" style="172" bestFit="1" customWidth="1"/>
    <col min="523" max="523" width="9.85546875" style="172" customWidth="1"/>
    <col min="524" max="524" width="11.5703125" style="172" customWidth="1"/>
    <col min="525" max="525" width="11.42578125" style="172" customWidth="1"/>
    <col min="526" max="526" width="10.140625" style="172" customWidth="1"/>
    <col min="527" max="527" width="10.28515625" style="172" bestFit="1" customWidth="1"/>
    <col min="528" max="528" width="12.140625" style="172" bestFit="1" customWidth="1"/>
    <col min="529" max="529" width="12" style="172" bestFit="1" customWidth="1"/>
    <col min="530" max="530" width="12.140625" style="172" customWidth="1"/>
    <col min="531" max="531" width="10.85546875" style="172" customWidth="1"/>
    <col min="532" max="532" width="8.85546875" style="172" bestFit="1" customWidth="1"/>
    <col min="533" max="533" width="9" style="172" bestFit="1" customWidth="1"/>
    <col min="534" max="534" width="8.5703125" style="172" bestFit="1" customWidth="1"/>
    <col min="535" max="535" width="7.85546875" style="172" bestFit="1" customWidth="1"/>
    <col min="536" max="536" width="10.28515625" style="172" bestFit="1" customWidth="1"/>
    <col min="537" max="537" width="11.85546875" style="172" bestFit="1" customWidth="1"/>
    <col min="538" max="538" width="11.7109375" style="172" bestFit="1" customWidth="1"/>
    <col min="539" max="539" width="13.140625" style="172" bestFit="1" customWidth="1"/>
    <col min="540" max="540" width="5.5703125" style="172" bestFit="1" customWidth="1"/>
    <col min="541" max="541" width="10" style="172" bestFit="1" customWidth="1"/>
    <col min="542" max="543" width="14" style="172" bestFit="1" customWidth="1"/>
    <col min="544" max="545" width="13.140625" style="172" bestFit="1" customWidth="1"/>
    <col min="546" max="546" width="14" style="172" bestFit="1" customWidth="1"/>
    <col min="547" max="550" width="9.28515625" style="172" bestFit="1" customWidth="1"/>
    <col min="551" max="552" width="11.7109375" style="172" bestFit="1" customWidth="1"/>
    <col min="553" max="553" width="9.28515625" style="172" bestFit="1" customWidth="1"/>
    <col min="554" max="554" width="11.7109375" style="172" bestFit="1" customWidth="1"/>
    <col min="555" max="555" width="13.140625" style="172" bestFit="1" customWidth="1"/>
    <col min="556" max="557" width="11.7109375" style="172" bestFit="1" customWidth="1"/>
    <col min="558" max="558" width="9.28515625" style="172" bestFit="1" customWidth="1"/>
    <col min="559" max="559" width="13.140625" style="172" bestFit="1" customWidth="1"/>
    <col min="560" max="560" width="9.28515625" style="172" bestFit="1" customWidth="1"/>
    <col min="561" max="562" width="13.140625" style="172" bestFit="1" customWidth="1"/>
    <col min="563" max="563" width="14.85546875" style="172" bestFit="1" customWidth="1"/>
    <col min="564" max="768" width="9.140625" style="172"/>
    <col min="769" max="769" width="9.28515625" style="172" customWidth="1"/>
    <col min="770" max="770" width="8.85546875" style="172" bestFit="1" customWidth="1"/>
    <col min="771" max="771" width="8.7109375" style="172" bestFit="1" customWidth="1"/>
    <col min="772" max="772" width="8.85546875" style="172" bestFit="1" customWidth="1"/>
    <col min="773" max="773" width="8" style="172" bestFit="1" customWidth="1"/>
    <col min="774" max="774" width="9" style="172" bestFit="1" customWidth="1"/>
    <col min="775" max="775" width="10.140625" style="172" customWidth="1"/>
    <col min="776" max="776" width="11" style="172" bestFit="1" customWidth="1"/>
    <col min="777" max="778" width="10.5703125" style="172" bestFit="1" customWidth="1"/>
    <col min="779" max="779" width="9.85546875" style="172" customWidth="1"/>
    <col min="780" max="780" width="11.5703125" style="172" customWidth="1"/>
    <col min="781" max="781" width="11.42578125" style="172" customWidth="1"/>
    <col min="782" max="782" width="10.140625" style="172" customWidth="1"/>
    <col min="783" max="783" width="10.28515625" style="172" bestFit="1" customWidth="1"/>
    <col min="784" max="784" width="12.140625" style="172" bestFit="1" customWidth="1"/>
    <col min="785" max="785" width="12" style="172" bestFit="1" customWidth="1"/>
    <col min="786" max="786" width="12.140625" style="172" customWidth="1"/>
    <col min="787" max="787" width="10.85546875" style="172" customWidth="1"/>
    <col min="788" max="788" width="8.85546875" style="172" bestFit="1" customWidth="1"/>
    <col min="789" max="789" width="9" style="172" bestFit="1" customWidth="1"/>
    <col min="790" max="790" width="8.5703125" style="172" bestFit="1" customWidth="1"/>
    <col min="791" max="791" width="7.85546875" style="172" bestFit="1" customWidth="1"/>
    <col min="792" max="792" width="10.28515625" style="172" bestFit="1" customWidth="1"/>
    <col min="793" max="793" width="11.85546875" style="172" bestFit="1" customWidth="1"/>
    <col min="794" max="794" width="11.7109375" style="172" bestFit="1" customWidth="1"/>
    <col min="795" max="795" width="13.140625" style="172" bestFit="1" customWidth="1"/>
    <col min="796" max="796" width="5.5703125" style="172" bestFit="1" customWidth="1"/>
    <col min="797" max="797" width="10" style="172" bestFit="1" customWidth="1"/>
    <col min="798" max="799" width="14" style="172" bestFit="1" customWidth="1"/>
    <col min="800" max="801" width="13.140625" style="172" bestFit="1" customWidth="1"/>
    <col min="802" max="802" width="14" style="172" bestFit="1" customWidth="1"/>
    <col min="803" max="806" width="9.28515625" style="172" bestFit="1" customWidth="1"/>
    <col min="807" max="808" width="11.7109375" style="172" bestFit="1" customWidth="1"/>
    <col min="809" max="809" width="9.28515625" style="172" bestFit="1" customWidth="1"/>
    <col min="810" max="810" width="11.7109375" style="172" bestFit="1" customWidth="1"/>
    <col min="811" max="811" width="13.140625" style="172" bestFit="1" customWidth="1"/>
    <col min="812" max="813" width="11.7109375" style="172" bestFit="1" customWidth="1"/>
    <col min="814" max="814" width="9.28515625" style="172" bestFit="1" customWidth="1"/>
    <col min="815" max="815" width="13.140625" style="172" bestFit="1" customWidth="1"/>
    <col min="816" max="816" width="9.28515625" style="172" bestFit="1" customWidth="1"/>
    <col min="817" max="818" width="13.140625" style="172" bestFit="1" customWidth="1"/>
    <col min="819" max="819" width="14.85546875" style="172" bestFit="1" customWidth="1"/>
    <col min="820" max="1024" width="9.140625" style="172"/>
    <col min="1025" max="1025" width="9.28515625" style="172" customWidth="1"/>
    <col min="1026" max="1026" width="8.85546875" style="172" bestFit="1" customWidth="1"/>
    <col min="1027" max="1027" width="8.7109375" style="172" bestFit="1" customWidth="1"/>
    <col min="1028" max="1028" width="8.85546875" style="172" bestFit="1" customWidth="1"/>
    <col min="1029" max="1029" width="8" style="172" bestFit="1" customWidth="1"/>
    <col min="1030" max="1030" width="9" style="172" bestFit="1" customWidth="1"/>
    <col min="1031" max="1031" width="10.140625" style="172" customWidth="1"/>
    <col min="1032" max="1032" width="11" style="172" bestFit="1" customWidth="1"/>
    <col min="1033" max="1034" width="10.5703125" style="172" bestFit="1" customWidth="1"/>
    <col min="1035" max="1035" width="9.85546875" style="172" customWidth="1"/>
    <col min="1036" max="1036" width="11.5703125" style="172" customWidth="1"/>
    <col min="1037" max="1037" width="11.42578125" style="172" customWidth="1"/>
    <col min="1038" max="1038" width="10.140625" style="172" customWidth="1"/>
    <col min="1039" max="1039" width="10.28515625" style="172" bestFit="1" customWidth="1"/>
    <col min="1040" max="1040" width="12.140625" style="172" bestFit="1" customWidth="1"/>
    <col min="1041" max="1041" width="12" style="172" bestFit="1" customWidth="1"/>
    <col min="1042" max="1042" width="12.140625" style="172" customWidth="1"/>
    <col min="1043" max="1043" width="10.85546875" style="172" customWidth="1"/>
    <col min="1044" max="1044" width="8.85546875" style="172" bestFit="1" customWidth="1"/>
    <col min="1045" max="1045" width="9" style="172" bestFit="1" customWidth="1"/>
    <col min="1046" max="1046" width="8.5703125" style="172" bestFit="1" customWidth="1"/>
    <col min="1047" max="1047" width="7.85546875" style="172" bestFit="1" customWidth="1"/>
    <col min="1048" max="1048" width="10.28515625" style="172" bestFit="1" customWidth="1"/>
    <col min="1049" max="1049" width="11.85546875" style="172" bestFit="1" customWidth="1"/>
    <col min="1050" max="1050" width="11.7109375" style="172" bestFit="1" customWidth="1"/>
    <col min="1051" max="1051" width="13.140625" style="172" bestFit="1" customWidth="1"/>
    <col min="1052" max="1052" width="5.5703125" style="172" bestFit="1" customWidth="1"/>
    <col min="1053" max="1053" width="10" style="172" bestFit="1" customWidth="1"/>
    <col min="1054" max="1055" width="14" style="172" bestFit="1" customWidth="1"/>
    <col min="1056" max="1057" width="13.140625" style="172" bestFit="1" customWidth="1"/>
    <col min="1058" max="1058" width="14" style="172" bestFit="1" customWidth="1"/>
    <col min="1059" max="1062" width="9.28515625" style="172" bestFit="1" customWidth="1"/>
    <col min="1063" max="1064" width="11.7109375" style="172" bestFit="1" customWidth="1"/>
    <col min="1065" max="1065" width="9.28515625" style="172" bestFit="1" customWidth="1"/>
    <col min="1066" max="1066" width="11.7109375" style="172" bestFit="1" customWidth="1"/>
    <col min="1067" max="1067" width="13.140625" style="172" bestFit="1" customWidth="1"/>
    <col min="1068" max="1069" width="11.7109375" style="172" bestFit="1" customWidth="1"/>
    <col min="1070" max="1070" width="9.28515625" style="172" bestFit="1" customWidth="1"/>
    <col min="1071" max="1071" width="13.140625" style="172" bestFit="1" customWidth="1"/>
    <col min="1072" max="1072" width="9.28515625" style="172" bestFit="1" customWidth="1"/>
    <col min="1073" max="1074" width="13.140625" style="172" bestFit="1" customWidth="1"/>
    <col min="1075" max="1075" width="14.85546875" style="172" bestFit="1" customWidth="1"/>
    <col min="1076" max="1280" width="9.140625" style="172"/>
    <col min="1281" max="1281" width="9.28515625" style="172" customWidth="1"/>
    <col min="1282" max="1282" width="8.85546875" style="172" bestFit="1" customWidth="1"/>
    <col min="1283" max="1283" width="8.7109375" style="172" bestFit="1" customWidth="1"/>
    <col min="1284" max="1284" width="8.85546875" style="172" bestFit="1" customWidth="1"/>
    <col min="1285" max="1285" width="8" style="172" bestFit="1" customWidth="1"/>
    <col min="1286" max="1286" width="9" style="172" bestFit="1" customWidth="1"/>
    <col min="1287" max="1287" width="10.140625" style="172" customWidth="1"/>
    <col min="1288" max="1288" width="11" style="172" bestFit="1" customWidth="1"/>
    <col min="1289" max="1290" width="10.5703125" style="172" bestFit="1" customWidth="1"/>
    <col min="1291" max="1291" width="9.85546875" style="172" customWidth="1"/>
    <col min="1292" max="1292" width="11.5703125" style="172" customWidth="1"/>
    <col min="1293" max="1293" width="11.42578125" style="172" customWidth="1"/>
    <col min="1294" max="1294" width="10.140625" style="172" customWidth="1"/>
    <col min="1295" max="1295" width="10.28515625" style="172" bestFit="1" customWidth="1"/>
    <col min="1296" max="1296" width="12.140625" style="172" bestFit="1" customWidth="1"/>
    <col min="1297" max="1297" width="12" style="172" bestFit="1" customWidth="1"/>
    <col min="1298" max="1298" width="12.140625" style="172" customWidth="1"/>
    <col min="1299" max="1299" width="10.85546875" style="172" customWidth="1"/>
    <col min="1300" max="1300" width="8.85546875" style="172" bestFit="1" customWidth="1"/>
    <col min="1301" max="1301" width="9" style="172" bestFit="1" customWidth="1"/>
    <col min="1302" max="1302" width="8.5703125" style="172" bestFit="1" customWidth="1"/>
    <col min="1303" max="1303" width="7.85546875" style="172" bestFit="1" customWidth="1"/>
    <col min="1304" max="1304" width="10.28515625" style="172" bestFit="1" customWidth="1"/>
    <col min="1305" max="1305" width="11.85546875" style="172" bestFit="1" customWidth="1"/>
    <col min="1306" max="1306" width="11.7109375" style="172" bestFit="1" customWidth="1"/>
    <col min="1307" max="1307" width="13.140625" style="172" bestFit="1" customWidth="1"/>
    <col min="1308" max="1308" width="5.5703125" style="172" bestFit="1" customWidth="1"/>
    <col min="1309" max="1309" width="10" style="172" bestFit="1" customWidth="1"/>
    <col min="1310" max="1311" width="14" style="172" bestFit="1" customWidth="1"/>
    <col min="1312" max="1313" width="13.140625" style="172" bestFit="1" customWidth="1"/>
    <col min="1314" max="1314" width="14" style="172" bestFit="1" customWidth="1"/>
    <col min="1315" max="1318" width="9.28515625" style="172" bestFit="1" customWidth="1"/>
    <col min="1319" max="1320" width="11.7109375" style="172" bestFit="1" customWidth="1"/>
    <col min="1321" max="1321" width="9.28515625" style="172" bestFit="1" customWidth="1"/>
    <col min="1322" max="1322" width="11.7109375" style="172" bestFit="1" customWidth="1"/>
    <col min="1323" max="1323" width="13.140625" style="172" bestFit="1" customWidth="1"/>
    <col min="1324" max="1325" width="11.7109375" style="172" bestFit="1" customWidth="1"/>
    <col min="1326" max="1326" width="9.28515625" style="172" bestFit="1" customWidth="1"/>
    <col min="1327" max="1327" width="13.140625" style="172" bestFit="1" customWidth="1"/>
    <col min="1328" max="1328" width="9.28515625" style="172" bestFit="1" customWidth="1"/>
    <col min="1329" max="1330" width="13.140625" style="172" bestFit="1" customWidth="1"/>
    <col min="1331" max="1331" width="14.85546875" style="172" bestFit="1" customWidth="1"/>
    <col min="1332" max="1536" width="9.140625" style="172"/>
    <col min="1537" max="1537" width="9.28515625" style="172" customWidth="1"/>
    <col min="1538" max="1538" width="8.85546875" style="172" bestFit="1" customWidth="1"/>
    <col min="1539" max="1539" width="8.7109375" style="172" bestFit="1" customWidth="1"/>
    <col min="1540" max="1540" width="8.85546875" style="172" bestFit="1" customWidth="1"/>
    <col min="1541" max="1541" width="8" style="172" bestFit="1" customWidth="1"/>
    <col min="1542" max="1542" width="9" style="172" bestFit="1" customWidth="1"/>
    <col min="1543" max="1543" width="10.140625" style="172" customWidth="1"/>
    <col min="1544" max="1544" width="11" style="172" bestFit="1" customWidth="1"/>
    <col min="1545" max="1546" width="10.5703125" style="172" bestFit="1" customWidth="1"/>
    <col min="1547" max="1547" width="9.85546875" style="172" customWidth="1"/>
    <col min="1548" max="1548" width="11.5703125" style="172" customWidth="1"/>
    <col min="1549" max="1549" width="11.42578125" style="172" customWidth="1"/>
    <col min="1550" max="1550" width="10.140625" style="172" customWidth="1"/>
    <col min="1551" max="1551" width="10.28515625" style="172" bestFit="1" customWidth="1"/>
    <col min="1552" max="1552" width="12.140625" style="172" bestFit="1" customWidth="1"/>
    <col min="1553" max="1553" width="12" style="172" bestFit="1" customWidth="1"/>
    <col min="1554" max="1554" width="12.140625" style="172" customWidth="1"/>
    <col min="1555" max="1555" width="10.85546875" style="172" customWidth="1"/>
    <col min="1556" max="1556" width="8.85546875" style="172" bestFit="1" customWidth="1"/>
    <col min="1557" max="1557" width="9" style="172" bestFit="1" customWidth="1"/>
    <col min="1558" max="1558" width="8.5703125" style="172" bestFit="1" customWidth="1"/>
    <col min="1559" max="1559" width="7.85546875" style="172" bestFit="1" customWidth="1"/>
    <col min="1560" max="1560" width="10.28515625" style="172" bestFit="1" customWidth="1"/>
    <col min="1561" max="1561" width="11.85546875" style="172" bestFit="1" customWidth="1"/>
    <col min="1562" max="1562" width="11.7109375" style="172" bestFit="1" customWidth="1"/>
    <col min="1563" max="1563" width="13.140625" style="172" bestFit="1" customWidth="1"/>
    <col min="1564" max="1564" width="5.5703125" style="172" bestFit="1" customWidth="1"/>
    <col min="1565" max="1565" width="10" style="172" bestFit="1" customWidth="1"/>
    <col min="1566" max="1567" width="14" style="172" bestFit="1" customWidth="1"/>
    <col min="1568" max="1569" width="13.140625" style="172" bestFit="1" customWidth="1"/>
    <col min="1570" max="1570" width="14" style="172" bestFit="1" customWidth="1"/>
    <col min="1571" max="1574" width="9.28515625" style="172" bestFit="1" customWidth="1"/>
    <col min="1575" max="1576" width="11.7109375" style="172" bestFit="1" customWidth="1"/>
    <col min="1577" max="1577" width="9.28515625" style="172" bestFit="1" customWidth="1"/>
    <col min="1578" max="1578" width="11.7109375" style="172" bestFit="1" customWidth="1"/>
    <col min="1579" max="1579" width="13.140625" style="172" bestFit="1" customWidth="1"/>
    <col min="1580" max="1581" width="11.7109375" style="172" bestFit="1" customWidth="1"/>
    <col min="1582" max="1582" width="9.28515625" style="172" bestFit="1" customWidth="1"/>
    <col min="1583" max="1583" width="13.140625" style="172" bestFit="1" customWidth="1"/>
    <col min="1584" max="1584" width="9.28515625" style="172" bestFit="1" customWidth="1"/>
    <col min="1585" max="1586" width="13.140625" style="172" bestFit="1" customWidth="1"/>
    <col min="1587" max="1587" width="14.85546875" style="172" bestFit="1" customWidth="1"/>
    <col min="1588" max="1792" width="9.140625" style="172"/>
    <col min="1793" max="1793" width="9.28515625" style="172" customWidth="1"/>
    <col min="1794" max="1794" width="8.85546875" style="172" bestFit="1" customWidth="1"/>
    <col min="1795" max="1795" width="8.7109375" style="172" bestFit="1" customWidth="1"/>
    <col min="1796" max="1796" width="8.85546875" style="172" bestFit="1" customWidth="1"/>
    <col min="1797" max="1797" width="8" style="172" bestFit="1" customWidth="1"/>
    <col min="1798" max="1798" width="9" style="172" bestFit="1" customWidth="1"/>
    <col min="1799" max="1799" width="10.140625" style="172" customWidth="1"/>
    <col min="1800" max="1800" width="11" style="172" bestFit="1" customWidth="1"/>
    <col min="1801" max="1802" width="10.5703125" style="172" bestFit="1" customWidth="1"/>
    <col min="1803" max="1803" width="9.85546875" style="172" customWidth="1"/>
    <col min="1804" max="1804" width="11.5703125" style="172" customWidth="1"/>
    <col min="1805" max="1805" width="11.42578125" style="172" customWidth="1"/>
    <col min="1806" max="1806" width="10.140625" style="172" customWidth="1"/>
    <col min="1807" max="1807" width="10.28515625" style="172" bestFit="1" customWidth="1"/>
    <col min="1808" max="1808" width="12.140625" style="172" bestFit="1" customWidth="1"/>
    <col min="1809" max="1809" width="12" style="172" bestFit="1" customWidth="1"/>
    <col min="1810" max="1810" width="12.140625" style="172" customWidth="1"/>
    <col min="1811" max="1811" width="10.85546875" style="172" customWidth="1"/>
    <col min="1812" max="1812" width="8.85546875" style="172" bestFit="1" customWidth="1"/>
    <col min="1813" max="1813" width="9" style="172" bestFit="1" customWidth="1"/>
    <col min="1814" max="1814" width="8.5703125" style="172" bestFit="1" customWidth="1"/>
    <col min="1815" max="1815" width="7.85546875" style="172" bestFit="1" customWidth="1"/>
    <col min="1816" max="1816" width="10.28515625" style="172" bestFit="1" customWidth="1"/>
    <col min="1817" max="1817" width="11.85546875" style="172" bestFit="1" customWidth="1"/>
    <col min="1818" max="1818" width="11.7109375" style="172" bestFit="1" customWidth="1"/>
    <col min="1819" max="1819" width="13.140625" style="172" bestFit="1" customWidth="1"/>
    <col min="1820" max="1820" width="5.5703125" style="172" bestFit="1" customWidth="1"/>
    <col min="1821" max="1821" width="10" style="172" bestFit="1" customWidth="1"/>
    <col min="1822" max="1823" width="14" style="172" bestFit="1" customWidth="1"/>
    <col min="1824" max="1825" width="13.140625" style="172" bestFit="1" customWidth="1"/>
    <col min="1826" max="1826" width="14" style="172" bestFit="1" customWidth="1"/>
    <col min="1827" max="1830" width="9.28515625" style="172" bestFit="1" customWidth="1"/>
    <col min="1831" max="1832" width="11.7109375" style="172" bestFit="1" customWidth="1"/>
    <col min="1833" max="1833" width="9.28515625" style="172" bestFit="1" customWidth="1"/>
    <col min="1834" max="1834" width="11.7109375" style="172" bestFit="1" customWidth="1"/>
    <col min="1835" max="1835" width="13.140625" style="172" bestFit="1" customWidth="1"/>
    <col min="1836" max="1837" width="11.7109375" style="172" bestFit="1" customWidth="1"/>
    <col min="1838" max="1838" width="9.28515625" style="172" bestFit="1" customWidth="1"/>
    <col min="1839" max="1839" width="13.140625" style="172" bestFit="1" customWidth="1"/>
    <col min="1840" max="1840" width="9.28515625" style="172" bestFit="1" customWidth="1"/>
    <col min="1841" max="1842" width="13.140625" style="172" bestFit="1" customWidth="1"/>
    <col min="1843" max="1843" width="14.85546875" style="172" bestFit="1" customWidth="1"/>
    <col min="1844" max="2048" width="9.140625" style="172"/>
    <col min="2049" max="2049" width="9.28515625" style="172" customWidth="1"/>
    <col min="2050" max="2050" width="8.85546875" style="172" bestFit="1" customWidth="1"/>
    <col min="2051" max="2051" width="8.7109375" style="172" bestFit="1" customWidth="1"/>
    <col min="2052" max="2052" width="8.85546875" style="172" bestFit="1" customWidth="1"/>
    <col min="2053" max="2053" width="8" style="172" bestFit="1" customWidth="1"/>
    <col min="2054" max="2054" width="9" style="172" bestFit="1" customWidth="1"/>
    <col min="2055" max="2055" width="10.140625" style="172" customWidth="1"/>
    <col min="2056" max="2056" width="11" style="172" bestFit="1" customWidth="1"/>
    <col min="2057" max="2058" width="10.5703125" style="172" bestFit="1" customWidth="1"/>
    <col min="2059" max="2059" width="9.85546875" style="172" customWidth="1"/>
    <col min="2060" max="2060" width="11.5703125" style="172" customWidth="1"/>
    <col min="2061" max="2061" width="11.42578125" style="172" customWidth="1"/>
    <col min="2062" max="2062" width="10.140625" style="172" customWidth="1"/>
    <col min="2063" max="2063" width="10.28515625" style="172" bestFit="1" customWidth="1"/>
    <col min="2064" max="2064" width="12.140625" style="172" bestFit="1" customWidth="1"/>
    <col min="2065" max="2065" width="12" style="172" bestFit="1" customWidth="1"/>
    <col min="2066" max="2066" width="12.140625" style="172" customWidth="1"/>
    <col min="2067" max="2067" width="10.85546875" style="172" customWidth="1"/>
    <col min="2068" max="2068" width="8.85546875" style="172" bestFit="1" customWidth="1"/>
    <col min="2069" max="2069" width="9" style="172" bestFit="1" customWidth="1"/>
    <col min="2070" max="2070" width="8.5703125" style="172" bestFit="1" customWidth="1"/>
    <col min="2071" max="2071" width="7.85546875" style="172" bestFit="1" customWidth="1"/>
    <col min="2072" max="2072" width="10.28515625" style="172" bestFit="1" customWidth="1"/>
    <col min="2073" max="2073" width="11.85546875" style="172" bestFit="1" customWidth="1"/>
    <col min="2074" max="2074" width="11.7109375" style="172" bestFit="1" customWidth="1"/>
    <col min="2075" max="2075" width="13.140625" style="172" bestFit="1" customWidth="1"/>
    <col min="2076" max="2076" width="5.5703125" style="172" bestFit="1" customWidth="1"/>
    <col min="2077" max="2077" width="10" style="172" bestFit="1" customWidth="1"/>
    <col min="2078" max="2079" width="14" style="172" bestFit="1" customWidth="1"/>
    <col min="2080" max="2081" width="13.140625" style="172" bestFit="1" customWidth="1"/>
    <col min="2082" max="2082" width="14" style="172" bestFit="1" customWidth="1"/>
    <col min="2083" max="2086" width="9.28515625" style="172" bestFit="1" customWidth="1"/>
    <col min="2087" max="2088" width="11.7109375" style="172" bestFit="1" customWidth="1"/>
    <col min="2089" max="2089" width="9.28515625" style="172" bestFit="1" customWidth="1"/>
    <col min="2090" max="2090" width="11.7109375" style="172" bestFit="1" customWidth="1"/>
    <col min="2091" max="2091" width="13.140625" style="172" bestFit="1" customWidth="1"/>
    <col min="2092" max="2093" width="11.7109375" style="172" bestFit="1" customWidth="1"/>
    <col min="2094" max="2094" width="9.28515625" style="172" bestFit="1" customWidth="1"/>
    <col min="2095" max="2095" width="13.140625" style="172" bestFit="1" customWidth="1"/>
    <col min="2096" max="2096" width="9.28515625" style="172" bestFit="1" customWidth="1"/>
    <col min="2097" max="2098" width="13.140625" style="172" bestFit="1" customWidth="1"/>
    <col min="2099" max="2099" width="14.85546875" style="172" bestFit="1" customWidth="1"/>
    <col min="2100" max="2304" width="9.140625" style="172"/>
    <col min="2305" max="2305" width="9.28515625" style="172" customWidth="1"/>
    <col min="2306" max="2306" width="8.85546875" style="172" bestFit="1" customWidth="1"/>
    <col min="2307" max="2307" width="8.7109375" style="172" bestFit="1" customWidth="1"/>
    <col min="2308" max="2308" width="8.85546875" style="172" bestFit="1" customWidth="1"/>
    <col min="2309" max="2309" width="8" style="172" bestFit="1" customWidth="1"/>
    <col min="2310" max="2310" width="9" style="172" bestFit="1" customWidth="1"/>
    <col min="2311" max="2311" width="10.140625" style="172" customWidth="1"/>
    <col min="2312" max="2312" width="11" style="172" bestFit="1" customWidth="1"/>
    <col min="2313" max="2314" width="10.5703125" style="172" bestFit="1" customWidth="1"/>
    <col min="2315" max="2315" width="9.85546875" style="172" customWidth="1"/>
    <col min="2316" max="2316" width="11.5703125" style="172" customWidth="1"/>
    <col min="2317" max="2317" width="11.42578125" style="172" customWidth="1"/>
    <col min="2318" max="2318" width="10.140625" style="172" customWidth="1"/>
    <col min="2319" max="2319" width="10.28515625" style="172" bestFit="1" customWidth="1"/>
    <col min="2320" max="2320" width="12.140625" style="172" bestFit="1" customWidth="1"/>
    <col min="2321" max="2321" width="12" style="172" bestFit="1" customWidth="1"/>
    <col min="2322" max="2322" width="12.140625" style="172" customWidth="1"/>
    <col min="2323" max="2323" width="10.85546875" style="172" customWidth="1"/>
    <col min="2324" max="2324" width="8.85546875" style="172" bestFit="1" customWidth="1"/>
    <col min="2325" max="2325" width="9" style="172" bestFit="1" customWidth="1"/>
    <col min="2326" max="2326" width="8.5703125" style="172" bestFit="1" customWidth="1"/>
    <col min="2327" max="2327" width="7.85546875" style="172" bestFit="1" customWidth="1"/>
    <col min="2328" max="2328" width="10.28515625" style="172" bestFit="1" customWidth="1"/>
    <col min="2329" max="2329" width="11.85546875" style="172" bestFit="1" customWidth="1"/>
    <col min="2330" max="2330" width="11.7109375" style="172" bestFit="1" customWidth="1"/>
    <col min="2331" max="2331" width="13.140625" style="172" bestFit="1" customWidth="1"/>
    <col min="2332" max="2332" width="5.5703125" style="172" bestFit="1" customWidth="1"/>
    <col min="2333" max="2333" width="10" style="172" bestFit="1" customWidth="1"/>
    <col min="2334" max="2335" width="14" style="172" bestFit="1" customWidth="1"/>
    <col min="2336" max="2337" width="13.140625" style="172" bestFit="1" customWidth="1"/>
    <col min="2338" max="2338" width="14" style="172" bestFit="1" customWidth="1"/>
    <col min="2339" max="2342" width="9.28515625" style="172" bestFit="1" customWidth="1"/>
    <col min="2343" max="2344" width="11.7109375" style="172" bestFit="1" customWidth="1"/>
    <col min="2345" max="2345" width="9.28515625" style="172" bestFit="1" customWidth="1"/>
    <col min="2346" max="2346" width="11.7109375" style="172" bestFit="1" customWidth="1"/>
    <col min="2347" max="2347" width="13.140625" style="172" bestFit="1" customWidth="1"/>
    <col min="2348" max="2349" width="11.7109375" style="172" bestFit="1" customWidth="1"/>
    <col min="2350" max="2350" width="9.28515625" style="172" bestFit="1" customWidth="1"/>
    <col min="2351" max="2351" width="13.140625" style="172" bestFit="1" customWidth="1"/>
    <col min="2352" max="2352" width="9.28515625" style="172" bestFit="1" customWidth="1"/>
    <col min="2353" max="2354" width="13.140625" style="172" bestFit="1" customWidth="1"/>
    <col min="2355" max="2355" width="14.85546875" style="172" bestFit="1" customWidth="1"/>
    <col min="2356" max="2560" width="9.140625" style="172"/>
    <col min="2561" max="2561" width="9.28515625" style="172" customWidth="1"/>
    <col min="2562" max="2562" width="8.85546875" style="172" bestFit="1" customWidth="1"/>
    <col min="2563" max="2563" width="8.7109375" style="172" bestFit="1" customWidth="1"/>
    <col min="2564" max="2564" width="8.85546875" style="172" bestFit="1" customWidth="1"/>
    <col min="2565" max="2565" width="8" style="172" bestFit="1" customWidth="1"/>
    <col min="2566" max="2566" width="9" style="172" bestFit="1" customWidth="1"/>
    <col min="2567" max="2567" width="10.140625" style="172" customWidth="1"/>
    <col min="2568" max="2568" width="11" style="172" bestFit="1" customWidth="1"/>
    <col min="2569" max="2570" width="10.5703125" style="172" bestFit="1" customWidth="1"/>
    <col min="2571" max="2571" width="9.85546875" style="172" customWidth="1"/>
    <col min="2572" max="2572" width="11.5703125" style="172" customWidth="1"/>
    <col min="2573" max="2573" width="11.42578125" style="172" customWidth="1"/>
    <col min="2574" max="2574" width="10.140625" style="172" customWidth="1"/>
    <col min="2575" max="2575" width="10.28515625" style="172" bestFit="1" customWidth="1"/>
    <col min="2576" max="2576" width="12.140625" style="172" bestFit="1" customWidth="1"/>
    <col min="2577" max="2577" width="12" style="172" bestFit="1" customWidth="1"/>
    <col min="2578" max="2578" width="12.140625" style="172" customWidth="1"/>
    <col min="2579" max="2579" width="10.85546875" style="172" customWidth="1"/>
    <col min="2580" max="2580" width="8.85546875" style="172" bestFit="1" customWidth="1"/>
    <col min="2581" max="2581" width="9" style="172" bestFit="1" customWidth="1"/>
    <col min="2582" max="2582" width="8.5703125" style="172" bestFit="1" customWidth="1"/>
    <col min="2583" max="2583" width="7.85546875" style="172" bestFit="1" customWidth="1"/>
    <col min="2584" max="2584" width="10.28515625" style="172" bestFit="1" customWidth="1"/>
    <col min="2585" max="2585" width="11.85546875" style="172" bestFit="1" customWidth="1"/>
    <col min="2586" max="2586" width="11.7109375" style="172" bestFit="1" customWidth="1"/>
    <col min="2587" max="2587" width="13.140625" style="172" bestFit="1" customWidth="1"/>
    <col min="2588" max="2588" width="5.5703125" style="172" bestFit="1" customWidth="1"/>
    <col min="2589" max="2589" width="10" style="172" bestFit="1" customWidth="1"/>
    <col min="2590" max="2591" width="14" style="172" bestFit="1" customWidth="1"/>
    <col min="2592" max="2593" width="13.140625" style="172" bestFit="1" customWidth="1"/>
    <col min="2594" max="2594" width="14" style="172" bestFit="1" customWidth="1"/>
    <col min="2595" max="2598" width="9.28515625" style="172" bestFit="1" customWidth="1"/>
    <col min="2599" max="2600" width="11.7109375" style="172" bestFit="1" customWidth="1"/>
    <col min="2601" max="2601" width="9.28515625" style="172" bestFit="1" customWidth="1"/>
    <col min="2602" max="2602" width="11.7109375" style="172" bestFit="1" customWidth="1"/>
    <col min="2603" max="2603" width="13.140625" style="172" bestFit="1" customWidth="1"/>
    <col min="2604" max="2605" width="11.7109375" style="172" bestFit="1" customWidth="1"/>
    <col min="2606" max="2606" width="9.28515625" style="172" bestFit="1" customWidth="1"/>
    <col min="2607" max="2607" width="13.140625" style="172" bestFit="1" customWidth="1"/>
    <col min="2608" max="2608" width="9.28515625" style="172" bestFit="1" customWidth="1"/>
    <col min="2609" max="2610" width="13.140625" style="172" bestFit="1" customWidth="1"/>
    <col min="2611" max="2611" width="14.85546875" style="172" bestFit="1" customWidth="1"/>
    <col min="2612" max="2816" width="9.140625" style="172"/>
    <col min="2817" max="2817" width="9.28515625" style="172" customWidth="1"/>
    <col min="2818" max="2818" width="8.85546875" style="172" bestFit="1" customWidth="1"/>
    <col min="2819" max="2819" width="8.7109375" style="172" bestFit="1" customWidth="1"/>
    <col min="2820" max="2820" width="8.85546875" style="172" bestFit="1" customWidth="1"/>
    <col min="2821" max="2821" width="8" style="172" bestFit="1" customWidth="1"/>
    <col min="2822" max="2822" width="9" style="172" bestFit="1" customWidth="1"/>
    <col min="2823" max="2823" width="10.140625" style="172" customWidth="1"/>
    <col min="2824" max="2824" width="11" style="172" bestFit="1" customWidth="1"/>
    <col min="2825" max="2826" width="10.5703125" style="172" bestFit="1" customWidth="1"/>
    <col min="2827" max="2827" width="9.85546875" style="172" customWidth="1"/>
    <col min="2828" max="2828" width="11.5703125" style="172" customWidth="1"/>
    <col min="2829" max="2829" width="11.42578125" style="172" customWidth="1"/>
    <col min="2830" max="2830" width="10.140625" style="172" customWidth="1"/>
    <col min="2831" max="2831" width="10.28515625" style="172" bestFit="1" customWidth="1"/>
    <col min="2832" max="2832" width="12.140625" style="172" bestFit="1" customWidth="1"/>
    <col min="2833" max="2833" width="12" style="172" bestFit="1" customWidth="1"/>
    <col min="2834" max="2834" width="12.140625" style="172" customWidth="1"/>
    <col min="2835" max="2835" width="10.85546875" style="172" customWidth="1"/>
    <col min="2836" max="2836" width="8.85546875" style="172" bestFit="1" customWidth="1"/>
    <col min="2837" max="2837" width="9" style="172" bestFit="1" customWidth="1"/>
    <col min="2838" max="2838" width="8.5703125" style="172" bestFit="1" customWidth="1"/>
    <col min="2839" max="2839" width="7.85546875" style="172" bestFit="1" customWidth="1"/>
    <col min="2840" max="2840" width="10.28515625" style="172" bestFit="1" customWidth="1"/>
    <col min="2841" max="2841" width="11.85546875" style="172" bestFit="1" customWidth="1"/>
    <col min="2842" max="2842" width="11.7109375" style="172" bestFit="1" customWidth="1"/>
    <col min="2843" max="2843" width="13.140625" style="172" bestFit="1" customWidth="1"/>
    <col min="2844" max="2844" width="5.5703125" style="172" bestFit="1" customWidth="1"/>
    <col min="2845" max="2845" width="10" style="172" bestFit="1" customWidth="1"/>
    <col min="2846" max="2847" width="14" style="172" bestFit="1" customWidth="1"/>
    <col min="2848" max="2849" width="13.140625" style="172" bestFit="1" customWidth="1"/>
    <col min="2850" max="2850" width="14" style="172" bestFit="1" customWidth="1"/>
    <col min="2851" max="2854" width="9.28515625" style="172" bestFit="1" customWidth="1"/>
    <col min="2855" max="2856" width="11.7109375" style="172" bestFit="1" customWidth="1"/>
    <col min="2857" max="2857" width="9.28515625" style="172" bestFit="1" customWidth="1"/>
    <col min="2858" max="2858" width="11.7109375" style="172" bestFit="1" customWidth="1"/>
    <col min="2859" max="2859" width="13.140625" style="172" bestFit="1" customWidth="1"/>
    <col min="2860" max="2861" width="11.7109375" style="172" bestFit="1" customWidth="1"/>
    <col min="2862" max="2862" width="9.28515625" style="172" bestFit="1" customWidth="1"/>
    <col min="2863" max="2863" width="13.140625" style="172" bestFit="1" customWidth="1"/>
    <col min="2864" max="2864" width="9.28515625" style="172" bestFit="1" customWidth="1"/>
    <col min="2865" max="2866" width="13.140625" style="172" bestFit="1" customWidth="1"/>
    <col min="2867" max="2867" width="14.85546875" style="172" bestFit="1" customWidth="1"/>
    <col min="2868" max="3072" width="9.140625" style="172"/>
    <col min="3073" max="3073" width="9.28515625" style="172" customWidth="1"/>
    <col min="3074" max="3074" width="8.85546875" style="172" bestFit="1" customWidth="1"/>
    <col min="3075" max="3075" width="8.7109375" style="172" bestFit="1" customWidth="1"/>
    <col min="3076" max="3076" width="8.85546875" style="172" bestFit="1" customWidth="1"/>
    <col min="3077" max="3077" width="8" style="172" bestFit="1" customWidth="1"/>
    <col min="3078" max="3078" width="9" style="172" bestFit="1" customWidth="1"/>
    <col min="3079" max="3079" width="10.140625" style="172" customWidth="1"/>
    <col min="3080" max="3080" width="11" style="172" bestFit="1" customWidth="1"/>
    <col min="3081" max="3082" width="10.5703125" style="172" bestFit="1" customWidth="1"/>
    <col min="3083" max="3083" width="9.85546875" style="172" customWidth="1"/>
    <col min="3084" max="3084" width="11.5703125" style="172" customWidth="1"/>
    <col min="3085" max="3085" width="11.42578125" style="172" customWidth="1"/>
    <col min="3086" max="3086" width="10.140625" style="172" customWidth="1"/>
    <col min="3087" max="3087" width="10.28515625" style="172" bestFit="1" customWidth="1"/>
    <col min="3088" max="3088" width="12.140625" style="172" bestFit="1" customWidth="1"/>
    <col min="3089" max="3089" width="12" style="172" bestFit="1" customWidth="1"/>
    <col min="3090" max="3090" width="12.140625" style="172" customWidth="1"/>
    <col min="3091" max="3091" width="10.85546875" style="172" customWidth="1"/>
    <col min="3092" max="3092" width="8.85546875" style="172" bestFit="1" customWidth="1"/>
    <col min="3093" max="3093" width="9" style="172" bestFit="1" customWidth="1"/>
    <col min="3094" max="3094" width="8.5703125" style="172" bestFit="1" customWidth="1"/>
    <col min="3095" max="3095" width="7.85546875" style="172" bestFit="1" customWidth="1"/>
    <col min="3096" max="3096" width="10.28515625" style="172" bestFit="1" customWidth="1"/>
    <col min="3097" max="3097" width="11.85546875" style="172" bestFit="1" customWidth="1"/>
    <col min="3098" max="3098" width="11.7109375" style="172" bestFit="1" customWidth="1"/>
    <col min="3099" max="3099" width="13.140625" style="172" bestFit="1" customWidth="1"/>
    <col min="3100" max="3100" width="5.5703125" style="172" bestFit="1" customWidth="1"/>
    <col min="3101" max="3101" width="10" style="172" bestFit="1" customWidth="1"/>
    <col min="3102" max="3103" width="14" style="172" bestFit="1" customWidth="1"/>
    <col min="3104" max="3105" width="13.140625" style="172" bestFit="1" customWidth="1"/>
    <col min="3106" max="3106" width="14" style="172" bestFit="1" customWidth="1"/>
    <col min="3107" max="3110" width="9.28515625" style="172" bestFit="1" customWidth="1"/>
    <col min="3111" max="3112" width="11.7109375" style="172" bestFit="1" customWidth="1"/>
    <col min="3113" max="3113" width="9.28515625" style="172" bestFit="1" customWidth="1"/>
    <col min="3114" max="3114" width="11.7109375" style="172" bestFit="1" customWidth="1"/>
    <col min="3115" max="3115" width="13.140625" style="172" bestFit="1" customWidth="1"/>
    <col min="3116" max="3117" width="11.7109375" style="172" bestFit="1" customWidth="1"/>
    <col min="3118" max="3118" width="9.28515625" style="172" bestFit="1" customWidth="1"/>
    <col min="3119" max="3119" width="13.140625" style="172" bestFit="1" customWidth="1"/>
    <col min="3120" max="3120" width="9.28515625" style="172" bestFit="1" customWidth="1"/>
    <col min="3121" max="3122" width="13.140625" style="172" bestFit="1" customWidth="1"/>
    <col min="3123" max="3123" width="14.85546875" style="172" bestFit="1" customWidth="1"/>
    <col min="3124" max="3328" width="9.140625" style="172"/>
    <col min="3329" max="3329" width="9.28515625" style="172" customWidth="1"/>
    <col min="3330" max="3330" width="8.85546875" style="172" bestFit="1" customWidth="1"/>
    <col min="3331" max="3331" width="8.7109375" style="172" bestFit="1" customWidth="1"/>
    <col min="3332" max="3332" width="8.85546875" style="172" bestFit="1" customWidth="1"/>
    <col min="3333" max="3333" width="8" style="172" bestFit="1" customWidth="1"/>
    <col min="3334" max="3334" width="9" style="172" bestFit="1" customWidth="1"/>
    <col min="3335" max="3335" width="10.140625" style="172" customWidth="1"/>
    <col min="3336" max="3336" width="11" style="172" bestFit="1" customWidth="1"/>
    <col min="3337" max="3338" width="10.5703125" style="172" bestFit="1" customWidth="1"/>
    <col min="3339" max="3339" width="9.85546875" style="172" customWidth="1"/>
    <col min="3340" max="3340" width="11.5703125" style="172" customWidth="1"/>
    <col min="3341" max="3341" width="11.42578125" style="172" customWidth="1"/>
    <col min="3342" max="3342" width="10.140625" style="172" customWidth="1"/>
    <col min="3343" max="3343" width="10.28515625" style="172" bestFit="1" customWidth="1"/>
    <col min="3344" max="3344" width="12.140625" style="172" bestFit="1" customWidth="1"/>
    <col min="3345" max="3345" width="12" style="172" bestFit="1" customWidth="1"/>
    <col min="3346" max="3346" width="12.140625" style="172" customWidth="1"/>
    <col min="3347" max="3347" width="10.85546875" style="172" customWidth="1"/>
    <col min="3348" max="3348" width="8.85546875" style="172" bestFit="1" customWidth="1"/>
    <col min="3349" max="3349" width="9" style="172" bestFit="1" customWidth="1"/>
    <col min="3350" max="3350" width="8.5703125" style="172" bestFit="1" customWidth="1"/>
    <col min="3351" max="3351" width="7.85546875" style="172" bestFit="1" customWidth="1"/>
    <col min="3352" max="3352" width="10.28515625" style="172" bestFit="1" customWidth="1"/>
    <col min="3353" max="3353" width="11.85546875" style="172" bestFit="1" customWidth="1"/>
    <col min="3354" max="3354" width="11.7109375" style="172" bestFit="1" customWidth="1"/>
    <col min="3355" max="3355" width="13.140625" style="172" bestFit="1" customWidth="1"/>
    <col min="3356" max="3356" width="5.5703125" style="172" bestFit="1" customWidth="1"/>
    <col min="3357" max="3357" width="10" style="172" bestFit="1" customWidth="1"/>
    <col min="3358" max="3359" width="14" style="172" bestFit="1" customWidth="1"/>
    <col min="3360" max="3361" width="13.140625" style="172" bestFit="1" customWidth="1"/>
    <col min="3362" max="3362" width="14" style="172" bestFit="1" customWidth="1"/>
    <col min="3363" max="3366" width="9.28515625" style="172" bestFit="1" customWidth="1"/>
    <col min="3367" max="3368" width="11.7109375" style="172" bestFit="1" customWidth="1"/>
    <col min="3369" max="3369" width="9.28515625" style="172" bestFit="1" customWidth="1"/>
    <col min="3370" max="3370" width="11.7109375" style="172" bestFit="1" customWidth="1"/>
    <col min="3371" max="3371" width="13.140625" style="172" bestFit="1" customWidth="1"/>
    <col min="3372" max="3373" width="11.7109375" style="172" bestFit="1" customWidth="1"/>
    <col min="3374" max="3374" width="9.28515625" style="172" bestFit="1" customWidth="1"/>
    <col min="3375" max="3375" width="13.140625" style="172" bestFit="1" customWidth="1"/>
    <col min="3376" max="3376" width="9.28515625" style="172" bestFit="1" customWidth="1"/>
    <col min="3377" max="3378" width="13.140625" style="172" bestFit="1" customWidth="1"/>
    <col min="3379" max="3379" width="14.85546875" style="172" bestFit="1" customWidth="1"/>
    <col min="3380" max="3584" width="9.140625" style="172"/>
    <col min="3585" max="3585" width="9.28515625" style="172" customWidth="1"/>
    <col min="3586" max="3586" width="8.85546875" style="172" bestFit="1" customWidth="1"/>
    <col min="3587" max="3587" width="8.7109375" style="172" bestFit="1" customWidth="1"/>
    <col min="3588" max="3588" width="8.85546875" style="172" bestFit="1" customWidth="1"/>
    <col min="3589" max="3589" width="8" style="172" bestFit="1" customWidth="1"/>
    <col min="3590" max="3590" width="9" style="172" bestFit="1" customWidth="1"/>
    <col min="3591" max="3591" width="10.140625" style="172" customWidth="1"/>
    <col min="3592" max="3592" width="11" style="172" bestFit="1" customWidth="1"/>
    <col min="3593" max="3594" width="10.5703125" style="172" bestFit="1" customWidth="1"/>
    <col min="3595" max="3595" width="9.85546875" style="172" customWidth="1"/>
    <col min="3596" max="3596" width="11.5703125" style="172" customWidth="1"/>
    <col min="3597" max="3597" width="11.42578125" style="172" customWidth="1"/>
    <col min="3598" max="3598" width="10.140625" style="172" customWidth="1"/>
    <col min="3599" max="3599" width="10.28515625" style="172" bestFit="1" customWidth="1"/>
    <col min="3600" max="3600" width="12.140625" style="172" bestFit="1" customWidth="1"/>
    <col min="3601" max="3601" width="12" style="172" bestFit="1" customWidth="1"/>
    <col min="3602" max="3602" width="12.140625" style="172" customWidth="1"/>
    <col min="3603" max="3603" width="10.85546875" style="172" customWidth="1"/>
    <col min="3604" max="3604" width="8.85546875" style="172" bestFit="1" customWidth="1"/>
    <col min="3605" max="3605" width="9" style="172" bestFit="1" customWidth="1"/>
    <col min="3606" max="3606" width="8.5703125" style="172" bestFit="1" customWidth="1"/>
    <col min="3607" max="3607" width="7.85546875" style="172" bestFit="1" customWidth="1"/>
    <col min="3608" max="3608" width="10.28515625" style="172" bestFit="1" customWidth="1"/>
    <col min="3609" max="3609" width="11.85546875" style="172" bestFit="1" customWidth="1"/>
    <col min="3610" max="3610" width="11.7109375" style="172" bestFit="1" customWidth="1"/>
    <col min="3611" max="3611" width="13.140625" style="172" bestFit="1" customWidth="1"/>
    <col min="3612" max="3612" width="5.5703125" style="172" bestFit="1" customWidth="1"/>
    <col min="3613" max="3613" width="10" style="172" bestFit="1" customWidth="1"/>
    <col min="3614" max="3615" width="14" style="172" bestFit="1" customWidth="1"/>
    <col min="3616" max="3617" width="13.140625" style="172" bestFit="1" customWidth="1"/>
    <col min="3618" max="3618" width="14" style="172" bestFit="1" customWidth="1"/>
    <col min="3619" max="3622" width="9.28515625" style="172" bestFit="1" customWidth="1"/>
    <col min="3623" max="3624" width="11.7109375" style="172" bestFit="1" customWidth="1"/>
    <col min="3625" max="3625" width="9.28515625" style="172" bestFit="1" customWidth="1"/>
    <col min="3626" max="3626" width="11.7109375" style="172" bestFit="1" customWidth="1"/>
    <col min="3627" max="3627" width="13.140625" style="172" bestFit="1" customWidth="1"/>
    <col min="3628" max="3629" width="11.7109375" style="172" bestFit="1" customWidth="1"/>
    <col min="3630" max="3630" width="9.28515625" style="172" bestFit="1" customWidth="1"/>
    <col min="3631" max="3631" width="13.140625" style="172" bestFit="1" customWidth="1"/>
    <col min="3632" max="3632" width="9.28515625" style="172" bestFit="1" customWidth="1"/>
    <col min="3633" max="3634" width="13.140625" style="172" bestFit="1" customWidth="1"/>
    <col min="3635" max="3635" width="14.85546875" style="172" bestFit="1" customWidth="1"/>
    <col min="3636" max="3840" width="9.140625" style="172"/>
    <col min="3841" max="3841" width="9.28515625" style="172" customWidth="1"/>
    <col min="3842" max="3842" width="8.85546875" style="172" bestFit="1" customWidth="1"/>
    <col min="3843" max="3843" width="8.7109375" style="172" bestFit="1" customWidth="1"/>
    <col min="3844" max="3844" width="8.85546875" style="172" bestFit="1" customWidth="1"/>
    <col min="3845" max="3845" width="8" style="172" bestFit="1" customWidth="1"/>
    <col min="3846" max="3846" width="9" style="172" bestFit="1" customWidth="1"/>
    <col min="3847" max="3847" width="10.140625" style="172" customWidth="1"/>
    <col min="3848" max="3848" width="11" style="172" bestFit="1" customWidth="1"/>
    <col min="3849" max="3850" width="10.5703125" style="172" bestFit="1" customWidth="1"/>
    <col min="3851" max="3851" width="9.85546875" style="172" customWidth="1"/>
    <col min="3852" max="3852" width="11.5703125" style="172" customWidth="1"/>
    <col min="3853" max="3853" width="11.42578125" style="172" customWidth="1"/>
    <col min="3854" max="3854" width="10.140625" style="172" customWidth="1"/>
    <col min="3855" max="3855" width="10.28515625" style="172" bestFit="1" customWidth="1"/>
    <col min="3856" max="3856" width="12.140625" style="172" bestFit="1" customWidth="1"/>
    <col min="3857" max="3857" width="12" style="172" bestFit="1" customWidth="1"/>
    <col min="3858" max="3858" width="12.140625" style="172" customWidth="1"/>
    <col min="3859" max="3859" width="10.85546875" style="172" customWidth="1"/>
    <col min="3860" max="3860" width="8.85546875" style="172" bestFit="1" customWidth="1"/>
    <col min="3861" max="3861" width="9" style="172" bestFit="1" customWidth="1"/>
    <col min="3862" max="3862" width="8.5703125" style="172" bestFit="1" customWidth="1"/>
    <col min="3863" max="3863" width="7.85546875" style="172" bestFit="1" customWidth="1"/>
    <col min="3864" max="3864" width="10.28515625" style="172" bestFit="1" customWidth="1"/>
    <col min="3865" max="3865" width="11.85546875" style="172" bestFit="1" customWidth="1"/>
    <col min="3866" max="3866" width="11.7109375" style="172" bestFit="1" customWidth="1"/>
    <col min="3867" max="3867" width="13.140625" style="172" bestFit="1" customWidth="1"/>
    <col min="3868" max="3868" width="5.5703125" style="172" bestFit="1" customWidth="1"/>
    <col min="3869" max="3869" width="10" style="172" bestFit="1" customWidth="1"/>
    <col min="3870" max="3871" width="14" style="172" bestFit="1" customWidth="1"/>
    <col min="3872" max="3873" width="13.140625" style="172" bestFit="1" customWidth="1"/>
    <col min="3874" max="3874" width="14" style="172" bestFit="1" customWidth="1"/>
    <col min="3875" max="3878" width="9.28515625" style="172" bestFit="1" customWidth="1"/>
    <col min="3879" max="3880" width="11.7109375" style="172" bestFit="1" customWidth="1"/>
    <col min="3881" max="3881" width="9.28515625" style="172" bestFit="1" customWidth="1"/>
    <col min="3882" max="3882" width="11.7109375" style="172" bestFit="1" customWidth="1"/>
    <col min="3883" max="3883" width="13.140625" style="172" bestFit="1" customWidth="1"/>
    <col min="3884" max="3885" width="11.7109375" style="172" bestFit="1" customWidth="1"/>
    <col min="3886" max="3886" width="9.28515625" style="172" bestFit="1" customWidth="1"/>
    <col min="3887" max="3887" width="13.140625" style="172" bestFit="1" customWidth="1"/>
    <col min="3888" max="3888" width="9.28515625" style="172" bestFit="1" customWidth="1"/>
    <col min="3889" max="3890" width="13.140625" style="172" bestFit="1" customWidth="1"/>
    <col min="3891" max="3891" width="14.85546875" style="172" bestFit="1" customWidth="1"/>
    <col min="3892" max="4096" width="9.140625" style="172"/>
    <col min="4097" max="4097" width="9.28515625" style="172" customWidth="1"/>
    <col min="4098" max="4098" width="8.85546875" style="172" bestFit="1" customWidth="1"/>
    <col min="4099" max="4099" width="8.7109375" style="172" bestFit="1" customWidth="1"/>
    <col min="4100" max="4100" width="8.85546875" style="172" bestFit="1" customWidth="1"/>
    <col min="4101" max="4101" width="8" style="172" bestFit="1" customWidth="1"/>
    <col min="4102" max="4102" width="9" style="172" bestFit="1" customWidth="1"/>
    <col min="4103" max="4103" width="10.140625" style="172" customWidth="1"/>
    <col min="4104" max="4104" width="11" style="172" bestFit="1" customWidth="1"/>
    <col min="4105" max="4106" width="10.5703125" style="172" bestFit="1" customWidth="1"/>
    <col min="4107" max="4107" width="9.85546875" style="172" customWidth="1"/>
    <col min="4108" max="4108" width="11.5703125" style="172" customWidth="1"/>
    <col min="4109" max="4109" width="11.42578125" style="172" customWidth="1"/>
    <col min="4110" max="4110" width="10.140625" style="172" customWidth="1"/>
    <col min="4111" max="4111" width="10.28515625" style="172" bestFit="1" customWidth="1"/>
    <col min="4112" max="4112" width="12.140625" style="172" bestFit="1" customWidth="1"/>
    <col min="4113" max="4113" width="12" style="172" bestFit="1" customWidth="1"/>
    <col min="4114" max="4114" width="12.140625" style="172" customWidth="1"/>
    <col min="4115" max="4115" width="10.85546875" style="172" customWidth="1"/>
    <col min="4116" max="4116" width="8.85546875" style="172" bestFit="1" customWidth="1"/>
    <col min="4117" max="4117" width="9" style="172" bestFit="1" customWidth="1"/>
    <col min="4118" max="4118" width="8.5703125" style="172" bestFit="1" customWidth="1"/>
    <col min="4119" max="4119" width="7.85546875" style="172" bestFit="1" customWidth="1"/>
    <col min="4120" max="4120" width="10.28515625" style="172" bestFit="1" customWidth="1"/>
    <col min="4121" max="4121" width="11.85546875" style="172" bestFit="1" customWidth="1"/>
    <col min="4122" max="4122" width="11.7109375" style="172" bestFit="1" customWidth="1"/>
    <col min="4123" max="4123" width="13.140625" style="172" bestFit="1" customWidth="1"/>
    <col min="4124" max="4124" width="5.5703125" style="172" bestFit="1" customWidth="1"/>
    <col min="4125" max="4125" width="10" style="172" bestFit="1" customWidth="1"/>
    <col min="4126" max="4127" width="14" style="172" bestFit="1" customWidth="1"/>
    <col min="4128" max="4129" width="13.140625" style="172" bestFit="1" customWidth="1"/>
    <col min="4130" max="4130" width="14" style="172" bestFit="1" customWidth="1"/>
    <col min="4131" max="4134" width="9.28515625" style="172" bestFit="1" customWidth="1"/>
    <col min="4135" max="4136" width="11.7109375" style="172" bestFit="1" customWidth="1"/>
    <col min="4137" max="4137" width="9.28515625" style="172" bestFit="1" customWidth="1"/>
    <col min="4138" max="4138" width="11.7109375" style="172" bestFit="1" customWidth="1"/>
    <col min="4139" max="4139" width="13.140625" style="172" bestFit="1" customWidth="1"/>
    <col min="4140" max="4141" width="11.7109375" style="172" bestFit="1" customWidth="1"/>
    <col min="4142" max="4142" width="9.28515625" style="172" bestFit="1" customWidth="1"/>
    <col min="4143" max="4143" width="13.140625" style="172" bestFit="1" customWidth="1"/>
    <col min="4144" max="4144" width="9.28515625" style="172" bestFit="1" customWidth="1"/>
    <col min="4145" max="4146" width="13.140625" style="172" bestFit="1" customWidth="1"/>
    <col min="4147" max="4147" width="14.85546875" style="172" bestFit="1" customWidth="1"/>
    <col min="4148" max="4352" width="9.140625" style="172"/>
    <col min="4353" max="4353" width="9.28515625" style="172" customWidth="1"/>
    <col min="4354" max="4354" width="8.85546875" style="172" bestFit="1" customWidth="1"/>
    <col min="4355" max="4355" width="8.7109375" style="172" bestFit="1" customWidth="1"/>
    <col min="4356" max="4356" width="8.85546875" style="172" bestFit="1" customWidth="1"/>
    <col min="4357" max="4357" width="8" style="172" bestFit="1" customWidth="1"/>
    <col min="4358" max="4358" width="9" style="172" bestFit="1" customWidth="1"/>
    <col min="4359" max="4359" width="10.140625" style="172" customWidth="1"/>
    <col min="4360" max="4360" width="11" style="172" bestFit="1" customWidth="1"/>
    <col min="4361" max="4362" width="10.5703125" style="172" bestFit="1" customWidth="1"/>
    <col min="4363" max="4363" width="9.85546875" style="172" customWidth="1"/>
    <col min="4364" max="4364" width="11.5703125" style="172" customWidth="1"/>
    <col min="4365" max="4365" width="11.42578125" style="172" customWidth="1"/>
    <col min="4366" max="4366" width="10.140625" style="172" customWidth="1"/>
    <col min="4367" max="4367" width="10.28515625" style="172" bestFit="1" customWidth="1"/>
    <col min="4368" max="4368" width="12.140625" style="172" bestFit="1" customWidth="1"/>
    <col min="4369" max="4369" width="12" style="172" bestFit="1" customWidth="1"/>
    <col min="4370" max="4370" width="12.140625" style="172" customWidth="1"/>
    <col min="4371" max="4371" width="10.85546875" style="172" customWidth="1"/>
    <col min="4372" max="4372" width="8.85546875" style="172" bestFit="1" customWidth="1"/>
    <col min="4373" max="4373" width="9" style="172" bestFit="1" customWidth="1"/>
    <col min="4374" max="4374" width="8.5703125" style="172" bestFit="1" customWidth="1"/>
    <col min="4375" max="4375" width="7.85546875" style="172" bestFit="1" customWidth="1"/>
    <col min="4376" max="4376" width="10.28515625" style="172" bestFit="1" customWidth="1"/>
    <col min="4377" max="4377" width="11.85546875" style="172" bestFit="1" customWidth="1"/>
    <col min="4378" max="4378" width="11.7109375" style="172" bestFit="1" customWidth="1"/>
    <col min="4379" max="4379" width="13.140625" style="172" bestFit="1" customWidth="1"/>
    <col min="4380" max="4380" width="5.5703125" style="172" bestFit="1" customWidth="1"/>
    <col min="4381" max="4381" width="10" style="172" bestFit="1" customWidth="1"/>
    <col min="4382" max="4383" width="14" style="172" bestFit="1" customWidth="1"/>
    <col min="4384" max="4385" width="13.140625" style="172" bestFit="1" customWidth="1"/>
    <col min="4386" max="4386" width="14" style="172" bestFit="1" customWidth="1"/>
    <col min="4387" max="4390" width="9.28515625" style="172" bestFit="1" customWidth="1"/>
    <col min="4391" max="4392" width="11.7109375" style="172" bestFit="1" customWidth="1"/>
    <col min="4393" max="4393" width="9.28515625" style="172" bestFit="1" customWidth="1"/>
    <col min="4394" max="4394" width="11.7109375" style="172" bestFit="1" customWidth="1"/>
    <col min="4395" max="4395" width="13.140625" style="172" bestFit="1" customWidth="1"/>
    <col min="4396" max="4397" width="11.7109375" style="172" bestFit="1" customWidth="1"/>
    <col min="4398" max="4398" width="9.28515625" style="172" bestFit="1" customWidth="1"/>
    <col min="4399" max="4399" width="13.140625" style="172" bestFit="1" customWidth="1"/>
    <col min="4400" max="4400" width="9.28515625" style="172" bestFit="1" customWidth="1"/>
    <col min="4401" max="4402" width="13.140625" style="172" bestFit="1" customWidth="1"/>
    <col min="4403" max="4403" width="14.85546875" style="172" bestFit="1" customWidth="1"/>
    <col min="4404" max="4608" width="9.140625" style="172"/>
    <col min="4609" max="4609" width="9.28515625" style="172" customWidth="1"/>
    <col min="4610" max="4610" width="8.85546875" style="172" bestFit="1" customWidth="1"/>
    <col min="4611" max="4611" width="8.7109375" style="172" bestFit="1" customWidth="1"/>
    <col min="4612" max="4612" width="8.85546875" style="172" bestFit="1" customWidth="1"/>
    <col min="4613" max="4613" width="8" style="172" bestFit="1" customWidth="1"/>
    <col min="4614" max="4614" width="9" style="172" bestFit="1" customWidth="1"/>
    <col min="4615" max="4615" width="10.140625" style="172" customWidth="1"/>
    <col min="4616" max="4616" width="11" style="172" bestFit="1" customWidth="1"/>
    <col min="4617" max="4618" width="10.5703125" style="172" bestFit="1" customWidth="1"/>
    <col min="4619" max="4619" width="9.85546875" style="172" customWidth="1"/>
    <col min="4620" max="4620" width="11.5703125" style="172" customWidth="1"/>
    <col min="4621" max="4621" width="11.42578125" style="172" customWidth="1"/>
    <col min="4622" max="4622" width="10.140625" style="172" customWidth="1"/>
    <col min="4623" max="4623" width="10.28515625" style="172" bestFit="1" customWidth="1"/>
    <col min="4624" max="4624" width="12.140625" style="172" bestFit="1" customWidth="1"/>
    <col min="4625" max="4625" width="12" style="172" bestFit="1" customWidth="1"/>
    <col min="4626" max="4626" width="12.140625" style="172" customWidth="1"/>
    <col min="4627" max="4627" width="10.85546875" style="172" customWidth="1"/>
    <col min="4628" max="4628" width="8.85546875" style="172" bestFit="1" customWidth="1"/>
    <col min="4629" max="4629" width="9" style="172" bestFit="1" customWidth="1"/>
    <col min="4630" max="4630" width="8.5703125" style="172" bestFit="1" customWidth="1"/>
    <col min="4631" max="4631" width="7.85546875" style="172" bestFit="1" customWidth="1"/>
    <col min="4632" max="4632" width="10.28515625" style="172" bestFit="1" customWidth="1"/>
    <col min="4633" max="4633" width="11.85546875" style="172" bestFit="1" customWidth="1"/>
    <col min="4634" max="4634" width="11.7109375" style="172" bestFit="1" customWidth="1"/>
    <col min="4635" max="4635" width="13.140625" style="172" bestFit="1" customWidth="1"/>
    <col min="4636" max="4636" width="5.5703125" style="172" bestFit="1" customWidth="1"/>
    <col min="4637" max="4637" width="10" style="172" bestFit="1" customWidth="1"/>
    <col min="4638" max="4639" width="14" style="172" bestFit="1" customWidth="1"/>
    <col min="4640" max="4641" width="13.140625" style="172" bestFit="1" customWidth="1"/>
    <col min="4642" max="4642" width="14" style="172" bestFit="1" customWidth="1"/>
    <col min="4643" max="4646" width="9.28515625" style="172" bestFit="1" customWidth="1"/>
    <col min="4647" max="4648" width="11.7109375" style="172" bestFit="1" customWidth="1"/>
    <col min="4649" max="4649" width="9.28515625" style="172" bestFit="1" customWidth="1"/>
    <col min="4650" max="4650" width="11.7109375" style="172" bestFit="1" customWidth="1"/>
    <col min="4651" max="4651" width="13.140625" style="172" bestFit="1" customWidth="1"/>
    <col min="4652" max="4653" width="11.7109375" style="172" bestFit="1" customWidth="1"/>
    <col min="4654" max="4654" width="9.28515625" style="172" bestFit="1" customWidth="1"/>
    <col min="4655" max="4655" width="13.140625" style="172" bestFit="1" customWidth="1"/>
    <col min="4656" max="4656" width="9.28515625" style="172" bestFit="1" customWidth="1"/>
    <col min="4657" max="4658" width="13.140625" style="172" bestFit="1" customWidth="1"/>
    <col min="4659" max="4659" width="14.85546875" style="172" bestFit="1" customWidth="1"/>
    <col min="4660" max="4864" width="9.140625" style="172"/>
    <col min="4865" max="4865" width="9.28515625" style="172" customWidth="1"/>
    <col min="4866" max="4866" width="8.85546875" style="172" bestFit="1" customWidth="1"/>
    <col min="4867" max="4867" width="8.7109375" style="172" bestFit="1" customWidth="1"/>
    <col min="4868" max="4868" width="8.85546875" style="172" bestFit="1" customWidth="1"/>
    <col min="4869" max="4869" width="8" style="172" bestFit="1" customWidth="1"/>
    <col min="4870" max="4870" width="9" style="172" bestFit="1" customWidth="1"/>
    <col min="4871" max="4871" width="10.140625" style="172" customWidth="1"/>
    <col min="4872" max="4872" width="11" style="172" bestFit="1" customWidth="1"/>
    <col min="4873" max="4874" width="10.5703125" style="172" bestFit="1" customWidth="1"/>
    <col min="4875" max="4875" width="9.85546875" style="172" customWidth="1"/>
    <col min="4876" max="4876" width="11.5703125" style="172" customWidth="1"/>
    <col min="4877" max="4877" width="11.42578125" style="172" customWidth="1"/>
    <col min="4878" max="4878" width="10.140625" style="172" customWidth="1"/>
    <col min="4879" max="4879" width="10.28515625" style="172" bestFit="1" customWidth="1"/>
    <col min="4880" max="4880" width="12.140625" style="172" bestFit="1" customWidth="1"/>
    <col min="4881" max="4881" width="12" style="172" bestFit="1" customWidth="1"/>
    <col min="4882" max="4882" width="12.140625" style="172" customWidth="1"/>
    <col min="4883" max="4883" width="10.85546875" style="172" customWidth="1"/>
    <col min="4884" max="4884" width="8.85546875" style="172" bestFit="1" customWidth="1"/>
    <col min="4885" max="4885" width="9" style="172" bestFit="1" customWidth="1"/>
    <col min="4886" max="4886" width="8.5703125" style="172" bestFit="1" customWidth="1"/>
    <col min="4887" max="4887" width="7.85546875" style="172" bestFit="1" customWidth="1"/>
    <col min="4888" max="4888" width="10.28515625" style="172" bestFit="1" customWidth="1"/>
    <col min="4889" max="4889" width="11.85546875" style="172" bestFit="1" customWidth="1"/>
    <col min="4890" max="4890" width="11.7109375" style="172" bestFit="1" customWidth="1"/>
    <col min="4891" max="4891" width="13.140625" style="172" bestFit="1" customWidth="1"/>
    <col min="4892" max="4892" width="5.5703125" style="172" bestFit="1" customWidth="1"/>
    <col min="4893" max="4893" width="10" style="172" bestFit="1" customWidth="1"/>
    <col min="4894" max="4895" width="14" style="172" bestFit="1" customWidth="1"/>
    <col min="4896" max="4897" width="13.140625" style="172" bestFit="1" customWidth="1"/>
    <col min="4898" max="4898" width="14" style="172" bestFit="1" customWidth="1"/>
    <col min="4899" max="4902" width="9.28515625" style="172" bestFit="1" customWidth="1"/>
    <col min="4903" max="4904" width="11.7109375" style="172" bestFit="1" customWidth="1"/>
    <col min="4905" max="4905" width="9.28515625" style="172" bestFit="1" customWidth="1"/>
    <col min="4906" max="4906" width="11.7109375" style="172" bestFit="1" customWidth="1"/>
    <col min="4907" max="4907" width="13.140625" style="172" bestFit="1" customWidth="1"/>
    <col min="4908" max="4909" width="11.7109375" style="172" bestFit="1" customWidth="1"/>
    <col min="4910" max="4910" width="9.28515625" style="172" bestFit="1" customWidth="1"/>
    <col min="4911" max="4911" width="13.140625" style="172" bestFit="1" customWidth="1"/>
    <col min="4912" max="4912" width="9.28515625" style="172" bestFit="1" customWidth="1"/>
    <col min="4913" max="4914" width="13.140625" style="172" bestFit="1" customWidth="1"/>
    <col min="4915" max="4915" width="14.85546875" style="172" bestFit="1" customWidth="1"/>
    <col min="4916" max="5120" width="9.140625" style="172"/>
    <col min="5121" max="5121" width="9.28515625" style="172" customWidth="1"/>
    <col min="5122" max="5122" width="8.85546875" style="172" bestFit="1" customWidth="1"/>
    <col min="5123" max="5123" width="8.7109375" style="172" bestFit="1" customWidth="1"/>
    <col min="5124" max="5124" width="8.85546875" style="172" bestFit="1" customWidth="1"/>
    <col min="5125" max="5125" width="8" style="172" bestFit="1" customWidth="1"/>
    <col min="5126" max="5126" width="9" style="172" bestFit="1" customWidth="1"/>
    <col min="5127" max="5127" width="10.140625" style="172" customWidth="1"/>
    <col min="5128" max="5128" width="11" style="172" bestFit="1" customWidth="1"/>
    <col min="5129" max="5130" width="10.5703125" style="172" bestFit="1" customWidth="1"/>
    <col min="5131" max="5131" width="9.85546875" style="172" customWidth="1"/>
    <col min="5132" max="5132" width="11.5703125" style="172" customWidth="1"/>
    <col min="5133" max="5133" width="11.42578125" style="172" customWidth="1"/>
    <col min="5134" max="5134" width="10.140625" style="172" customWidth="1"/>
    <col min="5135" max="5135" width="10.28515625" style="172" bestFit="1" customWidth="1"/>
    <col min="5136" max="5136" width="12.140625" style="172" bestFit="1" customWidth="1"/>
    <col min="5137" max="5137" width="12" style="172" bestFit="1" customWidth="1"/>
    <col min="5138" max="5138" width="12.140625" style="172" customWidth="1"/>
    <col min="5139" max="5139" width="10.85546875" style="172" customWidth="1"/>
    <col min="5140" max="5140" width="8.85546875" style="172" bestFit="1" customWidth="1"/>
    <col min="5141" max="5141" width="9" style="172" bestFit="1" customWidth="1"/>
    <col min="5142" max="5142" width="8.5703125" style="172" bestFit="1" customWidth="1"/>
    <col min="5143" max="5143" width="7.85546875" style="172" bestFit="1" customWidth="1"/>
    <col min="5144" max="5144" width="10.28515625" style="172" bestFit="1" customWidth="1"/>
    <col min="5145" max="5145" width="11.85546875" style="172" bestFit="1" customWidth="1"/>
    <col min="5146" max="5146" width="11.7109375" style="172" bestFit="1" customWidth="1"/>
    <col min="5147" max="5147" width="13.140625" style="172" bestFit="1" customWidth="1"/>
    <col min="5148" max="5148" width="5.5703125" style="172" bestFit="1" customWidth="1"/>
    <col min="5149" max="5149" width="10" style="172" bestFit="1" customWidth="1"/>
    <col min="5150" max="5151" width="14" style="172" bestFit="1" customWidth="1"/>
    <col min="5152" max="5153" width="13.140625" style="172" bestFit="1" customWidth="1"/>
    <col min="5154" max="5154" width="14" style="172" bestFit="1" customWidth="1"/>
    <col min="5155" max="5158" width="9.28515625" style="172" bestFit="1" customWidth="1"/>
    <col min="5159" max="5160" width="11.7109375" style="172" bestFit="1" customWidth="1"/>
    <col min="5161" max="5161" width="9.28515625" style="172" bestFit="1" customWidth="1"/>
    <col min="5162" max="5162" width="11.7109375" style="172" bestFit="1" customWidth="1"/>
    <col min="5163" max="5163" width="13.140625" style="172" bestFit="1" customWidth="1"/>
    <col min="5164" max="5165" width="11.7109375" style="172" bestFit="1" customWidth="1"/>
    <col min="5166" max="5166" width="9.28515625" style="172" bestFit="1" customWidth="1"/>
    <col min="5167" max="5167" width="13.140625" style="172" bestFit="1" customWidth="1"/>
    <col min="5168" max="5168" width="9.28515625" style="172" bestFit="1" customWidth="1"/>
    <col min="5169" max="5170" width="13.140625" style="172" bestFit="1" customWidth="1"/>
    <col min="5171" max="5171" width="14.85546875" style="172" bestFit="1" customWidth="1"/>
    <col min="5172" max="5376" width="9.140625" style="172"/>
    <col min="5377" max="5377" width="9.28515625" style="172" customWidth="1"/>
    <col min="5378" max="5378" width="8.85546875" style="172" bestFit="1" customWidth="1"/>
    <col min="5379" max="5379" width="8.7109375" style="172" bestFit="1" customWidth="1"/>
    <col min="5380" max="5380" width="8.85546875" style="172" bestFit="1" customWidth="1"/>
    <col min="5381" max="5381" width="8" style="172" bestFit="1" customWidth="1"/>
    <col min="5382" max="5382" width="9" style="172" bestFit="1" customWidth="1"/>
    <col min="5383" max="5383" width="10.140625" style="172" customWidth="1"/>
    <col min="5384" max="5384" width="11" style="172" bestFit="1" customWidth="1"/>
    <col min="5385" max="5386" width="10.5703125" style="172" bestFit="1" customWidth="1"/>
    <col min="5387" max="5387" width="9.85546875" style="172" customWidth="1"/>
    <col min="5388" max="5388" width="11.5703125" style="172" customWidth="1"/>
    <col min="5389" max="5389" width="11.42578125" style="172" customWidth="1"/>
    <col min="5390" max="5390" width="10.140625" style="172" customWidth="1"/>
    <col min="5391" max="5391" width="10.28515625" style="172" bestFit="1" customWidth="1"/>
    <col min="5392" max="5392" width="12.140625" style="172" bestFit="1" customWidth="1"/>
    <col min="5393" max="5393" width="12" style="172" bestFit="1" customWidth="1"/>
    <col min="5394" max="5394" width="12.140625" style="172" customWidth="1"/>
    <col min="5395" max="5395" width="10.85546875" style="172" customWidth="1"/>
    <col min="5396" max="5396" width="8.85546875" style="172" bestFit="1" customWidth="1"/>
    <col min="5397" max="5397" width="9" style="172" bestFit="1" customWidth="1"/>
    <col min="5398" max="5398" width="8.5703125" style="172" bestFit="1" customWidth="1"/>
    <col min="5399" max="5399" width="7.85546875" style="172" bestFit="1" customWidth="1"/>
    <col min="5400" max="5400" width="10.28515625" style="172" bestFit="1" customWidth="1"/>
    <col min="5401" max="5401" width="11.85546875" style="172" bestFit="1" customWidth="1"/>
    <col min="5402" max="5402" width="11.7109375" style="172" bestFit="1" customWidth="1"/>
    <col min="5403" max="5403" width="13.140625" style="172" bestFit="1" customWidth="1"/>
    <col min="5404" max="5404" width="5.5703125" style="172" bestFit="1" customWidth="1"/>
    <col min="5405" max="5405" width="10" style="172" bestFit="1" customWidth="1"/>
    <col min="5406" max="5407" width="14" style="172" bestFit="1" customWidth="1"/>
    <col min="5408" max="5409" width="13.140625" style="172" bestFit="1" customWidth="1"/>
    <col min="5410" max="5410" width="14" style="172" bestFit="1" customWidth="1"/>
    <col min="5411" max="5414" width="9.28515625" style="172" bestFit="1" customWidth="1"/>
    <col min="5415" max="5416" width="11.7109375" style="172" bestFit="1" customWidth="1"/>
    <col min="5417" max="5417" width="9.28515625" style="172" bestFit="1" customWidth="1"/>
    <col min="5418" max="5418" width="11.7109375" style="172" bestFit="1" customWidth="1"/>
    <col min="5419" max="5419" width="13.140625" style="172" bestFit="1" customWidth="1"/>
    <col min="5420" max="5421" width="11.7109375" style="172" bestFit="1" customWidth="1"/>
    <col min="5422" max="5422" width="9.28515625" style="172" bestFit="1" customWidth="1"/>
    <col min="5423" max="5423" width="13.140625" style="172" bestFit="1" customWidth="1"/>
    <col min="5424" max="5424" width="9.28515625" style="172" bestFit="1" customWidth="1"/>
    <col min="5425" max="5426" width="13.140625" style="172" bestFit="1" customWidth="1"/>
    <col min="5427" max="5427" width="14.85546875" style="172" bestFit="1" customWidth="1"/>
    <col min="5428" max="5632" width="9.140625" style="172"/>
    <col min="5633" max="5633" width="9.28515625" style="172" customWidth="1"/>
    <col min="5634" max="5634" width="8.85546875" style="172" bestFit="1" customWidth="1"/>
    <col min="5635" max="5635" width="8.7109375" style="172" bestFit="1" customWidth="1"/>
    <col min="5636" max="5636" width="8.85546875" style="172" bestFit="1" customWidth="1"/>
    <col min="5637" max="5637" width="8" style="172" bestFit="1" customWidth="1"/>
    <col min="5638" max="5638" width="9" style="172" bestFit="1" customWidth="1"/>
    <col min="5639" max="5639" width="10.140625" style="172" customWidth="1"/>
    <col min="5640" max="5640" width="11" style="172" bestFit="1" customWidth="1"/>
    <col min="5641" max="5642" width="10.5703125" style="172" bestFit="1" customWidth="1"/>
    <col min="5643" max="5643" width="9.85546875" style="172" customWidth="1"/>
    <col min="5644" max="5644" width="11.5703125" style="172" customWidth="1"/>
    <col min="5645" max="5645" width="11.42578125" style="172" customWidth="1"/>
    <col min="5646" max="5646" width="10.140625" style="172" customWidth="1"/>
    <col min="5647" max="5647" width="10.28515625" style="172" bestFit="1" customWidth="1"/>
    <col min="5648" max="5648" width="12.140625" style="172" bestFit="1" customWidth="1"/>
    <col min="5649" max="5649" width="12" style="172" bestFit="1" customWidth="1"/>
    <col min="5650" max="5650" width="12.140625" style="172" customWidth="1"/>
    <col min="5651" max="5651" width="10.85546875" style="172" customWidth="1"/>
    <col min="5652" max="5652" width="8.85546875" style="172" bestFit="1" customWidth="1"/>
    <col min="5653" max="5653" width="9" style="172" bestFit="1" customWidth="1"/>
    <col min="5654" max="5654" width="8.5703125" style="172" bestFit="1" customWidth="1"/>
    <col min="5655" max="5655" width="7.85546875" style="172" bestFit="1" customWidth="1"/>
    <col min="5656" max="5656" width="10.28515625" style="172" bestFit="1" customWidth="1"/>
    <col min="5657" max="5657" width="11.85546875" style="172" bestFit="1" customWidth="1"/>
    <col min="5658" max="5658" width="11.7109375" style="172" bestFit="1" customWidth="1"/>
    <col min="5659" max="5659" width="13.140625" style="172" bestFit="1" customWidth="1"/>
    <col min="5660" max="5660" width="5.5703125" style="172" bestFit="1" customWidth="1"/>
    <col min="5661" max="5661" width="10" style="172" bestFit="1" customWidth="1"/>
    <col min="5662" max="5663" width="14" style="172" bestFit="1" customWidth="1"/>
    <col min="5664" max="5665" width="13.140625" style="172" bestFit="1" customWidth="1"/>
    <col min="5666" max="5666" width="14" style="172" bestFit="1" customWidth="1"/>
    <col min="5667" max="5670" width="9.28515625" style="172" bestFit="1" customWidth="1"/>
    <col min="5671" max="5672" width="11.7109375" style="172" bestFit="1" customWidth="1"/>
    <col min="5673" max="5673" width="9.28515625" style="172" bestFit="1" customWidth="1"/>
    <col min="5674" max="5674" width="11.7109375" style="172" bestFit="1" customWidth="1"/>
    <col min="5675" max="5675" width="13.140625" style="172" bestFit="1" customWidth="1"/>
    <col min="5676" max="5677" width="11.7109375" style="172" bestFit="1" customWidth="1"/>
    <col min="5678" max="5678" width="9.28515625" style="172" bestFit="1" customWidth="1"/>
    <col min="5679" max="5679" width="13.140625" style="172" bestFit="1" customWidth="1"/>
    <col min="5680" max="5680" width="9.28515625" style="172" bestFit="1" customWidth="1"/>
    <col min="5681" max="5682" width="13.140625" style="172" bestFit="1" customWidth="1"/>
    <col min="5683" max="5683" width="14.85546875" style="172" bestFit="1" customWidth="1"/>
    <col min="5684" max="5888" width="9.140625" style="172"/>
    <col min="5889" max="5889" width="9.28515625" style="172" customWidth="1"/>
    <col min="5890" max="5890" width="8.85546875" style="172" bestFit="1" customWidth="1"/>
    <col min="5891" max="5891" width="8.7109375" style="172" bestFit="1" customWidth="1"/>
    <col min="5892" max="5892" width="8.85546875" style="172" bestFit="1" customWidth="1"/>
    <col min="5893" max="5893" width="8" style="172" bestFit="1" customWidth="1"/>
    <col min="5894" max="5894" width="9" style="172" bestFit="1" customWidth="1"/>
    <col min="5895" max="5895" width="10.140625" style="172" customWidth="1"/>
    <col min="5896" max="5896" width="11" style="172" bestFit="1" customWidth="1"/>
    <col min="5897" max="5898" width="10.5703125" style="172" bestFit="1" customWidth="1"/>
    <col min="5899" max="5899" width="9.85546875" style="172" customWidth="1"/>
    <col min="5900" max="5900" width="11.5703125" style="172" customWidth="1"/>
    <col min="5901" max="5901" width="11.42578125" style="172" customWidth="1"/>
    <col min="5902" max="5902" width="10.140625" style="172" customWidth="1"/>
    <col min="5903" max="5903" width="10.28515625" style="172" bestFit="1" customWidth="1"/>
    <col min="5904" max="5904" width="12.140625" style="172" bestFit="1" customWidth="1"/>
    <col min="5905" max="5905" width="12" style="172" bestFit="1" customWidth="1"/>
    <col min="5906" max="5906" width="12.140625" style="172" customWidth="1"/>
    <col min="5907" max="5907" width="10.85546875" style="172" customWidth="1"/>
    <col min="5908" max="5908" width="8.85546875" style="172" bestFit="1" customWidth="1"/>
    <col min="5909" max="5909" width="9" style="172" bestFit="1" customWidth="1"/>
    <col min="5910" max="5910" width="8.5703125" style="172" bestFit="1" customWidth="1"/>
    <col min="5911" max="5911" width="7.85546875" style="172" bestFit="1" customWidth="1"/>
    <col min="5912" max="5912" width="10.28515625" style="172" bestFit="1" customWidth="1"/>
    <col min="5913" max="5913" width="11.85546875" style="172" bestFit="1" customWidth="1"/>
    <col min="5914" max="5914" width="11.7109375" style="172" bestFit="1" customWidth="1"/>
    <col min="5915" max="5915" width="13.140625" style="172" bestFit="1" customWidth="1"/>
    <col min="5916" max="5916" width="5.5703125" style="172" bestFit="1" customWidth="1"/>
    <col min="5917" max="5917" width="10" style="172" bestFit="1" customWidth="1"/>
    <col min="5918" max="5919" width="14" style="172" bestFit="1" customWidth="1"/>
    <col min="5920" max="5921" width="13.140625" style="172" bestFit="1" customWidth="1"/>
    <col min="5922" max="5922" width="14" style="172" bestFit="1" customWidth="1"/>
    <col min="5923" max="5926" width="9.28515625" style="172" bestFit="1" customWidth="1"/>
    <col min="5927" max="5928" width="11.7109375" style="172" bestFit="1" customWidth="1"/>
    <col min="5929" max="5929" width="9.28515625" style="172" bestFit="1" customWidth="1"/>
    <col min="5930" max="5930" width="11.7109375" style="172" bestFit="1" customWidth="1"/>
    <col min="5931" max="5931" width="13.140625" style="172" bestFit="1" customWidth="1"/>
    <col min="5932" max="5933" width="11.7109375" style="172" bestFit="1" customWidth="1"/>
    <col min="5934" max="5934" width="9.28515625" style="172" bestFit="1" customWidth="1"/>
    <col min="5935" max="5935" width="13.140625" style="172" bestFit="1" customWidth="1"/>
    <col min="5936" max="5936" width="9.28515625" style="172" bestFit="1" customWidth="1"/>
    <col min="5937" max="5938" width="13.140625" style="172" bestFit="1" customWidth="1"/>
    <col min="5939" max="5939" width="14.85546875" style="172" bestFit="1" customWidth="1"/>
    <col min="5940" max="6144" width="9.140625" style="172"/>
    <col min="6145" max="6145" width="9.28515625" style="172" customWidth="1"/>
    <col min="6146" max="6146" width="8.85546875" style="172" bestFit="1" customWidth="1"/>
    <col min="6147" max="6147" width="8.7109375" style="172" bestFit="1" customWidth="1"/>
    <col min="6148" max="6148" width="8.85546875" style="172" bestFit="1" customWidth="1"/>
    <col min="6149" max="6149" width="8" style="172" bestFit="1" customWidth="1"/>
    <col min="6150" max="6150" width="9" style="172" bestFit="1" customWidth="1"/>
    <col min="6151" max="6151" width="10.140625" style="172" customWidth="1"/>
    <col min="6152" max="6152" width="11" style="172" bestFit="1" customWidth="1"/>
    <col min="6153" max="6154" width="10.5703125" style="172" bestFit="1" customWidth="1"/>
    <col min="6155" max="6155" width="9.85546875" style="172" customWidth="1"/>
    <col min="6156" max="6156" width="11.5703125" style="172" customWidth="1"/>
    <col min="6157" max="6157" width="11.42578125" style="172" customWidth="1"/>
    <col min="6158" max="6158" width="10.140625" style="172" customWidth="1"/>
    <col min="6159" max="6159" width="10.28515625" style="172" bestFit="1" customWidth="1"/>
    <col min="6160" max="6160" width="12.140625" style="172" bestFit="1" customWidth="1"/>
    <col min="6161" max="6161" width="12" style="172" bestFit="1" customWidth="1"/>
    <col min="6162" max="6162" width="12.140625" style="172" customWidth="1"/>
    <col min="6163" max="6163" width="10.85546875" style="172" customWidth="1"/>
    <col min="6164" max="6164" width="8.85546875" style="172" bestFit="1" customWidth="1"/>
    <col min="6165" max="6165" width="9" style="172" bestFit="1" customWidth="1"/>
    <col min="6166" max="6166" width="8.5703125" style="172" bestFit="1" customWidth="1"/>
    <col min="6167" max="6167" width="7.85546875" style="172" bestFit="1" customWidth="1"/>
    <col min="6168" max="6168" width="10.28515625" style="172" bestFit="1" customWidth="1"/>
    <col min="6169" max="6169" width="11.85546875" style="172" bestFit="1" customWidth="1"/>
    <col min="6170" max="6170" width="11.7109375" style="172" bestFit="1" customWidth="1"/>
    <col min="6171" max="6171" width="13.140625" style="172" bestFit="1" customWidth="1"/>
    <col min="6172" max="6172" width="5.5703125" style="172" bestFit="1" customWidth="1"/>
    <col min="6173" max="6173" width="10" style="172" bestFit="1" customWidth="1"/>
    <col min="6174" max="6175" width="14" style="172" bestFit="1" customWidth="1"/>
    <col min="6176" max="6177" width="13.140625" style="172" bestFit="1" customWidth="1"/>
    <col min="6178" max="6178" width="14" style="172" bestFit="1" customWidth="1"/>
    <col min="6179" max="6182" width="9.28515625" style="172" bestFit="1" customWidth="1"/>
    <col min="6183" max="6184" width="11.7109375" style="172" bestFit="1" customWidth="1"/>
    <col min="6185" max="6185" width="9.28515625" style="172" bestFit="1" customWidth="1"/>
    <col min="6186" max="6186" width="11.7109375" style="172" bestFit="1" customWidth="1"/>
    <col min="6187" max="6187" width="13.140625" style="172" bestFit="1" customWidth="1"/>
    <col min="6188" max="6189" width="11.7109375" style="172" bestFit="1" customWidth="1"/>
    <col min="6190" max="6190" width="9.28515625" style="172" bestFit="1" customWidth="1"/>
    <col min="6191" max="6191" width="13.140625" style="172" bestFit="1" customWidth="1"/>
    <col min="6192" max="6192" width="9.28515625" style="172" bestFit="1" customWidth="1"/>
    <col min="6193" max="6194" width="13.140625" style="172" bestFit="1" customWidth="1"/>
    <col min="6195" max="6195" width="14.85546875" style="172" bestFit="1" customWidth="1"/>
    <col min="6196" max="6400" width="9.140625" style="172"/>
    <col min="6401" max="6401" width="9.28515625" style="172" customWidth="1"/>
    <col min="6402" max="6402" width="8.85546875" style="172" bestFit="1" customWidth="1"/>
    <col min="6403" max="6403" width="8.7109375" style="172" bestFit="1" customWidth="1"/>
    <col min="6404" max="6404" width="8.85546875" style="172" bestFit="1" customWidth="1"/>
    <col min="6405" max="6405" width="8" style="172" bestFit="1" customWidth="1"/>
    <col min="6406" max="6406" width="9" style="172" bestFit="1" customWidth="1"/>
    <col min="6407" max="6407" width="10.140625" style="172" customWidth="1"/>
    <col min="6408" max="6408" width="11" style="172" bestFit="1" customWidth="1"/>
    <col min="6409" max="6410" width="10.5703125" style="172" bestFit="1" customWidth="1"/>
    <col min="6411" max="6411" width="9.85546875" style="172" customWidth="1"/>
    <col min="6412" max="6412" width="11.5703125" style="172" customWidth="1"/>
    <col min="6413" max="6413" width="11.42578125" style="172" customWidth="1"/>
    <col min="6414" max="6414" width="10.140625" style="172" customWidth="1"/>
    <col min="6415" max="6415" width="10.28515625" style="172" bestFit="1" customWidth="1"/>
    <col min="6416" max="6416" width="12.140625" style="172" bestFit="1" customWidth="1"/>
    <col min="6417" max="6417" width="12" style="172" bestFit="1" customWidth="1"/>
    <col min="6418" max="6418" width="12.140625" style="172" customWidth="1"/>
    <col min="6419" max="6419" width="10.85546875" style="172" customWidth="1"/>
    <col min="6420" max="6420" width="8.85546875" style="172" bestFit="1" customWidth="1"/>
    <col min="6421" max="6421" width="9" style="172" bestFit="1" customWidth="1"/>
    <col min="6422" max="6422" width="8.5703125" style="172" bestFit="1" customWidth="1"/>
    <col min="6423" max="6423" width="7.85546875" style="172" bestFit="1" customWidth="1"/>
    <col min="6424" max="6424" width="10.28515625" style="172" bestFit="1" customWidth="1"/>
    <col min="6425" max="6425" width="11.85546875" style="172" bestFit="1" customWidth="1"/>
    <col min="6426" max="6426" width="11.7109375" style="172" bestFit="1" customWidth="1"/>
    <col min="6427" max="6427" width="13.140625" style="172" bestFit="1" customWidth="1"/>
    <col min="6428" max="6428" width="5.5703125" style="172" bestFit="1" customWidth="1"/>
    <col min="6429" max="6429" width="10" style="172" bestFit="1" customWidth="1"/>
    <col min="6430" max="6431" width="14" style="172" bestFit="1" customWidth="1"/>
    <col min="6432" max="6433" width="13.140625" style="172" bestFit="1" customWidth="1"/>
    <col min="6434" max="6434" width="14" style="172" bestFit="1" customWidth="1"/>
    <col min="6435" max="6438" width="9.28515625" style="172" bestFit="1" customWidth="1"/>
    <col min="6439" max="6440" width="11.7109375" style="172" bestFit="1" customWidth="1"/>
    <col min="6441" max="6441" width="9.28515625" style="172" bestFit="1" customWidth="1"/>
    <col min="6442" max="6442" width="11.7109375" style="172" bestFit="1" customWidth="1"/>
    <col min="6443" max="6443" width="13.140625" style="172" bestFit="1" customWidth="1"/>
    <col min="6444" max="6445" width="11.7109375" style="172" bestFit="1" customWidth="1"/>
    <col min="6446" max="6446" width="9.28515625" style="172" bestFit="1" customWidth="1"/>
    <col min="6447" max="6447" width="13.140625" style="172" bestFit="1" customWidth="1"/>
    <col min="6448" max="6448" width="9.28515625" style="172" bestFit="1" customWidth="1"/>
    <col min="6449" max="6450" width="13.140625" style="172" bestFit="1" customWidth="1"/>
    <col min="6451" max="6451" width="14.85546875" style="172" bestFit="1" customWidth="1"/>
    <col min="6452" max="6656" width="9.140625" style="172"/>
    <col min="6657" max="6657" width="9.28515625" style="172" customWidth="1"/>
    <col min="6658" max="6658" width="8.85546875" style="172" bestFit="1" customWidth="1"/>
    <col min="6659" max="6659" width="8.7109375" style="172" bestFit="1" customWidth="1"/>
    <col min="6660" max="6660" width="8.85546875" style="172" bestFit="1" customWidth="1"/>
    <col min="6661" max="6661" width="8" style="172" bestFit="1" customWidth="1"/>
    <col min="6662" max="6662" width="9" style="172" bestFit="1" customWidth="1"/>
    <col min="6663" max="6663" width="10.140625" style="172" customWidth="1"/>
    <col min="6664" max="6664" width="11" style="172" bestFit="1" customWidth="1"/>
    <col min="6665" max="6666" width="10.5703125" style="172" bestFit="1" customWidth="1"/>
    <col min="6667" max="6667" width="9.85546875" style="172" customWidth="1"/>
    <col min="6668" max="6668" width="11.5703125" style="172" customWidth="1"/>
    <col min="6669" max="6669" width="11.42578125" style="172" customWidth="1"/>
    <col min="6670" max="6670" width="10.140625" style="172" customWidth="1"/>
    <col min="6671" max="6671" width="10.28515625" style="172" bestFit="1" customWidth="1"/>
    <col min="6672" max="6672" width="12.140625" style="172" bestFit="1" customWidth="1"/>
    <col min="6673" max="6673" width="12" style="172" bestFit="1" customWidth="1"/>
    <col min="6674" max="6674" width="12.140625" style="172" customWidth="1"/>
    <col min="6675" max="6675" width="10.85546875" style="172" customWidth="1"/>
    <col min="6676" max="6676" width="8.85546875" style="172" bestFit="1" customWidth="1"/>
    <col min="6677" max="6677" width="9" style="172" bestFit="1" customWidth="1"/>
    <col min="6678" max="6678" width="8.5703125" style="172" bestFit="1" customWidth="1"/>
    <col min="6679" max="6679" width="7.85546875" style="172" bestFit="1" customWidth="1"/>
    <col min="6680" max="6680" width="10.28515625" style="172" bestFit="1" customWidth="1"/>
    <col min="6681" max="6681" width="11.85546875" style="172" bestFit="1" customWidth="1"/>
    <col min="6682" max="6682" width="11.7109375" style="172" bestFit="1" customWidth="1"/>
    <col min="6683" max="6683" width="13.140625" style="172" bestFit="1" customWidth="1"/>
    <col min="6684" max="6684" width="5.5703125" style="172" bestFit="1" customWidth="1"/>
    <col min="6685" max="6685" width="10" style="172" bestFit="1" customWidth="1"/>
    <col min="6686" max="6687" width="14" style="172" bestFit="1" customWidth="1"/>
    <col min="6688" max="6689" width="13.140625" style="172" bestFit="1" customWidth="1"/>
    <col min="6690" max="6690" width="14" style="172" bestFit="1" customWidth="1"/>
    <col min="6691" max="6694" width="9.28515625" style="172" bestFit="1" customWidth="1"/>
    <col min="6695" max="6696" width="11.7109375" style="172" bestFit="1" customWidth="1"/>
    <col min="6697" max="6697" width="9.28515625" style="172" bestFit="1" customWidth="1"/>
    <col min="6698" max="6698" width="11.7109375" style="172" bestFit="1" customWidth="1"/>
    <col min="6699" max="6699" width="13.140625" style="172" bestFit="1" customWidth="1"/>
    <col min="6700" max="6701" width="11.7109375" style="172" bestFit="1" customWidth="1"/>
    <col min="6702" max="6702" width="9.28515625" style="172" bestFit="1" customWidth="1"/>
    <col min="6703" max="6703" width="13.140625" style="172" bestFit="1" customWidth="1"/>
    <col min="6704" max="6704" width="9.28515625" style="172" bestFit="1" customWidth="1"/>
    <col min="6705" max="6706" width="13.140625" style="172" bestFit="1" customWidth="1"/>
    <col min="6707" max="6707" width="14.85546875" style="172" bestFit="1" customWidth="1"/>
    <col min="6708" max="6912" width="9.140625" style="172"/>
    <col min="6913" max="6913" width="9.28515625" style="172" customWidth="1"/>
    <col min="6914" max="6914" width="8.85546875" style="172" bestFit="1" customWidth="1"/>
    <col min="6915" max="6915" width="8.7109375" style="172" bestFit="1" customWidth="1"/>
    <col min="6916" max="6916" width="8.85546875" style="172" bestFit="1" customWidth="1"/>
    <col min="6917" max="6917" width="8" style="172" bestFit="1" customWidth="1"/>
    <col min="6918" max="6918" width="9" style="172" bestFit="1" customWidth="1"/>
    <col min="6919" max="6919" width="10.140625" style="172" customWidth="1"/>
    <col min="6920" max="6920" width="11" style="172" bestFit="1" customWidth="1"/>
    <col min="6921" max="6922" width="10.5703125" style="172" bestFit="1" customWidth="1"/>
    <col min="6923" max="6923" width="9.85546875" style="172" customWidth="1"/>
    <col min="6924" max="6924" width="11.5703125" style="172" customWidth="1"/>
    <col min="6925" max="6925" width="11.42578125" style="172" customWidth="1"/>
    <col min="6926" max="6926" width="10.140625" style="172" customWidth="1"/>
    <col min="6927" max="6927" width="10.28515625" style="172" bestFit="1" customWidth="1"/>
    <col min="6928" max="6928" width="12.140625" style="172" bestFit="1" customWidth="1"/>
    <col min="6929" max="6929" width="12" style="172" bestFit="1" customWidth="1"/>
    <col min="6930" max="6930" width="12.140625" style="172" customWidth="1"/>
    <col min="6931" max="6931" width="10.85546875" style="172" customWidth="1"/>
    <col min="6932" max="6932" width="8.85546875" style="172" bestFit="1" customWidth="1"/>
    <col min="6933" max="6933" width="9" style="172" bestFit="1" customWidth="1"/>
    <col min="6934" max="6934" width="8.5703125" style="172" bestFit="1" customWidth="1"/>
    <col min="6935" max="6935" width="7.85546875" style="172" bestFit="1" customWidth="1"/>
    <col min="6936" max="6936" width="10.28515625" style="172" bestFit="1" customWidth="1"/>
    <col min="6937" max="6937" width="11.85546875" style="172" bestFit="1" customWidth="1"/>
    <col min="6938" max="6938" width="11.7109375" style="172" bestFit="1" customWidth="1"/>
    <col min="6939" max="6939" width="13.140625" style="172" bestFit="1" customWidth="1"/>
    <col min="6940" max="6940" width="5.5703125" style="172" bestFit="1" customWidth="1"/>
    <col min="6941" max="6941" width="10" style="172" bestFit="1" customWidth="1"/>
    <col min="6942" max="6943" width="14" style="172" bestFit="1" customWidth="1"/>
    <col min="6944" max="6945" width="13.140625" style="172" bestFit="1" customWidth="1"/>
    <col min="6946" max="6946" width="14" style="172" bestFit="1" customWidth="1"/>
    <col min="6947" max="6950" width="9.28515625" style="172" bestFit="1" customWidth="1"/>
    <col min="6951" max="6952" width="11.7109375" style="172" bestFit="1" customWidth="1"/>
    <col min="6953" max="6953" width="9.28515625" style="172" bestFit="1" customWidth="1"/>
    <col min="6954" max="6954" width="11.7109375" style="172" bestFit="1" customWidth="1"/>
    <col min="6955" max="6955" width="13.140625" style="172" bestFit="1" customWidth="1"/>
    <col min="6956" max="6957" width="11.7109375" style="172" bestFit="1" customWidth="1"/>
    <col min="6958" max="6958" width="9.28515625" style="172" bestFit="1" customWidth="1"/>
    <col min="6959" max="6959" width="13.140625" style="172" bestFit="1" customWidth="1"/>
    <col min="6960" max="6960" width="9.28515625" style="172" bestFit="1" customWidth="1"/>
    <col min="6961" max="6962" width="13.140625" style="172" bestFit="1" customWidth="1"/>
    <col min="6963" max="6963" width="14.85546875" style="172" bestFit="1" customWidth="1"/>
    <col min="6964" max="7168" width="9.140625" style="172"/>
    <col min="7169" max="7169" width="9.28515625" style="172" customWidth="1"/>
    <col min="7170" max="7170" width="8.85546875" style="172" bestFit="1" customWidth="1"/>
    <col min="7171" max="7171" width="8.7109375" style="172" bestFit="1" customWidth="1"/>
    <col min="7172" max="7172" width="8.85546875" style="172" bestFit="1" customWidth="1"/>
    <col min="7173" max="7173" width="8" style="172" bestFit="1" customWidth="1"/>
    <col min="7174" max="7174" width="9" style="172" bestFit="1" customWidth="1"/>
    <col min="7175" max="7175" width="10.140625" style="172" customWidth="1"/>
    <col min="7176" max="7176" width="11" style="172" bestFit="1" customWidth="1"/>
    <col min="7177" max="7178" width="10.5703125" style="172" bestFit="1" customWidth="1"/>
    <col min="7179" max="7179" width="9.85546875" style="172" customWidth="1"/>
    <col min="7180" max="7180" width="11.5703125" style="172" customWidth="1"/>
    <col min="7181" max="7181" width="11.42578125" style="172" customWidth="1"/>
    <col min="7182" max="7182" width="10.140625" style="172" customWidth="1"/>
    <col min="7183" max="7183" width="10.28515625" style="172" bestFit="1" customWidth="1"/>
    <col min="7184" max="7184" width="12.140625" style="172" bestFit="1" customWidth="1"/>
    <col min="7185" max="7185" width="12" style="172" bestFit="1" customWidth="1"/>
    <col min="7186" max="7186" width="12.140625" style="172" customWidth="1"/>
    <col min="7187" max="7187" width="10.85546875" style="172" customWidth="1"/>
    <col min="7188" max="7188" width="8.85546875" style="172" bestFit="1" customWidth="1"/>
    <col min="7189" max="7189" width="9" style="172" bestFit="1" customWidth="1"/>
    <col min="7190" max="7190" width="8.5703125" style="172" bestFit="1" customWidth="1"/>
    <col min="7191" max="7191" width="7.85546875" style="172" bestFit="1" customWidth="1"/>
    <col min="7192" max="7192" width="10.28515625" style="172" bestFit="1" customWidth="1"/>
    <col min="7193" max="7193" width="11.85546875" style="172" bestFit="1" customWidth="1"/>
    <col min="7194" max="7194" width="11.7109375" style="172" bestFit="1" customWidth="1"/>
    <col min="7195" max="7195" width="13.140625" style="172" bestFit="1" customWidth="1"/>
    <col min="7196" max="7196" width="5.5703125" style="172" bestFit="1" customWidth="1"/>
    <col min="7197" max="7197" width="10" style="172" bestFit="1" customWidth="1"/>
    <col min="7198" max="7199" width="14" style="172" bestFit="1" customWidth="1"/>
    <col min="7200" max="7201" width="13.140625" style="172" bestFit="1" customWidth="1"/>
    <col min="7202" max="7202" width="14" style="172" bestFit="1" customWidth="1"/>
    <col min="7203" max="7206" width="9.28515625" style="172" bestFit="1" customWidth="1"/>
    <col min="7207" max="7208" width="11.7109375" style="172" bestFit="1" customWidth="1"/>
    <col min="7209" max="7209" width="9.28515625" style="172" bestFit="1" customWidth="1"/>
    <col min="7210" max="7210" width="11.7109375" style="172" bestFit="1" customWidth="1"/>
    <col min="7211" max="7211" width="13.140625" style="172" bestFit="1" customWidth="1"/>
    <col min="7212" max="7213" width="11.7109375" style="172" bestFit="1" customWidth="1"/>
    <col min="7214" max="7214" width="9.28515625" style="172" bestFit="1" customWidth="1"/>
    <col min="7215" max="7215" width="13.140625" style="172" bestFit="1" customWidth="1"/>
    <col min="7216" max="7216" width="9.28515625" style="172" bestFit="1" customWidth="1"/>
    <col min="7217" max="7218" width="13.140625" style="172" bestFit="1" customWidth="1"/>
    <col min="7219" max="7219" width="14.85546875" style="172" bestFit="1" customWidth="1"/>
    <col min="7220" max="7424" width="9.140625" style="172"/>
    <col min="7425" max="7425" width="9.28515625" style="172" customWidth="1"/>
    <col min="7426" max="7426" width="8.85546875" style="172" bestFit="1" customWidth="1"/>
    <col min="7427" max="7427" width="8.7109375" style="172" bestFit="1" customWidth="1"/>
    <col min="7428" max="7428" width="8.85546875" style="172" bestFit="1" customWidth="1"/>
    <col min="7429" max="7429" width="8" style="172" bestFit="1" customWidth="1"/>
    <col min="7430" max="7430" width="9" style="172" bestFit="1" customWidth="1"/>
    <col min="7431" max="7431" width="10.140625" style="172" customWidth="1"/>
    <col min="7432" max="7432" width="11" style="172" bestFit="1" customWidth="1"/>
    <col min="7433" max="7434" width="10.5703125" style="172" bestFit="1" customWidth="1"/>
    <col min="7435" max="7435" width="9.85546875" style="172" customWidth="1"/>
    <col min="7436" max="7436" width="11.5703125" style="172" customWidth="1"/>
    <col min="7437" max="7437" width="11.42578125" style="172" customWidth="1"/>
    <col min="7438" max="7438" width="10.140625" style="172" customWidth="1"/>
    <col min="7439" max="7439" width="10.28515625" style="172" bestFit="1" customWidth="1"/>
    <col min="7440" max="7440" width="12.140625" style="172" bestFit="1" customWidth="1"/>
    <col min="7441" max="7441" width="12" style="172" bestFit="1" customWidth="1"/>
    <col min="7442" max="7442" width="12.140625" style="172" customWidth="1"/>
    <col min="7443" max="7443" width="10.85546875" style="172" customWidth="1"/>
    <col min="7444" max="7444" width="8.85546875" style="172" bestFit="1" customWidth="1"/>
    <col min="7445" max="7445" width="9" style="172" bestFit="1" customWidth="1"/>
    <col min="7446" max="7446" width="8.5703125" style="172" bestFit="1" customWidth="1"/>
    <col min="7447" max="7447" width="7.85546875" style="172" bestFit="1" customWidth="1"/>
    <col min="7448" max="7448" width="10.28515625" style="172" bestFit="1" customWidth="1"/>
    <col min="7449" max="7449" width="11.85546875" style="172" bestFit="1" customWidth="1"/>
    <col min="7450" max="7450" width="11.7109375" style="172" bestFit="1" customWidth="1"/>
    <col min="7451" max="7451" width="13.140625" style="172" bestFit="1" customWidth="1"/>
    <col min="7452" max="7452" width="5.5703125" style="172" bestFit="1" customWidth="1"/>
    <col min="7453" max="7453" width="10" style="172" bestFit="1" customWidth="1"/>
    <col min="7454" max="7455" width="14" style="172" bestFit="1" customWidth="1"/>
    <col min="7456" max="7457" width="13.140625" style="172" bestFit="1" customWidth="1"/>
    <col min="7458" max="7458" width="14" style="172" bestFit="1" customWidth="1"/>
    <col min="7459" max="7462" width="9.28515625" style="172" bestFit="1" customWidth="1"/>
    <col min="7463" max="7464" width="11.7109375" style="172" bestFit="1" customWidth="1"/>
    <col min="7465" max="7465" width="9.28515625" style="172" bestFit="1" customWidth="1"/>
    <col min="7466" max="7466" width="11.7109375" style="172" bestFit="1" customWidth="1"/>
    <col min="7467" max="7467" width="13.140625" style="172" bestFit="1" customWidth="1"/>
    <col min="7468" max="7469" width="11.7109375" style="172" bestFit="1" customWidth="1"/>
    <col min="7470" max="7470" width="9.28515625" style="172" bestFit="1" customWidth="1"/>
    <col min="7471" max="7471" width="13.140625" style="172" bestFit="1" customWidth="1"/>
    <col min="7472" max="7472" width="9.28515625" style="172" bestFit="1" customWidth="1"/>
    <col min="7473" max="7474" width="13.140625" style="172" bestFit="1" customWidth="1"/>
    <col min="7475" max="7475" width="14.85546875" style="172" bestFit="1" customWidth="1"/>
    <col min="7476" max="7680" width="9.140625" style="172"/>
    <col min="7681" max="7681" width="9.28515625" style="172" customWidth="1"/>
    <col min="7682" max="7682" width="8.85546875" style="172" bestFit="1" customWidth="1"/>
    <col min="7683" max="7683" width="8.7109375" style="172" bestFit="1" customWidth="1"/>
    <col min="7684" max="7684" width="8.85546875" style="172" bestFit="1" customWidth="1"/>
    <col min="7685" max="7685" width="8" style="172" bestFit="1" customWidth="1"/>
    <col min="7686" max="7686" width="9" style="172" bestFit="1" customWidth="1"/>
    <col min="7687" max="7687" width="10.140625" style="172" customWidth="1"/>
    <col min="7688" max="7688" width="11" style="172" bestFit="1" customWidth="1"/>
    <col min="7689" max="7690" width="10.5703125" style="172" bestFit="1" customWidth="1"/>
    <col min="7691" max="7691" width="9.85546875" style="172" customWidth="1"/>
    <col min="7692" max="7692" width="11.5703125" style="172" customWidth="1"/>
    <col min="7693" max="7693" width="11.42578125" style="172" customWidth="1"/>
    <col min="7694" max="7694" width="10.140625" style="172" customWidth="1"/>
    <col min="7695" max="7695" width="10.28515625" style="172" bestFit="1" customWidth="1"/>
    <col min="7696" max="7696" width="12.140625" style="172" bestFit="1" customWidth="1"/>
    <col min="7697" max="7697" width="12" style="172" bestFit="1" customWidth="1"/>
    <col min="7698" max="7698" width="12.140625" style="172" customWidth="1"/>
    <col min="7699" max="7699" width="10.85546875" style="172" customWidth="1"/>
    <col min="7700" max="7700" width="8.85546875" style="172" bestFit="1" customWidth="1"/>
    <col min="7701" max="7701" width="9" style="172" bestFit="1" customWidth="1"/>
    <col min="7702" max="7702" width="8.5703125" style="172" bestFit="1" customWidth="1"/>
    <col min="7703" max="7703" width="7.85546875" style="172" bestFit="1" customWidth="1"/>
    <col min="7704" max="7704" width="10.28515625" style="172" bestFit="1" customWidth="1"/>
    <col min="7705" max="7705" width="11.85546875" style="172" bestFit="1" customWidth="1"/>
    <col min="7706" max="7706" width="11.7109375" style="172" bestFit="1" customWidth="1"/>
    <col min="7707" max="7707" width="13.140625" style="172" bestFit="1" customWidth="1"/>
    <col min="7708" max="7708" width="5.5703125" style="172" bestFit="1" customWidth="1"/>
    <col min="7709" max="7709" width="10" style="172" bestFit="1" customWidth="1"/>
    <col min="7710" max="7711" width="14" style="172" bestFit="1" customWidth="1"/>
    <col min="7712" max="7713" width="13.140625" style="172" bestFit="1" customWidth="1"/>
    <col min="7714" max="7714" width="14" style="172" bestFit="1" customWidth="1"/>
    <col min="7715" max="7718" width="9.28515625" style="172" bestFit="1" customWidth="1"/>
    <col min="7719" max="7720" width="11.7109375" style="172" bestFit="1" customWidth="1"/>
    <col min="7721" max="7721" width="9.28515625" style="172" bestFit="1" customWidth="1"/>
    <col min="7722" max="7722" width="11.7109375" style="172" bestFit="1" customWidth="1"/>
    <col min="7723" max="7723" width="13.140625" style="172" bestFit="1" customWidth="1"/>
    <col min="7724" max="7725" width="11.7109375" style="172" bestFit="1" customWidth="1"/>
    <col min="7726" max="7726" width="9.28515625" style="172" bestFit="1" customWidth="1"/>
    <col min="7727" max="7727" width="13.140625" style="172" bestFit="1" customWidth="1"/>
    <col min="7728" max="7728" width="9.28515625" style="172" bestFit="1" customWidth="1"/>
    <col min="7729" max="7730" width="13.140625" style="172" bestFit="1" customWidth="1"/>
    <col min="7731" max="7731" width="14.85546875" style="172" bestFit="1" customWidth="1"/>
    <col min="7732" max="7936" width="9.140625" style="172"/>
    <col min="7937" max="7937" width="9.28515625" style="172" customWidth="1"/>
    <col min="7938" max="7938" width="8.85546875" style="172" bestFit="1" customWidth="1"/>
    <col min="7939" max="7939" width="8.7109375" style="172" bestFit="1" customWidth="1"/>
    <col min="7940" max="7940" width="8.85546875" style="172" bestFit="1" customWidth="1"/>
    <col min="7941" max="7941" width="8" style="172" bestFit="1" customWidth="1"/>
    <col min="7942" max="7942" width="9" style="172" bestFit="1" customWidth="1"/>
    <col min="7943" max="7943" width="10.140625" style="172" customWidth="1"/>
    <col min="7944" max="7944" width="11" style="172" bestFit="1" customWidth="1"/>
    <col min="7945" max="7946" width="10.5703125" style="172" bestFit="1" customWidth="1"/>
    <col min="7947" max="7947" width="9.85546875" style="172" customWidth="1"/>
    <col min="7948" max="7948" width="11.5703125" style="172" customWidth="1"/>
    <col min="7949" max="7949" width="11.42578125" style="172" customWidth="1"/>
    <col min="7950" max="7950" width="10.140625" style="172" customWidth="1"/>
    <col min="7951" max="7951" width="10.28515625" style="172" bestFit="1" customWidth="1"/>
    <col min="7952" max="7952" width="12.140625" style="172" bestFit="1" customWidth="1"/>
    <col min="7953" max="7953" width="12" style="172" bestFit="1" customWidth="1"/>
    <col min="7954" max="7954" width="12.140625" style="172" customWidth="1"/>
    <col min="7955" max="7955" width="10.85546875" style="172" customWidth="1"/>
    <col min="7956" max="7956" width="8.85546875" style="172" bestFit="1" customWidth="1"/>
    <col min="7957" max="7957" width="9" style="172" bestFit="1" customWidth="1"/>
    <col min="7958" max="7958" width="8.5703125" style="172" bestFit="1" customWidth="1"/>
    <col min="7959" max="7959" width="7.85546875" style="172" bestFit="1" customWidth="1"/>
    <col min="7960" max="7960" width="10.28515625" style="172" bestFit="1" customWidth="1"/>
    <col min="7961" max="7961" width="11.85546875" style="172" bestFit="1" customWidth="1"/>
    <col min="7962" max="7962" width="11.7109375" style="172" bestFit="1" customWidth="1"/>
    <col min="7963" max="7963" width="13.140625" style="172" bestFit="1" customWidth="1"/>
    <col min="7964" max="7964" width="5.5703125" style="172" bestFit="1" customWidth="1"/>
    <col min="7965" max="7965" width="10" style="172" bestFit="1" customWidth="1"/>
    <col min="7966" max="7967" width="14" style="172" bestFit="1" customWidth="1"/>
    <col min="7968" max="7969" width="13.140625" style="172" bestFit="1" customWidth="1"/>
    <col min="7970" max="7970" width="14" style="172" bestFit="1" customWidth="1"/>
    <col min="7971" max="7974" width="9.28515625" style="172" bestFit="1" customWidth="1"/>
    <col min="7975" max="7976" width="11.7109375" style="172" bestFit="1" customWidth="1"/>
    <col min="7977" max="7977" width="9.28515625" style="172" bestFit="1" customWidth="1"/>
    <col min="7978" max="7978" width="11.7109375" style="172" bestFit="1" customWidth="1"/>
    <col min="7979" max="7979" width="13.140625" style="172" bestFit="1" customWidth="1"/>
    <col min="7980" max="7981" width="11.7109375" style="172" bestFit="1" customWidth="1"/>
    <col min="7982" max="7982" width="9.28515625" style="172" bestFit="1" customWidth="1"/>
    <col min="7983" max="7983" width="13.140625" style="172" bestFit="1" customWidth="1"/>
    <col min="7984" max="7984" width="9.28515625" style="172" bestFit="1" customWidth="1"/>
    <col min="7985" max="7986" width="13.140625" style="172" bestFit="1" customWidth="1"/>
    <col min="7987" max="7987" width="14.85546875" style="172" bestFit="1" customWidth="1"/>
    <col min="7988" max="8192" width="9.140625" style="172"/>
    <col min="8193" max="8193" width="9.28515625" style="172" customWidth="1"/>
    <col min="8194" max="8194" width="8.85546875" style="172" bestFit="1" customWidth="1"/>
    <col min="8195" max="8195" width="8.7109375" style="172" bestFit="1" customWidth="1"/>
    <col min="8196" max="8196" width="8.85546875" style="172" bestFit="1" customWidth="1"/>
    <col min="8197" max="8197" width="8" style="172" bestFit="1" customWidth="1"/>
    <col min="8198" max="8198" width="9" style="172" bestFit="1" customWidth="1"/>
    <col min="8199" max="8199" width="10.140625" style="172" customWidth="1"/>
    <col min="8200" max="8200" width="11" style="172" bestFit="1" customWidth="1"/>
    <col min="8201" max="8202" width="10.5703125" style="172" bestFit="1" customWidth="1"/>
    <col min="8203" max="8203" width="9.85546875" style="172" customWidth="1"/>
    <col min="8204" max="8204" width="11.5703125" style="172" customWidth="1"/>
    <col min="8205" max="8205" width="11.42578125" style="172" customWidth="1"/>
    <col min="8206" max="8206" width="10.140625" style="172" customWidth="1"/>
    <col min="8207" max="8207" width="10.28515625" style="172" bestFit="1" customWidth="1"/>
    <col min="8208" max="8208" width="12.140625" style="172" bestFit="1" customWidth="1"/>
    <col min="8209" max="8209" width="12" style="172" bestFit="1" customWidth="1"/>
    <col min="8210" max="8210" width="12.140625" style="172" customWidth="1"/>
    <col min="8211" max="8211" width="10.85546875" style="172" customWidth="1"/>
    <col min="8212" max="8212" width="8.85546875" style="172" bestFit="1" customWidth="1"/>
    <col min="8213" max="8213" width="9" style="172" bestFit="1" customWidth="1"/>
    <col min="8214" max="8214" width="8.5703125" style="172" bestFit="1" customWidth="1"/>
    <col min="8215" max="8215" width="7.85546875" style="172" bestFit="1" customWidth="1"/>
    <col min="8216" max="8216" width="10.28515625" style="172" bestFit="1" customWidth="1"/>
    <col min="8217" max="8217" width="11.85546875" style="172" bestFit="1" customWidth="1"/>
    <col min="8218" max="8218" width="11.7109375" style="172" bestFit="1" customWidth="1"/>
    <col min="8219" max="8219" width="13.140625" style="172" bestFit="1" customWidth="1"/>
    <col min="8220" max="8220" width="5.5703125" style="172" bestFit="1" customWidth="1"/>
    <col min="8221" max="8221" width="10" style="172" bestFit="1" customWidth="1"/>
    <col min="8222" max="8223" width="14" style="172" bestFit="1" customWidth="1"/>
    <col min="8224" max="8225" width="13.140625" style="172" bestFit="1" customWidth="1"/>
    <col min="8226" max="8226" width="14" style="172" bestFit="1" customWidth="1"/>
    <col min="8227" max="8230" width="9.28515625" style="172" bestFit="1" customWidth="1"/>
    <col min="8231" max="8232" width="11.7109375" style="172" bestFit="1" customWidth="1"/>
    <col min="8233" max="8233" width="9.28515625" style="172" bestFit="1" customWidth="1"/>
    <col min="8234" max="8234" width="11.7109375" style="172" bestFit="1" customWidth="1"/>
    <col min="8235" max="8235" width="13.140625" style="172" bestFit="1" customWidth="1"/>
    <col min="8236" max="8237" width="11.7109375" style="172" bestFit="1" customWidth="1"/>
    <col min="8238" max="8238" width="9.28515625" style="172" bestFit="1" customWidth="1"/>
    <col min="8239" max="8239" width="13.140625" style="172" bestFit="1" customWidth="1"/>
    <col min="8240" max="8240" width="9.28515625" style="172" bestFit="1" customWidth="1"/>
    <col min="8241" max="8242" width="13.140625" style="172" bestFit="1" customWidth="1"/>
    <col min="8243" max="8243" width="14.85546875" style="172" bestFit="1" customWidth="1"/>
    <col min="8244" max="8448" width="9.140625" style="172"/>
    <col min="8449" max="8449" width="9.28515625" style="172" customWidth="1"/>
    <col min="8450" max="8450" width="8.85546875" style="172" bestFit="1" customWidth="1"/>
    <col min="8451" max="8451" width="8.7109375" style="172" bestFit="1" customWidth="1"/>
    <col min="8452" max="8452" width="8.85546875" style="172" bestFit="1" customWidth="1"/>
    <col min="8453" max="8453" width="8" style="172" bestFit="1" customWidth="1"/>
    <col min="8454" max="8454" width="9" style="172" bestFit="1" customWidth="1"/>
    <col min="8455" max="8455" width="10.140625" style="172" customWidth="1"/>
    <col min="8456" max="8456" width="11" style="172" bestFit="1" customWidth="1"/>
    <col min="8457" max="8458" width="10.5703125" style="172" bestFit="1" customWidth="1"/>
    <col min="8459" max="8459" width="9.85546875" style="172" customWidth="1"/>
    <col min="8460" max="8460" width="11.5703125" style="172" customWidth="1"/>
    <col min="8461" max="8461" width="11.42578125" style="172" customWidth="1"/>
    <col min="8462" max="8462" width="10.140625" style="172" customWidth="1"/>
    <col min="8463" max="8463" width="10.28515625" style="172" bestFit="1" customWidth="1"/>
    <col min="8464" max="8464" width="12.140625" style="172" bestFit="1" customWidth="1"/>
    <col min="8465" max="8465" width="12" style="172" bestFit="1" customWidth="1"/>
    <col min="8466" max="8466" width="12.140625" style="172" customWidth="1"/>
    <col min="8467" max="8467" width="10.85546875" style="172" customWidth="1"/>
    <col min="8468" max="8468" width="8.85546875" style="172" bestFit="1" customWidth="1"/>
    <col min="8469" max="8469" width="9" style="172" bestFit="1" customWidth="1"/>
    <col min="8470" max="8470" width="8.5703125" style="172" bestFit="1" customWidth="1"/>
    <col min="8471" max="8471" width="7.85546875" style="172" bestFit="1" customWidth="1"/>
    <col min="8472" max="8472" width="10.28515625" style="172" bestFit="1" customWidth="1"/>
    <col min="8473" max="8473" width="11.85546875" style="172" bestFit="1" customWidth="1"/>
    <col min="8474" max="8474" width="11.7109375" style="172" bestFit="1" customWidth="1"/>
    <col min="8475" max="8475" width="13.140625" style="172" bestFit="1" customWidth="1"/>
    <col min="8476" max="8476" width="5.5703125" style="172" bestFit="1" customWidth="1"/>
    <col min="8477" max="8477" width="10" style="172" bestFit="1" customWidth="1"/>
    <col min="8478" max="8479" width="14" style="172" bestFit="1" customWidth="1"/>
    <col min="8480" max="8481" width="13.140625" style="172" bestFit="1" customWidth="1"/>
    <col min="8482" max="8482" width="14" style="172" bestFit="1" customWidth="1"/>
    <col min="8483" max="8486" width="9.28515625" style="172" bestFit="1" customWidth="1"/>
    <col min="8487" max="8488" width="11.7109375" style="172" bestFit="1" customWidth="1"/>
    <col min="8489" max="8489" width="9.28515625" style="172" bestFit="1" customWidth="1"/>
    <col min="8490" max="8490" width="11.7109375" style="172" bestFit="1" customWidth="1"/>
    <col min="8491" max="8491" width="13.140625" style="172" bestFit="1" customWidth="1"/>
    <col min="8492" max="8493" width="11.7109375" style="172" bestFit="1" customWidth="1"/>
    <col min="8494" max="8494" width="9.28515625" style="172" bestFit="1" customWidth="1"/>
    <col min="8495" max="8495" width="13.140625" style="172" bestFit="1" customWidth="1"/>
    <col min="8496" max="8496" width="9.28515625" style="172" bestFit="1" customWidth="1"/>
    <col min="8497" max="8498" width="13.140625" style="172" bestFit="1" customWidth="1"/>
    <col min="8499" max="8499" width="14.85546875" style="172" bestFit="1" customWidth="1"/>
    <col min="8500" max="8704" width="9.140625" style="172"/>
    <col min="8705" max="8705" width="9.28515625" style="172" customWidth="1"/>
    <col min="8706" max="8706" width="8.85546875" style="172" bestFit="1" customWidth="1"/>
    <col min="8707" max="8707" width="8.7109375" style="172" bestFit="1" customWidth="1"/>
    <col min="8708" max="8708" width="8.85546875" style="172" bestFit="1" customWidth="1"/>
    <col min="8709" max="8709" width="8" style="172" bestFit="1" customWidth="1"/>
    <col min="8710" max="8710" width="9" style="172" bestFit="1" customWidth="1"/>
    <col min="8711" max="8711" width="10.140625" style="172" customWidth="1"/>
    <col min="8712" max="8712" width="11" style="172" bestFit="1" customWidth="1"/>
    <col min="8713" max="8714" width="10.5703125" style="172" bestFit="1" customWidth="1"/>
    <col min="8715" max="8715" width="9.85546875" style="172" customWidth="1"/>
    <col min="8716" max="8716" width="11.5703125" style="172" customWidth="1"/>
    <col min="8717" max="8717" width="11.42578125" style="172" customWidth="1"/>
    <col min="8718" max="8718" width="10.140625" style="172" customWidth="1"/>
    <col min="8719" max="8719" width="10.28515625" style="172" bestFit="1" customWidth="1"/>
    <col min="8720" max="8720" width="12.140625" style="172" bestFit="1" customWidth="1"/>
    <col min="8721" max="8721" width="12" style="172" bestFit="1" customWidth="1"/>
    <col min="8722" max="8722" width="12.140625" style="172" customWidth="1"/>
    <col min="8723" max="8723" width="10.85546875" style="172" customWidth="1"/>
    <col min="8724" max="8724" width="8.85546875" style="172" bestFit="1" customWidth="1"/>
    <col min="8725" max="8725" width="9" style="172" bestFit="1" customWidth="1"/>
    <col min="8726" max="8726" width="8.5703125" style="172" bestFit="1" customWidth="1"/>
    <col min="8727" max="8727" width="7.85546875" style="172" bestFit="1" customWidth="1"/>
    <col min="8728" max="8728" width="10.28515625" style="172" bestFit="1" customWidth="1"/>
    <col min="8729" max="8729" width="11.85546875" style="172" bestFit="1" customWidth="1"/>
    <col min="8730" max="8730" width="11.7109375" style="172" bestFit="1" customWidth="1"/>
    <col min="8731" max="8731" width="13.140625" style="172" bestFit="1" customWidth="1"/>
    <col min="8732" max="8732" width="5.5703125" style="172" bestFit="1" customWidth="1"/>
    <col min="8733" max="8733" width="10" style="172" bestFit="1" customWidth="1"/>
    <col min="8734" max="8735" width="14" style="172" bestFit="1" customWidth="1"/>
    <col min="8736" max="8737" width="13.140625" style="172" bestFit="1" customWidth="1"/>
    <col min="8738" max="8738" width="14" style="172" bestFit="1" customWidth="1"/>
    <col min="8739" max="8742" width="9.28515625" style="172" bestFit="1" customWidth="1"/>
    <col min="8743" max="8744" width="11.7109375" style="172" bestFit="1" customWidth="1"/>
    <col min="8745" max="8745" width="9.28515625" style="172" bestFit="1" customWidth="1"/>
    <col min="8746" max="8746" width="11.7109375" style="172" bestFit="1" customWidth="1"/>
    <col min="8747" max="8747" width="13.140625" style="172" bestFit="1" customWidth="1"/>
    <col min="8748" max="8749" width="11.7109375" style="172" bestFit="1" customWidth="1"/>
    <col min="8750" max="8750" width="9.28515625" style="172" bestFit="1" customWidth="1"/>
    <col min="8751" max="8751" width="13.140625" style="172" bestFit="1" customWidth="1"/>
    <col min="8752" max="8752" width="9.28515625" style="172" bestFit="1" customWidth="1"/>
    <col min="8753" max="8754" width="13.140625" style="172" bestFit="1" customWidth="1"/>
    <col min="8755" max="8755" width="14.85546875" style="172" bestFit="1" customWidth="1"/>
    <col min="8756" max="8960" width="9.140625" style="172"/>
    <col min="8961" max="8961" width="9.28515625" style="172" customWidth="1"/>
    <col min="8962" max="8962" width="8.85546875" style="172" bestFit="1" customWidth="1"/>
    <col min="8963" max="8963" width="8.7109375" style="172" bestFit="1" customWidth="1"/>
    <col min="8964" max="8964" width="8.85546875" style="172" bestFit="1" customWidth="1"/>
    <col min="8965" max="8965" width="8" style="172" bestFit="1" customWidth="1"/>
    <col min="8966" max="8966" width="9" style="172" bestFit="1" customWidth="1"/>
    <col min="8967" max="8967" width="10.140625" style="172" customWidth="1"/>
    <col min="8968" max="8968" width="11" style="172" bestFit="1" customWidth="1"/>
    <col min="8969" max="8970" width="10.5703125" style="172" bestFit="1" customWidth="1"/>
    <col min="8971" max="8971" width="9.85546875" style="172" customWidth="1"/>
    <col min="8972" max="8972" width="11.5703125" style="172" customWidth="1"/>
    <col min="8973" max="8973" width="11.42578125" style="172" customWidth="1"/>
    <col min="8974" max="8974" width="10.140625" style="172" customWidth="1"/>
    <col min="8975" max="8975" width="10.28515625" style="172" bestFit="1" customWidth="1"/>
    <col min="8976" max="8976" width="12.140625" style="172" bestFit="1" customWidth="1"/>
    <col min="8977" max="8977" width="12" style="172" bestFit="1" customWidth="1"/>
    <col min="8978" max="8978" width="12.140625" style="172" customWidth="1"/>
    <col min="8979" max="8979" width="10.85546875" style="172" customWidth="1"/>
    <col min="8980" max="8980" width="8.85546875" style="172" bestFit="1" customWidth="1"/>
    <col min="8981" max="8981" width="9" style="172" bestFit="1" customWidth="1"/>
    <col min="8982" max="8982" width="8.5703125" style="172" bestFit="1" customWidth="1"/>
    <col min="8983" max="8983" width="7.85546875" style="172" bestFit="1" customWidth="1"/>
    <col min="8984" max="8984" width="10.28515625" style="172" bestFit="1" customWidth="1"/>
    <col min="8985" max="8985" width="11.85546875" style="172" bestFit="1" customWidth="1"/>
    <col min="8986" max="8986" width="11.7109375" style="172" bestFit="1" customWidth="1"/>
    <col min="8987" max="8987" width="13.140625" style="172" bestFit="1" customWidth="1"/>
    <col min="8988" max="8988" width="5.5703125" style="172" bestFit="1" customWidth="1"/>
    <col min="8989" max="8989" width="10" style="172" bestFit="1" customWidth="1"/>
    <col min="8990" max="8991" width="14" style="172" bestFit="1" customWidth="1"/>
    <col min="8992" max="8993" width="13.140625" style="172" bestFit="1" customWidth="1"/>
    <col min="8994" max="8994" width="14" style="172" bestFit="1" customWidth="1"/>
    <col min="8995" max="8998" width="9.28515625" style="172" bestFit="1" customWidth="1"/>
    <col min="8999" max="9000" width="11.7109375" style="172" bestFit="1" customWidth="1"/>
    <col min="9001" max="9001" width="9.28515625" style="172" bestFit="1" customWidth="1"/>
    <col min="9002" max="9002" width="11.7109375" style="172" bestFit="1" customWidth="1"/>
    <col min="9003" max="9003" width="13.140625" style="172" bestFit="1" customWidth="1"/>
    <col min="9004" max="9005" width="11.7109375" style="172" bestFit="1" customWidth="1"/>
    <col min="9006" max="9006" width="9.28515625" style="172" bestFit="1" customWidth="1"/>
    <col min="9007" max="9007" width="13.140625" style="172" bestFit="1" customWidth="1"/>
    <col min="9008" max="9008" width="9.28515625" style="172" bestFit="1" customWidth="1"/>
    <col min="9009" max="9010" width="13.140625" style="172" bestFit="1" customWidth="1"/>
    <col min="9011" max="9011" width="14.85546875" style="172" bestFit="1" customWidth="1"/>
    <col min="9012" max="9216" width="9.140625" style="172"/>
    <col min="9217" max="9217" width="9.28515625" style="172" customWidth="1"/>
    <col min="9218" max="9218" width="8.85546875" style="172" bestFit="1" customWidth="1"/>
    <col min="9219" max="9219" width="8.7109375" style="172" bestFit="1" customWidth="1"/>
    <col min="9220" max="9220" width="8.85546875" style="172" bestFit="1" customWidth="1"/>
    <col min="9221" max="9221" width="8" style="172" bestFit="1" customWidth="1"/>
    <col min="9222" max="9222" width="9" style="172" bestFit="1" customWidth="1"/>
    <col min="9223" max="9223" width="10.140625" style="172" customWidth="1"/>
    <col min="9224" max="9224" width="11" style="172" bestFit="1" customWidth="1"/>
    <col min="9225" max="9226" width="10.5703125" style="172" bestFit="1" customWidth="1"/>
    <col min="9227" max="9227" width="9.85546875" style="172" customWidth="1"/>
    <col min="9228" max="9228" width="11.5703125" style="172" customWidth="1"/>
    <col min="9229" max="9229" width="11.42578125" style="172" customWidth="1"/>
    <col min="9230" max="9230" width="10.140625" style="172" customWidth="1"/>
    <col min="9231" max="9231" width="10.28515625" style="172" bestFit="1" customWidth="1"/>
    <col min="9232" max="9232" width="12.140625" style="172" bestFit="1" customWidth="1"/>
    <col min="9233" max="9233" width="12" style="172" bestFit="1" customWidth="1"/>
    <col min="9234" max="9234" width="12.140625" style="172" customWidth="1"/>
    <col min="9235" max="9235" width="10.85546875" style="172" customWidth="1"/>
    <col min="9236" max="9236" width="8.85546875" style="172" bestFit="1" customWidth="1"/>
    <col min="9237" max="9237" width="9" style="172" bestFit="1" customWidth="1"/>
    <col min="9238" max="9238" width="8.5703125" style="172" bestFit="1" customWidth="1"/>
    <col min="9239" max="9239" width="7.85546875" style="172" bestFit="1" customWidth="1"/>
    <col min="9240" max="9240" width="10.28515625" style="172" bestFit="1" customWidth="1"/>
    <col min="9241" max="9241" width="11.85546875" style="172" bestFit="1" customWidth="1"/>
    <col min="9242" max="9242" width="11.7109375" style="172" bestFit="1" customWidth="1"/>
    <col min="9243" max="9243" width="13.140625" style="172" bestFit="1" customWidth="1"/>
    <col min="9244" max="9244" width="5.5703125" style="172" bestFit="1" customWidth="1"/>
    <col min="9245" max="9245" width="10" style="172" bestFit="1" customWidth="1"/>
    <col min="9246" max="9247" width="14" style="172" bestFit="1" customWidth="1"/>
    <col min="9248" max="9249" width="13.140625" style="172" bestFit="1" customWidth="1"/>
    <col min="9250" max="9250" width="14" style="172" bestFit="1" customWidth="1"/>
    <col min="9251" max="9254" width="9.28515625" style="172" bestFit="1" customWidth="1"/>
    <col min="9255" max="9256" width="11.7109375" style="172" bestFit="1" customWidth="1"/>
    <col min="9257" max="9257" width="9.28515625" style="172" bestFit="1" customWidth="1"/>
    <col min="9258" max="9258" width="11.7109375" style="172" bestFit="1" customWidth="1"/>
    <col min="9259" max="9259" width="13.140625" style="172" bestFit="1" customWidth="1"/>
    <col min="9260" max="9261" width="11.7109375" style="172" bestFit="1" customWidth="1"/>
    <col min="9262" max="9262" width="9.28515625" style="172" bestFit="1" customWidth="1"/>
    <col min="9263" max="9263" width="13.140625" style="172" bestFit="1" customWidth="1"/>
    <col min="9264" max="9264" width="9.28515625" style="172" bestFit="1" customWidth="1"/>
    <col min="9265" max="9266" width="13.140625" style="172" bestFit="1" customWidth="1"/>
    <col min="9267" max="9267" width="14.85546875" style="172" bestFit="1" customWidth="1"/>
    <col min="9268" max="9472" width="9.140625" style="172"/>
    <col min="9473" max="9473" width="9.28515625" style="172" customWidth="1"/>
    <col min="9474" max="9474" width="8.85546875" style="172" bestFit="1" customWidth="1"/>
    <col min="9475" max="9475" width="8.7109375" style="172" bestFit="1" customWidth="1"/>
    <col min="9476" max="9476" width="8.85546875" style="172" bestFit="1" customWidth="1"/>
    <col min="9477" max="9477" width="8" style="172" bestFit="1" customWidth="1"/>
    <col min="9478" max="9478" width="9" style="172" bestFit="1" customWidth="1"/>
    <col min="9479" max="9479" width="10.140625" style="172" customWidth="1"/>
    <col min="9480" max="9480" width="11" style="172" bestFit="1" customWidth="1"/>
    <col min="9481" max="9482" width="10.5703125" style="172" bestFit="1" customWidth="1"/>
    <col min="9483" max="9483" width="9.85546875" style="172" customWidth="1"/>
    <col min="9484" max="9484" width="11.5703125" style="172" customWidth="1"/>
    <col min="9485" max="9485" width="11.42578125" style="172" customWidth="1"/>
    <col min="9486" max="9486" width="10.140625" style="172" customWidth="1"/>
    <col min="9487" max="9487" width="10.28515625" style="172" bestFit="1" customWidth="1"/>
    <col min="9488" max="9488" width="12.140625" style="172" bestFit="1" customWidth="1"/>
    <col min="9489" max="9489" width="12" style="172" bestFit="1" customWidth="1"/>
    <col min="9490" max="9490" width="12.140625" style="172" customWidth="1"/>
    <col min="9491" max="9491" width="10.85546875" style="172" customWidth="1"/>
    <col min="9492" max="9492" width="8.85546875" style="172" bestFit="1" customWidth="1"/>
    <col min="9493" max="9493" width="9" style="172" bestFit="1" customWidth="1"/>
    <col min="9494" max="9494" width="8.5703125" style="172" bestFit="1" customWidth="1"/>
    <col min="9495" max="9495" width="7.85546875" style="172" bestFit="1" customWidth="1"/>
    <col min="9496" max="9496" width="10.28515625" style="172" bestFit="1" customWidth="1"/>
    <col min="9497" max="9497" width="11.85546875" style="172" bestFit="1" customWidth="1"/>
    <col min="9498" max="9498" width="11.7109375" style="172" bestFit="1" customWidth="1"/>
    <col min="9499" max="9499" width="13.140625" style="172" bestFit="1" customWidth="1"/>
    <col min="9500" max="9500" width="5.5703125" style="172" bestFit="1" customWidth="1"/>
    <col min="9501" max="9501" width="10" style="172" bestFit="1" customWidth="1"/>
    <col min="9502" max="9503" width="14" style="172" bestFit="1" customWidth="1"/>
    <col min="9504" max="9505" width="13.140625" style="172" bestFit="1" customWidth="1"/>
    <col min="9506" max="9506" width="14" style="172" bestFit="1" customWidth="1"/>
    <col min="9507" max="9510" width="9.28515625" style="172" bestFit="1" customWidth="1"/>
    <col min="9511" max="9512" width="11.7109375" style="172" bestFit="1" customWidth="1"/>
    <col min="9513" max="9513" width="9.28515625" style="172" bestFit="1" customWidth="1"/>
    <col min="9514" max="9514" width="11.7109375" style="172" bestFit="1" customWidth="1"/>
    <col min="9515" max="9515" width="13.140625" style="172" bestFit="1" customWidth="1"/>
    <col min="9516" max="9517" width="11.7109375" style="172" bestFit="1" customWidth="1"/>
    <col min="9518" max="9518" width="9.28515625" style="172" bestFit="1" customWidth="1"/>
    <col min="9519" max="9519" width="13.140625" style="172" bestFit="1" customWidth="1"/>
    <col min="9520" max="9520" width="9.28515625" style="172" bestFit="1" customWidth="1"/>
    <col min="9521" max="9522" width="13.140625" style="172" bestFit="1" customWidth="1"/>
    <col min="9523" max="9523" width="14.85546875" style="172" bestFit="1" customWidth="1"/>
    <col min="9524" max="9728" width="9.140625" style="172"/>
    <col min="9729" max="9729" width="9.28515625" style="172" customWidth="1"/>
    <col min="9730" max="9730" width="8.85546875" style="172" bestFit="1" customWidth="1"/>
    <col min="9731" max="9731" width="8.7109375" style="172" bestFit="1" customWidth="1"/>
    <col min="9732" max="9732" width="8.85546875" style="172" bestFit="1" customWidth="1"/>
    <col min="9733" max="9733" width="8" style="172" bestFit="1" customWidth="1"/>
    <col min="9734" max="9734" width="9" style="172" bestFit="1" customWidth="1"/>
    <col min="9735" max="9735" width="10.140625" style="172" customWidth="1"/>
    <col min="9736" max="9736" width="11" style="172" bestFit="1" customWidth="1"/>
    <col min="9737" max="9738" width="10.5703125" style="172" bestFit="1" customWidth="1"/>
    <col min="9739" max="9739" width="9.85546875" style="172" customWidth="1"/>
    <col min="9740" max="9740" width="11.5703125" style="172" customWidth="1"/>
    <col min="9741" max="9741" width="11.42578125" style="172" customWidth="1"/>
    <col min="9742" max="9742" width="10.140625" style="172" customWidth="1"/>
    <col min="9743" max="9743" width="10.28515625" style="172" bestFit="1" customWidth="1"/>
    <col min="9744" max="9744" width="12.140625" style="172" bestFit="1" customWidth="1"/>
    <col min="9745" max="9745" width="12" style="172" bestFit="1" customWidth="1"/>
    <col min="9746" max="9746" width="12.140625" style="172" customWidth="1"/>
    <col min="9747" max="9747" width="10.85546875" style="172" customWidth="1"/>
    <col min="9748" max="9748" width="8.85546875" style="172" bestFit="1" customWidth="1"/>
    <col min="9749" max="9749" width="9" style="172" bestFit="1" customWidth="1"/>
    <col min="9750" max="9750" width="8.5703125" style="172" bestFit="1" customWidth="1"/>
    <col min="9751" max="9751" width="7.85546875" style="172" bestFit="1" customWidth="1"/>
    <col min="9752" max="9752" width="10.28515625" style="172" bestFit="1" customWidth="1"/>
    <col min="9753" max="9753" width="11.85546875" style="172" bestFit="1" customWidth="1"/>
    <col min="9754" max="9754" width="11.7109375" style="172" bestFit="1" customWidth="1"/>
    <col min="9755" max="9755" width="13.140625" style="172" bestFit="1" customWidth="1"/>
    <col min="9756" max="9756" width="5.5703125" style="172" bestFit="1" customWidth="1"/>
    <col min="9757" max="9757" width="10" style="172" bestFit="1" customWidth="1"/>
    <col min="9758" max="9759" width="14" style="172" bestFit="1" customWidth="1"/>
    <col min="9760" max="9761" width="13.140625" style="172" bestFit="1" customWidth="1"/>
    <col min="9762" max="9762" width="14" style="172" bestFit="1" customWidth="1"/>
    <col min="9763" max="9766" width="9.28515625" style="172" bestFit="1" customWidth="1"/>
    <col min="9767" max="9768" width="11.7109375" style="172" bestFit="1" customWidth="1"/>
    <col min="9769" max="9769" width="9.28515625" style="172" bestFit="1" customWidth="1"/>
    <col min="9770" max="9770" width="11.7109375" style="172" bestFit="1" customWidth="1"/>
    <col min="9771" max="9771" width="13.140625" style="172" bestFit="1" customWidth="1"/>
    <col min="9772" max="9773" width="11.7109375" style="172" bestFit="1" customWidth="1"/>
    <col min="9774" max="9774" width="9.28515625" style="172" bestFit="1" customWidth="1"/>
    <col min="9775" max="9775" width="13.140625" style="172" bestFit="1" customWidth="1"/>
    <col min="9776" max="9776" width="9.28515625" style="172" bestFit="1" customWidth="1"/>
    <col min="9777" max="9778" width="13.140625" style="172" bestFit="1" customWidth="1"/>
    <col min="9779" max="9779" width="14.85546875" style="172" bestFit="1" customWidth="1"/>
    <col min="9780" max="9984" width="9.140625" style="172"/>
    <col min="9985" max="9985" width="9.28515625" style="172" customWidth="1"/>
    <col min="9986" max="9986" width="8.85546875" style="172" bestFit="1" customWidth="1"/>
    <col min="9987" max="9987" width="8.7109375" style="172" bestFit="1" customWidth="1"/>
    <col min="9988" max="9988" width="8.85546875" style="172" bestFit="1" customWidth="1"/>
    <col min="9989" max="9989" width="8" style="172" bestFit="1" customWidth="1"/>
    <col min="9990" max="9990" width="9" style="172" bestFit="1" customWidth="1"/>
    <col min="9991" max="9991" width="10.140625" style="172" customWidth="1"/>
    <col min="9992" max="9992" width="11" style="172" bestFit="1" customWidth="1"/>
    <col min="9993" max="9994" width="10.5703125" style="172" bestFit="1" customWidth="1"/>
    <col min="9995" max="9995" width="9.85546875" style="172" customWidth="1"/>
    <col min="9996" max="9996" width="11.5703125" style="172" customWidth="1"/>
    <col min="9997" max="9997" width="11.42578125" style="172" customWidth="1"/>
    <col min="9998" max="9998" width="10.140625" style="172" customWidth="1"/>
    <col min="9999" max="9999" width="10.28515625" style="172" bestFit="1" customWidth="1"/>
    <col min="10000" max="10000" width="12.140625" style="172" bestFit="1" customWidth="1"/>
    <col min="10001" max="10001" width="12" style="172" bestFit="1" customWidth="1"/>
    <col min="10002" max="10002" width="12.140625" style="172" customWidth="1"/>
    <col min="10003" max="10003" width="10.85546875" style="172" customWidth="1"/>
    <col min="10004" max="10004" width="8.85546875" style="172" bestFit="1" customWidth="1"/>
    <col min="10005" max="10005" width="9" style="172" bestFit="1" customWidth="1"/>
    <col min="10006" max="10006" width="8.5703125" style="172" bestFit="1" customWidth="1"/>
    <col min="10007" max="10007" width="7.85546875" style="172" bestFit="1" customWidth="1"/>
    <col min="10008" max="10008" width="10.28515625" style="172" bestFit="1" customWidth="1"/>
    <col min="10009" max="10009" width="11.85546875" style="172" bestFit="1" customWidth="1"/>
    <col min="10010" max="10010" width="11.7109375" style="172" bestFit="1" customWidth="1"/>
    <col min="10011" max="10011" width="13.140625" style="172" bestFit="1" customWidth="1"/>
    <col min="10012" max="10012" width="5.5703125" style="172" bestFit="1" customWidth="1"/>
    <col min="10013" max="10013" width="10" style="172" bestFit="1" customWidth="1"/>
    <col min="10014" max="10015" width="14" style="172" bestFit="1" customWidth="1"/>
    <col min="10016" max="10017" width="13.140625" style="172" bestFit="1" customWidth="1"/>
    <col min="10018" max="10018" width="14" style="172" bestFit="1" customWidth="1"/>
    <col min="10019" max="10022" width="9.28515625" style="172" bestFit="1" customWidth="1"/>
    <col min="10023" max="10024" width="11.7109375" style="172" bestFit="1" customWidth="1"/>
    <col min="10025" max="10025" width="9.28515625" style="172" bestFit="1" customWidth="1"/>
    <col min="10026" max="10026" width="11.7109375" style="172" bestFit="1" customWidth="1"/>
    <col min="10027" max="10027" width="13.140625" style="172" bestFit="1" customWidth="1"/>
    <col min="10028" max="10029" width="11.7109375" style="172" bestFit="1" customWidth="1"/>
    <col min="10030" max="10030" width="9.28515625" style="172" bestFit="1" customWidth="1"/>
    <col min="10031" max="10031" width="13.140625" style="172" bestFit="1" customWidth="1"/>
    <col min="10032" max="10032" width="9.28515625" style="172" bestFit="1" customWidth="1"/>
    <col min="10033" max="10034" width="13.140625" style="172" bestFit="1" customWidth="1"/>
    <col min="10035" max="10035" width="14.85546875" style="172" bestFit="1" customWidth="1"/>
    <col min="10036" max="10240" width="9.140625" style="172"/>
    <col min="10241" max="10241" width="9.28515625" style="172" customWidth="1"/>
    <col min="10242" max="10242" width="8.85546875" style="172" bestFit="1" customWidth="1"/>
    <col min="10243" max="10243" width="8.7109375" style="172" bestFit="1" customWidth="1"/>
    <col min="10244" max="10244" width="8.85546875" style="172" bestFit="1" customWidth="1"/>
    <col min="10245" max="10245" width="8" style="172" bestFit="1" customWidth="1"/>
    <col min="10246" max="10246" width="9" style="172" bestFit="1" customWidth="1"/>
    <col min="10247" max="10247" width="10.140625" style="172" customWidth="1"/>
    <col min="10248" max="10248" width="11" style="172" bestFit="1" customWidth="1"/>
    <col min="10249" max="10250" width="10.5703125" style="172" bestFit="1" customWidth="1"/>
    <col min="10251" max="10251" width="9.85546875" style="172" customWidth="1"/>
    <col min="10252" max="10252" width="11.5703125" style="172" customWidth="1"/>
    <col min="10253" max="10253" width="11.42578125" style="172" customWidth="1"/>
    <col min="10254" max="10254" width="10.140625" style="172" customWidth="1"/>
    <col min="10255" max="10255" width="10.28515625" style="172" bestFit="1" customWidth="1"/>
    <col min="10256" max="10256" width="12.140625" style="172" bestFit="1" customWidth="1"/>
    <col min="10257" max="10257" width="12" style="172" bestFit="1" customWidth="1"/>
    <col min="10258" max="10258" width="12.140625" style="172" customWidth="1"/>
    <col min="10259" max="10259" width="10.85546875" style="172" customWidth="1"/>
    <col min="10260" max="10260" width="8.85546875" style="172" bestFit="1" customWidth="1"/>
    <col min="10261" max="10261" width="9" style="172" bestFit="1" customWidth="1"/>
    <col min="10262" max="10262" width="8.5703125" style="172" bestFit="1" customWidth="1"/>
    <col min="10263" max="10263" width="7.85546875" style="172" bestFit="1" customWidth="1"/>
    <col min="10264" max="10264" width="10.28515625" style="172" bestFit="1" customWidth="1"/>
    <col min="10265" max="10265" width="11.85546875" style="172" bestFit="1" customWidth="1"/>
    <col min="10266" max="10266" width="11.7109375" style="172" bestFit="1" customWidth="1"/>
    <col min="10267" max="10267" width="13.140625" style="172" bestFit="1" customWidth="1"/>
    <col min="10268" max="10268" width="5.5703125" style="172" bestFit="1" customWidth="1"/>
    <col min="10269" max="10269" width="10" style="172" bestFit="1" customWidth="1"/>
    <col min="10270" max="10271" width="14" style="172" bestFit="1" customWidth="1"/>
    <col min="10272" max="10273" width="13.140625" style="172" bestFit="1" customWidth="1"/>
    <col min="10274" max="10274" width="14" style="172" bestFit="1" customWidth="1"/>
    <col min="10275" max="10278" width="9.28515625" style="172" bestFit="1" customWidth="1"/>
    <col min="10279" max="10280" width="11.7109375" style="172" bestFit="1" customWidth="1"/>
    <col min="10281" max="10281" width="9.28515625" style="172" bestFit="1" customWidth="1"/>
    <col min="10282" max="10282" width="11.7109375" style="172" bestFit="1" customWidth="1"/>
    <col min="10283" max="10283" width="13.140625" style="172" bestFit="1" customWidth="1"/>
    <col min="10284" max="10285" width="11.7109375" style="172" bestFit="1" customWidth="1"/>
    <col min="10286" max="10286" width="9.28515625" style="172" bestFit="1" customWidth="1"/>
    <col min="10287" max="10287" width="13.140625" style="172" bestFit="1" customWidth="1"/>
    <col min="10288" max="10288" width="9.28515625" style="172" bestFit="1" customWidth="1"/>
    <col min="10289" max="10290" width="13.140625" style="172" bestFit="1" customWidth="1"/>
    <col min="10291" max="10291" width="14.85546875" style="172" bestFit="1" customWidth="1"/>
    <col min="10292" max="10496" width="9.140625" style="172"/>
    <col min="10497" max="10497" width="9.28515625" style="172" customWidth="1"/>
    <col min="10498" max="10498" width="8.85546875" style="172" bestFit="1" customWidth="1"/>
    <col min="10499" max="10499" width="8.7109375" style="172" bestFit="1" customWidth="1"/>
    <col min="10500" max="10500" width="8.85546875" style="172" bestFit="1" customWidth="1"/>
    <col min="10501" max="10501" width="8" style="172" bestFit="1" customWidth="1"/>
    <col min="10502" max="10502" width="9" style="172" bestFit="1" customWidth="1"/>
    <col min="10503" max="10503" width="10.140625" style="172" customWidth="1"/>
    <col min="10504" max="10504" width="11" style="172" bestFit="1" customWidth="1"/>
    <col min="10505" max="10506" width="10.5703125" style="172" bestFit="1" customWidth="1"/>
    <col min="10507" max="10507" width="9.85546875" style="172" customWidth="1"/>
    <col min="10508" max="10508" width="11.5703125" style="172" customWidth="1"/>
    <col min="10509" max="10509" width="11.42578125" style="172" customWidth="1"/>
    <col min="10510" max="10510" width="10.140625" style="172" customWidth="1"/>
    <col min="10511" max="10511" width="10.28515625" style="172" bestFit="1" customWidth="1"/>
    <col min="10512" max="10512" width="12.140625" style="172" bestFit="1" customWidth="1"/>
    <col min="10513" max="10513" width="12" style="172" bestFit="1" customWidth="1"/>
    <col min="10514" max="10514" width="12.140625" style="172" customWidth="1"/>
    <col min="10515" max="10515" width="10.85546875" style="172" customWidth="1"/>
    <col min="10516" max="10516" width="8.85546875" style="172" bestFit="1" customWidth="1"/>
    <col min="10517" max="10517" width="9" style="172" bestFit="1" customWidth="1"/>
    <col min="10518" max="10518" width="8.5703125" style="172" bestFit="1" customWidth="1"/>
    <col min="10519" max="10519" width="7.85546875" style="172" bestFit="1" customWidth="1"/>
    <col min="10520" max="10520" width="10.28515625" style="172" bestFit="1" customWidth="1"/>
    <col min="10521" max="10521" width="11.85546875" style="172" bestFit="1" customWidth="1"/>
    <col min="10522" max="10522" width="11.7109375" style="172" bestFit="1" customWidth="1"/>
    <col min="10523" max="10523" width="13.140625" style="172" bestFit="1" customWidth="1"/>
    <col min="10524" max="10524" width="5.5703125" style="172" bestFit="1" customWidth="1"/>
    <col min="10525" max="10525" width="10" style="172" bestFit="1" customWidth="1"/>
    <col min="10526" max="10527" width="14" style="172" bestFit="1" customWidth="1"/>
    <col min="10528" max="10529" width="13.140625" style="172" bestFit="1" customWidth="1"/>
    <col min="10530" max="10530" width="14" style="172" bestFit="1" customWidth="1"/>
    <col min="10531" max="10534" width="9.28515625" style="172" bestFit="1" customWidth="1"/>
    <col min="10535" max="10536" width="11.7109375" style="172" bestFit="1" customWidth="1"/>
    <col min="10537" max="10537" width="9.28515625" style="172" bestFit="1" customWidth="1"/>
    <col min="10538" max="10538" width="11.7109375" style="172" bestFit="1" customWidth="1"/>
    <col min="10539" max="10539" width="13.140625" style="172" bestFit="1" customWidth="1"/>
    <col min="10540" max="10541" width="11.7109375" style="172" bestFit="1" customWidth="1"/>
    <col min="10542" max="10542" width="9.28515625" style="172" bestFit="1" customWidth="1"/>
    <col min="10543" max="10543" width="13.140625" style="172" bestFit="1" customWidth="1"/>
    <col min="10544" max="10544" width="9.28515625" style="172" bestFit="1" customWidth="1"/>
    <col min="10545" max="10546" width="13.140625" style="172" bestFit="1" customWidth="1"/>
    <col min="10547" max="10547" width="14.85546875" style="172" bestFit="1" customWidth="1"/>
    <col min="10548" max="10752" width="9.140625" style="172"/>
    <col min="10753" max="10753" width="9.28515625" style="172" customWidth="1"/>
    <col min="10754" max="10754" width="8.85546875" style="172" bestFit="1" customWidth="1"/>
    <col min="10755" max="10755" width="8.7109375" style="172" bestFit="1" customWidth="1"/>
    <col min="10756" max="10756" width="8.85546875" style="172" bestFit="1" customWidth="1"/>
    <col min="10757" max="10757" width="8" style="172" bestFit="1" customWidth="1"/>
    <col min="10758" max="10758" width="9" style="172" bestFit="1" customWidth="1"/>
    <col min="10759" max="10759" width="10.140625" style="172" customWidth="1"/>
    <col min="10760" max="10760" width="11" style="172" bestFit="1" customWidth="1"/>
    <col min="10761" max="10762" width="10.5703125" style="172" bestFit="1" customWidth="1"/>
    <col min="10763" max="10763" width="9.85546875" style="172" customWidth="1"/>
    <col min="10764" max="10764" width="11.5703125" style="172" customWidth="1"/>
    <col min="10765" max="10765" width="11.42578125" style="172" customWidth="1"/>
    <col min="10766" max="10766" width="10.140625" style="172" customWidth="1"/>
    <col min="10767" max="10767" width="10.28515625" style="172" bestFit="1" customWidth="1"/>
    <col min="10768" max="10768" width="12.140625" style="172" bestFit="1" customWidth="1"/>
    <col min="10769" max="10769" width="12" style="172" bestFit="1" customWidth="1"/>
    <col min="10770" max="10770" width="12.140625" style="172" customWidth="1"/>
    <col min="10771" max="10771" width="10.85546875" style="172" customWidth="1"/>
    <col min="10772" max="10772" width="8.85546875" style="172" bestFit="1" customWidth="1"/>
    <col min="10773" max="10773" width="9" style="172" bestFit="1" customWidth="1"/>
    <col min="10774" max="10774" width="8.5703125" style="172" bestFit="1" customWidth="1"/>
    <col min="10775" max="10775" width="7.85546875" style="172" bestFit="1" customWidth="1"/>
    <col min="10776" max="10776" width="10.28515625" style="172" bestFit="1" customWidth="1"/>
    <col min="10777" max="10777" width="11.85546875" style="172" bestFit="1" customWidth="1"/>
    <col min="10778" max="10778" width="11.7109375" style="172" bestFit="1" customWidth="1"/>
    <col min="10779" max="10779" width="13.140625" style="172" bestFit="1" customWidth="1"/>
    <col min="10780" max="10780" width="5.5703125" style="172" bestFit="1" customWidth="1"/>
    <col min="10781" max="10781" width="10" style="172" bestFit="1" customWidth="1"/>
    <col min="10782" max="10783" width="14" style="172" bestFit="1" customWidth="1"/>
    <col min="10784" max="10785" width="13.140625" style="172" bestFit="1" customWidth="1"/>
    <col min="10786" max="10786" width="14" style="172" bestFit="1" customWidth="1"/>
    <col min="10787" max="10790" width="9.28515625" style="172" bestFit="1" customWidth="1"/>
    <col min="10791" max="10792" width="11.7109375" style="172" bestFit="1" customWidth="1"/>
    <col min="10793" max="10793" width="9.28515625" style="172" bestFit="1" customWidth="1"/>
    <col min="10794" max="10794" width="11.7109375" style="172" bestFit="1" customWidth="1"/>
    <col min="10795" max="10795" width="13.140625" style="172" bestFit="1" customWidth="1"/>
    <col min="10796" max="10797" width="11.7109375" style="172" bestFit="1" customWidth="1"/>
    <col min="10798" max="10798" width="9.28515625" style="172" bestFit="1" customWidth="1"/>
    <col min="10799" max="10799" width="13.140625" style="172" bestFit="1" customWidth="1"/>
    <col min="10800" max="10800" width="9.28515625" style="172" bestFit="1" customWidth="1"/>
    <col min="10801" max="10802" width="13.140625" style="172" bestFit="1" customWidth="1"/>
    <col min="10803" max="10803" width="14.85546875" style="172" bestFit="1" customWidth="1"/>
    <col min="10804" max="11008" width="9.140625" style="172"/>
    <col min="11009" max="11009" width="9.28515625" style="172" customWidth="1"/>
    <col min="11010" max="11010" width="8.85546875" style="172" bestFit="1" customWidth="1"/>
    <col min="11011" max="11011" width="8.7109375" style="172" bestFit="1" customWidth="1"/>
    <col min="11012" max="11012" width="8.85546875" style="172" bestFit="1" customWidth="1"/>
    <col min="11013" max="11013" width="8" style="172" bestFit="1" customWidth="1"/>
    <col min="11014" max="11014" width="9" style="172" bestFit="1" customWidth="1"/>
    <col min="11015" max="11015" width="10.140625" style="172" customWidth="1"/>
    <col min="11016" max="11016" width="11" style="172" bestFit="1" customWidth="1"/>
    <col min="11017" max="11018" width="10.5703125" style="172" bestFit="1" customWidth="1"/>
    <col min="11019" max="11019" width="9.85546875" style="172" customWidth="1"/>
    <col min="11020" max="11020" width="11.5703125" style="172" customWidth="1"/>
    <col min="11021" max="11021" width="11.42578125" style="172" customWidth="1"/>
    <col min="11022" max="11022" width="10.140625" style="172" customWidth="1"/>
    <col min="11023" max="11023" width="10.28515625" style="172" bestFit="1" customWidth="1"/>
    <col min="11024" max="11024" width="12.140625" style="172" bestFit="1" customWidth="1"/>
    <col min="11025" max="11025" width="12" style="172" bestFit="1" customWidth="1"/>
    <col min="11026" max="11026" width="12.140625" style="172" customWidth="1"/>
    <col min="11027" max="11027" width="10.85546875" style="172" customWidth="1"/>
    <col min="11028" max="11028" width="8.85546875" style="172" bestFit="1" customWidth="1"/>
    <col min="11029" max="11029" width="9" style="172" bestFit="1" customWidth="1"/>
    <col min="11030" max="11030" width="8.5703125" style="172" bestFit="1" customWidth="1"/>
    <col min="11031" max="11031" width="7.85546875" style="172" bestFit="1" customWidth="1"/>
    <col min="11032" max="11032" width="10.28515625" style="172" bestFit="1" customWidth="1"/>
    <col min="11033" max="11033" width="11.85546875" style="172" bestFit="1" customWidth="1"/>
    <col min="11034" max="11034" width="11.7109375" style="172" bestFit="1" customWidth="1"/>
    <col min="11035" max="11035" width="13.140625" style="172" bestFit="1" customWidth="1"/>
    <col min="11036" max="11036" width="5.5703125" style="172" bestFit="1" customWidth="1"/>
    <col min="11037" max="11037" width="10" style="172" bestFit="1" customWidth="1"/>
    <col min="11038" max="11039" width="14" style="172" bestFit="1" customWidth="1"/>
    <col min="11040" max="11041" width="13.140625" style="172" bestFit="1" customWidth="1"/>
    <col min="11042" max="11042" width="14" style="172" bestFit="1" customWidth="1"/>
    <col min="11043" max="11046" width="9.28515625" style="172" bestFit="1" customWidth="1"/>
    <col min="11047" max="11048" width="11.7109375" style="172" bestFit="1" customWidth="1"/>
    <col min="11049" max="11049" width="9.28515625" style="172" bestFit="1" customWidth="1"/>
    <col min="11050" max="11050" width="11.7109375" style="172" bestFit="1" customWidth="1"/>
    <col min="11051" max="11051" width="13.140625" style="172" bestFit="1" customWidth="1"/>
    <col min="11052" max="11053" width="11.7109375" style="172" bestFit="1" customWidth="1"/>
    <col min="11054" max="11054" width="9.28515625" style="172" bestFit="1" customWidth="1"/>
    <col min="11055" max="11055" width="13.140625" style="172" bestFit="1" customWidth="1"/>
    <col min="11056" max="11056" width="9.28515625" style="172" bestFit="1" customWidth="1"/>
    <col min="11057" max="11058" width="13.140625" style="172" bestFit="1" customWidth="1"/>
    <col min="11059" max="11059" width="14.85546875" style="172" bestFit="1" customWidth="1"/>
    <col min="11060" max="11264" width="9.140625" style="172"/>
    <col min="11265" max="11265" width="9.28515625" style="172" customWidth="1"/>
    <col min="11266" max="11266" width="8.85546875" style="172" bestFit="1" customWidth="1"/>
    <col min="11267" max="11267" width="8.7109375" style="172" bestFit="1" customWidth="1"/>
    <col min="11268" max="11268" width="8.85546875" style="172" bestFit="1" customWidth="1"/>
    <col min="11269" max="11269" width="8" style="172" bestFit="1" customWidth="1"/>
    <col min="11270" max="11270" width="9" style="172" bestFit="1" customWidth="1"/>
    <col min="11271" max="11271" width="10.140625" style="172" customWidth="1"/>
    <col min="11272" max="11272" width="11" style="172" bestFit="1" customWidth="1"/>
    <col min="11273" max="11274" width="10.5703125" style="172" bestFit="1" customWidth="1"/>
    <col min="11275" max="11275" width="9.85546875" style="172" customWidth="1"/>
    <col min="11276" max="11276" width="11.5703125" style="172" customWidth="1"/>
    <col min="11277" max="11277" width="11.42578125" style="172" customWidth="1"/>
    <col min="11278" max="11278" width="10.140625" style="172" customWidth="1"/>
    <col min="11279" max="11279" width="10.28515625" style="172" bestFit="1" customWidth="1"/>
    <col min="11280" max="11280" width="12.140625" style="172" bestFit="1" customWidth="1"/>
    <col min="11281" max="11281" width="12" style="172" bestFit="1" customWidth="1"/>
    <col min="11282" max="11282" width="12.140625" style="172" customWidth="1"/>
    <col min="11283" max="11283" width="10.85546875" style="172" customWidth="1"/>
    <col min="11284" max="11284" width="8.85546875" style="172" bestFit="1" customWidth="1"/>
    <col min="11285" max="11285" width="9" style="172" bestFit="1" customWidth="1"/>
    <col min="11286" max="11286" width="8.5703125" style="172" bestFit="1" customWidth="1"/>
    <col min="11287" max="11287" width="7.85546875" style="172" bestFit="1" customWidth="1"/>
    <col min="11288" max="11288" width="10.28515625" style="172" bestFit="1" customWidth="1"/>
    <col min="11289" max="11289" width="11.85546875" style="172" bestFit="1" customWidth="1"/>
    <col min="11290" max="11290" width="11.7109375" style="172" bestFit="1" customWidth="1"/>
    <col min="11291" max="11291" width="13.140625" style="172" bestFit="1" customWidth="1"/>
    <col min="11292" max="11292" width="5.5703125" style="172" bestFit="1" customWidth="1"/>
    <col min="11293" max="11293" width="10" style="172" bestFit="1" customWidth="1"/>
    <col min="11294" max="11295" width="14" style="172" bestFit="1" customWidth="1"/>
    <col min="11296" max="11297" width="13.140625" style="172" bestFit="1" customWidth="1"/>
    <col min="11298" max="11298" width="14" style="172" bestFit="1" customWidth="1"/>
    <col min="11299" max="11302" width="9.28515625" style="172" bestFit="1" customWidth="1"/>
    <col min="11303" max="11304" width="11.7109375" style="172" bestFit="1" customWidth="1"/>
    <col min="11305" max="11305" width="9.28515625" style="172" bestFit="1" customWidth="1"/>
    <col min="11306" max="11306" width="11.7109375" style="172" bestFit="1" customWidth="1"/>
    <col min="11307" max="11307" width="13.140625" style="172" bestFit="1" customWidth="1"/>
    <col min="11308" max="11309" width="11.7109375" style="172" bestFit="1" customWidth="1"/>
    <col min="11310" max="11310" width="9.28515625" style="172" bestFit="1" customWidth="1"/>
    <col min="11311" max="11311" width="13.140625" style="172" bestFit="1" customWidth="1"/>
    <col min="11312" max="11312" width="9.28515625" style="172" bestFit="1" customWidth="1"/>
    <col min="11313" max="11314" width="13.140625" style="172" bestFit="1" customWidth="1"/>
    <col min="11315" max="11315" width="14.85546875" style="172" bestFit="1" customWidth="1"/>
    <col min="11316" max="11520" width="9.140625" style="172"/>
    <col min="11521" max="11521" width="9.28515625" style="172" customWidth="1"/>
    <col min="11522" max="11522" width="8.85546875" style="172" bestFit="1" customWidth="1"/>
    <col min="11523" max="11523" width="8.7109375" style="172" bestFit="1" customWidth="1"/>
    <col min="11524" max="11524" width="8.85546875" style="172" bestFit="1" customWidth="1"/>
    <col min="11525" max="11525" width="8" style="172" bestFit="1" customWidth="1"/>
    <col min="11526" max="11526" width="9" style="172" bestFit="1" customWidth="1"/>
    <col min="11527" max="11527" width="10.140625" style="172" customWidth="1"/>
    <col min="11528" max="11528" width="11" style="172" bestFit="1" customWidth="1"/>
    <col min="11529" max="11530" width="10.5703125" style="172" bestFit="1" customWidth="1"/>
    <col min="11531" max="11531" width="9.85546875" style="172" customWidth="1"/>
    <col min="11532" max="11532" width="11.5703125" style="172" customWidth="1"/>
    <col min="11533" max="11533" width="11.42578125" style="172" customWidth="1"/>
    <col min="11534" max="11534" width="10.140625" style="172" customWidth="1"/>
    <col min="11535" max="11535" width="10.28515625" style="172" bestFit="1" customWidth="1"/>
    <col min="11536" max="11536" width="12.140625" style="172" bestFit="1" customWidth="1"/>
    <col min="11537" max="11537" width="12" style="172" bestFit="1" customWidth="1"/>
    <col min="11538" max="11538" width="12.140625" style="172" customWidth="1"/>
    <col min="11539" max="11539" width="10.85546875" style="172" customWidth="1"/>
    <col min="11540" max="11540" width="8.85546875" style="172" bestFit="1" customWidth="1"/>
    <col min="11541" max="11541" width="9" style="172" bestFit="1" customWidth="1"/>
    <col min="11542" max="11542" width="8.5703125" style="172" bestFit="1" customWidth="1"/>
    <col min="11543" max="11543" width="7.85546875" style="172" bestFit="1" customWidth="1"/>
    <col min="11544" max="11544" width="10.28515625" style="172" bestFit="1" customWidth="1"/>
    <col min="11545" max="11545" width="11.85546875" style="172" bestFit="1" customWidth="1"/>
    <col min="11546" max="11546" width="11.7109375" style="172" bestFit="1" customWidth="1"/>
    <col min="11547" max="11547" width="13.140625" style="172" bestFit="1" customWidth="1"/>
    <col min="11548" max="11548" width="5.5703125" style="172" bestFit="1" customWidth="1"/>
    <col min="11549" max="11549" width="10" style="172" bestFit="1" customWidth="1"/>
    <col min="11550" max="11551" width="14" style="172" bestFit="1" customWidth="1"/>
    <col min="11552" max="11553" width="13.140625" style="172" bestFit="1" customWidth="1"/>
    <col min="11554" max="11554" width="14" style="172" bestFit="1" customWidth="1"/>
    <col min="11555" max="11558" width="9.28515625" style="172" bestFit="1" customWidth="1"/>
    <col min="11559" max="11560" width="11.7109375" style="172" bestFit="1" customWidth="1"/>
    <col min="11561" max="11561" width="9.28515625" style="172" bestFit="1" customWidth="1"/>
    <col min="11562" max="11562" width="11.7109375" style="172" bestFit="1" customWidth="1"/>
    <col min="11563" max="11563" width="13.140625" style="172" bestFit="1" customWidth="1"/>
    <col min="11564" max="11565" width="11.7109375" style="172" bestFit="1" customWidth="1"/>
    <col min="11566" max="11566" width="9.28515625" style="172" bestFit="1" customWidth="1"/>
    <col min="11567" max="11567" width="13.140625" style="172" bestFit="1" customWidth="1"/>
    <col min="11568" max="11568" width="9.28515625" style="172" bestFit="1" customWidth="1"/>
    <col min="11569" max="11570" width="13.140625" style="172" bestFit="1" customWidth="1"/>
    <col min="11571" max="11571" width="14.85546875" style="172" bestFit="1" customWidth="1"/>
    <col min="11572" max="11776" width="9.140625" style="172"/>
    <col min="11777" max="11777" width="9.28515625" style="172" customWidth="1"/>
    <col min="11778" max="11778" width="8.85546875" style="172" bestFit="1" customWidth="1"/>
    <col min="11779" max="11779" width="8.7109375" style="172" bestFit="1" customWidth="1"/>
    <col min="11780" max="11780" width="8.85546875" style="172" bestFit="1" customWidth="1"/>
    <col min="11781" max="11781" width="8" style="172" bestFit="1" customWidth="1"/>
    <col min="11782" max="11782" width="9" style="172" bestFit="1" customWidth="1"/>
    <col min="11783" max="11783" width="10.140625" style="172" customWidth="1"/>
    <col min="11784" max="11784" width="11" style="172" bestFit="1" customWidth="1"/>
    <col min="11785" max="11786" width="10.5703125" style="172" bestFit="1" customWidth="1"/>
    <col min="11787" max="11787" width="9.85546875" style="172" customWidth="1"/>
    <col min="11788" max="11788" width="11.5703125" style="172" customWidth="1"/>
    <col min="11789" max="11789" width="11.42578125" style="172" customWidth="1"/>
    <col min="11790" max="11790" width="10.140625" style="172" customWidth="1"/>
    <col min="11791" max="11791" width="10.28515625" style="172" bestFit="1" customWidth="1"/>
    <col min="11792" max="11792" width="12.140625" style="172" bestFit="1" customWidth="1"/>
    <col min="11793" max="11793" width="12" style="172" bestFit="1" customWidth="1"/>
    <col min="11794" max="11794" width="12.140625" style="172" customWidth="1"/>
    <col min="11795" max="11795" width="10.85546875" style="172" customWidth="1"/>
    <col min="11796" max="11796" width="8.85546875" style="172" bestFit="1" customWidth="1"/>
    <col min="11797" max="11797" width="9" style="172" bestFit="1" customWidth="1"/>
    <col min="11798" max="11798" width="8.5703125" style="172" bestFit="1" customWidth="1"/>
    <col min="11799" max="11799" width="7.85546875" style="172" bestFit="1" customWidth="1"/>
    <col min="11800" max="11800" width="10.28515625" style="172" bestFit="1" customWidth="1"/>
    <col min="11801" max="11801" width="11.85546875" style="172" bestFit="1" customWidth="1"/>
    <col min="11802" max="11802" width="11.7109375" style="172" bestFit="1" customWidth="1"/>
    <col min="11803" max="11803" width="13.140625" style="172" bestFit="1" customWidth="1"/>
    <col min="11804" max="11804" width="5.5703125" style="172" bestFit="1" customWidth="1"/>
    <col min="11805" max="11805" width="10" style="172" bestFit="1" customWidth="1"/>
    <col min="11806" max="11807" width="14" style="172" bestFit="1" customWidth="1"/>
    <col min="11808" max="11809" width="13.140625" style="172" bestFit="1" customWidth="1"/>
    <col min="11810" max="11810" width="14" style="172" bestFit="1" customWidth="1"/>
    <col min="11811" max="11814" width="9.28515625" style="172" bestFit="1" customWidth="1"/>
    <col min="11815" max="11816" width="11.7109375" style="172" bestFit="1" customWidth="1"/>
    <col min="11817" max="11817" width="9.28515625" style="172" bestFit="1" customWidth="1"/>
    <col min="11818" max="11818" width="11.7109375" style="172" bestFit="1" customWidth="1"/>
    <col min="11819" max="11819" width="13.140625" style="172" bestFit="1" customWidth="1"/>
    <col min="11820" max="11821" width="11.7109375" style="172" bestFit="1" customWidth="1"/>
    <col min="11822" max="11822" width="9.28515625" style="172" bestFit="1" customWidth="1"/>
    <col min="11823" max="11823" width="13.140625" style="172" bestFit="1" customWidth="1"/>
    <col min="11824" max="11824" width="9.28515625" style="172" bestFit="1" customWidth="1"/>
    <col min="11825" max="11826" width="13.140625" style="172" bestFit="1" customWidth="1"/>
    <col min="11827" max="11827" width="14.85546875" style="172" bestFit="1" customWidth="1"/>
    <col min="11828" max="12032" width="9.140625" style="172"/>
    <col min="12033" max="12033" width="9.28515625" style="172" customWidth="1"/>
    <col min="12034" max="12034" width="8.85546875" style="172" bestFit="1" customWidth="1"/>
    <col min="12035" max="12035" width="8.7109375" style="172" bestFit="1" customWidth="1"/>
    <col min="12036" max="12036" width="8.85546875" style="172" bestFit="1" customWidth="1"/>
    <col min="12037" max="12037" width="8" style="172" bestFit="1" customWidth="1"/>
    <col min="12038" max="12038" width="9" style="172" bestFit="1" customWidth="1"/>
    <col min="12039" max="12039" width="10.140625" style="172" customWidth="1"/>
    <col min="12040" max="12040" width="11" style="172" bestFit="1" customWidth="1"/>
    <col min="12041" max="12042" width="10.5703125" style="172" bestFit="1" customWidth="1"/>
    <col min="12043" max="12043" width="9.85546875" style="172" customWidth="1"/>
    <col min="12044" max="12044" width="11.5703125" style="172" customWidth="1"/>
    <col min="12045" max="12045" width="11.42578125" style="172" customWidth="1"/>
    <col min="12046" max="12046" width="10.140625" style="172" customWidth="1"/>
    <col min="12047" max="12047" width="10.28515625" style="172" bestFit="1" customWidth="1"/>
    <col min="12048" max="12048" width="12.140625" style="172" bestFit="1" customWidth="1"/>
    <col min="12049" max="12049" width="12" style="172" bestFit="1" customWidth="1"/>
    <col min="12050" max="12050" width="12.140625" style="172" customWidth="1"/>
    <col min="12051" max="12051" width="10.85546875" style="172" customWidth="1"/>
    <col min="12052" max="12052" width="8.85546875" style="172" bestFit="1" customWidth="1"/>
    <col min="12053" max="12053" width="9" style="172" bestFit="1" customWidth="1"/>
    <col min="12054" max="12054" width="8.5703125" style="172" bestFit="1" customWidth="1"/>
    <col min="12055" max="12055" width="7.85546875" style="172" bestFit="1" customWidth="1"/>
    <col min="12056" max="12056" width="10.28515625" style="172" bestFit="1" customWidth="1"/>
    <col min="12057" max="12057" width="11.85546875" style="172" bestFit="1" customWidth="1"/>
    <col min="12058" max="12058" width="11.7109375" style="172" bestFit="1" customWidth="1"/>
    <col min="12059" max="12059" width="13.140625" style="172" bestFit="1" customWidth="1"/>
    <col min="12060" max="12060" width="5.5703125" style="172" bestFit="1" customWidth="1"/>
    <col min="12061" max="12061" width="10" style="172" bestFit="1" customWidth="1"/>
    <col min="12062" max="12063" width="14" style="172" bestFit="1" customWidth="1"/>
    <col min="12064" max="12065" width="13.140625" style="172" bestFit="1" customWidth="1"/>
    <col min="12066" max="12066" width="14" style="172" bestFit="1" customWidth="1"/>
    <col min="12067" max="12070" width="9.28515625" style="172" bestFit="1" customWidth="1"/>
    <col min="12071" max="12072" width="11.7109375" style="172" bestFit="1" customWidth="1"/>
    <col min="12073" max="12073" width="9.28515625" style="172" bestFit="1" customWidth="1"/>
    <col min="12074" max="12074" width="11.7109375" style="172" bestFit="1" customWidth="1"/>
    <col min="12075" max="12075" width="13.140625" style="172" bestFit="1" customWidth="1"/>
    <col min="12076" max="12077" width="11.7109375" style="172" bestFit="1" customWidth="1"/>
    <col min="12078" max="12078" width="9.28515625" style="172" bestFit="1" customWidth="1"/>
    <col min="12079" max="12079" width="13.140625" style="172" bestFit="1" customWidth="1"/>
    <col min="12080" max="12080" width="9.28515625" style="172" bestFit="1" customWidth="1"/>
    <col min="12081" max="12082" width="13.140625" style="172" bestFit="1" customWidth="1"/>
    <col min="12083" max="12083" width="14.85546875" style="172" bestFit="1" customWidth="1"/>
    <col min="12084" max="12288" width="9.140625" style="172"/>
    <col min="12289" max="12289" width="9.28515625" style="172" customWidth="1"/>
    <col min="12290" max="12290" width="8.85546875" style="172" bestFit="1" customWidth="1"/>
    <col min="12291" max="12291" width="8.7109375" style="172" bestFit="1" customWidth="1"/>
    <col min="12292" max="12292" width="8.85546875" style="172" bestFit="1" customWidth="1"/>
    <col min="12293" max="12293" width="8" style="172" bestFit="1" customWidth="1"/>
    <col min="12294" max="12294" width="9" style="172" bestFit="1" customWidth="1"/>
    <col min="12295" max="12295" width="10.140625" style="172" customWidth="1"/>
    <col min="12296" max="12296" width="11" style="172" bestFit="1" customWidth="1"/>
    <col min="12297" max="12298" width="10.5703125" style="172" bestFit="1" customWidth="1"/>
    <col min="12299" max="12299" width="9.85546875" style="172" customWidth="1"/>
    <col min="12300" max="12300" width="11.5703125" style="172" customWidth="1"/>
    <col min="12301" max="12301" width="11.42578125" style="172" customWidth="1"/>
    <col min="12302" max="12302" width="10.140625" style="172" customWidth="1"/>
    <col min="12303" max="12303" width="10.28515625" style="172" bestFit="1" customWidth="1"/>
    <col min="12304" max="12304" width="12.140625" style="172" bestFit="1" customWidth="1"/>
    <col min="12305" max="12305" width="12" style="172" bestFit="1" customWidth="1"/>
    <col min="12306" max="12306" width="12.140625" style="172" customWidth="1"/>
    <col min="12307" max="12307" width="10.85546875" style="172" customWidth="1"/>
    <col min="12308" max="12308" width="8.85546875" style="172" bestFit="1" customWidth="1"/>
    <col min="12309" max="12309" width="9" style="172" bestFit="1" customWidth="1"/>
    <col min="12310" max="12310" width="8.5703125" style="172" bestFit="1" customWidth="1"/>
    <col min="12311" max="12311" width="7.85546875" style="172" bestFit="1" customWidth="1"/>
    <col min="12312" max="12312" width="10.28515625" style="172" bestFit="1" customWidth="1"/>
    <col min="12313" max="12313" width="11.85546875" style="172" bestFit="1" customWidth="1"/>
    <col min="12314" max="12314" width="11.7109375" style="172" bestFit="1" customWidth="1"/>
    <col min="12315" max="12315" width="13.140625" style="172" bestFit="1" customWidth="1"/>
    <col min="12316" max="12316" width="5.5703125" style="172" bestFit="1" customWidth="1"/>
    <col min="12317" max="12317" width="10" style="172" bestFit="1" customWidth="1"/>
    <col min="12318" max="12319" width="14" style="172" bestFit="1" customWidth="1"/>
    <col min="12320" max="12321" width="13.140625" style="172" bestFit="1" customWidth="1"/>
    <col min="12322" max="12322" width="14" style="172" bestFit="1" customWidth="1"/>
    <col min="12323" max="12326" width="9.28515625" style="172" bestFit="1" customWidth="1"/>
    <col min="12327" max="12328" width="11.7109375" style="172" bestFit="1" customWidth="1"/>
    <col min="12329" max="12329" width="9.28515625" style="172" bestFit="1" customWidth="1"/>
    <col min="12330" max="12330" width="11.7109375" style="172" bestFit="1" customWidth="1"/>
    <col min="12331" max="12331" width="13.140625" style="172" bestFit="1" customWidth="1"/>
    <col min="12332" max="12333" width="11.7109375" style="172" bestFit="1" customWidth="1"/>
    <col min="12334" max="12334" width="9.28515625" style="172" bestFit="1" customWidth="1"/>
    <col min="12335" max="12335" width="13.140625" style="172" bestFit="1" customWidth="1"/>
    <col min="12336" max="12336" width="9.28515625" style="172" bestFit="1" customWidth="1"/>
    <col min="12337" max="12338" width="13.140625" style="172" bestFit="1" customWidth="1"/>
    <col min="12339" max="12339" width="14.85546875" style="172" bestFit="1" customWidth="1"/>
    <col min="12340" max="12544" width="9.140625" style="172"/>
    <col min="12545" max="12545" width="9.28515625" style="172" customWidth="1"/>
    <col min="12546" max="12546" width="8.85546875" style="172" bestFit="1" customWidth="1"/>
    <col min="12547" max="12547" width="8.7109375" style="172" bestFit="1" customWidth="1"/>
    <col min="12548" max="12548" width="8.85546875" style="172" bestFit="1" customWidth="1"/>
    <col min="12549" max="12549" width="8" style="172" bestFit="1" customWidth="1"/>
    <col min="12550" max="12550" width="9" style="172" bestFit="1" customWidth="1"/>
    <col min="12551" max="12551" width="10.140625" style="172" customWidth="1"/>
    <col min="12552" max="12552" width="11" style="172" bestFit="1" customWidth="1"/>
    <col min="12553" max="12554" width="10.5703125" style="172" bestFit="1" customWidth="1"/>
    <col min="12555" max="12555" width="9.85546875" style="172" customWidth="1"/>
    <col min="12556" max="12556" width="11.5703125" style="172" customWidth="1"/>
    <col min="12557" max="12557" width="11.42578125" style="172" customWidth="1"/>
    <col min="12558" max="12558" width="10.140625" style="172" customWidth="1"/>
    <col min="12559" max="12559" width="10.28515625" style="172" bestFit="1" customWidth="1"/>
    <col min="12560" max="12560" width="12.140625" style="172" bestFit="1" customWidth="1"/>
    <col min="12561" max="12561" width="12" style="172" bestFit="1" customWidth="1"/>
    <col min="12562" max="12562" width="12.140625" style="172" customWidth="1"/>
    <col min="12563" max="12563" width="10.85546875" style="172" customWidth="1"/>
    <col min="12564" max="12564" width="8.85546875" style="172" bestFit="1" customWidth="1"/>
    <col min="12565" max="12565" width="9" style="172" bestFit="1" customWidth="1"/>
    <col min="12566" max="12566" width="8.5703125" style="172" bestFit="1" customWidth="1"/>
    <col min="12567" max="12567" width="7.85546875" style="172" bestFit="1" customWidth="1"/>
    <col min="12568" max="12568" width="10.28515625" style="172" bestFit="1" customWidth="1"/>
    <col min="12569" max="12569" width="11.85546875" style="172" bestFit="1" customWidth="1"/>
    <col min="12570" max="12570" width="11.7109375" style="172" bestFit="1" customWidth="1"/>
    <col min="12571" max="12571" width="13.140625" style="172" bestFit="1" customWidth="1"/>
    <col min="12572" max="12572" width="5.5703125" style="172" bestFit="1" customWidth="1"/>
    <col min="12573" max="12573" width="10" style="172" bestFit="1" customWidth="1"/>
    <col min="12574" max="12575" width="14" style="172" bestFit="1" customWidth="1"/>
    <col min="12576" max="12577" width="13.140625" style="172" bestFit="1" customWidth="1"/>
    <col min="12578" max="12578" width="14" style="172" bestFit="1" customWidth="1"/>
    <col min="12579" max="12582" width="9.28515625" style="172" bestFit="1" customWidth="1"/>
    <col min="12583" max="12584" width="11.7109375" style="172" bestFit="1" customWidth="1"/>
    <col min="12585" max="12585" width="9.28515625" style="172" bestFit="1" customWidth="1"/>
    <col min="12586" max="12586" width="11.7109375" style="172" bestFit="1" customWidth="1"/>
    <col min="12587" max="12587" width="13.140625" style="172" bestFit="1" customWidth="1"/>
    <col min="12588" max="12589" width="11.7109375" style="172" bestFit="1" customWidth="1"/>
    <col min="12590" max="12590" width="9.28515625" style="172" bestFit="1" customWidth="1"/>
    <col min="12591" max="12591" width="13.140625" style="172" bestFit="1" customWidth="1"/>
    <col min="12592" max="12592" width="9.28515625" style="172" bestFit="1" customWidth="1"/>
    <col min="12593" max="12594" width="13.140625" style="172" bestFit="1" customWidth="1"/>
    <col min="12595" max="12595" width="14.85546875" style="172" bestFit="1" customWidth="1"/>
    <col min="12596" max="12800" width="9.140625" style="172"/>
    <col min="12801" max="12801" width="9.28515625" style="172" customWidth="1"/>
    <col min="12802" max="12802" width="8.85546875" style="172" bestFit="1" customWidth="1"/>
    <col min="12803" max="12803" width="8.7109375" style="172" bestFit="1" customWidth="1"/>
    <col min="12804" max="12804" width="8.85546875" style="172" bestFit="1" customWidth="1"/>
    <col min="12805" max="12805" width="8" style="172" bestFit="1" customWidth="1"/>
    <col min="12806" max="12806" width="9" style="172" bestFit="1" customWidth="1"/>
    <col min="12807" max="12807" width="10.140625" style="172" customWidth="1"/>
    <col min="12808" max="12808" width="11" style="172" bestFit="1" customWidth="1"/>
    <col min="12809" max="12810" width="10.5703125" style="172" bestFit="1" customWidth="1"/>
    <col min="12811" max="12811" width="9.85546875" style="172" customWidth="1"/>
    <col min="12812" max="12812" width="11.5703125" style="172" customWidth="1"/>
    <col min="12813" max="12813" width="11.42578125" style="172" customWidth="1"/>
    <col min="12814" max="12814" width="10.140625" style="172" customWidth="1"/>
    <col min="12815" max="12815" width="10.28515625" style="172" bestFit="1" customWidth="1"/>
    <col min="12816" max="12816" width="12.140625" style="172" bestFit="1" customWidth="1"/>
    <col min="12817" max="12817" width="12" style="172" bestFit="1" customWidth="1"/>
    <col min="12818" max="12818" width="12.140625" style="172" customWidth="1"/>
    <col min="12819" max="12819" width="10.85546875" style="172" customWidth="1"/>
    <col min="12820" max="12820" width="8.85546875" style="172" bestFit="1" customWidth="1"/>
    <col min="12821" max="12821" width="9" style="172" bestFit="1" customWidth="1"/>
    <col min="12822" max="12822" width="8.5703125" style="172" bestFit="1" customWidth="1"/>
    <col min="12823" max="12823" width="7.85546875" style="172" bestFit="1" customWidth="1"/>
    <col min="12824" max="12824" width="10.28515625" style="172" bestFit="1" customWidth="1"/>
    <col min="12825" max="12825" width="11.85546875" style="172" bestFit="1" customWidth="1"/>
    <col min="12826" max="12826" width="11.7109375" style="172" bestFit="1" customWidth="1"/>
    <col min="12827" max="12827" width="13.140625" style="172" bestFit="1" customWidth="1"/>
    <col min="12828" max="12828" width="5.5703125" style="172" bestFit="1" customWidth="1"/>
    <col min="12829" max="12829" width="10" style="172" bestFit="1" customWidth="1"/>
    <col min="12830" max="12831" width="14" style="172" bestFit="1" customWidth="1"/>
    <col min="12832" max="12833" width="13.140625" style="172" bestFit="1" customWidth="1"/>
    <col min="12834" max="12834" width="14" style="172" bestFit="1" customWidth="1"/>
    <col min="12835" max="12838" width="9.28515625" style="172" bestFit="1" customWidth="1"/>
    <col min="12839" max="12840" width="11.7109375" style="172" bestFit="1" customWidth="1"/>
    <col min="12841" max="12841" width="9.28515625" style="172" bestFit="1" customWidth="1"/>
    <col min="12842" max="12842" width="11.7109375" style="172" bestFit="1" customWidth="1"/>
    <col min="12843" max="12843" width="13.140625" style="172" bestFit="1" customWidth="1"/>
    <col min="12844" max="12845" width="11.7109375" style="172" bestFit="1" customWidth="1"/>
    <col min="12846" max="12846" width="9.28515625" style="172" bestFit="1" customWidth="1"/>
    <col min="12847" max="12847" width="13.140625" style="172" bestFit="1" customWidth="1"/>
    <col min="12848" max="12848" width="9.28515625" style="172" bestFit="1" customWidth="1"/>
    <col min="12849" max="12850" width="13.140625" style="172" bestFit="1" customWidth="1"/>
    <col min="12851" max="12851" width="14.85546875" style="172" bestFit="1" customWidth="1"/>
    <col min="12852" max="13056" width="9.140625" style="172"/>
    <col min="13057" max="13057" width="9.28515625" style="172" customWidth="1"/>
    <col min="13058" max="13058" width="8.85546875" style="172" bestFit="1" customWidth="1"/>
    <col min="13059" max="13059" width="8.7109375" style="172" bestFit="1" customWidth="1"/>
    <col min="13060" max="13060" width="8.85546875" style="172" bestFit="1" customWidth="1"/>
    <col min="13061" max="13061" width="8" style="172" bestFit="1" customWidth="1"/>
    <col min="13062" max="13062" width="9" style="172" bestFit="1" customWidth="1"/>
    <col min="13063" max="13063" width="10.140625" style="172" customWidth="1"/>
    <col min="13064" max="13064" width="11" style="172" bestFit="1" customWidth="1"/>
    <col min="13065" max="13066" width="10.5703125" style="172" bestFit="1" customWidth="1"/>
    <col min="13067" max="13067" width="9.85546875" style="172" customWidth="1"/>
    <col min="13068" max="13068" width="11.5703125" style="172" customWidth="1"/>
    <col min="13069" max="13069" width="11.42578125" style="172" customWidth="1"/>
    <col min="13070" max="13070" width="10.140625" style="172" customWidth="1"/>
    <col min="13071" max="13071" width="10.28515625" style="172" bestFit="1" customWidth="1"/>
    <col min="13072" max="13072" width="12.140625" style="172" bestFit="1" customWidth="1"/>
    <col min="13073" max="13073" width="12" style="172" bestFit="1" customWidth="1"/>
    <col min="13074" max="13074" width="12.140625" style="172" customWidth="1"/>
    <col min="13075" max="13075" width="10.85546875" style="172" customWidth="1"/>
    <col min="13076" max="13076" width="8.85546875" style="172" bestFit="1" customWidth="1"/>
    <col min="13077" max="13077" width="9" style="172" bestFit="1" customWidth="1"/>
    <col min="13078" max="13078" width="8.5703125" style="172" bestFit="1" customWidth="1"/>
    <col min="13079" max="13079" width="7.85546875" style="172" bestFit="1" customWidth="1"/>
    <col min="13080" max="13080" width="10.28515625" style="172" bestFit="1" customWidth="1"/>
    <col min="13081" max="13081" width="11.85546875" style="172" bestFit="1" customWidth="1"/>
    <col min="13082" max="13082" width="11.7109375" style="172" bestFit="1" customWidth="1"/>
    <col min="13083" max="13083" width="13.140625" style="172" bestFit="1" customWidth="1"/>
    <col min="13084" max="13084" width="5.5703125" style="172" bestFit="1" customWidth="1"/>
    <col min="13085" max="13085" width="10" style="172" bestFit="1" customWidth="1"/>
    <col min="13086" max="13087" width="14" style="172" bestFit="1" customWidth="1"/>
    <col min="13088" max="13089" width="13.140625" style="172" bestFit="1" customWidth="1"/>
    <col min="13090" max="13090" width="14" style="172" bestFit="1" customWidth="1"/>
    <col min="13091" max="13094" width="9.28515625" style="172" bestFit="1" customWidth="1"/>
    <col min="13095" max="13096" width="11.7109375" style="172" bestFit="1" customWidth="1"/>
    <col min="13097" max="13097" width="9.28515625" style="172" bestFit="1" customWidth="1"/>
    <col min="13098" max="13098" width="11.7109375" style="172" bestFit="1" customWidth="1"/>
    <col min="13099" max="13099" width="13.140625" style="172" bestFit="1" customWidth="1"/>
    <col min="13100" max="13101" width="11.7109375" style="172" bestFit="1" customWidth="1"/>
    <col min="13102" max="13102" width="9.28515625" style="172" bestFit="1" customWidth="1"/>
    <col min="13103" max="13103" width="13.140625" style="172" bestFit="1" customWidth="1"/>
    <col min="13104" max="13104" width="9.28515625" style="172" bestFit="1" customWidth="1"/>
    <col min="13105" max="13106" width="13.140625" style="172" bestFit="1" customWidth="1"/>
    <col min="13107" max="13107" width="14.85546875" style="172" bestFit="1" customWidth="1"/>
    <col min="13108" max="13312" width="9.140625" style="172"/>
    <col min="13313" max="13313" width="9.28515625" style="172" customWidth="1"/>
    <col min="13314" max="13314" width="8.85546875" style="172" bestFit="1" customWidth="1"/>
    <col min="13315" max="13315" width="8.7109375" style="172" bestFit="1" customWidth="1"/>
    <col min="13316" max="13316" width="8.85546875" style="172" bestFit="1" customWidth="1"/>
    <col min="13317" max="13317" width="8" style="172" bestFit="1" customWidth="1"/>
    <col min="13318" max="13318" width="9" style="172" bestFit="1" customWidth="1"/>
    <col min="13319" max="13319" width="10.140625" style="172" customWidth="1"/>
    <col min="13320" max="13320" width="11" style="172" bestFit="1" customWidth="1"/>
    <col min="13321" max="13322" width="10.5703125" style="172" bestFit="1" customWidth="1"/>
    <col min="13323" max="13323" width="9.85546875" style="172" customWidth="1"/>
    <col min="13324" max="13324" width="11.5703125" style="172" customWidth="1"/>
    <col min="13325" max="13325" width="11.42578125" style="172" customWidth="1"/>
    <col min="13326" max="13326" width="10.140625" style="172" customWidth="1"/>
    <col min="13327" max="13327" width="10.28515625" style="172" bestFit="1" customWidth="1"/>
    <col min="13328" max="13328" width="12.140625" style="172" bestFit="1" customWidth="1"/>
    <col min="13329" max="13329" width="12" style="172" bestFit="1" customWidth="1"/>
    <col min="13330" max="13330" width="12.140625" style="172" customWidth="1"/>
    <col min="13331" max="13331" width="10.85546875" style="172" customWidth="1"/>
    <col min="13332" max="13332" width="8.85546875" style="172" bestFit="1" customWidth="1"/>
    <col min="13333" max="13333" width="9" style="172" bestFit="1" customWidth="1"/>
    <col min="13334" max="13334" width="8.5703125" style="172" bestFit="1" customWidth="1"/>
    <col min="13335" max="13335" width="7.85546875" style="172" bestFit="1" customWidth="1"/>
    <col min="13336" max="13336" width="10.28515625" style="172" bestFit="1" customWidth="1"/>
    <col min="13337" max="13337" width="11.85546875" style="172" bestFit="1" customWidth="1"/>
    <col min="13338" max="13338" width="11.7109375" style="172" bestFit="1" customWidth="1"/>
    <col min="13339" max="13339" width="13.140625" style="172" bestFit="1" customWidth="1"/>
    <col min="13340" max="13340" width="5.5703125" style="172" bestFit="1" customWidth="1"/>
    <col min="13341" max="13341" width="10" style="172" bestFit="1" customWidth="1"/>
    <col min="13342" max="13343" width="14" style="172" bestFit="1" customWidth="1"/>
    <col min="13344" max="13345" width="13.140625" style="172" bestFit="1" customWidth="1"/>
    <col min="13346" max="13346" width="14" style="172" bestFit="1" customWidth="1"/>
    <col min="13347" max="13350" width="9.28515625" style="172" bestFit="1" customWidth="1"/>
    <col min="13351" max="13352" width="11.7109375" style="172" bestFit="1" customWidth="1"/>
    <col min="13353" max="13353" width="9.28515625" style="172" bestFit="1" customWidth="1"/>
    <col min="13354" max="13354" width="11.7109375" style="172" bestFit="1" customWidth="1"/>
    <col min="13355" max="13355" width="13.140625" style="172" bestFit="1" customWidth="1"/>
    <col min="13356" max="13357" width="11.7109375" style="172" bestFit="1" customWidth="1"/>
    <col min="13358" max="13358" width="9.28515625" style="172" bestFit="1" customWidth="1"/>
    <col min="13359" max="13359" width="13.140625" style="172" bestFit="1" customWidth="1"/>
    <col min="13360" max="13360" width="9.28515625" style="172" bestFit="1" customWidth="1"/>
    <col min="13361" max="13362" width="13.140625" style="172" bestFit="1" customWidth="1"/>
    <col min="13363" max="13363" width="14.85546875" style="172" bestFit="1" customWidth="1"/>
    <col min="13364" max="13568" width="9.140625" style="172"/>
    <col min="13569" max="13569" width="9.28515625" style="172" customWidth="1"/>
    <col min="13570" max="13570" width="8.85546875" style="172" bestFit="1" customWidth="1"/>
    <col min="13571" max="13571" width="8.7109375" style="172" bestFit="1" customWidth="1"/>
    <col min="13572" max="13572" width="8.85546875" style="172" bestFit="1" customWidth="1"/>
    <col min="13573" max="13573" width="8" style="172" bestFit="1" customWidth="1"/>
    <col min="13574" max="13574" width="9" style="172" bestFit="1" customWidth="1"/>
    <col min="13575" max="13575" width="10.140625" style="172" customWidth="1"/>
    <col min="13576" max="13576" width="11" style="172" bestFit="1" customWidth="1"/>
    <col min="13577" max="13578" width="10.5703125" style="172" bestFit="1" customWidth="1"/>
    <col min="13579" max="13579" width="9.85546875" style="172" customWidth="1"/>
    <col min="13580" max="13580" width="11.5703125" style="172" customWidth="1"/>
    <col min="13581" max="13581" width="11.42578125" style="172" customWidth="1"/>
    <col min="13582" max="13582" width="10.140625" style="172" customWidth="1"/>
    <col min="13583" max="13583" width="10.28515625" style="172" bestFit="1" customWidth="1"/>
    <col min="13584" max="13584" width="12.140625" style="172" bestFit="1" customWidth="1"/>
    <col min="13585" max="13585" width="12" style="172" bestFit="1" customWidth="1"/>
    <col min="13586" max="13586" width="12.140625" style="172" customWidth="1"/>
    <col min="13587" max="13587" width="10.85546875" style="172" customWidth="1"/>
    <col min="13588" max="13588" width="8.85546875" style="172" bestFit="1" customWidth="1"/>
    <col min="13589" max="13589" width="9" style="172" bestFit="1" customWidth="1"/>
    <col min="13590" max="13590" width="8.5703125" style="172" bestFit="1" customWidth="1"/>
    <col min="13591" max="13591" width="7.85546875" style="172" bestFit="1" customWidth="1"/>
    <col min="13592" max="13592" width="10.28515625" style="172" bestFit="1" customWidth="1"/>
    <col min="13593" max="13593" width="11.85546875" style="172" bestFit="1" customWidth="1"/>
    <col min="13594" max="13594" width="11.7109375" style="172" bestFit="1" customWidth="1"/>
    <col min="13595" max="13595" width="13.140625" style="172" bestFit="1" customWidth="1"/>
    <col min="13596" max="13596" width="5.5703125" style="172" bestFit="1" customWidth="1"/>
    <col min="13597" max="13597" width="10" style="172" bestFit="1" customWidth="1"/>
    <col min="13598" max="13599" width="14" style="172" bestFit="1" customWidth="1"/>
    <col min="13600" max="13601" width="13.140625" style="172" bestFit="1" customWidth="1"/>
    <col min="13602" max="13602" width="14" style="172" bestFit="1" customWidth="1"/>
    <col min="13603" max="13606" width="9.28515625" style="172" bestFit="1" customWidth="1"/>
    <col min="13607" max="13608" width="11.7109375" style="172" bestFit="1" customWidth="1"/>
    <col min="13609" max="13609" width="9.28515625" style="172" bestFit="1" customWidth="1"/>
    <col min="13610" max="13610" width="11.7109375" style="172" bestFit="1" customWidth="1"/>
    <col min="13611" max="13611" width="13.140625" style="172" bestFit="1" customWidth="1"/>
    <col min="13612" max="13613" width="11.7109375" style="172" bestFit="1" customWidth="1"/>
    <col min="13614" max="13614" width="9.28515625" style="172" bestFit="1" customWidth="1"/>
    <col min="13615" max="13615" width="13.140625" style="172" bestFit="1" customWidth="1"/>
    <col min="13616" max="13616" width="9.28515625" style="172" bestFit="1" customWidth="1"/>
    <col min="13617" max="13618" width="13.140625" style="172" bestFit="1" customWidth="1"/>
    <col min="13619" max="13619" width="14.85546875" style="172" bestFit="1" customWidth="1"/>
    <col min="13620" max="13824" width="9.140625" style="172"/>
    <col min="13825" max="13825" width="9.28515625" style="172" customWidth="1"/>
    <col min="13826" max="13826" width="8.85546875" style="172" bestFit="1" customWidth="1"/>
    <col min="13827" max="13827" width="8.7109375" style="172" bestFit="1" customWidth="1"/>
    <col min="13828" max="13828" width="8.85546875" style="172" bestFit="1" customWidth="1"/>
    <col min="13829" max="13829" width="8" style="172" bestFit="1" customWidth="1"/>
    <col min="13830" max="13830" width="9" style="172" bestFit="1" customWidth="1"/>
    <col min="13831" max="13831" width="10.140625" style="172" customWidth="1"/>
    <col min="13832" max="13832" width="11" style="172" bestFit="1" customWidth="1"/>
    <col min="13833" max="13834" width="10.5703125" style="172" bestFit="1" customWidth="1"/>
    <col min="13835" max="13835" width="9.85546875" style="172" customWidth="1"/>
    <col min="13836" max="13836" width="11.5703125" style="172" customWidth="1"/>
    <col min="13837" max="13837" width="11.42578125" style="172" customWidth="1"/>
    <col min="13838" max="13838" width="10.140625" style="172" customWidth="1"/>
    <col min="13839" max="13839" width="10.28515625" style="172" bestFit="1" customWidth="1"/>
    <col min="13840" max="13840" width="12.140625" style="172" bestFit="1" customWidth="1"/>
    <col min="13841" max="13841" width="12" style="172" bestFit="1" customWidth="1"/>
    <col min="13842" max="13842" width="12.140625" style="172" customWidth="1"/>
    <col min="13843" max="13843" width="10.85546875" style="172" customWidth="1"/>
    <col min="13844" max="13844" width="8.85546875" style="172" bestFit="1" customWidth="1"/>
    <col min="13845" max="13845" width="9" style="172" bestFit="1" customWidth="1"/>
    <col min="13846" max="13846" width="8.5703125" style="172" bestFit="1" customWidth="1"/>
    <col min="13847" max="13847" width="7.85546875" style="172" bestFit="1" customWidth="1"/>
    <col min="13848" max="13848" width="10.28515625" style="172" bestFit="1" customWidth="1"/>
    <col min="13849" max="13849" width="11.85546875" style="172" bestFit="1" customWidth="1"/>
    <col min="13850" max="13850" width="11.7109375" style="172" bestFit="1" customWidth="1"/>
    <col min="13851" max="13851" width="13.140625" style="172" bestFit="1" customWidth="1"/>
    <col min="13852" max="13852" width="5.5703125" style="172" bestFit="1" customWidth="1"/>
    <col min="13853" max="13853" width="10" style="172" bestFit="1" customWidth="1"/>
    <col min="13854" max="13855" width="14" style="172" bestFit="1" customWidth="1"/>
    <col min="13856" max="13857" width="13.140625" style="172" bestFit="1" customWidth="1"/>
    <col min="13858" max="13858" width="14" style="172" bestFit="1" customWidth="1"/>
    <col min="13859" max="13862" width="9.28515625" style="172" bestFit="1" customWidth="1"/>
    <col min="13863" max="13864" width="11.7109375" style="172" bestFit="1" customWidth="1"/>
    <col min="13865" max="13865" width="9.28515625" style="172" bestFit="1" customWidth="1"/>
    <col min="13866" max="13866" width="11.7109375" style="172" bestFit="1" customWidth="1"/>
    <col min="13867" max="13867" width="13.140625" style="172" bestFit="1" customWidth="1"/>
    <col min="13868" max="13869" width="11.7109375" style="172" bestFit="1" customWidth="1"/>
    <col min="13870" max="13870" width="9.28515625" style="172" bestFit="1" customWidth="1"/>
    <col min="13871" max="13871" width="13.140625" style="172" bestFit="1" customWidth="1"/>
    <col min="13872" max="13872" width="9.28515625" style="172" bestFit="1" customWidth="1"/>
    <col min="13873" max="13874" width="13.140625" style="172" bestFit="1" customWidth="1"/>
    <col min="13875" max="13875" width="14.85546875" style="172" bestFit="1" customWidth="1"/>
    <col min="13876" max="14080" width="9.140625" style="172"/>
    <col min="14081" max="14081" width="9.28515625" style="172" customWidth="1"/>
    <col min="14082" max="14082" width="8.85546875" style="172" bestFit="1" customWidth="1"/>
    <col min="14083" max="14083" width="8.7109375" style="172" bestFit="1" customWidth="1"/>
    <col min="14084" max="14084" width="8.85546875" style="172" bestFit="1" customWidth="1"/>
    <col min="14085" max="14085" width="8" style="172" bestFit="1" customWidth="1"/>
    <col min="14086" max="14086" width="9" style="172" bestFit="1" customWidth="1"/>
    <col min="14087" max="14087" width="10.140625" style="172" customWidth="1"/>
    <col min="14088" max="14088" width="11" style="172" bestFit="1" customWidth="1"/>
    <col min="14089" max="14090" width="10.5703125" style="172" bestFit="1" customWidth="1"/>
    <col min="14091" max="14091" width="9.85546875" style="172" customWidth="1"/>
    <col min="14092" max="14092" width="11.5703125" style="172" customWidth="1"/>
    <col min="14093" max="14093" width="11.42578125" style="172" customWidth="1"/>
    <col min="14094" max="14094" width="10.140625" style="172" customWidth="1"/>
    <col min="14095" max="14095" width="10.28515625" style="172" bestFit="1" customWidth="1"/>
    <col min="14096" max="14096" width="12.140625" style="172" bestFit="1" customWidth="1"/>
    <col min="14097" max="14097" width="12" style="172" bestFit="1" customWidth="1"/>
    <col min="14098" max="14098" width="12.140625" style="172" customWidth="1"/>
    <col min="14099" max="14099" width="10.85546875" style="172" customWidth="1"/>
    <col min="14100" max="14100" width="8.85546875" style="172" bestFit="1" customWidth="1"/>
    <col min="14101" max="14101" width="9" style="172" bestFit="1" customWidth="1"/>
    <col min="14102" max="14102" width="8.5703125" style="172" bestFit="1" customWidth="1"/>
    <col min="14103" max="14103" width="7.85546875" style="172" bestFit="1" customWidth="1"/>
    <col min="14104" max="14104" width="10.28515625" style="172" bestFit="1" customWidth="1"/>
    <col min="14105" max="14105" width="11.85546875" style="172" bestFit="1" customWidth="1"/>
    <col min="14106" max="14106" width="11.7109375" style="172" bestFit="1" customWidth="1"/>
    <col min="14107" max="14107" width="13.140625" style="172" bestFit="1" customWidth="1"/>
    <col min="14108" max="14108" width="5.5703125" style="172" bestFit="1" customWidth="1"/>
    <col min="14109" max="14109" width="10" style="172" bestFit="1" customWidth="1"/>
    <col min="14110" max="14111" width="14" style="172" bestFit="1" customWidth="1"/>
    <col min="14112" max="14113" width="13.140625" style="172" bestFit="1" customWidth="1"/>
    <col min="14114" max="14114" width="14" style="172" bestFit="1" customWidth="1"/>
    <col min="14115" max="14118" width="9.28515625" style="172" bestFit="1" customWidth="1"/>
    <col min="14119" max="14120" width="11.7109375" style="172" bestFit="1" customWidth="1"/>
    <col min="14121" max="14121" width="9.28515625" style="172" bestFit="1" customWidth="1"/>
    <col min="14122" max="14122" width="11.7109375" style="172" bestFit="1" customWidth="1"/>
    <col min="14123" max="14123" width="13.140625" style="172" bestFit="1" customWidth="1"/>
    <col min="14124" max="14125" width="11.7109375" style="172" bestFit="1" customWidth="1"/>
    <col min="14126" max="14126" width="9.28515625" style="172" bestFit="1" customWidth="1"/>
    <col min="14127" max="14127" width="13.140625" style="172" bestFit="1" customWidth="1"/>
    <col min="14128" max="14128" width="9.28515625" style="172" bestFit="1" customWidth="1"/>
    <col min="14129" max="14130" width="13.140625" style="172" bestFit="1" customWidth="1"/>
    <col min="14131" max="14131" width="14.85546875" style="172" bestFit="1" customWidth="1"/>
    <col min="14132" max="14336" width="9.140625" style="172"/>
    <col min="14337" max="14337" width="9.28515625" style="172" customWidth="1"/>
    <col min="14338" max="14338" width="8.85546875" style="172" bestFit="1" customWidth="1"/>
    <col min="14339" max="14339" width="8.7109375" style="172" bestFit="1" customWidth="1"/>
    <col min="14340" max="14340" width="8.85546875" style="172" bestFit="1" customWidth="1"/>
    <col min="14341" max="14341" width="8" style="172" bestFit="1" customWidth="1"/>
    <col min="14342" max="14342" width="9" style="172" bestFit="1" customWidth="1"/>
    <col min="14343" max="14343" width="10.140625" style="172" customWidth="1"/>
    <col min="14344" max="14344" width="11" style="172" bestFit="1" customWidth="1"/>
    <col min="14345" max="14346" width="10.5703125" style="172" bestFit="1" customWidth="1"/>
    <col min="14347" max="14347" width="9.85546875" style="172" customWidth="1"/>
    <col min="14348" max="14348" width="11.5703125" style="172" customWidth="1"/>
    <col min="14349" max="14349" width="11.42578125" style="172" customWidth="1"/>
    <col min="14350" max="14350" width="10.140625" style="172" customWidth="1"/>
    <col min="14351" max="14351" width="10.28515625" style="172" bestFit="1" customWidth="1"/>
    <col min="14352" max="14352" width="12.140625" style="172" bestFit="1" customWidth="1"/>
    <col min="14353" max="14353" width="12" style="172" bestFit="1" customWidth="1"/>
    <col min="14354" max="14354" width="12.140625" style="172" customWidth="1"/>
    <col min="14355" max="14355" width="10.85546875" style="172" customWidth="1"/>
    <col min="14356" max="14356" width="8.85546875" style="172" bestFit="1" customWidth="1"/>
    <col min="14357" max="14357" width="9" style="172" bestFit="1" customWidth="1"/>
    <col min="14358" max="14358" width="8.5703125" style="172" bestFit="1" customWidth="1"/>
    <col min="14359" max="14359" width="7.85546875" style="172" bestFit="1" customWidth="1"/>
    <col min="14360" max="14360" width="10.28515625" style="172" bestFit="1" customWidth="1"/>
    <col min="14361" max="14361" width="11.85546875" style="172" bestFit="1" customWidth="1"/>
    <col min="14362" max="14362" width="11.7109375" style="172" bestFit="1" customWidth="1"/>
    <col min="14363" max="14363" width="13.140625" style="172" bestFit="1" customWidth="1"/>
    <col min="14364" max="14364" width="5.5703125" style="172" bestFit="1" customWidth="1"/>
    <col min="14365" max="14365" width="10" style="172" bestFit="1" customWidth="1"/>
    <col min="14366" max="14367" width="14" style="172" bestFit="1" customWidth="1"/>
    <col min="14368" max="14369" width="13.140625" style="172" bestFit="1" customWidth="1"/>
    <col min="14370" max="14370" width="14" style="172" bestFit="1" customWidth="1"/>
    <col min="14371" max="14374" width="9.28515625" style="172" bestFit="1" customWidth="1"/>
    <col min="14375" max="14376" width="11.7109375" style="172" bestFit="1" customWidth="1"/>
    <col min="14377" max="14377" width="9.28515625" style="172" bestFit="1" customWidth="1"/>
    <col min="14378" max="14378" width="11.7109375" style="172" bestFit="1" customWidth="1"/>
    <col min="14379" max="14379" width="13.140625" style="172" bestFit="1" customWidth="1"/>
    <col min="14380" max="14381" width="11.7109375" style="172" bestFit="1" customWidth="1"/>
    <col min="14382" max="14382" width="9.28515625" style="172" bestFit="1" customWidth="1"/>
    <col min="14383" max="14383" width="13.140625" style="172" bestFit="1" customWidth="1"/>
    <col min="14384" max="14384" width="9.28515625" style="172" bestFit="1" customWidth="1"/>
    <col min="14385" max="14386" width="13.140625" style="172" bestFit="1" customWidth="1"/>
    <col min="14387" max="14387" width="14.85546875" style="172" bestFit="1" customWidth="1"/>
    <col min="14388" max="14592" width="9.140625" style="172"/>
    <col min="14593" max="14593" width="9.28515625" style="172" customWidth="1"/>
    <col min="14594" max="14594" width="8.85546875" style="172" bestFit="1" customWidth="1"/>
    <col min="14595" max="14595" width="8.7109375" style="172" bestFit="1" customWidth="1"/>
    <col min="14596" max="14596" width="8.85546875" style="172" bestFit="1" customWidth="1"/>
    <col min="14597" max="14597" width="8" style="172" bestFit="1" customWidth="1"/>
    <col min="14598" max="14598" width="9" style="172" bestFit="1" customWidth="1"/>
    <col min="14599" max="14599" width="10.140625" style="172" customWidth="1"/>
    <col min="14600" max="14600" width="11" style="172" bestFit="1" customWidth="1"/>
    <col min="14601" max="14602" width="10.5703125" style="172" bestFit="1" customWidth="1"/>
    <col min="14603" max="14603" width="9.85546875" style="172" customWidth="1"/>
    <col min="14604" max="14604" width="11.5703125" style="172" customWidth="1"/>
    <col min="14605" max="14605" width="11.42578125" style="172" customWidth="1"/>
    <col min="14606" max="14606" width="10.140625" style="172" customWidth="1"/>
    <col min="14607" max="14607" width="10.28515625" style="172" bestFit="1" customWidth="1"/>
    <col min="14608" max="14608" width="12.140625" style="172" bestFit="1" customWidth="1"/>
    <col min="14609" max="14609" width="12" style="172" bestFit="1" customWidth="1"/>
    <col min="14610" max="14610" width="12.140625" style="172" customWidth="1"/>
    <col min="14611" max="14611" width="10.85546875" style="172" customWidth="1"/>
    <col min="14612" max="14612" width="8.85546875" style="172" bestFit="1" customWidth="1"/>
    <col min="14613" max="14613" width="9" style="172" bestFit="1" customWidth="1"/>
    <col min="14614" max="14614" width="8.5703125" style="172" bestFit="1" customWidth="1"/>
    <col min="14615" max="14615" width="7.85546875" style="172" bestFit="1" customWidth="1"/>
    <col min="14616" max="14616" width="10.28515625" style="172" bestFit="1" customWidth="1"/>
    <col min="14617" max="14617" width="11.85546875" style="172" bestFit="1" customWidth="1"/>
    <col min="14618" max="14618" width="11.7109375" style="172" bestFit="1" customWidth="1"/>
    <col min="14619" max="14619" width="13.140625" style="172" bestFit="1" customWidth="1"/>
    <col min="14620" max="14620" width="5.5703125" style="172" bestFit="1" customWidth="1"/>
    <col min="14621" max="14621" width="10" style="172" bestFit="1" customWidth="1"/>
    <col min="14622" max="14623" width="14" style="172" bestFit="1" customWidth="1"/>
    <col min="14624" max="14625" width="13.140625" style="172" bestFit="1" customWidth="1"/>
    <col min="14626" max="14626" width="14" style="172" bestFit="1" customWidth="1"/>
    <col min="14627" max="14630" width="9.28515625" style="172" bestFit="1" customWidth="1"/>
    <col min="14631" max="14632" width="11.7109375" style="172" bestFit="1" customWidth="1"/>
    <col min="14633" max="14633" width="9.28515625" style="172" bestFit="1" customWidth="1"/>
    <col min="14634" max="14634" width="11.7109375" style="172" bestFit="1" customWidth="1"/>
    <col min="14635" max="14635" width="13.140625" style="172" bestFit="1" customWidth="1"/>
    <col min="14636" max="14637" width="11.7109375" style="172" bestFit="1" customWidth="1"/>
    <col min="14638" max="14638" width="9.28515625" style="172" bestFit="1" customWidth="1"/>
    <col min="14639" max="14639" width="13.140625" style="172" bestFit="1" customWidth="1"/>
    <col min="14640" max="14640" width="9.28515625" style="172" bestFit="1" customWidth="1"/>
    <col min="14641" max="14642" width="13.140625" style="172" bestFit="1" customWidth="1"/>
    <col min="14643" max="14643" width="14.85546875" style="172" bestFit="1" customWidth="1"/>
    <col min="14644" max="14848" width="9.140625" style="172"/>
    <col min="14849" max="14849" width="9.28515625" style="172" customWidth="1"/>
    <col min="14850" max="14850" width="8.85546875" style="172" bestFit="1" customWidth="1"/>
    <col min="14851" max="14851" width="8.7109375" style="172" bestFit="1" customWidth="1"/>
    <col min="14852" max="14852" width="8.85546875" style="172" bestFit="1" customWidth="1"/>
    <col min="14853" max="14853" width="8" style="172" bestFit="1" customWidth="1"/>
    <col min="14854" max="14854" width="9" style="172" bestFit="1" customWidth="1"/>
    <col min="14855" max="14855" width="10.140625" style="172" customWidth="1"/>
    <col min="14856" max="14856" width="11" style="172" bestFit="1" customWidth="1"/>
    <col min="14857" max="14858" width="10.5703125" style="172" bestFit="1" customWidth="1"/>
    <col min="14859" max="14859" width="9.85546875" style="172" customWidth="1"/>
    <col min="14860" max="14860" width="11.5703125" style="172" customWidth="1"/>
    <col min="14861" max="14861" width="11.42578125" style="172" customWidth="1"/>
    <col min="14862" max="14862" width="10.140625" style="172" customWidth="1"/>
    <col min="14863" max="14863" width="10.28515625" style="172" bestFit="1" customWidth="1"/>
    <col min="14864" max="14864" width="12.140625" style="172" bestFit="1" customWidth="1"/>
    <col min="14865" max="14865" width="12" style="172" bestFit="1" customWidth="1"/>
    <col min="14866" max="14866" width="12.140625" style="172" customWidth="1"/>
    <col min="14867" max="14867" width="10.85546875" style="172" customWidth="1"/>
    <col min="14868" max="14868" width="8.85546875" style="172" bestFit="1" customWidth="1"/>
    <col min="14869" max="14869" width="9" style="172" bestFit="1" customWidth="1"/>
    <col min="14870" max="14870" width="8.5703125" style="172" bestFit="1" customWidth="1"/>
    <col min="14871" max="14871" width="7.85546875" style="172" bestFit="1" customWidth="1"/>
    <col min="14872" max="14872" width="10.28515625" style="172" bestFit="1" customWidth="1"/>
    <col min="14873" max="14873" width="11.85546875" style="172" bestFit="1" customWidth="1"/>
    <col min="14874" max="14874" width="11.7109375" style="172" bestFit="1" customWidth="1"/>
    <col min="14875" max="14875" width="13.140625" style="172" bestFit="1" customWidth="1"/>
    <col min="14876" max="14876" width="5.5703125" style="172" bestFit="1" customWidth="1"/>
    <col min="14877" max="14877" width="10" style="172" bestFit="1" customWidth="1"/>
    <col min="14878" max="14879" width="14" style="172" bestFit="1" customWidth="1"/>
    <col min="14880" max="14881" width="13.140625" style="172" bestFit="1" customWidth="1"/>
    <col min="14882" max="14882" width="14" style="172" bestFit="1" customWidth="1"/>
    <col min="14883" max="14886" width="9.28515625" style="172" bestFit="1" customWidth="1"/>
    <col min="14887" max="14888" width="11.7109375" style="172" bestFit="1" customWidth="1"/>
    <col min="14889" max="14889" width="9.28515625" style="172" bestFit="1" customWidth="1"/>
    <col min="14890" max="14890" width="11.7109375" style="172" bestFit="1" customWidth="1"/>
    <col min="14891" max="14891" width="13.140625" style="172" bestFit="1" customWidth="1"/>
    <col min="14892" max="14893" width="11.7109375" style="172" bestFit="1" customWidth="1"/>
    <col min="14894" max="14894" width="9.28515625" style="172" bestFit="1" customWidth="1"/>
    <col min="14895" max="14895" width="13.140625" style="172" bestFit="1" customWidth="1"/>
    <col min="14896" max="14896" width="9.28515625" style="172" bestFit="1" customWidth="1"/>
    <col min="14897" max="14898" width="13.140625" style="172" bestFit="1" customWidth="1"/>
    <col min="14899" max="14899" width="14.85546875" style="172" bestFit="1" customWidth="1"/>
    <col min="14900" max="15104" width="9.140625" style="172"/>
    <col min="15105" max="15105" width="9.28515625" style="172" customWidth="1"/>
    <col min="15106" max="15106" width="8.85546875" style="172" bestFit="1" customWidth="1"/>
    <col min="15107" max="15107" width="8.7109375" style="172" bestFit="1" customWidth="1"/>
    <col min="15108" max="15108" width="8.85546875" style="172" bestFit="1" customWidth="1"/>
    <col min="15109" max="15109" width="8" style="172" bestFit="1" customWidth="1"/>
    <col min="15110" max="15110" width="9" style="172" bestFit="1" customWidth="1"/>
    <col min="15111" max="15111" width="10.140625" style="172" customWidth="1"/>
    <col min="15112" max="15112" width="11" style="172" bestFit="1" customWidth="1"/>
    <col min="15113" max="15114" width="10.5703125" style="172" bestFit="1" customWidth="1"/>
    <col min="15115" max="15115" width="9.85546875" style="172" customWidth="1"/>
    <col min="15116" max="15116" width="11.5703125" style="172" customWidth="1"/>
    <col min="15117" max="15117" width="11.42578125" style="172" customWidth="1"/>
    <col min="15118" max="15118" width="10.140625" style="172" customWidth="1"/>
    <col min="15119" max="15119" width="10.28515625" style="172" bestFit="1" customWidth="1"/>
    <col min="15120" max="15120" width="12.140625" style="172" bestFit="1" customWidth="1"/>
    <col min="15121" max="15121" width="12" style="172" bestFit="1" customWidth="1"/>
    <col min="15122" max="15122" width="12.140625" style="172" customWidth="1"/>
    <col min="15123" max="15123" width="10.85546875" style="172" customWidth="1"/>
    <col min="15124" max="15124" width="8.85546875" style="172" bestFit="1" customWidth="1"/>
    <col min="15125" max="15125" width="9" style="172" bestFit="1" customWidth="1"/>
    <col min="15126" max="15126" width="8.5703125" style="172" bestFit="1" customWidth="1"/>
    <col min="15127" max="15127" width="7.85546875" style="172" bestFit="1" customWidth="1"/>
    <col min="15128" max="15128" width="10.28515625" style="172" bestFit="1" customWidth="1"/>
    <col min="15129" max="15129" width="11.85546875" style="172" bestFit="1" customWidth="1"/>
    <col min="15130" max="15130" width="11.7109375" style="172" bestFit="1" customWidth="1"/>
    <col min="15131" max="15131" width="13.140625" style="172" bestFit="1" customWidth="1"/>
    <col min="15132" max="15132" width="5.5703125" style="172" bestFit="1" customWidth="1"/>
    <col min="15133" max="15133" width="10" style="172" bestFit="1" customWidth="1"/>
    <col min="15134" max="15135" width="14" style="172" bestFit="1" customWidth="1"/>
    <col min="15136" max="15137" width="13.140625" style="172" bestFit="1" customWidth="1"/>
    <col min="15138" max="15138" width="14" style="172" bestFit="1" customWidth="1"/>
    <col min="15139" max="15142" width="9.28515625" style="172" bestFit="1" customWidth="1"/>
    <col min="15143" max="15144" width="11.7109375" style="172" bestFit="1" customWidth="1"/>
    <col min="15145" max="15145" width="9.28515625" style="172" bestFit="1" customWidth="1"/>
    <col min="15146" max="15146" width="11.7109375" style="172" bestFit="1" customWidth="1"/>
    <col min="15147" max="15147" width="13.140625" style="172" bestFit="1" customWidth="1"/>
    <col min="15148" max="15149" width="11.7109375" style="172" bestFit="1" customWidth="1"/>
    <col min="15150" max="15150" width="9.28515625" style="172" bestFit="1" customWidth="1"/>
    <col min="15151" max="15151" width="13.140625" style="172" bestFit="1" customWidth="1"/>
    <col min="15152" max="15152" width="9.28515625" style="172" bestFit="1" customWidth="1"/>
    <col min="15153" max="15154" width="13.140625" style="172" bestFit="1" customWidth="1"/>
    <col min="15155" max="15155" width="14.85546875" style="172" bestFit="1" customWidth="1"/>
    <col min="15156" max="15360" width="9.140625" style="172"/>
    <col min="15361" max="15361" width="9.28515625" style="172" customWidth="1"/>
    <col min="15362" max="15362" width="8.85546875" style="172" bestFit="1" customWidth="1"/>
    <col min="15363" max="15363" width="8.7109375" style="172" bestFit="1" customWidth="1"/>
    <col min="15364" max="15364" width="8.85546875" style="172" bestFit="1" customWidth="1"/>
    <col min="15365" max="15365" width="8" style="172" bestFit="1" customWidth="1"/>
    <col min="15366" max="15366" width="9" style="172" bestFit="1" customWidth="1"/>
    <col min="15367" max="15367" width="10.140625" style="172" customWidth="1"/>
    <col min="15368" max="15368" width="11" style="172" bestFit="1" customWidth="1"/>
    <col min="15369" max="15370" width="10.5703125" style="172" bestFit="1" customWidth="1"/>
    <col min="15371" max="15371" width="9.85546875" style="172" customWidth="1"/>
    <col min="15372" max="15372" width="11.5703125" style="172" customWidth="1"/>
    <col min="15373" max="15373" width="11.42578125" style="172" customWidth="1"/>
    <col min="15374" max="15374" width="10.140625" style="172" customWidth="1"/>
    <col min="15375" max="15375" width="10.28515625" style="172" bestFit="1" customWidth="1"/>
    <col min="15376" max="15376" width="12.140625" style="172" bestFit="1" customWidth="1"/>
    <col min="15377" max="15377" width="12" style="172" bestFit="1" customWidth="1"/>
    <col min="15378" max="15378" width="12.140625" style="172" customWidth="1"/>
    <col min="15379" max="15379" width="10.85546875" style="172" customWidth="1"/>
    <col min="15380" max="15380" width="8.85546875" style="172" bestFit="1" customWidth="1"/>
    <col min="15381" max="15381" width="9" style="172" bestFit="1" customWidth="1"/>
    <col min="15382" max="15382" width="8.5703125" style="172" bestFit="1" customWidth="1"/>
    <col min="15383" max="15383" width="7.85546875" style="172" bestFit="1" customWidth="1"/>
    <col min="15384" max="15384" width="10.28515625" style="172" bestFit="1" customWidth="1"/>
    <col min="15385" max="15385" width="11.85546875" style="172" bestFit="1" customWidth="1"/>
    <col min="15386" max="15386" width="11.7109375" style="172" bestFit="1" customWidth="1"/>
    <col min="15387" max="15387" width="13.140625" style="172" bestFit="1" customWidth="1"/>
    <col min="15388" max="15388" width="5.5703125" style="172" bestFit="1" customWidth="1"/>
    <col min="15389" max="15389" width="10" style="172" bestFit="1" customWidth="1"/>
    <col min="15390" max="15391" width="14" style="172" bestFit="1" customWidth="1"/>
    <col min="15392" max="15393" width="13.140625" style="172" bestFit="1" customWidth="1"/>
    <col min="15394" max="15394" width="14" style="172" bestFit="1" customWidth="1"/>
    <col min="15395" max="15398" width="9.28515625" style="172" bestFit="1" customWidth="1"/>
    <col min="15399" max="15400" width="11.7109375" style="172" bestFit="1" customWidth="1"/>
    <col min="15401" max="15401" width="9.28515625" style="172" bestFit="1" customWidth="1"/>
    <col min="15402" max="15402" width="11.7109375" style="172" bestFit="1" customWidth="1"/>
    <col min="15403" max="15403" width="13.140625" style="172" bestFit="1" customWidth="1"/>
    <col min="15404" max="15405" width="11.7109375" style="172" bestFit="1" customWidth="1"/>
    <col min="15406" max="15406" width="9.28515625" style="172" bestFit="1" customWidth="1"/>
    <col min="15407" max="15407" width="13.140625" style="172" bestFit="1" customWidth="1"/>
    <col min="15408" max="15408" width="9.28515625" style="172" bestFit="1" customWidth="1"/>
    <col min="15409" max="15410" width="13.140625" style="172" bestFit="1" customWidth="1"/>
    <col min="15411" max="15411" width="14.85546875" style="172" bestFit="1" customWidth="1"/>
    <col min="15412" max="15616" width="9.140625" style="172"/>
    <col min="15617" max="15617" width="9.28515625" style="172" customWidth="1"/>
    <col min="15618" max="15618" width="8.85546875" style="172" bestFit="1" customWidth="1"/>
    <col min="15619" max="15619" width="8.7109375" style="172" bestFit="1" customWidth="1"/>
    <col min="15620" max="15620" width="8.85546875" style="172" bestFit="1" customWidth="1"/>
    <col min="15621" max="15621" width="8" style="172" bestFit="1" customWidth="1"/>
    <col min="15622" max="15622" width="9" style="172" bestFit="1" customWidth="1"/>
    <col min="15623" max="15623" width="10.140625" style="172" customWidth="1"/>
    <col min="15624" max="15624" width="11" style="172" bestFit="1" customWidth="1"/>
    <col min="15625" max="15626" width="10.5703125" style="172" bestFit="1" customWidth="1"/>
    <col min="15627" max="15627" width="9.85546875" style="172" customWidth="1"/>
    <col min="15628" max="15628" width="11.5703125" style="172" customWidth="1"/>
    <col min="15629" max="15629" width="11.42578125" style="172" customWidth="1"/>
    <col min="15630" max="15630" width="10.140625" style="172" customWidth="1"/>
    <col min="15631" max="15631" width="10.28515625" style="172" bestFit="1" customWidth="1"/>
    <col min="15632" max="15632" width="12.140625" style="172" bestFit="1" customWidth="1"/>
    <col min="15633" max="15633" width="12" style="172" bestFit="1" customWidth="1"/>
    <col min="15634" max="15634" width="12.140625" style="172" customWidth="1"/>
    <col min="15635" max="15635" width="10.85546875" style="172" customWidth="1"/>
    <col min="15636" max="15636" width="8.85546875" style="172" bestFit="1" customWidth="1"/>
    <col min="15637" max="15637" width="9" style="172" bestFit="1" customWidth="1"/>
    <col min="15638" max="15638" width="8.5703125" style="172" bestFit="1" customWidth="1"/>
    <col min="15639" max="15639" width="7.85546875" style="172" bestFit="1" customWidth="1"/>
    <col min="15640" max="15640" width="10.28515625" style="172" bestFit="1" customWidth="1"/>
    <col min="15641" max="15641" width="11.85546875" style="172" bestFit="1" customWidth="1"/>
    <col min="15642" max="15642" width="11.7109375" style="172" bestFit="1" customWidth="1"/>
    <col min="15643" max="15643" width="13.140625" style="172" bestFit="1" customWidth="1"/>
    <col min="15644" max="15644" width="5.5703125" style="172" bestFit="1" customWidth="1"/>
    <col min="15645" max="15645" width="10" style="172" bestFit="1" customWidth="1"/>
    <col min="15646" max="15647" width="14" style="172" bestFit="1" customWidth="1"/>
    <col min="15648" max="15649" width="13.140625" style="172" bestFit="1" customWidth="1"/>
    <col min="15650" max="15650" width="14" style="172" bestFit="1" customWidth="1"/>
    <col min="15651" max="15654" width="9.28515625" style="172" bestFit="1" customWidth="1"/>
    <col min="15655" max="15656" width="11.7109375" style="172" bestFit="1" customWidth="1"/>
    <col min="15657" max="15657" width="9.28515625" style="172" bestFit="1" customWidth="1"/>
    <col min="15658" max="15658" width="11.7109375" style="172" bestFit="1" customWidth="1"/>
    <col min="15659" max="15659" width="13.140625" style="172" bestFit="1" customWidth="1"/>
    <col min="15660" max="15661" width="11.7109375" style="172" bestFit="1" customWidth="1"/>
    <col min="15662" max="15662" width="9.28515625" style="172" bestFit="1" customWidth="1"/>
    <col min="15663" max="15663" width="13.140625" style="172" bestFit="1" customWidth="1"/>
    <col min="15664" max="15664" width="9.28515625" style="172" bestFit="1" customWidth="1"/>
    <col min="15665" max="15666" width="13.140625" style="172" bestFit="1" customWidth="1"/>
    <col min="15667" max="15667" width="14.85546875" style="172" bestFit="1" customWidth="1"/>
    <col min="15668" max="15872" width="9.140625" style="172"/>
    <col min="15873" max="15873" width="9.28515625" style="172" customWidth="1"/>
    <col min="15874" max="15874" width="8.85546875" style="172" bestFit="1" customWidth="1"/>
    <col min="15875" max="15875" width="8.7109375" style="172" bestFit="1" customWidth="1"/>
    <col min="15876" max="15876" width="8.85546875" style="172" bestFit="1" customWidth="1"/>
    <col min="15877" max="15877" width="8" style="172" bestFit="1" customWidth="1"/>
    <col min="15878" max="15878" width="9" style="172" bestFit="1" customWidth="1"/>
    <col min="15879" max="15879" width="10.140625" style="172" customWidth="1"/>
    <col min="15880" max="15880" width="11" style="172" bestFit="1" customWidth="1"/>
    <col min="15881" max="15882" width="10.5703125" style="172" bestFit="1" customWidth="1"/>
    <col min="15883" max="15883" width="9.85546875" style="172" customWidth="1"/>
    <col min="15884" max="15884" width="11.5703125" style="172" customWidth="1"/>
    <col min="15885" max="15885" width="11.42578125" style="172" customWidth="1"/>
    <col min="15886" max="15886" width="10.140625" style="172" customWidth="1"/>
    <col min="15887" max="15887" width="10.28515625" style="172" bestFit="1" customWidth="1"/>
    <col min="15888" max="15888" width="12.140625" style="172" bestFit="1" customWidth="1"/>
    <col min="15889" max="15889" width="12" style="172" bestFit="1" customWidth="1"/>
    <col min="15890" max="15890" width="12.140625" style="172" customWidth="1"/>
    <col min="15891" max="15891" width="10.85546875" style="172" customWidth="1"/>
    <col min="15892" max="15892" width="8.85546875" style="172" bestFit="1" customWidth="1"/>
    <col min="15893" max="15893" width="9" style="172" bestFit="1" customWidth="1"/>
    <col min="15894" max="15894" width="8.5703125" style="172" bestFit="1" customWidth="1"/>
    <col min="15895" max="15895" width="7.85546875" style="172" bestFit="1" customWidth="1"/>
    <col min="15896" max="15896" width="10.28515625" style="172" bestFit="1" customWidth="1"/>
    <col min="15897" max="15897" width="11.85546875" style="172" bestFit="1" customWidth="1"/>
    <col min="15898" max="15898" width="11.7109375" style="172" bestFit="1" customWidth="1"/>
    <col min="15899" max="15899" width="13.140625" style="172" bestFit="1" customWidth="1"/>
    <col min="15900" max="15900" width="5.5703125" style="172" bestFit="1" customWidth="1"/>
    <col min="15901" max="15901" width="10" style="172" bestFit="1" customWidth="1"/>
    <col min="15902" max="15903" width="14" style="172" bestFit="1" customWidth="1"/>
    <col min="15904" max="15905" width="13.140625" style="172" bestFit="1" customWidth="1"/>
    <col min="15906" max="15906" width="14" style="172" bestFit="1" customWidth="1"/>
    <col min="15907" max="15910" width="9.28515625" style="172" bestFit="1" customWidth="1"/>
    <col min="15911" max="15912" width="11.7109375" style="172" bestFit="1" customWidth="1"/>
    <col min="15913" max="15913" width="9.28515625" style="172" bestFit="1" customWidth="1"/>
    <col min="15914" max="15914" width="11.7109375" style="172" bestFit="1" customWidth="1"/>
    <col min="15915" max="15915" width="13.140625" style="172" bestFit="1" customWidth="1"/>
    <col min="15916" max="15917" width="11.7109375" style="172" bestFit="1" customWidth="1"/>
    <col min="15918" max="15918" width="9.28515625" style="172" bestFit="1" customWidth="1"/>
    <col min="15919" max="15919" width="13.140625" style="172" bestFit="1" customWidth="1"/>
    <col min="15920" max="15920" width="9.28515625" style="172" bestFit="1" customWidth="1"/>
    <col min="15921" max="15922" width="13.140625" style="172" bestFit="1" customWidth="1"/>
    <col min="15923" max="15923" width="14.85546875" style="172" bestFit="1" customWidth="1"/>
    <col min="15924" max="16128" width="9.140625" style="172"/>
    <col min="16129" max="16129" width="9.28515625" style="172" customWidth="1"/>
    <col min="16130" max="16130" width="8.85546875" style="172" bestFit="1" customWidth="1"/>
    <col min="16131" max="16131" width="8.7109375" style="172" bestFit="1" customWidth="1"/>
    <col min="16132" max="16132" width="8.85546875" style="172" bestFit="1" customWidth="1"/>
    <col min="16133" max="16133" width="8" style="172" bestFit="1" customWidth="1"/>
    <col min="16134" max="16134" width="9" style="172" bestFit="1" customWidth="1"/>
    <col min="16135" max="16135" width="10.140625" style="172" customWidth="1"/>
    <col min="16136" max="16136" width="11" style="172" bestFit="1" customWidth="1"/>
    <col min="16137" max="16138" width="10.5703125" style="172" bestFit="1" customWidth="1"/>
    <col min="16139" max="16139" width="9.85546875" style="172" customWidth="1"/>
    <col min="16140" max="16140" width="11.5703125" style="172" customWidth="1"/>
    <col min="16141" max="16141" width="11.42578125" style="172" customWidth="1"/>
    <col min="16142" max="16142" width="10.140625" style="172" customWidth="1"/>
    <col min="16143" max="16143" width="10.28515625" style="172" bestFit="1" customWidth="1"/>
    <col min="16144" max="16144" width="12.140625" style="172" bestFit="1" customWidth="1"/>
    <col min="16145" max="16145" width="12" style="172" bestFit="1" customWidth="1"/>
    <col min="16146" max="16146" width="12.140625" style="172" customWidth="1"/>
    <col min="16147" max="16147" width="10.85546875" style="172" customWidth="1"/>
    <col min="16148" max="16148" width="8.85546875" style="172" bestFit="1" customWidth="1"/>
    <col min="16149" max="16149" width="9" style="172" bestFit="1" customWidth="1"/>
    <col min="16150" max="16150" width="8.5703125" style="172" bestFit="1" customWidth="1"/>
    <col min="16151" max="16151" width="7.85546875" style="172" bestFit="1" customWidth="1"/>
    <col min="16152" max="16152" width="10.28515625" style="172" bestFit="1" customWidth="1"/>
    <col min="16153" max="16153" width="11.85546875" style="172" bestFit="1" customWidth="1"/>
    <col min="16154" max="16154" width="11.7109375" style="172" bestFit="1" customWidth="1"/>
    <col min="16155" max="16155" width="13.140625" style="172" bestFit="1" customWidth="1"/>
    <col min="16156" max="16156" width="5.5703125" style="172" bestFit="1" customWidth="1"/>
    <col min="16157" max="16157" width="10" style="172" bestFit="1" customWidth="1"/>
    <col min="16158" max="16159" width="14" style="172" bestFit="1" customWidth="1"/>
    <col min="16160" max="16161" width="13.140625" style="172" bestFit="1" customWidth="1"/>
    <col min="16162" max="16162" width="14" style="172" bestFit="1" customWidth="1"/>
    <col min="16163" max="16166" width="9.28515625" style="172" bestFit="1" customWidth="1"/>
    <col min="16167" max="16168" width="11.7109375" style="172" bestFit="1" customWidth="1"/>
    <col min="16169" max="16169" width="9.28515625" style="172" bestFit="1" customWidth="1"/>
    <col min="16170" max="16170" width="11.7109375" style="172" bestFit="1" customWidth="1"/>
    <col min="16171" max="16171" width="13.140625" style="172" bestFit="1" customWidth="1"/>
    <col min="16172" max="16173" width="11.7109375" style="172" bestFit="1" customWidth="1"/>
    <col min="16174" max="16174" width="9.28515625" style="172" bestFit="1" customWidth="1"/>
    <col min="16175" max="16175" width="13.140625" style="172" bestFit="1" customWidth="1"/>
    <col min="16176" max="16176" width="9.28515625" style="172" bestFit="1" customWidth="1"/>
    <col min="16177" max="16178" width="13.140625" style="172" bestFit="1" customWidth="1"/>
    <col min="16179" max="16179" width="14.85546875" style="172" bestFit="1" customWidth="1"/>
    <col min="16180" max="16384" width="9.140625" style="172"/>
  </cols>
  <sheetData>
    <row r="1" spans="1:38" ht="24.75" customHeight="1" x14ac:dyDescent="0.3">
      <c r="A1" s="3221" t="s">
        <v>182</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row>
    <row r="2" spans="1:38" ht="15" hidden="1" customHeight="1" x14ac:dyDescent="0.25">
      <c r="A2" s="173"/>
    </row>
    <row r="3" spans="1:38" ht="15.75" customHeight="1" thickBot="1" x14ac:dyDescent="0.3">
      <c r="Y3" s="174" t="s">
        <v>73</v>
      </c>
    </row>
    <row r="4" spans="1:38" ht="18" customHeight="1" thickTop="1" thickBot="1" x14ac:dyDescent="0.3">
      <c r="A4" s="175" t="s">
        <v>183</v>
      </c>
      <c r="B4" s="176" t="s">
        <v>184</v>
      </c>
      <c r="C4" s="177"/>
      <c r="D4" s="177"/>
      <c r="E4" s="178"/>
      <c r="F4" s="179" t="s">
        <v>185</v>
      </c>
      <c r="G4" s="177"/>
      <c r="H4" s="177"/>
      <c r="I4" s="177"/>
      <c r="J4" s="177"/>
      <c r="K4" s="178"/>
      <c r="L4" s="179" t="s">
        <v>186</v>
      </c>
      <c r="M4" s="177"/>
      <c r="N4" s="177"/>
      <c r="O4" s="178"/>
      <c r="P4" s="179" t="s">
        <v>187</v>
      </c>
      <c r="Q4" s="179"/>
      <c r="R4" s="179"/>
      <c r="S4" s="179"/>
      <c r="T4" s="180"/>
      <c r="U4" s="181" t="s">
        <v>188</v>
      </c>
      <c r="V4" s="182" t="s">
        <v>189</v>
      </c>
      <c r="W4" s="183" t="s">
        <v>190</v>
      </c>
      <c r="X4" s="184" t="s">
        <v>191</v>
      </c>
      <c r="Y4" s="184" t="s">
        <v>192</v>
      </c>
    </row>
    <row r="5" spans="1:38" ht="15" customHeight="1" x14ac:dyDescent="0.25">
      <c r="A5" s="185" t="s">
        <v>193</v>
      </c>
      <c r="B5" s="186" t="s">
        <v>194</v>
      </c>
      <c r="C5" s="187" t="s">
        <v>195</v>
      </c>
      <c r="D5" s="187" t="s">
        <v>196</v>
      </c>
      <c r="E5" s="188" t="s">
        <v>197</v>
      </c>
      <c r="F5" s="189" t="s">
        <v>195</v>
      </c>
      <c r="G5" s="187" t="s">
        <v>198</v>
      </c>
      <c r="H5" s="187" t="s">
        <v>199</v>
      </c>
      <c r="I5" s="187" t="s">
        <v>199</v>
      </c>
      <c r="J5" s="187" t="s">
        <v>200</v>
      </c>
      <c r="K5" s="190" t="s">
        <v>197</v>
      </c>
      <c r="L5" s="189" t="s">
        <v>201</v>
      </c>
      <c r="M5" s="187" t="s">
        <v>202</v>
      </c>
      <c r="N5" s="186" t="s">
        <v>203</v>
      </c>
      <c r="O5" s="188" t="s">
        <v>197</v>
      </c>
      <c r="P5" s="189" t="s">
        <v>204</v>
      </c>
      <c r="Q5" s="187" t="s">
        <v>205</v>
      </c>
      <c r="R5" s="187" t="s">
        <v>200</v>
      </c>
      <c r="S5" s="187" t="s">
        <v>206</v>
      </c>
      <c r="T5" s="188" t="s">
        <v>197</v>
      </c>
      <c r="U5" s="191" t="s">
        <v>207</v>
      </c>
      <c r="V5" s="192" t="s">
        <v>208</v>
      </c>
      <c r="W5" s="193" t="s">
        <v>209</v>
      </c>
      <c r="X5" s="194" t="s">
        <v>1</v>
      </c>
      <c r="Y5" s="194" t="s">
        <v>210</v>
      </c>
    </row>
    <row r="6" spans="1:38" ht="15" customHeight="1" x14ac:dyDescent="0.25">
      <c r="A6" s="185" t="s">
        <v>211</v>
      </c>
      <c r="B6" s="195" t="s">
        <v>212</v>
      </c>
      <c r="C6" s="196" t="s">
        <v>213</v>
      </c>
      <c r="D6" s="196" t="s">
        <v>214</v>
      </c>
      <c r="E6" s="197"/>
      <c r="F6" s="198" t="s">
        <v>215</v>
      </c>
      <c r="G6" s="196" t="s">
        <v>205</v>
      </c>
      <c r="H6" s="196" t="s">
        <v>216</v>
      </c>
      <c r="I6" s="196" t="s">
        <v>217</v>
      </c>
      <c r="J6" s="196" t="s">
        <v>218</v>
      </c>
      <c r="K6" s="197"/>
      <c r="L6" s="198" t="s">
        <v>205</v>
      </c>
      <c r="M6" s="196" t="s">
        <v>216</v>
      </c>
      <c r="N6" s="195"/>
      <c r="O6" s="199" t="s">
        <v>25</v>
      </c>
      <c r="P6" s="198" t="s">
        <v>219</v>
      </c>
      <c r="Q6" s="196" t="s">
        <v>220</v>
      </c>
      <c r="R6" s="196" t="s">
        <v>221</v>
      </c>
      <c r="S6" s="196" t="s">
        <v>222</v>
      </c>
      <c r="T6" s="199" t="s">
        <v>25</v>
      </c>
      <c r="U6" s="191" t="s">
        <v>223</v>
      </c>
      <c r="V6" s="200" t="s">
        <v>224</v>
      </c>
      <c r="W6" s="193"/>
      <c r="X6" s="194"/>
      <c r="Y6" s="194" t="s">
        <v>225</v>
      </c>
    </row>
    <row r="7" spans="1:38" ht="15" customHeight="1" x14ac:dyDescent="0.25">
      <c r="A7" s="185"/>
      <c r="B7" s="195" t="s">
        <v>226</v>
      </c>
      <c r="C7" s="196" t="s">
        <v>196</v>
      </c>
      <c r="D7" s="196" t="s">
        <v>205</v>
      </c>
      <c r="E7" s="199"/>
      <c r="F7" s="198" t="s">
        <v>224</v>
      </c>
      <c r="G7" s="196" t="s">
        <v>227</v>
      </c>
      <c r="H7" s="196"/>
      <c r="I7" s="196" t="s">
        <v>221</v>
      </c>
      <c r="J7" s="196" t="s">
        <v>214</v>
      </c>
      <c r="K7" s="199"/>
      <c r="L7" s="198"/>
      <c r="M7" s="196"/>
      <c r="N7" s="195"/>
      <c r="O7" s="199"/>
      <c r="P7" s="198" t="s">
        <v>221</v>
      </c>
      <c r="Q7" s="196" t="s">
        <v>228</v>
      </c>
      <c r="R7" s="196" t="s">
        <v>203</v>
      </c>
      <c r="S7" s="196" t="s">
        <v>221</v>
      </c>
      <c r="T7" s="199"/>
      <c r="U7" s="191" t="s">
        <v>229</v>
      </c>
      <c r="V7" s="200" t="s">
        <v>212</v>
      </c>
      <c r="W7" s="193"/>
      <c r="X7" s="194"/>
      <c r="Y7" s="194" t="s">
        <v>230</v>
      </c>
    </row>
    <row r="8" spans="1:38" ht="15.75" x14ac:dyDescent="0.25">
      <c r="A8" s="201"/>
      <c r="B8" s="202"/>
      <c r="C8" s="203" t="s">
        <v>214</v>
      </c>
      <c r="D8" s="203"/>
      <c r="E8" s="204"/>
      <c r="F8" s="205" t="s">
        <v>231</v>
      </c>
      <c r="G8" s="203"/>
      <c r="H8" s="203"/>
      <c r="I8" s="203" t="s">
        <v>232</v>
      </c>
      <c r="J8" s="203"/>
      <c r="K8" s="204"/>
      <c r="L8" s="205"/>
      <c r="M8" s="203"/>
      <c r="N8" s="202"/>
      <c r="O8" s="204"/>
      <c r="P8" s="205" t="s">
        <v>227</v>
      </c>
      <c r="Q8" s="203"/>
      <c r="R8" s="203"/>
      <c r="S8" s="203" t="s">
        <v>233</v>
      </c>
      <c r="T8" s="204"/>
      <c r="U8" s="206" t="s">
        <v>234</v>
      </c>
      <c r="V8" s="207" t="s">
        <v>214</v>
      </c>
      <c r="W8" s="208"/>
      <c r="X8" s="209"/>
      <c r="Y8" s="209"/>
    </row>
    <row r="9" spans="1:38" ht="17.100000000000001" hidden="1" customHeight="1" x14ac:dyDescent="0.25">
      <c r="A9" s="210"/>
      <c r="B9" s="211"/>
      <c r="C9" s="212"/>
      <c r="D9" s="212"/>
      <c r="E9" s="213"/>
      <c r="F9" s="214"/>
      <c r="G9" s="212"/>
      <c r="H9" s="212"/>
      <c r="I9" s="212"/>
      <c r="J9" s="212"/>
      <c r="K9" s="213"/>
      <c r="L9" s="214"/>
      <c r="M9" s="212"/>
      <c r="N9" s="211"/>
      <c r="O9" s="213"/>
      <c r="P9" s="214"/>
      <c r="Q9" s="212"/>
      <c r="R9" s="212"/>
      <c r="S9" s="212"/>
      <c r="T9" s="213"/>
      <c r="U9" s="215"/>
      <c r="V9" s="211"/>
      <c r="W9" s="216"/>
      <c r="X9" s="217"/>
      <c r="Y9" s="218"/>
      <c r="Z9" s="219"/>
      <c r="AA9" s="219"/>
    </row>
    <row r="10" spans="1:38" ht="17.100000000000001" hidden="1" customHeight="1" x14ac:dyDescent="0.25">
      <c r="A10" s="220">
        <v>38504</v>
      </c>
      <c r="B10" s="211">
        <v>2288.2717847100002</v>
      </c>
      <c r="C10" s="211">
        <v>5972.1277568715004</v>
      </c>
      <c r="D10" s="211">
        <v>4734.9080789999998</v>
      </c>
      <c r="E10" s="213">
        <f>B10+C10+D10</f>
        <v>12995.307620581501</v>
      </c>
      <c r="F10" s="211">
        <v>129366.85213971259</v>
      </c>
      <c r="G10" s="211">
        <v>2812.8223654527296</v>
      </c>
      <c r="H10" s="211">
        <v>15167.746466234499</v>
      </c>
      <c r="I10" s="211">
        <v>122.33018281741701</v>
      </c>
      <c r="J10" s="211">
        <v>82878.777472506103</v>
      </c>
      <c r="K10" s="213">
        <f>F10+G10+H10+I10+J10</f>
        <v>230348.52862672333</v>
      </c>
      <c r="L10" s="221">
        <v>35182.513720000003</v>
      </c>
      <c r="M10" s="211">
        <v>5783.6478650999898</v>
      </c>
      <c r="N10" s="211">
        <v>0</v>
      </c>
      <c r="O10" s="213">
        <f>L10+M10+N10</f>
        <v>40966.161585099995</v>
      </c>
      <c r="P10" s="211">
        <v>1116.7134366550001</v>
      </c>
      <c r="Q10" s="211">
        <v>2360.1966436374341</v>
      </c>
      <c r="R10" s="211">
        <f>26667.064+54006.021+13389.573</f>
        <v>94062.657999999996</v>
      </c>
      <c r="S10" s="211">
        <v>7526.8785190311874</v>
      </c>
      <c r="T10" s="222">
        <f>P10+Q10+R10+S10</f>
        <v>105066.44659932362</v>
      </c>
      <c r="U10" s="223">
        <v>7497.9530000000004</v>
      </c>
      <c r="V10" s="211">
        <v>1512.1059738003121</v>
      </c>
      <c r="W10" s="216">
        <v>18325.518465607453</v>
      </c>
      <c r="X10" s="217">
        <f>E10+K10+O10+T10+U10+V10+W10</f>
        <v>416712.02187113615</v>
      </c>
      <c r="Y10" s="218">
        <v>32121.923720025588</v>
      </c>
      <c r="Z10" s="224"/>
      <c r="AA10" s="225"/>
      <c r="AB10" s="226"/>
      <c r="AC10" s="227"/>
      <c r="AD10" s="224"/>
      <c r="AE10" s="224"/>
      <c r="AF10" s="224"/>
      <c r="AG10" s="224"/>
      <c r="AH10" s="227"/>
      <c r="AI10" s="224"/>
      <c r="AJ10" s="224"/>
      <c r="AK10" s="227"/>
      <c r="AL10" s="224"/>
    </row>
    <row r="11" spans="1:38" ht="17.100000000000001" hidden="1" customHeight="1" x14ac:dyDescent="0.25">
      <c r="A11" s="220">
        <v>38534</v>
      </c>
      <c r="B11" s="211">
        <v>2182.6022840099904</v>
      </c>
      <c r="C11" s="211">
        <v>5537.2912004899999</v>
      </c>
      <c r="D11" s="211">
        <v>4648.4409097099997</v>
      </c>
      <c r="E11" s="213">
        <f>B11+C11+D11</f>
        <v>12368.334394209989</v>
      </c>
      <c r="F11" s="211">
        <v>106932.14125260898</v>
      </c>
      <c r="G11" s="211">
        <v>2728.8233098945484</v>
      </c>
      <c r="H11" s="211">
        <v>15628.423862450032</v>
      </c>
      <c r="I11" s="211">
        <v>191.66818607283855</v>
      </c>
      <c r="J11" s="211">
        <v>87298.249134641694</v>
      </c>
      <c r="K11" s="213">
        <f>F11+G11+H11+I11+J11</f>
        <v>212779.3057456681</v>
      </c>
      <c r="L11" s="221">
        <v>35570.310312699999</v>
      </c>
      <c r="M11" s="211">
        <v>5783.5782971000008</v>
      </c>
      <c r="N11" s="211">
        <v>0</v>
      </c>
      <c r="O11" s="213">
        <f>L11+M11+N11</f>
        <v>41353.8886098</v>
      </c>
      <c r="P11" s="211">
        <v>1175.4904637646</v>
      </c>
      <c r="Q11" s="211">
        <v>2339.9240077602749</v>
      </c>
      <c r="R11" s="211">
        <f>26896.664+54719.357+13590.666</f>
        <v>95206.687000000005</v>
      </c>
      <c r="S11" s="211">
        <v>7665.8803094183022</v>
      </c>
      <c r="T11" s="222">
        <f>P11+Q11+R11+S11</f>
        <v>106387.98178094317</v>
      </c>
      <c r="U11" s="223">
        <v>7801.2190000000001</v>
      </c>
      <c r="V11" s="211">
        <v>837.93906105580174</v>
      </c>
      <c r="W11" s="216">
        <v>18756.698307650244</v>
      </c>
      <c r="X11" s="217">
        <f>E11+K11+O11+T11+U11+V11+W11</f>
        <v>400285.36689932726</v>
      </c>
      <c r="Y11" s="218">
        <v>32038.359271389618</v>
      </c>
      <c r="Z11" s="224"/>
      <c r="AA11" s="225"/>
      <c r="AB11" s="226"/>
      <c r="AC11" s="227"/>
      <c r="AD11" s="224"/>
      <c r="AE11" s="224"/>
      <c r="AF11" s="224"/>
      <c r="AG11" s="224"/>
      <c r="AH11" s="227"/>
      <c r="AI11" s="224"/>
      <c r="AJ11" s="224"/>
      <c r="AK11" s="227"/>
      <c r="AL11" s="224"/>
    </row>
    <row r="12" spans="1:38" ht="17.100000000000001" hidden="1" customHeight="1" x14ac:dyDescent="0.25">
      <c r="A12" s="220">
        <v>38565</v>
      </c>
      <c r="B12" s="211">
        <v>2489.22817979</v>
      </c>
      <c r="C12" s="211">
        <v>6434.5690999379904</v>
      </c>
      <c r="D12" s="211">
        <v>4358.4958489999999</v>
      </c>
      <c r="E12" s="213">
        <f>B12+C12+D12</f>
        <v>13282.29312872799</v>
      </c>
      <c r="F12" s="211">
        <v>122071.33286237679</v>
      </c>
      <c r="G12" s="211">
        <v>2622.5270386860398</v>
      </c>
      <c r="H12" s="211">
        <v>14175.601966948601</v>
      </c>
      <c r="I12" s="211">
        <v>200.20047463637101</v>
      </c>
      <c r="J12" s="211">
        <v>86794.200807258909</v>
      </c>
      <c r="K12" s="213">
        <f>F12+G12+H12+I12+J12</f>
        <v>225863.86314990668</v>
      </c>
      <c r="L12" s="221">
        <v>35102.264468000001</v>
      </c>
      <c r="M12" s="211">
        <v>6081.6695740999903</v>
      </c>
      <c r="N12" s="211">
        <v>0</v>
      </c>
      <c r="O12" s="213">
        <f>L12+M12+N12</f>
        <v>41183.934042099994</v>
      </c>
      <c r="P12" s="211">
        <v>1183.4456973280001</v>
      </c>
      <c r="Q12" s="211">
        <v>2433.1727125282878</v>
      </c>
      <c r="R12" s="211">
        <f>26419.928+55918.311+12165.275</f>
        <v>94503.513999999996</v>
      </c>
      <c r="S12" s="211">
        <v>7631.3093009293898</v>
      </c>
      <c r="T12" s="222">
        <f>P12+Q12+R12+S12</f>
        <v>105751.44171078567</v>
      </c>
      <c r="U12" s="223">
        <v>7108.7920000000004</v>
      </c>
      <c r="V12" s="211">
        <v>1354.0606180710001</v>
      </c>
      <c r="W12" s="216">
        <v>19246.723401501218</v>
      </c>
      <c r="X12" s="217">
        <f>E12+K12+O12+T12+U12+V12+W12</f>
        <v>413791.10805109254</v>
      </c>
      <c r="Y12" s="218">
        <v>32879.614792760636</v>
      </c>
      <c r="Z12" s="224"/>
      <c r="AA12" s="225"/>
      <c r="AB12" s="226"/>
      <c r="AC12" s="227"/>
      <c r="AD12" s="224"/>
      <c r="AE12" s="224"/>
      <c r="AF12" s="224"/>
      <c r="AG12" s="224"/>
      <c r="AH12" s="227"/>
      <c r="AI12" s="224"/>
      <c r="AJ12" s="224"/>
      <c r="AK12" s="227"/>
      <c r="AL12" s="224"/>
    </row>
    <row r="13" spans="1:38" ht="17.100000000000001" hidden="1" customHeight="1" x14ac:dyDescent="0.25">
      <c r="A13" s="220">
        <v>38596</v>
      </c>
      <c r="B13" s="211">
        <v>2408.8757292600003</v>
      </c>
      <c r="C13" s="211">
        <v>7026.5167934139999</v>
      </c>
      <c r="D13" s="211">
        <v>3565.3916985800001</v>
      </c>
      <c r="E13" s="213">
        <v>13000.784221254</v>
      </c>
      <c r="F13" s="211">
        <v>131607.30286745905</v>
      </c>
      <c r="G13" s="211">
        <v>2496.7817463853999</v>
      </c>
      <c r="H13" s="211">
        <v>12163.4765707682</v>
      </c>
      <c r="I13" s="211">
        <v>200.45484380619999</v>
      </c>
      <c r="J13" s="211">
        <v>93288.476479194243</v>
      </c>
      <c r="K13" s="213">
        <v>239756.49250761306</v>
      </c>
      <c r="L13" s="221">
        <v>35203.212053270006</v>
      </c>
      <c r="M13" s="211">
        <v>6116.6651956800006</v>
      </c>
      <c r="N13" s="211">
        <v>0</v>
      </c>
      <c r="O13" s="213">
        <v>41319.877248950004</v>
      </c>
      <c r="P13" s="211">
        <v>1139.7882688926002</v>
      </c>
      <c r="Q13" s="211">
        <v>2444.50542632</v>
      </c>
      <c r="R13" s="211">
        <v>98050.858321134641</v>
      </c>
      <c r="S13" s="211">
        <v>7508.6622417702001</v>
      </c>
      <c r="T13" s="222">
        <v>109143.81425811745</v>
      </c>
      <c r="U13" s="223">
        <v>6592.9799866106259</v>
      </c>
      <c r="V13" s="211">
        <v>1030.93450178137</v>
      </c>
      <c r="W13" s="216">
        <v>20507.168710179547</v>
      </c>
      <c r="X13" s="217">
        <v>431352.04143450601</v>
      </c>
      <c r="Y13" s="218">
        <v>33981.7640653204</v>
      </c>
      <c r="Z13" s="224"/>
      <c r="AA13" s="225"/>
      <c r="AB13" s="226"/>
      <c r="AC13" s="227"/>
      <c r="AD13" s="224"/>
      <c r="AE13" s="224"/>
      <c r="AF13" s="224"/>
      <c r="AG13" s="224"/>
      <c r="AH13" s="227"/>
      <c r="AI13" s="224"/>
      <c r="AJ13" s="224"/>
      <c r="AK13" s="227"/>
      <c r="AL13" s="224"/>
    </row>
    <row r="14" spans="1:38" ht="17.100000000000001" hidden="1" customHeight="1" x14ac:dyDescent="0.25">
      <c r="A14" s="220">
        <v>38626</v>
      </c>
      <c r="B14" s="211">
        <v>2520.6453239899997</v>
      </c>
      <c r="C14" s="211">
        <v>5859.529470456233</v>
      </c>
      <c r="D14" s="211">
        <v>3768.2101037799998</v>
      </c>
      <c r="E14" s="213">
        <v>12148.384898226233</v>
      </c>
      <c r="F14" s="211">
        <v>129248.02928813528</v>
      </c>
      <c r="G14" s="211">
        <v>2954.7450757151864</v>
      </c>
      <c r="H14" s="211">
        <v>11864.010638166543</v>
      </c>
      <c r="I14" s="211">
        <v>309.34550456390002</v>
      </c>
      <c r="J14" s="211">
        <v>91730.663426500119</v>
      </c>
      <c r="K14" s="213">
        <v>236106.79393308103</v>
      </c>
      <c r="L14" s="221">
        <v>34230.179441450004</v>
      </c>
      <c r="M14" s="211">
        <v>6806.6211435499999</v>
      </c>
      <c r="N14" s="211">
        <v>0</v>
      </c>
      <c r="O14" s="213">
        <v>41036.800585000005</v>
      </c>
      <c r="P14" s="211">
        <v>1136.0858658076334</v>
      </c>
      <c r="Q14" s="211">
        <v>2543.27141248</v>
      </c>
      <c r="R14" s="211">
        <v>99932.227386160303</v>
      </c>
      <c r="S14" s="211">
        <v>7395.3844091870642</v>
      </c>
      <c r="T14" s="222">
        <v>111006.969073635</v>
      </c>
      <c r="U14" s="223">
        <v>6877.6386364935524</v>
      </c>
      <c r="V14" s="211">
        <v>997.60526489737686</v>
      </c>
      <c r="W14" s="216">
        <v>22991.683188226856</v>
      </c>
      <c r="X14" s="217">
        <v>431165.87557956006</v>
      </c>
      <c r="Y14" s="218">
        <v>34587.292841753748</v>
      </c>
      <c r="Z14" s="224"/>
      <c r="AA14" s="225"/>
      <c r="AB14" s="226"/>
      <c r="AC14" s="227"/>
      <c r="AD14" s="224"/>
      <c r="AE14" s="224"/>
      <c r="AF14" s="224"/>
      <c r="AG14" s="224"/>
      <c r="AH14" s="227"/>
      <c r="AI14" s="224"/>
      <c r="AJ14" s="224"/>
      <c r="AK14" s="227"/>
      <c r="AL14" s="224"/>
    </row>
    <row r="15" spans="1:38" ht="17.100000000000001" hidden="1" customHeight="1" x14ac:dyDescent="0.25">
      <c r="A15" s="220">
        <v>38657</v>
      </c>
      <c r="B15" s="211">
        <v>3146.5575425799998</v>
      </c>
      <c r="C15" s="211">
        <v>7077.8004051612006</v>
      </c>
      <c r="D15" s="211">
        <v>3187.9134588699999</v>
      </c>
      <c r="E15" s="213">
        <v>13412.2714066112</v>
      </c>
      <c r="F15" s="211">
        <v>145364.8285057008</v>
      </c>
      <c r="G15" s="211">
        <v>2701.2480393017313</v>
      </c>
      <c r="H15" s="211">
        <v>9738.345893302052</v>
      </c>
      <c r="I15" s="211">
        <v>275.80524239524999</v>
      </c>
      <c r="J15" s="211">
        <v>93714.865041671073</v>
      </c>
      <c r="K15" s="213">
        <v>251795.09272237093</v>
      </c>
      <c r="L15" s="221">
        <v>33624.241317849999</v>
      </c>
      <c r="M15" s="211">
        <v>7186.62554955</v>
      </c>
      <c r="N15" s="211">
        <v>0</v>
      </c>
      <c r="O15" s="213">
        <v>40810.8668674</v>
      </c>
      <c r="P15" s="211">
        <v>1232.7431208513999</v>
      </c>
      <c r="Q15" s="211">
        <v>2659.2428599999998</v>
      </c>
      <c r="R15" s="211">
        <v>101426.66208870323</v>
      </c>
      <c r="S15" s="211">
        <v>7314.8372427051636</v>
      </c>
      <c r="T15" s="222">
        <v>112633.48531225979</v>
      </c>
      <c r="U15" s="223">
        <v>7023.7911593629669</v>
      </c>
      <c r="V15" s="211">
        <v>1619.0114018049062</v>
      </c>
      <c r="W15" s="216">
        <v>23506.659763641754</v>
      </c>
      <c r="X15" s="217">
        <v>450801.17863345146</v>
      </c>
      <c r="Y15" s="218">
        <v>35652.400000000001</v>
      </c>
      <c r="Z15" s="224"/>
      <c r="AA15" s="225"/>
      <c r="AB15" s="226"/>
      <c r="AC15" s="227"/>
      <c r="AD15" s="224"/>
      <c r="AE15" s="224"/>
      <c r="AF15" s="224"/>
      <c r="AG15" s="224"/>
      <c r="AH15" s="227"/>
      <c r="AI15" s="224"/>
      <c r="AJ15" s="224"/>
      <c r="AK15" s="227"/>
      <c r="AL15" s="224"/>
    </row>
    <row r="16" spans="1:38" ht="17.100000000000001" hidden="1" customHeight="1" x14ac:dyDescent="0.25">
      <c r="A16" s="220">
        <v>38687</v>
      </c>
      <c r="B16" s="211">
        <v>3479.7823776300002</v>
      </c>
      <c r="C16" s="211">
        <v>6541.8117668997247</v>
      </c>
      <c r="D16" s="211">
        <v>2998.0775980200001</v>
      </c>
      <c r="E16" s="213">
        <v>13019.671742549725</v>
      </c>
      <c r="F16" s="211">
        <v>130923.76840326407</v>
      </c>
      <c r="G16" s="211">
        <v>2448.8633409771737</v>
      </c>
      <c r="H16" s="211">
        <v>9787.2797315395528</v>
      </c>
      <c r="I16" s="211">
        <v>377.27212851357433</v>
      </c>
      <c r="J16" s="211">
        <v>92862.783091492121</v>
      </c>
      <c r="K16" s="213">
        <v>236399.96669578651</v>
      </c>
      <c r="L16" s="221">
        <v>32994.145168449999</v>
      </c>
      <c r="M16" s="211">
        <v>7928.2053893399998</v>
      </c>
      <c r="N16" s="211">
        <v>0</v>
      </c>
      <c r="O16" s="213">
        <v>40922.35055779</v>
      </c>
      <c r="P16" s="211">
        <v>1217.6658932</v>
      </c>
      <c r="Q16" s="211">
        <v>2675.6347144700003</v>
      </c>
      <c r="R16" s="211">
        <v>104878.50261707332</v>
      </c>
      <c r="S16" s="211">
        <v>7242.4994065856799</v>
      </c>
      <c r="T16" s="222">
        <v>116014.30263132899</v>
      </c>
      <c r="U16" s="223">
        <v>6878.7649459408667</v>
      </c>
      <c r="V16" s="211">
        <v>1505.3700467928934</v>
      </c>
      <c r="W16" s="216">
        <v>25054.77557092705</v>
      </c>
      <c r="X16" s="217">
        <v>439795.20219111606</v>
      </c>
      <c r="Y16" s="218">
        <v>36922.1</v>
      </c>
      <c r="Z16" s="224"/>
      <c r="AA16" s="225"/>
      <c r="AB16" s="226"/>
      <c r="AC16" s="227"/>
      <c r="AD16" s="224"/>
      <c r="AE16" s="224"/>
      <c r="AF16" s="224"/>
      <c r="AG16" s="224"/>
      <c r="AH16" s="227"/>
      <c r="AI16" s="224"/>
      <c r="AJ16" s="224"/>
      <c r="AK16" s="227"/>
      <c r="AL16" s="224"/>
    </row>
    <row r="17" spans="1:38" ht="17.100000000000001" hidden="1" customHeight="1" x14ac:dyDescent="0.25">
      <c r="A17" s="220">
        <v>38718</v>
      </c>
      <c r="B17" s="211">
        <v>2461.2949634000001</v>
      </c>
      <c r="C17" s="211">
        <v>7203.3058494525949</v>
      </c>
      <c r="D17" s="211">
        <v>2232.5159364400001</v>
      </c>
      <c r="E17" s="213">
        <v>11897.116749292596</v>
      </c>
      <c r="F17" s="211">
        <v>135459.50282657592</v>
      </c>
      <c r="G17" s="211">
        <v>2249.3445342491195</v>
      </c>
      <c r="H17" s="211">
        <v>13527.118806693108</v>
      </c>
      <c r="I17" s="211">
        <v>373.37724705835461</v>
      </c>
      <c r="J17" s="211">
        <v>90555.058572084119</v>
      </c>
      <c r="K17" s="213">
        <v>242164.40198666064</v>
      </c>
      <c r="L17" s="221">
        <v>34044.442740749997</v>
      </c>
      <c r="M17" s="211">
        <v>8036.8259754400005</v>
      </c>
      <c r="N17" s="211">
        <v>0</v>
      </c>
      <c r="O17" s="213">
        <v>42081.268716189996</v>
      </c>
      <c r="P17" s="211">
        <v>1211.527538</v>
      </c>
      <c r="Q17" s="211">
        <v>2691.9382723099998</v>
      </c>
      <c r="R17" s="211">
        <v>104199.11284681392</v>
      </c>
      <c r="S17" s="211">
        <v>7262.4369091793042</v>
      </c>
      <c r="T17" s="222">
        <v>115365.01556630323</v>
      </c>
      <c r="U17" s="223">
        <v>6423.5101832495211</v>
      </c>
      <c r="V17" s="211">
        <v>466.67746763246646</v>
      </c>
      <c r="W17" s="216">
        <v>22200.424507039697</v>
      </c>
      <c r="X17" s="217">
        <v>440598.41517636814</v>
      </c>
      <c r="Y17" s="218">
        <v>35270.699999999997</v>
      </c>
      <c r="Z17" s="224"/>
      <c r="AA17" s="225"/>
      <c r="AB17" s="226"/>
      <c r="AC17" s="227"/>
      <c r="AD17" s="224"/>
      <c r="AE17" s="224"/>
      <c r="AF17" s="224"/>
      <c r="AG17" s="224"/>
      <c r="AH17" s="227"/>
      <c r="AI17" s="224"/>
      <c r="AJ17" s="224"/>
      <c r="AK17" s="227"/>
      <c r="AL17" s="224"/>
    </row>
    <row r="18" spans="1:38" ht="17.100000000000001" hidden="1" customHeight="1" x14ac:dyDescent="0.25">
      <c r="A18" s="220">
        <v>38749</v>
      </c>
      <c r="B18" s="211">
        <v>2252.1387837399998</v>
      </c>
      <c r="C18" s="211">
        <v>8092.2151756751528</v>
      </c>
      <c r="D18" s="211">
        <v>2505.0295309899998</v>
      </c>
      <c r="E18" s="213">
        <v>12849.383490405151</v>
      </c>
      <c r="F18" s="211">
        <v>165153.8248474549</v>
      </c>
      <c r="G18" s="211">
        <v>2415.9080339599996</v>
      </c>
      <c r="H18" s="211">
        <v>13450.252800558426</v>
      </c>
      <c r="I18" s="211">
        <v>219.06443970835929</v>
      </c>
      <c r="J18" s="211">
        <v>87216.50841201414</v>
      </c>
      <c r="K18" s="213">
        <v>268455.55853369588</v>
      </c>
      <c r="L18" s="221">
        <v>33002.970195729999</v>
      </c>
      <c r="M18" s="211">
        <v>8707.7046634500002</v>
      </c>
      <c r="N18" s="211">
        <v>0</v>
      </c>
      <c r="O18" s="213">
        <v>41710.674859179999</v>
      </c>
      <c r="P18" s="211">
        <v>1100.9991600000001</v>
      </c>
      <c r="Q18" s="211">
        <v>2640.0586140100004</v>
      </c>
      <c r="R18" s="211">
        <v>104294.52666539834</v>
      </c>
      <c r="S18" s="211">
        <v>7339.2169396084591</v>
      </c>
      <c r="T18" s="222">
        <v>115374.8013790168</v>
      </c>
      <c r="U18" s="223">
        <v>7200.5380797475436</v>
      </c>
      <c r="V18" s="211">
        <v>423.12510398370335</v>
      </c>
      <c r="W18" s="216">
        <v>21634.279333711525</v>
      </c>
      <c r="X18" s="217">
        <v>467648.36077974056</v>
      </c>
      <c r="Y18" s="218">
        <v>35309.4</v>
      </c>
      <c r="Z18" s="224"/>
      <c r="AA18" s="225"/>
      <c r="AB18" s="226"/>
      <c r="AC18" s="227"/>
      <c r="AD18" s="224"/>
      <c r="AE18" s="224"/>
      <c r="AF18" s="224"/>
      <c r="AG18" s="224"/>
      <c r="AH18" s="227"/>
      <c r="AI18" s="224"/>
      <c r="AJ18" s="224"/>
      <c r="AK18" s="227"/>
      <c r="AL18" s="224"/>
    </row>
    <row r="19" spans="1:38" ht="17.100000000000001" hidden="1" customHeight="1" x14ac:dyDescent="0.25">
      <c r="A19" s="220">
        <v>38777</v>
      </c>
      <c r="B19" s="211">
        <v>2081.6240740399999</v>
      </c>
      <c r="C19" s="211">
        <v>8270.0293390243696</v>
      </c>
      <c r="D19" s="211">
        <v>2682.1175181800004</v>
      </c>
      <c r="E19" s="213">
        <v>13033.770931244371</v>
      </c>
      <c r="F19" s="211">
        <v>171399.84189091963</v>
      </c>
      <c r="G19" s="211">
        <v>2254.3925486549997</v>
      </c>
      <c r="H19" s="211">
        <v>11717.867667511015</v>
      </c>
      <c r="I19" s="211">
        <v>161.25055004164199</v>
      </c>
      <c r="J19" s="211">
        <v>90013.443801400645</v>
      </c>
      <c r="K19" s="213">
        <v>275546.79645852797</v>
      </c>
      <c r="L19" s="221">
        <v>33098.899260500002</v>
      </c>
      <c r="M19" s="211">
        <v>9436.5372405100006</v>
      </c>
      <c r="N19" s="211">
        <v>0</v>
      </c>
      <c r="O19" s="213">
        <v>42535.436501010001</v>
      </c>
      <c r="P19" s="211">
        <v>1120.3172509999999</v>
      </c>
      <c r="Q19" s="211">
        <v>2481.0447944099997</v>
      </c>
      <c r="R19" s="211">
        <v>104103.73680890072</v>
      </c>
      <c r="S19" s="211">
        <v>7482.3336678182759</v>
      </c>
      <c r="T19" s="222">
        <v>115187.43252212901</v>
      </c>
      <c r="U19" s="223">
        <v>6845.9948785143124</v>
      </c>
      <c r="V19" s="211">
        <v>302.0573856692356</v>
      </c>
      <c r="W19" s="216">
        <v>21179.26149790686</v>
      </c>
      <c r="X19" s="217">
        <v>474630.7501750018</v>
      </c>
      <c r="Y19" s="218">
        <v>35490.6</v>
      </c>
      <c r="Z19" s="224"/>
      <c r="AA19" s="225"/>
      <c r="AB19" s="226"/>
      <c r="AC19" s="227"/>
      <c r="AD19" s="224"/>
      <c r="AE19" s="224"/>
      <c r="AF19" s="224"/>
      <c r="AG19" s="224"/>
      <c r="AH19" s="227"/>
      <c r="AI19" s="224"/>
      <c r="AJ19" s="224"/>
      <c r="AK19" s="227"/>
      <c r="AL19" s="224"/>
    </row>
    <row r="20" spans="1:38" ht="17.100000000000001" hidden="1" customHeight="1" x14ac:dyDescent="0.25">
      <c r="A20" s="220">
        <v>38808</v>
      </c>
      <c r="B20" s="211">
        <v>2095.1863662300002</v>
      </c>
      <c r="C20" s="211">
        <v>7897.5823385438034</v>
      </c>
      <c r="D20" s="211">
        <v>2794.2032276</v>
      </c>
      <c r="E20" s="213">
        <v>12786.971932373803</v>
      </c>
      <c r="F20" s="211">
        <v>157516.93182815996</v>
      </c>
      <c r="G20" s="211">
        <v>2158.9802008124993</v>
      </c>
      <c r="H20" s="211">
        <v>8774.2584898367859</v>
      </c>
      <c r="I20" s="211">
        <v>230.56122725347973</v>
      </c>
      <c r="J20" s="211">
        <v>96038.493018348745</v>
      </c>
      <c r="K20" s="213">
        <v>264719.22476441151</v>
      </c>
      <c r="L20" s="221">
        <v>32176.16664784</v>
      </c>
      <c r="M20" s="211">
        <v>9773.8861174500016</v>
      </c>
      <c r="N20" s="211">
        <v>0</v>
      </c>
      <c r="O20" s="213">
        <v>41950.052765290005</v>
      </c>
      <c r="P20" s="211">
        <v>1082.3308818400001</v>
      </c>
      <c r="Q20" s="211">
        <v>2413.8414631400001</v>
      </c>
      <c r="R20" s="211">
        <v>106743.02829496887</v>
      </c>
      <c r="S20" s="211">
        <v>7570.2810992339346</v>
      </c>
      <c r="T20" s="222">
        <v>117809.48173918281</v>
      </c>
      <c r="U20" s="223">
        <v>7935.1336798474713</v>
      </c>
      <c r="V20" s="211">
        <v>118.76455065872383</v>
      </c>
      <c r="W20" s="216">
        <v>22076.794553791511</v>
      </c>
      <c r="X20" s="217">
        <v>467396.42398555577</v>
      </c>
      <c r="Y20" s="218">
        <v>35874.396131782443</v>
      </c>
      <c r="Z20" s="224"/>
      <c r="AA20" s="225"/>
      <c r="AB20" s="226"/>
      <c r="AC20" s="227"/>
      <c r="AD20" s="224"/>
      <c r="AE20" s="224"/>
      <c r="AF20" s="224"/>
      <c r="AG20" s="224"/>
      <c r="AH20" s="227"/>
      <c r="AI20" s="224"/>
      <c r="AJ20" s="224"/>
      <c r="AK20" s="227"/>
      <c r="AL20" s="224"/>
    </row>
    <row r="21" spans="1:38" ht="17.100000000000001" hidden="1" customHeight="1" x14ac:dyDescent="0.25">
      <c r="A21" s="220">
        <v>38838</v>
      </c>
      <c r="B21" s="211">
        <v>1985.2538890300002</v>
      </c>
      <c r="C21" s="211">
        <v>7344.8499994176027</v>
      </c>
      <c r="D21" s="211">
        <v>3049.39452596</v>
      </c>
      <c r="E21" s="213">
        <v>12379.498414407604</v>
      </c>
      <c r="F21" s="211">
        <v>184300.19589145525</v>
      </c>
      <c r="G21" s="211">
        <v>2126.4444853499999</v>
      </c>
      <c r="H21" s="211">
        <v>8982.0539581761968</v>
      </c>
      <c r="I21" s="211">
        <v>215.8831748133762</v>
      </c>
      <c r="J21" s="211">
        <v>98353.389086602299</v>
      </c>
      <c r="K21" s="213">
        <v>293977.96659639711</v>
      </c>
      <c r="L21" s="221">
        <v>32810.932668200003</v>
      </c>
      <c r="M21" s="211">
        <v>10155.42716001</v>
      </c>
      <c r="N21" s="211">
        <v>0</v>
      </c>
      <c r="O21" s="213">
        <v>42966.359828209999</v>
      </c>
      <c r="P21" s="211">
        <v>1088.6062790000001</v>
      </c>
      <c r="Q21" s="211">
        <v>2316.5987149799998</v>
      </c>
      <c r="R21" s="211">
        <v>107501.42776152576</v>
      </c>
      <c r="S21" s="211">
        <v>7483.0098648244775</v>
      </c>
      <c r="T21" s="222">
        <v>118389.64262033024</v>
      </c>
      <c r="U21" s="223">
        <v>8482.3364656184967</v>
      </c>
      <c r="V21" s="211">
        <v>222.28086887724407</v>
      </c>
      <c r="W21" s="216">
        <v>22321.320009634943</v>
      </c>
      <c r="X21" s="217">
        <v>498739.40480347566</v>
      </c>
      <c r="Y21" s="218">
        <v>36509.806111381164</v>
      </c>
      <c r="Z21" s="224"/>
      <c r="AA21" s="225"/>
      <c r="AB21" s="226"/>
      <c r="AC21" s="227"/>
      <c r="AD21" s="224"/>
      <c r="AE21" s="224"/>
      <c r="AF21" s="224"/>
      <c r="AG21" s="224"/>
      <c r="AH21" s="227"/>
      <c r="AI21" s="224"/>
      <c r="AJ21" s="224"/>
      <c r="AK21" s="227"/>
      <c r="AL21" s="224"/>
    </row>
    <row r="22" spans="1:38" ht="17.100000000000001" hidden="1" customHeight="1" x14ac:dyDescent="0.25">
      <c r="A22" s="220">
        <v>38869</v>
      </c>
      <c r="B22" s="211">
        <v>1815.8988274100002</v>
      </c>
      <c r="C22" s="211">
        <v>9046.8329878485292</v>
      </c>
      <c r="D22" s="211">
        <v>2552.4419674899996</v>
      </c>
      <c r="E22" s="213">
        <v>13415.173782748529</v>
      </c>
      <c r="F22" s="211">
        <v>174797.18126910381</v>
      </c>
      <c r="G22" s="211">
        <v>2612.9912649998523</v>
      </c>
      <c r="H22" s="211">
        <v>6878.5297952824349</v>
      </c>
      <c r="I22" s="211">
        <v>184.52600480943971</v>
      </c>
      <c r="J22" s="211">
        <v>96982.728589366408</v>
      </c>
      <c r="K22" s="213">
        <v>281455.95692356193</v>
      </c>
      <c r="L22" s="221">
        <v>34886.144281660003</v>
      </c>
      <c r="M22" s="211">
        <v>10506.655074876031</v>
      </c>
      <c r="N22" s="211">
        <v>0</v>
      </c>
      <c r="O22" s="213">
        <v>45392.799356536038</v>
      </c>
      <c r="P22" s="211">
        <v>1105.8289420000001</v>
      </c>
      <c r="Q22" s="211">
        <v>2352.58256205</v>
      </c>
      <c r="R22" s="211">
        <v>107966.47056874222</v>
      </c>
      <c r="S22" s="211">
        <v>8046.5671374670255</v>
      </c>
      <c r="T22" s="222">
        <v>119471.44921025925</v>
      </c>
      <c r="U22" s="223">
        <v>8907.0994827195409</v>
      </c>
      <c r="V22" s="211">
        <v>235.36751620336622</v>
      </c>
      <c r="W22" s="216">
        <v>22413.34311970248</v>
      </c>
      <c r="X22" s="217">
        <v>491291.18939173117</v>
      </c>
      <c r="Y22" s="218">
        <v>35292.62302713783</v>
      </c>
      <c r="Z22" s="224"/>
      <c r="AA22" s="225"/>
      <c r="AB22" s="226"/>
      <c r="AC22" s="227"/>
      <c r="AD22" s="224"/>
      <c r="AE22" s="224"/>
      <c r="AF22" s="224"/>
      <c r="AG22" s="224"/>
      <c r="AH22" s="227"/>
      <c r="AI22" s="224"/>
      <c r="AJ22" s="224"/>
      <c r="AK22" s="227"/>
      <c r="AL22" s="224"/>
    </row>
    <row r="23" spans="1:38" ht="17.100000000000001" hidden="1" customHeight="1" x14ac:dyDescent="0.25">
      <c r="A23" s="220">
        <v>38899</v>
      </c>
      <c r="B23" s="211">
        <v>1950.48530966</v>
      </c>
      <c r="C23" s="211">
        <v>7931.5034352401208</v>
      </c>
      <c r="D23" s="211">
        <v>3191.2813256100003</v>
      </c>
      <c r="E23" s="213">
        <v>13073.270070510122</v>
      </c>
      <c r="F23" s="211">
        <v>187284.36806007076</v>
      </c>
      <c r="G23" s="211">
        <v>2767.24208477</v>
      </c>
      <c r="H23" s="211">
        <v>8023.7493317717226</v>
      </c>
      <c r="I23" s="211">
        <v>297.70733625568329</v>
      </c>
      <c r="J23" s="211">
        <v>100553.96158061695</v>
      </c>
      <c r="K23" s="213">
        <v>298927.02839348512</v>
      </c>
      <c r="L23" s="221">
        <v>34930.650997050005</v>
      </c>
      <c r="M23" s="211">
        <v>10504.02129948</v>
      </c>
      <c r="N23" s="211">
        <v>0</v>
      </c>
      <c r="O23" s="213">
        <v>45434.672296530007</v>
      </c>
      <c r="P23" s="211">
        <v>1107.0427609999999</v>
      </c>
      <c r="Q23" s="211">
        <v>2456.1347668400003</v>
      </c>
      <c r="R23" s="211">
        <v>110892.76220764808</v>
      </c>
      <c r="S23" s="211">
        <v>8033.7600748158566</v>
      </c>
      <c r="T23" s="222">
        <v>122489.69981030392</v>
      </c>
      <c r="U23" s="223">
        <v>7674.4347434444207</v>
      </c>
      <c r="V23" s="211">
        <v>441.39948618025528</v>
      </c>
      <c r="W23" s="216">
        <v>21741.710936061041</v>
      </c>
      <c r="X23" s="217">
        <v>509782.21573651489</v>
      </c>
      <c r="Y23" s="218">
        <v>34689.340472073476</v>
      </c>
      <c r="Z23" s="224"/>
      <c r="AA23" s="225"/>
      <c r="AB23" s="226"/>
      <c r="AC23" s="227"/>
      <c r="AD23" s="224"/>
      <c r="AE23" s="224"/>
      <c r="AF23" s="224"/>
      <c r="AG23" s="224"/>
      <c r="AH23" s="227"/>
      <c r="AI23" s="224"/>
      <c r="AJ23" s="224"/>
      <c r="AK23" s="227"/>
      <c r="AL23" s="224"/>
    </row>
    <row r="24" spans="1:38" ht="17.100000000000001" hidden="1" customHeight="1" x14ac:dyDescent="0.25">
      <c r="A24" s="220">
        <v>38930</v>
      </c>
      <c r="B24" s="211">
        <v>2387.8872047</v>
      </c>
      <c r="C24" s="211">
        <v>6790.8747300999075</v>
      </c>
      <c r="D24" s="211">
        <v>3141.6905672399998</v>
      </c>
      <c r="E24" s="213">
        <v>12320.452502039909</v>
      </c>
      <c r="F24" s="211">
        <v>194052.40369667439</v>
      </c>
      <c r="G24" s="211">
        <v>2972.3376784899997</v>
      </c>
      <c r="H24" s="211">
        <v>7436.8821390129551</v>
      </c>
      <c r="I24" s="211">
        <v>223.36028357646668</v>
      </c>
      <c r="J24" s="211">
        <v>104621.03072211855</v>
      </c>
      <c r="K24" s="213">
        <v>309306.01451987238</v>
      </c>
      <c r="L24" s="221">
        <v>33990.530390559994</v>
      </c>
      <c r="M24" s="211">
        <v>10820.123690959999</v>
      </c>
      <c r="N24" s="211">
        <v>0</v>
      </c>
      <c r="O24" s="213">
        <v>44810.654081519991</v>
      </c>
      <c r="P24" s="211">
        <v>1104.3549949999999</v>
      </c>
      <c r="Q24" s="211">
        <v>2506.2908823400003</v>
      </c>
      <c r="R24" s="211">
        <v>112715.91859762072</v>
      </c>
      <c r="S24" s="211">
        <v>8147.1589311557182</v>
      </c>
      <c r="T24" s="222">
        <v>124473.72340611645</v>
      </c>
      <c r="U24" s="223">
        <v>7668.2701907859437</v>
      </c>
      <c r="V24" s="211">
        <v>254.75915136694312</v>
      </c>
      <c r="W24" s="216">
        <v>23415.738734225419</v>
      </c>
      <c r="X24" s="217">
        <v>522249.61258592707</v>
      </c>
      <c r="Y24" s="218">
        <v>36648.482637241075</v>
      </c>
      <c r="Z24" s="224"/>
      <c r="AA24" s="225"/>
      <c r="AB24" s="226"/>
      <c r="AC24" s="227"/>
      <c r="AD24" s="224"/>
      <c r="AE24" s="224"/>
      <c r="AF24" s="224"/>
      <c r="AG24" s="224"/>
      <c r="AH24" s="227"/>
      <c r="AI24" s="224"/>
      <c r="AJ24" s="224"/>
      <c r="AK24" s="227"/>
      <c r="AL24" s="224"/>
    </row>
    <row r="25" spans="1:38" ht="17.100000000000001" hidden="1" customHeight="1" x14ac:dyDescent="0.25">
      <c r="A25" s="220">
        <v>38961</v>
      </c>
      <c r="B25" s="211">
        <v>1917.4352451</v>
      </c>
      <c r="C25" s="211">
        <v>8839.840139035563</v>
      </c>
      <c r="D25" s="211">
        <v>2648.6843897399999</v>
      </c>
      <c r="E25" s="213">
        <v>13405.959773875562</v>
      </c>
      <c r="F25" s="211">
        <v>217278.05033045693</v>
      </c>
      <c r="G25" s="211">
        <v>2905.08375015</v>
      </c>
      <c r="H25" s="211">
        <v>7482.4796439267011</v>
      </c>
      <c r="I25" s="211">
        <v>227.96490248440699</v>
      </c>
      <c r="J25" s="211">
        <v>106898.84727054389</v>
      </c>
      <c r="K25" s="213">
        <v>334792.42589756195</v>
      </c>
      <c r="L25" s="221">
        <v>30540.711378150001</v>
      </c>
      <c r="M25" s="211">
        <v>10820.03561268</v>
      </c>
      <c r="N25" s="211">
        <v>335.03197841150006</v>
      </c>
      <c r="O25" s="213">
        <v>41695.778969241495</v>
      </c>
      <c r="P25" s="211">
        <v>1109.789117</v>
      </c>
      <c r="Q25" s="211">
        <v>2451.2007821999996</v>
      </c>
      <c r="R25" s="211">
        <v>113711.63186690935</v>
      </c>
      <c r="S25" s="211">
        <v>8256.2922323632411</v>
      </c>
      <c r="T25" s="222">
        <v>125528.91399847259</v>
      </c>
      <c r="U25" s="223">
        <v>8508.1513695896629</v>
      </c>
      <c r="V25" s="211">
        <v>264.41726504195486</v>
      </c>
      <c r="W25" s="216">
        <v>23800.404927834639</v>
      </c>
      <c r="X25" s="217">
        <v>547996.05220161774</v>
      </c>
      <c r="Y25" s="218">
        <v>39072.778054220806</v>
      </c>
      <c r="Z25" s="224"/>
      <c r="AA25" s="225"/>
      <c r="AB25" s="226"/>
      <c r="AC25" s="227"/>
      <c r="AD25" s="224"/>
      <c r="AE25" s="224"/>
      <c r="AF25" s="224"/>
      <c r="AG25" s="224"/>
      <c r="AH25" s="227"/>
      <c r="AI25" s="224"/>
      <c r="AJ25" s="224"/>
      <c r="AK25" s="227"/>
      <c r="AL25" s="224"/>
    </row>
    <row r="26" spans="1:38" ht="17.100000000000001" hidden="1" customHeight="1" x14ac:dyDescent="0.25">
      <c r="A26" s="220">
        <v>38991</v>
      </c>
      <c r="B26" s="211">
        <v>2196.8213237399996</v>
      </c>
      <c r="C26" s="211">
        <v>7297.352523042231</v>
      </c>
      <c r="D26" s="211">
        <v>1286.26126817</v>
      </c>
      <c r="E26" s="213">
        <v>10780.43511495223</v>
      </c>
      <c r="F26" s="211">
        <v>221086.59288619674</v>
      </c>
      <c r="G26" s="211">
        <v>2638.5369446700001</v>
      </c>
      <c r="H26" s="211">
        <v>7526.3819325544</v>
      </c>
      <c r="I26" s="211">
        <v>274.33078501170002</v>
      </c>
      <c r="J26" s="211">
        <v>109075.10279859723</v>
      </c>
      <c r="K26" s="213">
        <v>340600.94534703007</v>
      </c>
      <c r="L26" s="221">
        <v>29857.776498790001</v>
      </c>
      <c r="M26" s="211">
        <v>11034.522859049999</v>
      </c>
      <c r="N26" s="211">
        <v>414.48134621879996</v>
      </c>
      <c r="O26" s="213">
        <v>41306.780704058801</v>
      </c>
      <c r="P26" s="211">
        <v>1080.303242</v>
      </c>
      <c r="Q26" s="211">
        <v>2490.1641971399999</v>
      </c>
      <c r="R26" s="211">
        <v>115404.60567996529</v>
      </c>
      <c r="S26" s="211">
        <v>8547.6391383023383</v>
      </c>
      <c r="T26" s="222">
        <v>127522.71225740763</v>
      </c>
      <c r="U26" s="223">
        <v>8647.9885205006995</v>
      </c>
      <c r="V26" s="211">
        <v>238.78520371266455</v>
      </c>
      <c r="W26" s="216">
        <v>24584.318020053786</v>
      </c>
      <c r="X26" s="217">
        <v>553681.9651677158</v>
      </c>
      <c r="Y26" s="218">
        <v>41442.800618036963</v>
      </c>
      <c r="Z26" s="224"/>
      <c r="AA26" s="225"/>
      <c r="AB26" s="226"/>
      <c r="AC26" s="227"/>
      <c r="AD26" s="224"/>
      <c r="AE26" s="224"/>
      <c r="AF26" s="224"/>
      <c r="AG26" s="224"/>
      <c r="AH26" s="227"/>
      <c r="AI26" s="224"/>
      <c r="AJ26" s="224"/>
      <c r="AK26" s="227"/>
      <c r="AL26" s="224"/>
    </row>
    <row r="27" spans="1:38" ht="17.100000000000001" hidden="1" customHeight="1" x14ac:dyDescent="0.25">
      <c r="A27" s="220">
        <v>39022</v>
      </c>
      <c r="B27" s="211">
        <v>2463.8257039800001</v>
      </c>
      <c r="C27" s="211">
        <v>6879.5283147995997</v>
      </c>
      <c r="D27" s="211">
        <v>902.27593045000003</v>
      </c>
      <c r="E27" s="213">
        <v>10245.629949229598</v>
      </c>
      <c r="F27" s="211">
        <v>239234.27996777685</v>
      </c>
      <c r="G27" s="211">
        <v>2997.0788100549998</v>
      </c>
      <c r="H27" s="211">
        <v>7507.6285572960014</v>
      </c>
      <c r="I27" s="211">
        <v>311.8470229006</v>
      </c>
      <c r="J27" s="211">
        <v>116058.20047292477</v>
      </c>
      <c r="K27" s="213">
        <v>366109.03483095323</v>
      </c>
      <c r="L27" s="221">
        <v>27978.27405955</v>
      </c>
      <c r="M27" s="211">
        <v>11440.4223284</v>
      </c>
      <c r="N27" s="211">
        <v>2111.956836927</v>
      </c>
      <c r="O27" s="213">
        <v>41530.653224876994</v>
      </c>
      <c r="P27" s="211">
        <v>1089.0257300000001</v>
      </c>
      <c r="Q27" s="211">
        <v>2904.55731646</v>
      </c>
      <c r="R27" s="211">
        <v>116003.42530642495</v>
      </c>
      <c r="S27" s="211">
        <v>9016.0410407728014</v>
      </c>
      <c r="T27" s="222">
        <v>129013.04939365775</v>
      </c>
      <c r="U27" s="223">
        <v>7537.1064833708524</v>
      </c>
      <c r="V27" s="211">
        <v>264.47455000556999</v>
      </c>
      <c r="W27" s="216">
        <v>25255.069085450054</v>
      </c>
      <c r="X27" s="217">
        <v>579955.01751754398</v>
      </c>
      <c r="Y27" s="218">
        <v>42102.873590325202</v>
      </c>
      <c r="Z27" s="224"/>
      <c r="AA27" s="225"/>
      <c r="AB27" s="226"/>
      <c r="AC27" s="227"/>
      <c r="AD27" s="224"/>
      <c r="AE27" s="224"/>
      <c r="AF27" s="224"/>
      <c r="AG27" s="224"/>
      <c r="AH27" s="227"/>
      <c r="AI27" s="224"/>
      <c r="AJ27" s="224"/>
      <c r="AK27" s="227"/>
      <c r="AL27" s="224"/>
    </row>
    <row r="28" spans="1:38" ht="17.100000000000001" hidden="1" customHeight="1" x14ac:dyDescent="0.25">
      <c r="A28" s="220">
        <v>39052</v>
      </c>
      <c r="B28" s="211">
        <v>3322.1699084300003</v>
      </c>
      <c r="C28" s="211">
        <v>8087.3454520200003</v>
      </c>
      <c r="D28" s="211">
        <v>753.17265300999998</v>
      </c>
      <c r="E28" s="213">
        <v>12162.688013460001</v>
      </c>
      <c r="F28" s="211">
        <v>260408.99291418245</v>
      </c>
      <c r="G28" s="211">
        <v>3839.6829179349998</v>
      </c>
      <c r="H28" s="211">
        <v>7544.7366834527493</v>
      </c>
      <c r="I28" s="211">
        <v>411.22599549</v>
      </c>
      <c r="J28" s="211">
        <v>121864.79337401502</v>
      </c>
      <c r="K28" s="213">
        <v>394069.43188507517</v>
      </c>
      <c r="L28" s="221">
        <v>26725.891024925</v>
      </c>
      <c r="M28" s="211">
        <v>11842.53495917</v>
      </c>
      <c r="N28" s="211">
        <v>-8.0369999977847328E-5</v>
      </c>
      <c r="O28" s="213">
        <v>38568.425903724994</v>
      </c>
      <c r="P28" s="211">
        <v>1084.4074909999999</v>
      </c>
      <c r="Q28" s="211">
        <v>2819.1407391999996</v>
      </c>
      <c r="R28" s="211">
        <v>118515.29877739499</v>
      </c>
      <c r="S28" s="211">
        <v>8913.6834678313226</v>
      </c>
      <c r="T28" s="222">
        <v>131332.53047542632</v>
      </c>
      <c r="U28" s="223">
        <v>6819.801318715</v>
      </c>
      <c r="V28" s="211">
        <v>2081.7390948525249</v>
      </c>
      <c r="W28" s="216">
        <v>24240.174255596074</v>
      </c>
      <c r="X28" s="217">
        <v>609274.79094684997</v>
      </c>
      <c r="Y28" s="218">
        <v>42599.592504551256</v>
      </c>
      <c r="Z28" s="224"/>
      <c r="AA28" s="225"/>
      <c r="AB28" s="226"/>
      <c r="AC28" s="227"/>
      <c r="AD28" s="224"/>
      <c r="AE28" s="224"/>
      <c r="AF28" s="224"/>
      <c r="AG28" s="224"/>
      <c r="AH28" s="227"/>
      <c r="AI28" s="224"/>
      <c r="AJ28" s="224"/>
      <c r="AK28" s="227"/>
      <c r="AL28" s="224"/>
    </row>
    <row r="29" spans="1:38" ht="17.100000000000001" hidden="1" customHeight="1" x14ac:dyDescent="0.25">
      <c r="A29" s="220">
        <v>39083</v>
      </c>
      <c r="B29" s="211">
        <v>2515.3464133100001</v>
      </c>
      <c r="C29" s="211">
        <v>7414.4585376428467</v>
      </c>
      <c r="D29" s="211">
        <v>676.60185935000004</v>
      </c>
      <c r="E29" s="213">
        <v>10606.406810302846</v>
      </c>
      <c r="F29" s="211">
        <v>230136.60145740758</v>
      </c>
      <c r="G29" s="211">
        <v>3724.7819607557499</v>
      </c>
      <c r="H29" s="211">
        <v>7327.66436744372</v>
      </c>
      <c r="I29" s="211">
        <v>252.97820390925</v>
      </c>
      <c r="J29" s="211">
        <v>125180.7345691118</v>
      </c>
      <c r="K29" s="213">
        <v>366622.76055862807</v>
      </c>
      <c r="L29" s="221">
        <v>25664.762182627001</v>
      </c>
      <c r="M29" s="211">
        <v>12028.993756299998</v>
      </c>
      <c r="N29" s="211">
        <v>-4.1354000001092572E-4</v>
      </c>
      <c r="O29" s="213">
        <v>37693.755525387001</v>
      </c>
      <c r="P29" s="211">
        <v>1072.9588510000001</v>
      </c>
      <c r="Q29" s="211">
        <v>2893.6342978899997</v>
      </c>
      <c r="R29" s="211">
        <v>118678.11048505992</v>
      </c>
      <c r="S29" s="211">
        <v>8772.9704113661664</v>
      </c>
      <c r="T29" s="222">
        <v>131417.67404531609</v>
      </c>
      <c r="U29" s="223">
        <v>7363.4912867653447</v>
      </c>
      <c r="V29" s="211">
        <v>398.52714633186253</v>
      </c>
      <c r="W29" s="216">
        <v>25075.740122407886</v>
      </c>
      <c r="X29" s="217">
        <v>579178.35549513903</v>
      </c>
      <c r="Y29" s="218">
        <v>48736.46711056654</v>
      </c>
      <c r="Z29" s="224"/>
      <c r="AA29" s="225"/>
      <c r="AB29" s="226"/>
      <c r="AC29" s="227"/>
      <c r="AD29" s="224"/>
      <c r="AE29" s="224"/>
      <c r="AF29" s="224"/>
      <c r="AG29" s="224"/>
      <c r="AH29" s="227"/>
      <c r="AI29" s="224"/>
      <c r="AJ29" s="224"/>
      <c r="AK29" s="227"/>
      <c r="AL29" s="224"/>
    </row>
    <row r="30" spans="1:38" ht="17.100000000000001" hidden="1" customHeight="1" x14ac:dyDescent="0.25">
      <c r="A30" s="220">
        <v>39114</v>
      </c>
      <c r="B30" s="211">
        <v>2414.9337476700002</v>
      </c>
      <c r="C30" s="211">
        <v>7832.2335556766338</v>
      </c>
      <c r="D30" s="211">
        <v>612.57368073999999</v>
      </c>
      <c r="E30" s="213">
        <v>10859.740984086635</v>
      </c>
      <c r="F30" s="211">
        <v>227791.02271942954</v>
      </c>
      <c r="G30" s="211">
        <v>3601.2120139443336</v>
      </c>
      <c r="H30" s="211">
        <v>7334.3354544371141</v>
      </c>
      <c r="I30" s="211">
        <v>247.19983713568337</v>
      </c>
      <c r="J30" s="211">
        <v>130766.35077523388</v>
      </c>
      <c r="K30" s="213">
        <v>369740.12080018059</v>
      </c>
      <c r="L30" s="221">
        <v>26569.415282485865</v>
      </c>
      <c r="M30" s="211">
        <v>13063.85957493</v>
      </c>
      <c r="N30" s="211">
        <v>-1.8119999964483213E-5</v>
      </c>
      <c r="O30" s="213">
        <v>39633.27483929586</v>
      </c>
      <c r="P30" s="211">
        <v>1077.5142370000001</v>
      </c>
      <c r="Q30" s="211">
        <v>2494.6936243099999</v>
      </c>
      <c r="R30" s="211">
        <v>117889.33920970492</v>
      </c>
      <c r="S30" s="211">
        <v>8692.3294880369231</v>
      </c>
      <c r="T30" s="222">
        <v>130153.87655905186</v>
      </c>
      <c r="U30" s="223">
        <v>7094.0560488126694</v>
      </c>
      <c r="V30" s="211">
        <v>403.28780229192182</v>
      </c>
      <c r="W30" s="216">
        <v>24097.850198892575</v>
      </c>
      <c r="X30" s="217">
        <v>581982.20723261207</v>
      </c>
      <c r="Y30" s="218">
        <v>41472.545356895906</v>
      </c>
      <c r="Z30" s="224"/>
      <c r="AA30" s="225"/>
      <c r="AB30" s="226"/>
      <c r="AC30" s="227"/>
      <c r="AD30" s="224"/>
      <c r="AE30" s="224"/>
      <c r="AF30" s="224"/>
      <c r="AG30" s="224"/>
      <c r="AH30" s="227"/>
      <c r="AI30" s="224"/>
      <c r="AJ30" s="224"/>
      <c r="AK30" s="227"/>
      <c r="AL30" s="224"/>
    </row>
    <row r="31" spans="1:38" ht="17.100000000000001" hidden="1" customHeight="1" x14ac:dyDescent="0.25">
      <c r="A31" s="220">
        <v>39142</v>
      </c>
      <c r="B31" s="211">
        <v>2208.3231896500001</v>
      </c>
      <c r="C31" s="211">
        <v>8904.3657820227272</v>
      </c>
      <c r="D31" s="211">
        <v>2105.5414529999998</v>
      </c>
      <c r="E31" s="213">
        <v>13218.230424672727</v>
      </c>
      <c r="F31" s="211">
        <v>225140.76979755628</v>
      </c>
      <c r="G31" s="211">
        <v>3630.5191048672</v>
      </c>
      <c r="H31" s="211">
        <v>7352.0210338474772</v>
      </c>
      <c r="I31" s="211">
        <v>235.5276032173</v>
      </c>
      <c r="J31" s="211">
        <v>144304.04291992958</v>
      </c>
      <c r="K31" s="213">
        <v>380662.88045941782</v>
      </c>
      <c r="L31" s="221">
        <v>24952.837351579001</v>
      </c>
      <c r="M31" s="211">
        <v>14092.84688375</v>
      </c>
      <c r="N31" s="211">
        <v>0</v>
      </c>
      <c r="O31" s="213">
        <v>39045.684235328998</v>
      </c>
      <c r="P31" s="211">
        <v>1075.812424</v>
      </c>
      <c r="Q31" s="211">
        <v>2257.97199946</v>
      </c>
      <c r="R31" s="211">
        <v>118137.90469128633</v>
      </c>
      <c r="S31" s="211">
        <v>8768.7419710967406</v>
      </c>
      <c r="T31" s="222">
        <v>130240.43108584307</v>
      </c>
      <c r="U31" s="223">
        <v>8165.0088607375055</v>
      </c>
      <c r="V31" s="211">
        <v>978.82724416072119</v>
      </c>
      <c r="W31" s="216">
        <v>25947.430952554627</v>
      </c>
      <c r="X31" s="217">
        <v>598258.49326271552</v>
      </c>
      <c r="Y31" s="218">
        <v>41381.45342137439</v>
      </c>
      <c r="Z31" s="224"/>
      <c r="AA31" s="225"/>
      <c r="AB31" s="226"/>
      <c r="AC31" s="227"/>
      <c r="AD31" s="224"/>
      <c r="AE31" s="224"/>
      <c r="AF31" s="224"/>
      <c r="AG31" s="224"/>
      <c r="AH31" s="227"/>
      <c r="AI31" s="224"/>
      <c r="AJ31" s="224"/>
      <c r="AK31" s="227"/>
      <c r="AL31" s="224"/>
    </row>
    <row r="32" spans="1:38" ht="17.100000000000001" hidden="1" customHeight="1" x14ac:dyDescent="0.25">
      <c r="A32" s="220">
        <v>39173</v>
      </c>
      <c r="B32" s="211">
        <v>2125.5826604099998</v>
      </c>
      <c r="C32" s="211">
        <v>7847.8561931747163</v>
      </c>
      <c r="D32" s="211">
        <v>5257.0277167676331</v>
      </c>
      <c r="E32" s="213">
        <v>15230.46657035235</v>
      </c>
      <c r="F32" s="211">
        <v>215082.60306504028</v>
      </c>
      <c r="G32" s="211">
        <v>4334.9843284903</v>
      </c>
      <c r="H32" s="211">
        <v>7303.3037030172236</v>
      </c>
      <c r="I32" s="211">
        <v>322.76965492776668</v>
      </c>
      <c r="J32" s="211">
        <v>148055.78245203148</v>
      </c>
      <c r="K32" s="213">
        <v>375099.44320350705</v>
      </c>
      <c r="L32" s="221">
        <v>25293.477736169898</v>
      </c>
      <c r="M32" s="211">
        <v>15574.514234540002</v>
      </c>
      <c r="N32" s="211">
        <v>0</v>
      </c>
      <c r="O32" s="213">
        <v>40867.991970709903</v>
      </c>
      <c r="P32" s="211">
        <v>1078.1730700000001</v>
      </c>
      <c r="Q32" s="211">
        <v>2218.8029037699998</v>
      </c>
      <c r="R32" s="211">
        <v>118210.37517120109</v>
      </c>
      <c r="S32" s="211">
        <v>8660.3572854231279</v>
      </c>
      <c r="T32" s="222">
        <v>130167.70843039421</v>
      </c>
      <c r="U32" s="223">
        <v>8660.9238065104928</v>
      </c>
      <c r="V32" s="211">
        <v>1688.0475276701654</v>
      </c>
      <c r="W32" s="216">
        <v>25992.933192268578</v>
      </c>
      <c r="X32" s="217">
        <v>597707.51470141276</v>
      </c>
      <c r="Y32" s="218">
        <v>43027.069188998837</v>
      </c>
      <c r="Z32" s="224"/>
      <c r="AA32" s="225"/>
      <c r="AB32" s="226"/>
      <c r="AC32" s="227"/>
      <c r="AD32" s="224"/>
      <c r="AE32" s="224"/>
      <c r="AF32" s="224"/>
      <c r="AG32" s="224"/>
      <c r="AH32" s="227"/>
      <c r="AI32" s="224"/>
      <c r="AJ32" s="224"/>
      <c r="AK32" s="227"/>
      <c r="AL32" s="224"/>
    </row>
    <row r="33" spans="1:38" ht="17.100000000000001" hidden="1" customHeight="1" x14ac:dyDescent="0.25">
      <c r="A33" s="220">
        <v>39203</v>
      </c>
      <c r="B33" s="211">
        <v>2132.2369624200001</v>
      </c>
      <c r="C33" s="211">
        <v>8213.7382512547811</v>
      </c>
      <c r="D33" s="211">
        <v>5194.0317928430004</v>
      </c>
      <c r="E33" s="213">
        <v>15540.007006517782</v>
      </c>
      <c r="F33" s="211">
        <v>210811.30682141753</v>
      </c>
      <c r="G33" s="211">
        <v>4849.4541941220996</v>
      </c>
      <c r="H33" s="211">
        <v>7608.925198039824</v>
      </c>
      <c r="I33" s="211">
        <v>217.83878093069998</v>
      </c>
      <c r="J33" s="211">
        <v>153617.53656456489</v>
      </c>
      <c r="K33" s="213">
        <v>377105.06155907502</v>
      </c>
      <c r="L33" s="221">
        <v>24445.060355806352</v>
      </c>
      <c r="M33" s="211">
        <v>16707.097049236538</v>
      </c>
      <c r="N33" s="211">
        <v>0</v>
      </c>
      <c r="O33" s="213">
        <v>41152.15740504289</v>
      </c>
      <c r="P33" s="211">
        <v>1089.939942</v>
      </c>
      <c r="Q33" s="211">
        <v>2118.7421031100002</v>
      </c>
      <c r="R33" s="211">
        <v>117500.46540026003</v>
      </c>
      <c r="S33" s="211">
        <v>8580.7756408828318</v>
      </c>
      <c r="T33" s="222">
        <v>129289.92308625285</v>
      </c>
      <c r="U33" s="223">
        <v>10905.860417076925</v>
      </c>
      <c r="V33" s="211">
        <v>3977.2725024767938</v>
      </c>
      <c r="W33" s="216">
        <v>26433.651059165473</v>
      </c>
      <c r="X33" s="217">
        <v>604403.93303560792</v>
      </c>
      <c r="Y33" s="218">
        <v>42355.84467817485</v>
      </c>
      <c r="Z33" s="224"/>
      <c r="AA33" s="225"/>
      <c r="AB33" s="226"/>
      <c r="AC33" s="227"/>
      <c r="AD33" s="224"/>
      <c r="AE33" s="224"/>
      <c r="AF33" s="224"/>
      <c r="AG33" s="224"/>
      <c r="AH33" s="227"/>
      <c r="AI33" s="224"/>
      <c r="AJ33" s="224"/>
      <c r="AK33" s="227"/>
      <c r="AL33" s="224"/>
    </row>
    <row r="34" spans="1:38" ht="17.100000000000001" hidden="1" customHeight="1" x14ac:dyDescent="0.25">
      <c r="A34" s="220">
        <v>39234</v>
      </c>
      <c r="B34" s="211">
        <v>1914.3835437999999</v>
      </c>
      <c r="C34" s="211">
        <v>9480.1453692150008</v>
      </c>
      <c r="D34" s="211">
        <v>4691.9675605938</v>
      </c>
      <c r="E34" s="213">
        <v>16086.4964736088</v>
      </c>
      <c r="F34" s="211">
        <v>217616.93429659359</v>
      </c>
      <c r="G34" s="211">
        <v>5411.3473483185999</v>
      </c>
      <c r="H34" s="211">
        <v>7783.5589346520001</v>
      </c>
      <c r="I34" s="211">
        <v>265.45146247700001</v>
      </c>
      <c r="J34" s="211">
        <v>163878.31517461836</v>
      </c>
      <c r="K34" s="213">
        <v>394955.60721665958</v>
      </c>
      <c r="L34" s="221">
        <v>24396.883621944991</v>
      </c>
      <c r="M34" s="211">
        <v>16897.491593089999</v>
      </c>
      <c r="N34" s="211">
        <v>0</v>
      </c>
      <c r="O34" s="213">
        <v>41294.37521503499</v>
      </c>
      <c r="P34" s="211">
        <v>1099.76488079</v>
      </c>
      <c r="Q34" s="211">
        <v>2227.4444136100001</v>
      </c>
      <c r="R34" s="211">
        <v>119152.89904371851</v>
      </c>
      <c r="S34" s="211">
        <v>8900.9175206197997</v>
      </c>
      <c r="T34" s="222">
        <v>131381.02585873831</v>
      </c>
      <c r="U34" s="223">
        <v>10158.161028158476</v>
      </c>
      <c r="V34" s="211">
        <v>3244.5832823625142</v>
      </c>
      <c r="W34" s="216">
        <v>26778.654972009477</v>
      </c>
      <c r="X34" s="217">
        <v>623898.90404657216</v>
      </c>
      <c r="Y34" s="218">
        <v>44498.346003262959</v>
      </c>
      <c r="Z34" s="224"/>
      <c r="AA34" s="225"/>
      <c r="AB34" s="226"/>
      <c r="AC34" s="227"/>
      <c r="AD34" s="224"/>
      <c r="AE34" s="224"/>
      <c r="AF34" s="224"/>
      <c r="AG34" s="224"/>
      <c r="AH34" s="227"/>
      <c r="AI34" s="224"/>
      <c r="AJ34" s="224"/>
      <c r="AK34" s="227"/>
      <c r="AL34" s="224"/>
    </row>
    <row r="35" spans="1:38" ht="17.100000000000001" hidden="1" customHeight="1" x14ac:dyDescent="0.25">
      <c r="A35" s="220">
        <v>39264</v>
      </c>
      <c r="B35" s="211">
        <v>2014.8065060399999</v>
      </c>
      <c r="C35" s="211">
        <v>9021.5165828757163</v>
      </c>
      <c r="D35" s="211">
        <v>4819.319127013533</v>
      </c>
      <c r="E35" s="213">
        <v>15855.642215929249</v>
      </c>
      <c r="F35" s="211">
        <v>246368.52680708843</v>
      </c>
      <c r="G35" s="211">
        <v>5462.061287730201</v>
      </c>
      <c r="H35" s="211">
        <v>7828.2780553821221</v>
      </c>
      <c r="I35" s="211">
        <v>416.10458528966672</v>
      </c>
      <c r="J35" s="211">
        <v>161104.63519252182</v>
      </c>
      <c r="K35" s="213">
        <v>421179.60592801229</v>
      </c>
      <c r="L35" s="221">
        <v>22283.833853537133</v>
      </c>
      <c r="M35" s="211">
        <v>17013.446356559998</v>
      </c>
      <c r="N35" s="211">
        <v>4.5999999986889861E-7</v>
      </c>
      <c r="O35" s="213">
        <v>39297.280210557132</v>
      </c>
      <c r="P35" s="211">
        <v>1068.3439860999999</v>
      </c>
      <c r="Q35" s="211">
        <v>2192.6113199599999</v>
      </c>
      <c r="R35" s="211">
        <v>119368.91926965519</v>
      </c>
      <c r="S35" s="211">
        <v>8717.0350228344687</v>
      </c>
      <c r="T35" s="222">
        <v>131346.90959854965</v>
      </c>
      <c r="U35" s="223">
        <v>9810.3960254848971</v>
      </c>
      <c r="V35" s="211">
        <v>880.42799964553251</v>
      </c>
      <c r="W35" s="216">
        <v>27132.725773042421</v>
      </c>
      <c r="X35" s="217">
        <v>645502.98775122128</v>
      </c>
      <c r="Y35" s="218">
        <v>43685.724462361926</v>
      </c>
      <c r="Z35" s="224"/>
      <c r="AA35" s="225"/>
      <c r="AB35" s="226"/>
      <c r="AC35" s="227"/>
      <c r="AD35" s="224"/>
      <c r="AE35" s="224"/>
      <c r="AF35" s="224"/>
      <c r="AG35" s="224"/>
      <c r="AH35" s="227"/>
      <c r="AI35" s="224"/>
      <c r="AJ35" s="224"/>
      <c r="AK35" s="227"/>
      <c r="AL35" s="224"/>
    </row>
    <row r="36" spans="1:38" ht="17.100000000000001" hidden="1" customHeight="1" x14ac:dyDescent="0.25">
      <c r="A36" s="220">
        <v>39295</v>
      </c>
      <c r="B36" s="211">
        <v>2011.10480798</v>
      </c>
      <c r="C36" s="211">
        <v>8481.8115072663495</v>
      </c>
      <c r="D36" s="211">
        <v>5216.7296774125498</v>
      </c>
      <c r="E36" s="213">
        <v>15709.6459926589</v>
      </c>
      <c r="F36" s="211">
        <v>259388.24230521638</v>
      </c>
      <c r="G36" s="211">
        <v>6007.0261423409002</v>
      </c>
      <c r="H36" s="211">
        <v>7601.2171946560638</v>
      </c>
      <c r="I36" s="211">
        <v>261.76049446315</v>
      </c>
      <c r="J36" s="211">
        <v>159667.29979774318</v>
      </c>
      <c r="K36" s="213">
        <v>432925.54593441973</v>
      </c>
      <c r="L36" s="221">
        <v>22908.588889873197</v>
      </c>
      <c r="M36" s="211">
        <v>18499.399305909999</v>
      </c>
      <c r="N36" s="211">
        <v>2.2000000043931323E-7</v>
      </c>
      <c r="O36" s="213">
        <v>41407.9881960032</v>
      </c>
      <c r="P36" s="211">
        <v>1132.9250440000001</v>
      </c>
      <c r="Q36" s="211">
        <v>2160.6811183</v>
      </c>
      <c r="R36" s="211">
        <v>122829.11846436048</v>
      </c>
      <c r="S36" s="211">
        <v>8629.8742944286168</v>
      </c>
      <c r="T36" s="222">
        <v>134752.59892108911</v>
      </c>
      <c r="U36" s="223">
        <v>9212.4296975850866</v>
      </c>
      <c r="V36" s="211">
        <v>868.30367472517128</v>
      </c>
      <c r="W36" s="216">
        <v>27725.159713030804</v>
      </c>
      <c r="X36" s="217">
        <v>662601.67212951195</v>
      </c>
      <c r="Y36" s="218">
        <v>46193.440427783826</v>
      </c>
      <c r="Z36" s="224"/>
      <c r="AA36" s="225"/>
      <c r="AB36" s="226"/>
      <c r="AC36" s="227"/>
      <c r="AD36" s="224"/>
      <c r="AE36" s="224"/>
      <c r="AF36" s="224"/>
      <c r="AG36" s="224"/>
      <c r="AH36" s="227"/>
      <c r="AI36" s="224"/>
      <c r="AJ36" s="224"/>
      <c r="AK36" s="227"/>
      <c r="AL36" s="224"/>
    </row>
    <row r="37" spans="1:38" ht="17.100000000000001" hidden="1" customHeight="1" x14ac:dyDescent="0.25">
      <c r="A37" s="220">
        <v>39326</v>
      </c>
      <c r="B37" s="211">
        <v>1960.2172360300003</v>
      </c>
      <c r="C37" s="211">
        <v>10752.856724423142</v>
      </c>
      <c r="D37" s="211">
        <v>4663.670147452267</v>
      </c>
      <c r="E37" s="213">
        <v>17376.744107905412</v>
      </c>
      <c r="F37" s="211">
        <v>260662.35806514396</v>
      </c>
      <c r="G37" s="211">
        <v>5343.910944753683</v>
      </c>
      <c r="H37" s="211">
        <v>7469.3276857146666</v>
      </c>
      <c r="I37" s="211">
        <v>276.64265776133328</v>
      </c>
      <c r="J37" s="211">
        <v>166839.87766627627</v>
      </c>
      <c r="K37" s="213">
        <v>440592.11701964994</v>
      </c>
      <c r="L37" s="221">
        <v>20612.010325687766</v>
      </c>
      <c r="M37" s="211">
        <v>19983.31721248</v>
      </c>
      <c r="N37" s="211">
        <v>7.5150000000689943E-5</v>
      </c>
      <c r="O37" s="213">
        <v>40595.327613317764</v>
      </c>
      <c r="P37" s="211">
        <v>1133.6218966399999</v>
      </c>
      <c r="Q37" s="211">
        <v>2027.9759141900001</v>
      </c>
      <c r="R37" s="211">
        <v>123705.25807635103</v>
      </c>
      <c r="S37" s="211">
        <v>8654.8850504650236</v>
      </c>
      <c r="T37" s="222">
        <v>135521.74093764607</v>
      </c>
      <c r="U37" s="223">
        <v>9457.1639098106734</v>
      </c>
      <c r="V37" s="211">
        <v>1019.1449508301178</v>
      </c>
      <c r="W37" s="216">
        <v>28104.131541509414</v>
      </c>
      <c r="X37" s="217">
        <v>672666.37008066941</v>
      </c>
      <c r="Y37" s="218">
        <v>48161.581159289839</v>
      </c>
      <c r="Z37" s="224"/>
      <c r="AA37" s="225"/>
      <c r="AB37" s="226"/>
      <c r="AC37" s="227"/>
      <c r="AD37" s="224"/>
      <c r="AE37" s="224"/>
      <c r="AF37" s="224"/>
      <c r="AG37" s="224"/>
      <c r="AH37" s="227"/>
      <c r="AI37" s="224"/>
      <c r="AJ37" s="224"/>
      <c r="AK37" s="227"/>
      <c r="AL37" s="224"/>
    </row>
    <row r="38" spans="1:38" ht="17.100000000000001" hidden="1" customHeight="1" x14ac:dyDescent="0.25">
      <c r="A38" s="220">
        <v>39356</v>
      </c>
      <c r="B38" s="211">
        <v>2346.5860313099997</v>
      </c>
      <c r="C38" s="211">
        <v>10968.233673568699</v>
      </c>
      <c r="D38" s="211">
        <v>2997.9312813514666</v>
      </c>
      <c r="E38" s="213">
        <v>16312.750986230165</v>
      </c>
      <c r="F38" s="211">
        <v>248395.93669103415</v>
      </c>
      <c r="G38" s="211">
        <v>5088.1076727949676</v>
      </c>
      <c r="H38" s="211">
        <v>7479.3421063466667</v>
      </c>
      <c r="I38" s="211">
        <v>307.54111524266671</v>
      </c>
      <c r="J38" s="211">
        <v>174432.36334277573</v>
      </c>
      <c r="K38" s="213">
        <v>435703.29092819418</v>
      </c>
      <c r="L38" s="221">
        <v>19668.123301087442</v>
      </c>
      <c r="M38" s="211">
        <v>20873.125990680001</v>
      </c>
      <c r="N38" s="211">
        <v>1.092700000002722E-4</v>
      </c>
      <c r="O38" s="213">
        <v>40541.249401037436</v>
      </c>
      <c r="P38" s="211">
        <v>1131.3664725199999</v>
      </c>
      <c r="Q38" s="211">
        <v>2009.21994795</v>
      </c>
      <c r="R38" s="211">
        <v>126373.47756990437</v>
      </c>
      <c r="S38" s="211">
        <v>8737.2312516915008</v>
      </c>
      <c r="T38" s="222">
        <v>138251.29524206588</v>
      </c>
      <c r="U38" s="223">
        <v>10963.168767571573</v>
      </c>
      <c r="V38" s="211">
        <v>824.81357572699903</v>
      </c>
      <c r="W38" s="216">
        <v>27630.637751055678</v>
      </c>
      <c r="X38" s="217">
        <v>670227.20665188204</v>
      </c>
      <c r="Y38" s="218">
        <v>51121.216738404401</v>
      </c>
      <c r="Z38" s="224"/>
      <c r="AA38" s="225"/>
      <c r="AB38" s="226"/>
      <c r="AC38" s="227"/>
      <c r="AD38" s="224"/>
      <c r="AE38" s="224"/>
      <c r="AF38" s="224"/>
      <c r="AG38" s="224"/>
      <c r="AH38" s="227"/>
      <c r="AI38" s="224"/>
      <c r="AJ38" s="224"/>
      <c r="AK38" s="227"/>
      <c r="AL38" s="224"/>
    </row>
    <row r="39" spans="1:38" ht="17.100000000000001" hidden="1" customHeight="1" x14ac:dyDescent="0.25">
      <c r="A39" s="220">
        <v>39387</v>
      </c>
      <c r="B39" s="211">
        <v>2335.0810954200001</v>
      </c>
      <c r="C39" s="211">
        <v>9072.5255402496496</v>
      </c>
      <c r="D39" s="211">
        <v>4049.1168429084669</v>
      </c>
      <c r="E39" s="213">
        <v>15456.723478578117</v>
      </c>
      <c r="F39" s="211">
        <v>280290.6856299573</v>
      </c>
      <c r="G39" s="211">
        <v>4676.7166330497994</v>
      </c>
      <c r="H39" s="211">
        <v>7232.2307066106669</v>
      </c>
      <c r="I39" s="211">
        <v>301.95758952616666</v>
      </c>
      <c r="J39" s="211">
        <v>182609.60810432321</v>
      </c>
      <c r="K39" s="213">
        <v>475111.19866346713</v>
      </c>
      <c r="L39" s="221">
        <v>21637.289586161154</v>
      </c>
      <c r="M39" s="211">
        <v>21735.456235169997</v>
      </c>
      <c r="N39" s="211">
        <v>-2.2800999999983418E-4</v>
      </c>
      <c r="O39" s="213">
        <v>43372.745593321146</v>
      </c>
      <c r="P39" s="211">
        <v>1089.59636252</v>
      </c>
      <c r="Q39" s="211">
        <v>2048.20135927</v>
      </c>
      <c r="R39" s="211">
        <v>128372.94160738832</v>
      </c>
      <c r="S39" s="211">
        <v>8650.377601534803</v>
      </c>
      <c r="T39" s="222">
        <v>140161.11693071312</v>
      </c>
      <c r="U39" s="223">
        <v>11087.178155837784</v>
      </c>
      <c r="V39" s="211">
        <v>680.45714326123436</v>
      </c>
      <c r="W39" s="216">
        <v>28640.954721062957</v>
      </c>
      <c r="X39" s="217">
        <v>714510.3746862415</v>
      </c>
      <c r="Y39" s="218">
        <v>48002.384289997499</v>
      </c>
      <c r="Z39" s="224"/>
      <c r="AA39" s="225"/>
      <c r="AB39" s="226"/>
      <c r="AC39" s="227"/>
      <c r="AD39" s="224"/>
      <c r="AE39" s="224"/>
      <c r="AF39" s="224"/>
      <c r="AG39" s="224"/>
      <c r="AH39" s="227"/>
      <c r="AI39" s="224"/>
      <c r="AJ39" s="224"/>
      <c r="AK39" s="227"/>
      <c r="AL39" s="224"/>
    </row>
    <row r="40" spans="1:38" ht="17.100000000000001" hidden="1" customHeight="1" x14ac:dyDescent="0.25">
      <c r="A40" s="220">
        <v>39417</v>
      </c>
      <c r="B40" s="211">
        <v>3437.6939873999995</v>
      </c>
      <c r="C40" s="211">
        <v>9863.0216191368199</v>
      </c>
      <c r="D40" s="211">
        <v>3976.8479033787498</v>
      </c>
      <c r="E40" s="213">
        <v>17277.56350991557</v>
      </c>
      <c r="F40" s="211">
        <v>260511.6357855133</v>
      </c>
      <c r="G40" s="211">
        <v>4118.0492116762507</v>
      </c>
      <c r="H40" s="211">
        <v>6885.4501198575008</v>
      </c>
      <c r="I40" s="211">
        <v>641.13749332499708</v>
      </c>
      <c r="J40" s="211">
        <v>176635.38294263743</v>
      </c>
      <c r="K40" s="213">
        <v>448791.65555300948</v>
      </c>
      <c r="L40" s="221">
        <v>21664.27290035865</v>
      </c>
      <c r="M40" s="211">
        <v>22594.272678639998</v>
      </c>
      <c r="N40" s="211">
        <v>-2.9774999999965246E-4</v>
      </c>
      <c r="O40" s="213">
        <v>44258.545281248647</v>
      </c>
      <c r="P40" s="211">
        <v>1089.07226956</v>
      </c>
      <c r="Q40" s="211">
        <v>2270.71480092</v>
      </c>
      <c r="R40" s="211">
        <v>133682.22295601096</v>
      </c>
      <c r="S40" s="211">
        <v>8270.1528139521924</v>
      </c>
      <c r="T40" s="222">
        <v>145312.16284044314</v>
      </c>
      <c r="U40" s="223">
        <v>11746.750538212651</v>
      </c>
      <c r="V40" s="211">
        <v>598.51109833824785</v>
      </c>
      <c r="W40" s="216">
        <v>26773.146589845583</v>
      </c>
      <c r="X40" s="217">
        <v>694758.33541101334</v>
      </c>
      <c r="Y40" s="218">
        <v>47553.977614061354</v>
      </c>
      <c r="Z40" s="224"/>
      <c r="AA40" s="225"/>
      <c r="AB40" s="226"/>
      <c r="AC40" s="227"/>
      <c r="AD40" s="224"/>
      <c r="AE40" s="224"/>
      <c r="AF40" s="224"/>
      <c r="AG40" s="224"/>
      <c r="AH40" s="227"/>
      <c r="AI40" s="224"/>
      <c r="AJ40" s="224"/>
      <c r="AK40" s="227"/>
      <c r="AL40" s="224"/>
    </row>
    <row r="41" spans="1:38" ht="17.100000000000001" hidden="1" customHeight="1" x14ac:dyDescent="0.25">
      <c r="A41" s="220">
        <v>39448</v>
      </c>
      <c r="B41" s="211">
        <v>2672.7012553899999</v>
      </c>
      <c r="C41" s="211">
        <v>9101.3633934848858</v>
      </c>
      <c r="D41" s="211">
        <v>4979.3602153649617</v>
      </c>
      <c r="E41" s="213">
        <v>16753.424864239849</v>
      </c>
      <c r="F41" s="211">
        <v>278083.12229679682</v>
      </c>
      <c r="G41" s="211">
        <v>2985.54288163</v>
      </c>
      <c r="H41" s="211">
        <v>7960.5022116748542</v>
      </c>
      <c r="I41" s="211">
        <v>511.39403093639197</v>
      </c>
      <c r="J41" s="211">
        <v>183812.49165768526</v>
      </c>
      <c r="K41" s="213">
        <v>473353.05307872337</v>
      </c>
      <c r="L41" s="221">
        <v>21097.350458134773</v>
      </c>
      <c r="M41" s="211">
        <v>23814.63066875</v>
      </c>
      <c r="N41" s="211">
        <v>-4.3875999999976045E-4</v>
      </c>
      <c r="O41" s="213">
        <v>44911.980688124771</v>
      </c>
      <c r="P41" s="211">
        <v>1069.47748028</v>
      </c>
      <c r="Q41" s="211">
        <v>2332.2654250700002</v>
      </c>
      <c r="R41" s="211">
        <v>135912.56850639411</v>
      </c>
      <c r="S41" s="211">
        <v>7998.2166152692434</v>
      </c>
      <c r="T41" s="222">
        <v>147312.52802701335</v>
      </c>
      <c r="U41" s="223">
        <v>12332.944233588576</v>
      </c>
      <c r="V41" s="211">
        <v>1526.7169042326746</v>
      </c>
      <c r="W41" s="216">
        <v>27278.246602030042</v>
      </c>
      <c r="X41" s="217">
        <v>723468.89439795259</v>
      </c>
      <c r="Y41" s="218">
        <v>50219.826724544429</v>
      </c>
      <c r="Z41" s="224"/>
      <c r="AA41" s="225"/>
      <c r="AB41" s="226"/>
      <c r="AC41" s="227"/>
      <c r="AD41" s="224"/>
      <c r="AE41" s="224"/>
      <c r="AF41" s="224"/>
      <c r="AG41" s="224"/>
      <c r="AH41" s="227"/>
      <c r="AI41" s="224"/>
      <c r="AJ41" s="224"/>
      <c r="AK41" s="227"/>
      <c r="AL41" s="224"/>
    </row>
    <row r="42" spans="1:38" ht="17.100000000000001" hidden="1" customHeight="1" x14ac:dyDescent="0.25">
      <c r="A42" s="220">
        <v>39479</v>
      </c>
      <c r="B42" s="211">
        <v>2424.0370009200001</v>
      </c>
      <c r="C42" s="211">
        <v>10967.124580128238</v>
      </c>
      <c r="D42" s="211">
        <v>4933.2501050260325</v>
      </c>
      <c r="E42" s="213">
        <v>18324.411686074272</v>
      </c>
      <c r="F42" s="211">
        <v>251585.66700935026</v>
      </c>
      <c r="G42" s="211">
        <v>3285.1861993015</v>
      </c>
      <c r="H42" s="211">
        <v>7648.3108533562799</v>
      </c>
      <c r="I42" s="211">
        <v>254.20999625625194</v>
      </c>
      <c r="J42" s="211">
        <v>189341.47590797985</v>
      </c>
      <c r="K42" s="213">
        <v>452114.84996624419</v>
      </c>
      <c r="L42" s="221">
        <v>21906.339559148182</v>
      </c>
      <c r="M42" s="211">
        <v>24589.836544908958</v>
      </c>
      <c r="N42" s="211">
        <v>1.7836999999953917E-4</v>
      </c>
      <c r="O42" s="213">
        <v>46496.176282427143</v>
      </c>
      <c r="P42" s="211">
        <v>1056.3028387699999</v>
      </c>
      <c r="Q42" s="211">
        <v>2414.4564369200002</v>
      </c>
      <c r="R42" s="211">
        <v>136059.01663985953</v>
      </c>
      <c r="S42" s="211">
        <v>7626.1012571465171</v>
      </c>
      <c r="T42" s="222">
        <v>147155.87717269603</v>
      </c>
      <c r="U42" s="223">
        <v>11070.669779080248</v>
      </c>
      <c r="V42" s="211">
        <v>1520.2954186127527</v>
      </c>
      <c r="W42" s="216">
        <v>28151.00950580732</v>
      </c>
      <c r="X42" s="217">
        <v>704833.28981094202</v>
      </c>
      <c r="Y42" s="218">
        <v>47972.86983261953</v>
      </c>
      <c r="Z42" s="224"/>
      <c r="AA42" s="225"/>
      <c r="AB42" s="226"/>
      <c r="AC42" s="227"/>
      <c r="AD42" s="224"/>
      <c r="AE42" s="224"/>
      <c r="AF42" s="224"/>
      <c r="AG42" s="224"/>
      <c r="AH42" s="227"/>
      <c r="AI42" s="224"/>
      <c r="AJ42" s="224"/>
      <c r="AK42" s="227"/>
      <c r="AL42" s="224"/>
    </row>
    <row r="43" spans="1:38" ht="17.100000000000001" hidden="1" customHeight="1" x14ac:dyDescent="0.25">
      <c r="A43" s="220">
        <v>39508</v>
      </c>
      <c r="B43" s="211">
        <v>2201.9510797799999</v>
      </c>
      <c r="C43" s="211">
        <v>14555.37568026287</v>
      </c>
      <c r="D43" s="211">
        <v>7073.177034695932</v>
      </c>
      <c r="E43" s="213">
        <v>23830.503794738801</v>
      </c>
      <c r="F43" s="211">
        <v>238858.28624454825</v>
      </c>
      <c r="G43" s="211">
        <v>4661.4297953231162</v>
      </c>
      <c r="H43" s="211">
        <v>7536.0658003864582</v>
      </c>
      <c r="I43" s="211">
        <v>269.08003209564436</v>
      </c>
      <c r="J43" s="211">
        <v>176601.72257507121</v>
      </c>
      <c r="K43" s="213">
        <v>427926.58444742463</v>
      </c>
      <c r="L43" s="221">
        <v>21673.967512363488</v>
      </c>
      <c r="M43" s="211">
        <v>25588.193436008445</v>
      </c>
      <c r="N43" s="211">
        <v>-1.5833999999959047E-4</v>
      </c>
      <c r="O43" s="213">
        <v>47262.160790031936</v>
      </c>
      <c r="P43" s="211">
        <v>1063.0708835800001</v>
      </c>
      <c r="Q43" s="211">
        <v>2389.9419238800001</v>
      </c>
      <c r="R43" s="211">
        <v>137084.01997187562</v>
      </c>
      <c r="S43" s="211">
        <v>7521.5893217049506</v>
      </c>
      <c r="T43" s="222">
        <v>148058.62210104059</v>
      </c>
      <c r="U43" s="223">
        <v>10935.915016716805</v>
      </c>
      <c r="V43" s="211">
        <v>1619.1119846285683</v>
      </c>
      <c r="W43" s="216">
        <v>33942.871550318763</v>
      </c>
      <c r="X43" s="217">
        <v>693575.76968490006</v>
      </c>
      <c r="Y43" s="218">
        <v>46960.889008693739</v>
      </c>
      <c r="Z43" s="224"/>
      <c r="AA43" s="225"/>
      <c r="AB43" s="226"/>
      <c r="AC43" s="227"/>
      <c r="AD43" s="224"/>
      <c r="AE43" s="224"/>
      <c r="AF43" s="224"/>
      <c r="AG43" s="224"/>
      <c r="AH43" s="227"/>
      <c r="AI43" s="224"/>
      <c r="AJ43" s="224"/>
      <c r="AK43" s="227"/>
      <c r="AL43" s="224"/>
    </row>
    <row r="44" spans="1:38" ht="17.100000000000001" hidden="1" customHeight="1" x14ac:dyDescent="0.25">
      <c r="A44" s="220">
        <v>39539</v>
      </c>
      <c r="B44" s="211">
        <v>2358.4085955599999</v>
      </c>
      <c r="C44" s="211">
        <v>9964.8704470442699</v>
      </c>
      <c r="D44" s="211">
        <v>12244.675319002201</v>
      </c>
      <c r="E44" s="213">
        <v>24567.954361606469</v>
      </c>
      <c r="F44" s="211">
        <v>221764.32197804333</v>
      </c>
      <c r="G44" s="211">
        <v>5622.8709249567992</v>
      </c>
      <c r="H44" s="211">
        <v>8016.4115218397073</v>
      </c>
      <c r="I44" s="211">
        <v>251.92707597680001</v>
      </c>
      <c r="J44" s="211">
        <v>184214.10125262471</v>
      </c>
      <c r="K44" s="213">
        <v>419869.63275344134</v>
      </c>
      <c r="L44" s="221">
        <v>22228.460655816612</v>
      </c>
      <c r="M44" s="211">
        <v>26333.24978123049</v>
      </c>
      <c r="N44" s="211">
        <v>-1.4878999999989873E-4</v>
      </c>
      <c r="O44" s="213">
        <v>48561.710288257105</v>
      </c>
      <c r="P44" s="211">
        <v>1095.74375538</v>
      </c>
      <c r="Q44" s="211">
        <v>2340.88111798</v>
      </c>
      <c r="R44" s="211">
        <v>139454.69141706382</v>
      </c>
      <c r="S44" s="211">
        <v>7394.548411257917</v>
      </c>
      <c r="T44" s="222">
        <v>150285.86470168171</v>
      </c>
      <c r="U44" s="223">
        <v>10116.967438846819</v>
      </c>
      <c r="V44" s="211">
        <v>794.9471535303195</v>
      </c>
      <c r="W44" s="216">
        <v>26829.36222634044</v>
      </c>
      <c r="X44" s="217">
        <v>681026.43892370421</v>
      </c>
      <c r="Y44" s="218">
        <v>48043.421946344381</v>
      </c>
      <c r="Z44" s="224"/>
      <c r="AA44" s="225"/>
      <c r="AB44" s="226"/>
      <c r="AC44" s="227"/>
      <c r="AD44" s="224"/>
      <c r="AE44" s="224"/>
      <c r="AF44" s="224"/>
      <c r="AG44" s="224"/>
      <c r="AH44" s="227"/>
      <c r="AI44" s="224"/>
      <c r="AJ44" s="224"/>
      <c r="AK44" s="227"/>
      <c r="AL44" s="224"/>
    </row>
    <row r="45" spans="1:38" ht="17.100000000000001" hidden="1" customHeight="1" x14ac:dyDescent="0.25">
      <c r="A45" s="220">
        <v>39569</v>
      </c>
      <c r="B45" s="211">
        <v>2269.0402082169207</v>
      </c>
      <c r="C45" s="211">
        <v>9256.6923596451925</v>
      </c>
      <c r="D45" s="211">
        <v>10349.277130566135</v>
      </c>
      <c r="E45" s="213">
        <v>21875.00969842825</v>
      </c>
      <c r="F45" s="211">
        <v>228933.02293828106</v>
      </c>
      <c r="G45" s="211">
        <v>5877.4702602167827</v>
      </c>
      <c r="H45" s="211">
        <v>15389.435257516521</v>
      </c>
      <c r="I45" s="211">
        <v>273.38995166077211</v>
      </c>
      <c r="J45" s="211">
        <v>199594.54282519111</v>
      </c>
      <c r="K45" s="213">
        <v>450067.86123286624</v>
      </c>
      <c r="L45" s="221">
        <v>24925.797162393166</v>
      </c>
      <c r="M45" s="211">
        <v>27350.790312355442</v>
      </c>
      <c r="N45" s="211">
        <v>6.1660000000074433E-5</v>
      </c>
      <c r="O45" s="213">
        <v>52276.58753640861</v>
      </c>
      <c r="P45" s="211">
        <v>1129.46102234</v>
      </c>
      <c r="Q45" s="211">
        <v>2571.1220143800001</v>
      </c>
      <c r="R45" s="211">
        <v>141685.22779280689</v>
      </c>
      <c r="S45" s="211">
        <v>7508.9594096469837</v>
      </c>
      <c r="T45" s="222">
        <v>152894.77023917387</v>
      </c>
      <c r="U45" s="223">
        <v>11784.059732644517</v>
      </c>
      <c r="V45" s="211">
        <v>800.19299686613954</v>
      </c>
      <c r="W45" s="216">
        <v>28222.322122595488</v>
      </c>
      <c r="X45" s="217">
        <v>717920.80355898314</v>
      </c>
      <c r="Y45" s="218">
        <v>52965.345273467399</v>
      </c>
      <c r="Z45" s="224"/>
      <c r="AA45" s="225"/>
      <c r="AB45" s="226"/>
      <c r="AC45" s="227"/>
      <c r="AD45" s="224"/>
      <c r="AE45" s="224"/>
      <c r="AF45" s="224"/>
      <c r="AG45" s="224"/>
      <c r="AH45" s="227"/>
      <c r="AI45" s="224"/>
      <c r="AJ45" s="224"/>
      <c r="AK45" s="227"/>
      <c r="AL45" s="224"/>
    </row>
    <row r="46" spans="1:38" ht="17.100000000000001" hidden="1" customHeight="1" x14ac:dyDescent="0.25">
      <c r="A46" s="220">
        <v>39600</v>
      </c>
      <c r="B46" s="211">
        <v>2093.6949126229083</v>
      </c>
      <c r="C46" s="211">
        <v>11917.527635432281</v>
      </c>
      <c r="D46" s="211">
        <v>6028.3278035419671</v>
      </c>
      <c r="E46" s="213">
        <v>20039.550351597158</v>
      </c>
      <c r="F46" s="211">
        <v>238514.52868853731</v>
      </c>
      <c r="G46" s="211">
        <v>5679.6793979248996</v>
      </c>
      <c r="H46" s="211">
        <v>21876.520966455992</v>
      </c>
      <c r="I46" s="211">
        <v>324.72733536491711</v>
      </c>
      <c r="J46" s="211">
        <v>189585.33833895801</v>
      </c>
      <c r="K46" s="213">
        <v>455980.79472724115</v>
      </c>
      <c r="L46" s="221">
        <v>31615.389150853753</v>
      </c>
      <c r="M46" s="211">
        <v>24098.958682945289</v>
      </c>
      <c r="N46" s="211">
        <v>-2.8074999999994077E-4</v>
      </c>
      <c r="O46" s="213">
        <v>55714.34755304904</v>
      </c>
      <c r="P46" s="211">
        <v>1145.2529159800001</v>
      </c>
      <c r="Q46" s="211">
        <v>2776.4430720199998</v>
      </c>
      <c r="R46" s="211">
        <v>143939.97020545643</v>
      </c>
      <c r="S46" s="211">
        <v>7985.3756967621675</v>
      </c>
      <c r="T46" s="222">
        <v>155847.04189021862</v>
      </c>
      <c r="U46" s="223">
        <v>11264.00901455368</v>
      </c>
      <c r="V46" s="211">
        <v>1546.7104122140499</v>
      </c>
      <c r="W46" s="216">
        <v>28950.01467207012</v>
      </c>
      <c r="X46" s="217">
        <v>729342.46862094384</v>
      </c>
      <c r="Y46" s="218">
        <v>53777.498538158587</v>
      </c>
      <c r="Z46" s="224"/>
      <c r="AA46" s="225"/>
      <c r="AB46" s="226"/>
      <c r="AC46" s="227"/>
      <c r="AD46" s="224"/>
      <c r="AE46" s="224"/>
      <c r="AF46" s="224"/>
      <c r="AG46" s="224"/>
      <c r="AH46" s="227"/>
      <c r="AI46" s="224"/>
      <c r="AJ46" s="224"/>
      <c r="AK46" s="227"/>
      <c r="AL46" s="224"/>
    </row>
    <row r="47" spans="1:38" ht="17.100000000000001" hidden="1" customHeight="1" x14ac:dyDescent="0.25">
      <c r="A47" s="220">
        <v>39630</v>
      </c>
      <c r="B47" s="211">
        <v>2540.0269665742103</v>
      </c>
      <c r="C47" s="211">
        <v>10422.370499647193</v>
      </c>
      <c r="D47" s="211">
        <v>6713.4462060155047</v>
      </c>
      <c r="E47" s="213">
        <v>19675.843672236908</v>
      </c>
      <c r="F47" s="211">
        <v>264159.23422725609</v>
      </c>
      <c r="G47" s="211">
        <v>5522.9706076592502</v>
      </c>
      <c r="H47" s="211">
        <v>7999.0178695369041</v>
      </c>
      <c r="I47" s="211">
        <v>287.55060331437738</v>
      </c>
      <c r="J47" s="211">
        <v>190533.11796317811</v>
      </c>
      <c r="K47" s="213">
        <v>468501.89127094473</v>
      </c>
      <c r="L47" s="221">
        <v>33273.304561080164</v>
      </c>
      <c r="M47" s="211">
        <v>24118.832183374077</v>
      </c>
      <c r="N47" s="211">
        <v>-3.6637999999999948E-4</v>
      </c>
      <c r="O47" s="213">
        <v>57392.136378074239</v>
      </c>
      <c r="P47" s="211">
        <v>1083.1352314100002</v>
      </c>
      <c r="Q47" s="211">
        <v>2862.4089365599998</v>
      </c>
      <c r="R47" s="211">
        <v>146939.09164869069</v>
      </c>
      <c r="S47" s="211">
        <v>8273.3994280029692</v>
      </c>
      <c r="T47" s="222">
        <v>159158.03524466365</v>
      </c>
      <c r="U47" s="223">
        <v>11572.967654640182</v>
      </c>
      <c r="V47" s="211">
        <v>623.58049228652715</v>
      </c>
      <c r="W47" s="216">
        <v>30516.084042990184</v>
      </c>
      <c r="X47" s="217">
        <v>747440.53875583643</v>
      </c>
      <c r="Y47" s="218">
        <v>54041.731312599033</v>
      </c>
      <c r="Z47" s="224"/>
      <c r="AA47" s="225"/>
      <c r="AB47" s="226"/>
      <c r="AC47" s="227"/>
      <c r="AD47" s="224"/>
      <c r="AE47" s="224"/>
      <c r="AF47" s="224"/>
      <c r="AG47" s="224"/>
      <c r="AH47" s="227"/>
      <c r="AI47" s="224"/>
      <c r="AJ47" s="224"/>
      <c r="AK47" s="227"/>
      <c r="AL47" s="224"/>
    </row>
    <row r="48" spans="1:38" ht="17.100000000000001" hidden="1" customHeight="1" x14ac:dyDescent="0.25">
      <c r="A48" s="220">
        <v>39661</v>
      </c>
      <c r="B48" s="211">
        <v>2330.8301665273989</v>
      </c>
      <c r="C48" s="211">
        <v>13858.918584288294</v>
      </c>
      <c r="D48" s="211">
        <v>4688.5191478660145</v>
      </c>
      <c r="E48" s="213">
        <v>20878.267898681708</v>
      </c>
      <c r="F48" s="211">
        <v>237567.22583443843</v>
      </c>
      <c r="G48" s="211">
        <v>5688.8756878684317</v>
      </c>
      <c r="H48" s="211">
        <v>8179.3759853822385</v>
      </c>
      <c r="I48" s="211">
        <v>303.71493699407176</v>
      </c>
      <c r="J48" s="211">
        <v>205602.19688474454</v>
      </c>
      <c r="K48" s="213">
        <v>457341.38932942774</v>
      </c>
      <c r="L48" s="221">
        <v>32144.488714235267</v>
      </c>
      <c r="M48" s="211">
        <v>23848.262998669601</v>
      </c>
      <c r="N48" s="211">
        <v>-4.8785999999978458E-4</v>
      </c>
      <c r="O48" s="213">
        <v>55992.751225044864</v>
      </c>
      <c r="P48" s="211">
        <v>1086.0350964300001</v>
      </c>
      <c r="Q48" s="211">
        <v>3048.44142465</v>
      </c>
      <c r="R48" s="211">
        <v>147602.49727391874</v>
      </c>
      <c r="S48" s="211">
        <v>8224.9688931516685</v>
      </c>
      <c r="T48" s="222">
        <v>159961.94268815042</v>
      </c>
      <c r="U48" s="223">
        <v>12792.744413992465</v>
      </c>
      <c r="V48" s="211">
        <v>681.47702268810929</v>
      </c>
      <c r="W48" s="216">
        <v>30051.046868614994</v>
      </c>
      <c r="X48" s="217">
        <v>737699.61944660032</v>
      </c>
      <c r="Y48" s="218">
        <v>55378.727578099315</v>
      </c>
      <c r="Z48" s="224"/>
      <c r="AA48" s="225"/>
      <c r="AB48" s="226"/>
      <c r="AC48" s="227"/>
      <c r="AD48" s="224"/>
      <c r="AE48" s="224"/>
      <c r="AF48" s="224"/>
      <c r="AG48" s="224"/>
      <c r="AH48" s="227"/>
      <c r="AI48" s="224"/>
      <c r="AJ48" s="224"/>
      <c r="AK48" s="227"/>
      <c r="AL48" s="224"/>
    </row>
    <row r="49" spans="1:38" ht="17.100000000000001" hidden="1" customHeight="1" x14ac:dyDescent="0.25">
      <c r="A49" s="220">
        <v>39692</v>
      </c>
      <c r="B49" s="211">
        <v>2165.4800203127957</v>
      </c>
      <c r="C49" s="211">
        <v>16172.88831085914</v>
      </c>
      <c r="D49" s="211">
        <v>2787.791941509769</v>
      </c>
      <c r="E49" s="213">
        <v>21126.160272681704</v>
      </c>
      <c r="F49" s="211">
        <v>213219.77804946093</v>
      </c>
      <c r="G49" s="211">
        <v>5304.6612177331008</v>
      </c>
      <c r="H49" s="211">
        <v>8062.8351972511973</v>
      </c>
      <c r="I49" s="211">
        <v>266.53875668510699</v>
      </c>
      <c r="J49" s="211">
        <v>209448.33783405254</v>
      </c>
      <c r="K49" s="213">
        <v>436302.15105518291</v>
      </c>
      <c r="L49" s="221">
        <v>31227.295692822572</v>
      </c>
      <c r="M49" s="211">
        <v>23781.468128684701</v>
      </c>
      <c r="N49" s="211">
        <v>2.4497000000023306E-4</v>
      </c>
      <c r="O49" s="213">
        <v>55008.76406647727</v>
      </c>
      <c r="P49" s="211">
        <v>1070.8965004300001</v>
      </c>
      <c r="Q49" s="211">
        <v>3136.7050023500001</v>
      </c>
      <c r="R49" s="211">
        <v>154317.00286401354</v>
      </c>
      <c r="S49" s="211">
        <v>8131.5334977911634</v>
      </c>
      <c r="T49" s="222">
        <v>166656.13786458471</v>
      </c>
      <c r="U49" s="223">
        <v>14425.78791244451</v>
      </c>
      <c r="V49" s="211">
        <v>312.0929967865585</v>
      </c>
      <c r="W49" s="216">
        <v>30967.81678563328</v>
      </c>
      <c r="X49" s="217">
        <v>724798.910953791</v>
      </c>
      <c r="Y49" s="218">
        <v>51651.726738731762</v>
      </c>
      <c r="Z49" s="224"/>
      <c r="AA49" s="225"/>
      <c r="AB49" s="226"/>
      <c r="AC49" s="227"/>
      <c r="AD49" s="224"/>
      <c r="AE49" s="224"/>
      <c r="AF49" s="224"/>
      <c r="AG49" s="224"/>
      <c r="AH49" s="227"/>
      <c r="AI49" s="224"/>
      <c r="AJ49" s="224"/>
      <c r="AK49" s="227"/>
      <c r="AL49" s="224"/>
    </row>
    <row r="50" spans="1:38" ht="17.100000000000001" hidden="1" customHeight="1" x14ac:dyDescent="0.25">
      <c r="A50" s="220">
        <v>39722</v>
      </c>
      <c r="B50" s="211">
        <v>2379.3819424453268</v>
      </c>
      <c r="C50" s="211">
        <v>13792.778389704335</v>
      </c>
      <c r="D50" s="211">
        <v>2841.0368130070192</v>
      </c>
      <c r="E50" s="213">
        <v>19013.197145156682</v>
      </c>
      <c r="F50" s="211">
        <v>223825.06784749537</v>
      </c>
      <c r="G50" s="211">
        <v>4396.4388643791999</v>
      </c>
      <c r="H50" s="211">
        <v>8028.5299916077174</v>
      </c>
      <c r="I50" s="211">
        <v>346.56312498704125</v>
      </c>
      <c r="J50" s="211">
        <v>235943.9231158811</v>
      </c>
      <c r="K50" s="213">
        <v>472540.52294435038</v>
      </c>
      <c r="L50" s="221">
        <v>28713.383077025894</v>
      </c>
      <c r="M50" s="211">
        <v>23672.815762212838</v>
      </c>
      <c r="N50" s="211">
        <v>-4.4821999999999917E-4</v>
      </c>
      <c r="O50" s="213">
        <v>52386.198391018726</v>
      </c>
      <c r="P50" s="211">
        <v>1050.1244843500001</v>
      </c>
      <c r="Q50" s="211">
        <v>3446.5393478536002</v>
      </c>
      <c r="R50" s="211">
        <v>157480.31692227343</v>
      </c>
      <c r="S50" s="211">
        <v>8013.7406906213637</v>
      </c>
      <c r="T50" s="222">
        <v>169990.7214450984</v>
      </c>
      <c r="U50" s="223">
        <v>12741.019459554294</v>
      </c>
      <c r="V50" s="211">
        <v>714.71846404604003</v>
      </c>
      <c r="W50" s="216">
        <v>31561.204727308781</v>
      </c>
      <c r="X50" s="217">
        <v>758947.58257653331</v>
      </c>
      <c r="Y50" s="218">
        <v>48692.646656937119</v>
      </c>
      <c r="Z50" s="224"/>
      <c r="AA50" s="225"/>
      <c r="AB50" s="226"/>
      <c r="AC50" s="227"/>
      <c r="AD50" s="224"/>
      <c r="AE50" s="224"/>
      <c r="AF50" s="224"/>
      <c r="AG50" s="224"/>
      <c r="AH50" s="227"/>
      <c r="AI50" s="224"/>
      <c r="AJ50" s="224"/>
      <c r="AK50" s="227"/>
      <c r="AL50" s="224"/>
    </row>
    <row r="51" spans="1:38" ht="17.100000000000001" hidden="1" customHeight="1" x14ac:dyDescent="0.25">
      <c r="A51" s="220">
        <v>39753</v>
      </c>
      <c r="B51" s="211">
        <v>2426.0069267817598</v>
      </c>
      <c r="C51" s="211">
        <v>11839.211663592405</v>
      </c>
      <c r="D51" s="211">
        <v>2526.2581809930002</v>
      </c>
      <c r="E51" s="213">
        <v>16791.476771367164</v>
      </c>
      <c r="F51" s="211">
        <v>226166.62212156894</v>
      </c>
      <c r="G51" s="211">
        <v>4749.7367745856</v>
      </c>
      <c r="H51" s="211">
        <v>7816.0557844121058</v>
      </c>
      <c r="I51" s="211">
        <v>309.81763434782636</v>
      </c>
      <c r="J51" s="211">
        <v>230550.74400361252</v>
      </c>
      <c r="K51" s="213">
        <v>469592.97631852701</v>
      </c>
      <c r="L51" s="221">
        <v>26493.599587561555</v>
      </c>
      <c r="M51" s="211">
        <v>24862.692887959987</v>
      </c>
      <c r="N51" s="211">
        <v>4.1674999999985474E-4</v>
      </c>
      <c r="O51" s="213">
        <v>51356.292892271544</v>
      </c>
      <c r="P51" s="211">
        <v>1065.3069274500001</v>
      </c>
      <c r="Q51" s="211">
        <v>3597.6496724499998</v>
      </c>
      <c r="R51" s="211">
        <v>161653.33032716202</v>
      </c>
      <c r="S51" s="211">
        <v>7910.8474440010632</v>
      </c>
      <c r="T51" s="222">
        <v>174227.13437106309</v>
      </c>
      <c r="U51" s="223">
        <v>16099.842255742053</v>
      </c>
      <c r="V51" s="211">
        <v>225.48798605749073</v>
      </c>
      <c r="W51" s="216">
        <v>29574.350188921951</v>
      </c>
      <c r="X51" s="217">
        <v>757867.56078395038</v>
      </c>
      <c r="Y51" s="218">
        <v>48322.9</v>
      </c>
      <c r="Z51" s="224"/>
      <c r="AA51" s="225"/>
      <c r="AB51" s="226"/>
      <c r="AC51" s="227"/>
      <c r="AD51" s="224"/>
      <c r="AE51" s="224"/>
      <c r="AF51" s="224"/>
      <c r="AG51" s="224"/>
      <c r="AH51" s="227"/>
      <c r="AI51" s="224"/>
      <c r="AJ51" s="224"/>
      <c r="AK51" s="227"/>
      <c r="AL51" s="224"/>
    </row>
    <row r="52" spans="1:38" ht="17.100000000000001" hidden="1" customHeight="1" x14ac:dyDescent="0.25">
      <c r="A52" s="220">
        <v>39783</v>
      </c>
      <c r="B52" s="211">
        <v>3783.0592854020174</v>
      </c>
      <c r="C52" s="211">
        <v>10394.993497201907</v>
      </c>
      <c r="D52" s="211">
        <v>2541.0424579692003</v>
      </c>
      <c r="E52" s="213">
        <v>16719.095240573126</v>
      </c>
      <c r="F52" s="211">
        <v>203182.19218566112</v>
      </c>
      <c r="G52" s="211">
        <v>5310.6540325869255</v>
      </c>
      <c r="H52" s="211">
        <v>22688.764497200602</v>
      </c>
      <c r="I52" s="211">
        <v>1132.6000492887999</v>
      </c>
      <c r="J52" s="211">
        <v>228452.5511462024</v>
      </c>
      <c r="K52" s="213">
        <v>460766.76191093982</v>
      </c>
      <c r="L52" s="221">
        <v>23280.255137392684</v>
      </c>
      <c r="M52" s="211">
        <v>25751.112212908149</v>
      </c>
      <c r="N52" s="211">
        <v>4.7807999999882611E-4</v>
      </c>
      <c r="O52" s="213">
        <v>49031.367828380833</v>
      </c>
      <c r="P52" s="211">
        <v>1090.1521998399999</v>
      </c>
      <c r="Q52" s="211">
        <v>3656.7621346087999</v>
      </c>
      <c r="R52" s="211">
        <v>166182.04483788076</v>
      </c>
      <c r="S52" s="211">
        <v>7995.5971949037094</v>
      </c>
      <c r="T52" s="222">
        <v>178924.55636723328</v>
      </c>
      <c r="U52" s="223">
        <v>16653.694320612474</v>
      </c>
      <c r="V52" s="211">
        <v>2117.0507981807914</v>
      </c>
      <c r="W52" s="216">
        <v>30251.38394660729</v>
      </c>
      <c r="X52" s="217">
        <v>754463.9104125275</v>
      </c>
      <c r="Y52" s="218">
        <v>48878.898620351341</v>
      </c>
      <c r="Z52" s="224"/>
      <c r="AA52" s="225"/>
      <c r="AB52" s="226"/>
      <c r="AC52" s="227"/>
      <c r="AD52" s="224"/>
      <c r="AE52" s="224"/>
      <c r="AF52" s="224"/>
      <c r="AG52" s="224"/>
      <c r="AH52" s="227"/>
      <c r="AI52" s="224"/>
      <c r="AJ52" s="224"/>
      <c r="AK52" s="227"/>
      <c r="AL52" s="224"/>
    </row>
    <row r="53" spans="1:38" ht="17.100000000000001" hidden="1" customHeight="1" x14ac:dyDescent="0.25">
      <c r="A53" s="220">
        <v>39814</v>
      </c>
      <c r="B53" s="211">
        <v>2675.7389597870447</v>
      </c>
      <c r="C53" s="211">
        <v>13379.207433003125</v>
      </c>
      <c r="D53" s="211">
        <v>380.77639803999995</v>
      </c>
      <c r="E53" s="213">
        <v>16435.722790830168</v>
      </c>
      <c r="F53" s="211">
        <v>225786.97255809806</v>
      </c>
      <c r="G53" s="211">
        <v>5190.6907075664994</v>
      </c>
      <c r="H53" s="211">
        <v>8078.9133931259994</v>
      </c>
      <c r="I53" s="211">
        <v>480.09728371768034</v>
      </c>
      <c r="J53" s="211">
        <v>227797.31664818362</v>
      </c>
      <c r="K53" s="213">
        <v>467333.99059069186</v>
      </c>
      <c r="L53" s="221">
        <v>23998.769675405998</v>
      </c>
      <c r="M53" s="211">
        <v>27017.695396631778</v>
      </c>
      <c r="N53" s="211">
        <v>-4.9128999999936696E-4</v>
      </c>
      <c r="O53" s="213">
        <v>51016.464580747779</v>
      </c>
      <c r="P53" s="211">
        <v>1061.28539701</v>
      </c>
      <c r="Q53" s="211">
        <v>3500.8257505799997</v>
      </c>
      <c r="R53" s="211">
        <v>165899.77785732009</v>
      </c>
      <c r="S53" s="211">
        <v>7951.1167554333133</v>
      </c>
      <c r="T53" s="222">
        <v>178413.0057603434</v>
      </c>
      <c r="U53" s="223">
        <v>17631.288317367616</v>
      </c>
      <c r="V53" s="211">
        <v>512.6855123126312</v>
      </c>
      <c r="W53" s="216">
        <v>28620.276546667668</v>
      </c>
      <c r="X53" s="217">
        <v>759963.43409896118</v>
      </c>
      <c r="Y53" s="218">
        <v>49759.327407828569</v>
      </c>
      <c r="Z53" s="224"/>
      <c r="AA53" s="225"/>
      <c r="AB53" s="226"/>
      <c r="AC53" s="227"/>
      <c r="AD53" s="224"/>
      <c r="AE53" s="224"/>
      <c r="AF53" s="224"/>
      <c r="AG53" s="224"/>
      <c r="AH53" s="227"/>
      <c r="AI53" s="224"/>
      <c r="AJ53" s="224"/>
      <c r="AK53" s="227"/>
      <c r="AL53" s="224"/>
    </row>
    <row r="54" spans="1:38" ht="17.100000000000001" hidden="1" customHeight="1" x14ac:dyDescent="0.25">
      <c r="A54" s="220">
        <v>39845</v>
      </c>
      <c r="B54" s="211">
        <v>2497.5814256836143</v>
      </c>
      <c r="C54" s="211">
        <v>13867.034989832977</v>
      </c>
      <c r="D54" s="211">
        <v>282.00428603999995</v>
      </c>
      <c r="E54" s="213">
        <v>16646.620701556592</v>
      </c>
      <c r="F54" s="211">
        <v>232392.74545033125</v>
      </c>
      <c r="G54" s="211">
        <v>5070.0398237406007</v>
      </c>
      <c r="H54" s="211">
        <v>8279.3339173969216</v>
      </c>
      <c r="I54" s="211">
        <v>433.06136312867392</v>
      </c>
      <c r="J54" s="211">
        <v>226385.32490131841</v>
      </c>
      <c r="K54" s="213">
        <v>472560.50545591587</v>
      </c>
      <c r="L54" s="221">
        <v>24219.074579512748</v>
      </c>
      <c r="M54" s="211">
        <v>27646.859557035648</v>
      </c>
      <c r="N54" s="211">
        <v>-7.9700000004123694E-6</v>
      </c>
      <c r="O54" s="213">
        <v>51865.934128578403</v>
      </c>
      <c r="P54" s="211">
        <v>1057.94213595</v>
      </c>
      <c r="Q54" s="211">
        <v>3422.6618740120002</v>
      </c>
      <c r="R54" s="211">
        <v>166875.29295453912</v>
      </c>
      <c r="S54" s="211">
        <v>7659.1320728619648</v>
      </c>
      <c r="T54" s="222">
        <v>179015.0290373631</v>
      </c>
      <c r="U54" s="223">
        <v>20040.492262257463</v>
      </c>
      <c r="V54" s="211">
        <v>282.33236353717592</v>
      </c>
      <c r="W54" s="216">
        <v>29421.016526551521</v>
      </c>
      <c r="X54" s="217">
        <v>769831.93047576025</v>
      </c>
      <c r="Y54" s="218">
        <v>48867.042645488633</v>
      </c>
      <c r="Z54" s="224"/>
      <c r="AA54" s="225"/>
      <c r="AB54" s="226"/>
      <c r="AC54" s="227"/>
      <c r="AD54" s="224"/>
      <c r="AE54" s="224"/>
      <c r="AF54" s="224"/>
      <c r="AG54" s="224"/>
      <c r="AH54" s="227"/>
      <c r="AI54" s="224"/>
      <c r="AJ54" s="224"/>
      <c r="AK54" s="227"/>
      <c r="AL54" s="224"/>
    </row>
    <row r="55" spans="1:38" ht="17.100000000000001" hidden="1" customHeight="1" x14ac:dyDescent="0.25">
      <c r="A55" s="220">
        <v>39873</v>
      </c>
      <c r="B55" s="211">
        <v>2264.4616649219997</v>
      </c>
      <c r="C55" s="211">
        <v>12747.319282000841</v>
      </c>
      <c r="D55" s="211">
        <v>4.0000000000000001E-8</v>
      </c>
      <c r="E55" s="213">
        <v>15011.780946962841</v>
      </c>
      <c r="F55" s="211">
        <v>237236.27037212986</v>
      </c>
      <c r="G55" s="211">
        <v>4856.2030848407003</v>
      </c>
      <c r="H55" s="211">
        <v>7876.1644982471453</v>
      </c>
      <c r="I55" s="211">
        <v>370.91701422731433</v>
      </c>
      <c r="J55" s="211">
        <v>210811.13141488214</v>
      </c>
      <c r="K55" s="213">
        <v>461150.68638432713</v>
      </c>
      <c r="L55" s="221">
        <v>26831.974253313623</v>
      </c>
      <c r="M55" s="211">
        <v>27111.490435063748</v>
      </c>
      <c r="N55" s="211">
        <v>-7.4789999999325119E-5</v>
      </c>
      <c r="O55" s="213">
        <v>53943.46461358737</v>
      </c>
      <c r="P55" s="211">
        <v>998.22311665999996</v>
      </c>
      <c r="Q55" s="211">
        <v>3159.8908053024002</v>
      </c>
      <c r="R55" s="211">
        <v>168301.965432039</v>
      </c>
      <c r="S55" s="211">
        <v>7770.7349989924351</v>
      </c>
      <c r="T55" s="222">
        <v>180230.81435299385</v>
      </c>
      <c r="U55" s="223">
        <v>19553.94470994316</v>
      </c>
      <c r="V55" s="211">
        <v>1805.0989710415895</v>
      </c>
      <c r="W55" s="216">
        <v>31078.724354309787</v>
      </c>
      <c r="X55" s="217">
        <v>762774.51433316572</v>
      </c>
      <c r="Y55" s="218">
        <v>48784.739912675665</v>
      </c>
      <c r="Z55" s="224"/>
      <c r="AA55" s="225"/>
      <c r="AB55" s="226"/>
      <c r="AC55" s="227"/>
      <c r="AD55" s="224"/>
      <c r="AE55" s="224"/>
      <c r="AF55" s="224"/>
      <c r="AG55" s="224"/>
      <c r="AH55" s="227"/>
      <c r="AI55" s="224"/>
      <c r="AJ55" s="224"/>
      <c r="AK55" s="227"/>
      <c r="AL55" s="224"/>
    </row>
    <row r="56" spans="1:38" ht="17.100000000000001" hidden="1" customHeight="1" x14ac:dyDescent="0.25">
      <c r="A56" s="220">
        <v>39904</v>
      </c>
      <c r="B56" s="211">
        <v>2463.1134872777097</v>
      </c>
      <c r="C56" s="211">
        <v>11824.772782456308</v>
      </c>
      <c r="D56" s="211">
        <v>4.0000000000000001E-8</v>
      </c>
      <c r="E56" s="213">
        <v>14287.886269774017</v>
      </c>
      <c r="F56" s="211">
        <v>228482.2480247574</v>
      </c>
      <c r="G56" s="211">
        <v>5067.3277950452502</v>
      </c>
      <c r="H56" s="211">
        <v>8258.3054765771394</v>
      </c>
      <c r="I56" s="211">
        <v>338.99840662755787</v>
      </c>
      <c r="J56" s="211">
        <v>210655.14549361699</v>
      </c>
      <c r="K56" s="213">
        <v>452802.02519662434</v>
      </c>
      <c r="L56" s="221">
        <v>28072.351401838172</v>
      </c>
      <c r="M56" s="211">
        <v>26762.608963309631</v>
      </c>
      <c r="N56" s="211">
        <v>-8.4830000000479799E-5</v>
      </c>
      <c r="O56" s="213">
        <v>54834.960280317806</v>
      </c>
      <c r="P56" s="211">
        <v>991.61189808000006</v>
      </c>
      <c r="Q56" s="211">
        <v>3221.8510688430001</v>
      </c>
      <c r="R56" s="211">
        <v>168519.4823612709</v>
      </c>
      <c r="S56" s="211">
        <v>7826.246119297638</v>
      </c>
      <c r="T56" s="222">
        <v>180559.19144749152</v>
      </c>
      <c r="U56" s="223">
        <v>19389.474546375186</v>
      </c>
      <c r="V56" s="211">
        <v>314.58034841185736</v>
      </c>
      <c r="W56" s="216">
        <v>30306.392474187531</v>
      </c>
      <c r="X56" s="217">
        <v>752494.5105631823</v>
      </c>
      <c r="Y56" s="218">
        <v>49862.04350363397</v>
      </c>
      <c r="Z56" s="224"/>
      <c r="AA56" s="225"/>
      <c r="AB56" s="226"/>
      <c r="AC56" s="227"/>
      <c r="AD56" s="224"/>
      <c r="AE56" s="224"/>
      <c r="AF56" s="224"/>
      <c r="AG56" s="224"/>
      <c r="AH56" s="227"/>
      <c r="AI56" s="224"/>
      <c r="AJ56" s="224"/>
      <c r="AK56" s="227"/>
      <c r="AL56" s="224"/>
    </row>
    <row r="57" spans="1:38" ht="17.100000000000001" hidden="1" customHeight="1" x14ac:dyDescent="0.25">
      <c r="A57" s="220">
        <v>39934</v>
      </c>
      <c r="B57" s="211">
        <v>2134.2768452576752</v>
      </c>
      <c r="C57" s="211">
        <v>12447.787419058641</v>
      </c>
      <c r="D57" s="211">
        <v>4.0000000000000001E-8</v>
      </c>
      <c r="E57" s="213">
        <v>14582.064264356315</v>
      </c>
      <c r="F57" s="211">
        <v>223617.89176332875</v>
      </c>
      <c r="G57" s="211">
        <v>4919.5237761268263</v>
      </c>
      <c r="H57" s="211">
        <v>8071.5132469356449</v>
      </c>
      <c r="I57" s="211">
        <v>366.52847937110874</v>
      </c>
      <c r="J57" s="211">
        <v>205761.98706390473</v>
      </c>
      <c r="K57" s="213">
        <v>442737.44432966702</v>
      </c>
      <c r="L57" s="221">
        <v>29247.743368734173</v>
      </c>
      <c r="M57" s="211">
        <v>27136.253292309444</v>
      </c>
      <c r="N57" s="211">
        <v>4.8944999999989136E-4</v>
      </c>
      <c r="O57" s="213">
        <v>56383.997150493618</v>
      </c>
      <c r="P57" s="211">
        <v>1010.94572082</v>
      </c>
      <c r="Q57" s="211">
        <v>3058.5106933265602</v>
      </c>
      <c r="R57" s="211">
        <v>168810.88039717983</v>
      </c>
      <c r="S57" s="211">
        <v>8042.5445242420328</v>
      </c>
      <c r="T57" s="222">
        <v>180922.88133556844</v>
      </c>
      <c r="U57" s="223">
        <v>19944.588779338719</v>
      </c>
      <c r="V57" s="211">
        <v>1528.2840473124318</v>
      </c>
      <c r="W57" s="216">
        <v>28214.629935298603</v>
      </c>
      <c r="X57" s="217">
        <v>744313.88984203513</v>
      </c>
      <c r="Y57" s="218">
        <v>47618.664987821256</v>
      </c>
      <c r="Z57" s="224"/>
      <c r="AA57" s="225"/>
      <c r="AB57" s="226"/>
      <c r="AC57" s="227"/>
      <c r="AD57" s="224"/>
      <c r="AE57" s="224"/>
      <c r="AF57" s="224"/>
      <c r="AG57" s="224"/>
      <c r="AH57" s="227"/>
      <c r="AI57" s="224"/>
      <c r="AJ57" s="224"/>
      <c r="AK57" s="227"/>
      <c r="AL57" s="224"/>
    </row>
    <row r="58" spans="1:38" ht="17.100000000000001" hidden="1" customHeight="1" x14ac:dyDescent="0.25">
      <c r="A58" s="220">
        <v>39965</v>
      </c>
      <c r="B58" s="211">
        <v>2255.9685788402012</v>
      </c>
      <c r="C58" s="211">
        <v>12786.85931183191</v>
      </c>
      <c r="D58" s="211">
        <v>4.0000000000000001E-8</v>
      </c>
      <c r="E58" s="213">
        <v>15042.827890712109</v>
      </c>
      <c r="F58" s="211">
        <v>207502.74957028162</v>
      </c>
      <c r="G58" s="211">
        <v>5052.3078610472485</v>
      </c>
      <c r="H58" s="211">
        <v>7615.4593083677919</v>
      </c>
      <c r="I58" s="211">
        <v>383.15109864010952</v>
      </c>
      <c r="J58" s="211">
        <v>208546.10496076485</v>
      </c>
      <c r="K58" s="213">
        <v>429099.77279910166</v>
      </c>
      <c r="L58" s="221">
        <v>32168.969940872732</v>
      </c>
      <c r="M58" s="211">
        <v>26179.035048477239</v>
      </c>
      <c r="N58" s="211">
        <v>-4.4300999999968838E-4</v>
      </c>
      <c r="O58" s="213">
        <v>58348.004546339966</v>
      </c>
      <c r="P58" s="211">
        <v>1027.92067477</v>
      </c>
      <c r="Q58" s="211">
        <v>2943.699858404304</v>
      </c>
      <c r="R58" s="211">
        <v>170563.23934842905</v>
      </c>
      <c r="S58" s="211">
        <v>8146.5689852514415</v>
      </c>
      <c r="T58" s="222">
        <v>182681.42886685481</v>
      </c>
      <c r="U58" s="223">
        <v>18644.906622961866</v>
      </c>
      <c r="V58" s="211">
        <v>9612.7558061164764</v>
      </c>
      <c r="W58" s="216">
        <v>29924.710750678842</v>
      </c>
      <c r="X58" s="217">
        <v>743354.40728276572</v>
      </c>
      <c r="Y58" s="218">
        <v>52679.091929149792</v>
      </c>
      <c r="Z58" s="224"/>
      <c r="AA58" s="225"/>
      <c r="AB58" s="226"/>
      <c r="AC58" s="227"/>
      <c r="AD58" s="224"/>
      <c r="AE58" s="224"/>
      <c r="AF58" s="224"/>
      <c r="AG58" s="224"/>
      <c r="AH58" s="227"/>
      <c r="AI58" s="224"/>
      <c r="AJ58" s="224"/>
      <c r="AK58" s="227"/>
      <c r="AL58" s="224"/>
    </row>
    <row r="59" spans="1:38" ht="17.100000000000001" hidden="1" customHeight="1" x14ac:dyDescent="0.25">
      <c r="A59" s="220">
        <v>39995</v>
      </c>
      <c r="B59" s="211">
        <v>2382.8695062672741</v>
      </c>
      <c r="C59" s="211">
        <v>13048.835097213314</v>
      </c>
      <c r="D59" s="211">
        <v>4.0000000000000001E-8</v>
      </c>
      <c r="E59" s="213">
        <v>15431.704603520588</v>
      </c>
      <c r="F59" s="211">
        <v>199585.28677568611</v>
      </c>
      <c r="G59" s="211">
        <v>5340.5929018179913</v>
      </c>
      <c r="H59" s="211">
        <v>7465.6337234712064</v>
      </c>
      <c r="I59" s="211">
        <v>379.55498977126678</v>
      </c>
      <c r="J59" s="211">
        <v>220170.1837117885</v>
      </c>
      <c r="K59" s="213">
        <v>432941.2521025351</v>
      </c>
      <c r="L59" s="221">
        <v>33229.447500481634</v>
      </c>
      <c r="M59" s="211">
        <v>26523.371390975357</v>
      </c>
      <c r="N59" s="211">
        <v>-4.4595000000047236E-4</v>
      </c>
      <c r="O59" s="213">
        <v>59752.818445506993</v>
      </c>
      <c r="P59" s="211">
        <v>1005.70229095</v>
      </c>
      <c r="Q59" s="211">
        <v>2848.741702572057</v>
      </c>
      <c r="R59" s="211">
        <v>171246.85957813429</v>
      </c>
      <c r="S59" s="211">
        <v>8239.6431219971782</v>
      </c>
      <c r="T59" s="222">
        <v>183340.9466936535</v>
      </c>
      <c r="U59" s="223">
        <v>17930.454582945833</v>
      </c>
      <c r="V59" s="211">
        <v>1007.347995254158</v>
      </c>
      <c r="W59" s="216">
        <v>28325.579542666805</v>
      </c>
      <c r="X59" s="217">
        <v>738730.10396608291</v>
      </c>
      <c r="Y59" s="218">
        <v>53516.95281016775</v>
      </c>
      <c r="Z59" s="224"/>
      <c r="AA59" s="225"/>
      <c r="AB59" s="226"/>
      <c r="AC59" s="227"/>
      <c r="AD59" s="224"/>
      <c r="AE59" s="224"/>
      <c r="AF59" s="224"/>
      <c r="AG59" s="224"/>
      <c r="AH59" s="227"/>
      <c r="AI59" s="224"/>
      <c r="AJ59" s="224"/>
      <c r="AK59" s="227"/>
      <c r="AL59" s="224"/>
    </row>
    <row r="60" spans="1:38" ht="17.100000000000001" hidden="1" customHeight="1" x14ac:dyDescent="0.25">
      <c r="A60" s="220">
        <v>40026</v>
      </c>
      <c r="B60" s="211">
        <v>2372.0640500348227</v>
      </c>
      <c r="C60" s="211">
        <v>12911.904016429913</v>
      </c>
      <c r="D60" s="211">
        <v>4.0000000000000001E-8</v>
      </c>
      <c r="E60" s="213">
        <v>15283.968066504734</v>
      </c>
      <c r="F60" s="211">
        <v>186924.74211456391</v>
      </c>
      <c r="G60" s="211">
        <v>6197.6560840047568</v>
      </c>
      <c r="H60" s="211">
        <v>7537.4695722724546</v>
      </c>
      <c r="I60" s="211">
        <v>391.12560458193701</v>
      </c>
      <c r="J60" s="211">
        <v>227479.78483927526</v>
      </c>
      <c r="K60" s="213">
        <v>428530.77821469831</v>
      </c>
      <c r="L60" s="221">
        <v>32852.730225507803</v>
      </c>
      <c r="M60" s="211">
        <v>26467.544237391921</v>
      </c>
      <c r="N60" s="211">
        <v>-1.9421000000008348E-4</v>
      </c>
      <c r="O60" s="213">
        <v>59320.274268689725</v>
      </c>
      <c r="P60" s="211">
        <v>978.69550494000009</v>
      </c>
      <c r="Q60" s="211">
        <v>2676.6677089507698</v>
      </c>
      <c r="R60" s="211">
        <v>171377.22431020188</v>
      </c>
      <c r="S60" s="211">
        <v>8224.6596805202153</v>
      </c>
      <c r="T60" s="222">
        <v>183257.24720461285</v>
      </c>
      <c r="U60" s="223">
        <v>17577.421130833947</v>
      </c>
      <c r="V60" s="211">
        <v>3511.7865561100925</v>
      </c>
      <c r="W60" s="216">
        <v>28883.94029621116</v>
      </c>
      <c r="X60" s="217">
        <v>736365.41573766083</v>
      </c>
      <c r="Y60" s="218">
        <v>56770.427401974914</v>
      </c>
      <c r="Z60" s="224"/>
      <c r="AA60" s="225"/>
      <c r="AB60" s="226"/>
      <c r="AC60" s="227"/>
      <c r="AD60" s="224"/>
      <c r="AE60" s="224"/>
      <c r="AF60" s="224"/>
      <c r="AG60" s="224"/>
      <c r="AH60" s="227"/>
      <c r="AI60" s="224"/>
      <c r="AJ60" s="224"/>
      <c r="AK60" s="227"/>
      <c r="AL60" s="224"/>
    </row>
    <row r="61" spans="1:38" ht="17.100000000000001" hidden="1" customHeight="1" x14ac:dyDescent="0.25">
      <c r="A61" s="220">
        <v>40057</v>
      </c>
      <c r="B61" s="211">
        <v>2270.9747407396544</v>
      </c>
      <c r="C61" s="211">
        <v>13777.350565277988</v>
      </c>
      <c r="D61" s="211">
        <v>-4.0000000000000001E-8</v>
      </c>
      <c r="E61" s="213">
        <v>16048.325305977643</v>
      </c>
      <c r="F61" s="211">
        <v>184838.73397185601</v>
      </c>
      <c r="G61" s="211">
        <v>6738.7880661553581</v>
      </c>
      <c r="H61" s="211">
        <v>7527.2274972112864</v>
      </c>
      <c r="I61" s="211">
        <v>316.60675063207026</v>
      </c>
      <c r="J61" s="211">
        <v>225519.13353736146</v>
      </c>
      <c r="K61" s="213">
        <v>424940.48982321622</v>
      </c>
      <c r="L61" s="221">
        <v>31410.713395976705</v>
      </c>
      <c r="M61" s="211">
        <v>25349.573196798981</v>
      </c>
      <c r="N61" s="211">
        <v>-3.0500999999993894E-4</v>
      </c>
      <c r="O61" s="213">
        <v>56760.286287765688</v>
      </c>
      <c r="P61" s="211">
        <v>1003.63630024</v>
      </c>
      <c r="Q61" s="211">
        <v>2666.1609599262438</v>
      </c>
      <c r="R61" s="211">
        <v>169781.51646839036</v>
      </c>
      <c r="S61" s="211">
        <v>8376.7548721581443</v>
      </c>
      <c r="T61" s="222">
        <v>181828.06860071473</v>
      </c>
      <c r="U61" s="223">
        <v>17626.810904858539</v>
      </c>
      <c r="V61" s="211">
        <v>12700.115883948552</v>
      </c>
      <c r="W61" s="216">
        <v>28715.308075073539</v>
      </c>
      <c r="X61" s="217">
        <v>738619.40488155489</v>
      </c>
      <c r="Y61" s="218">
        <v>54026.892020260661</v>
      </c>
      <c r="Z61" s="224"/>
      <c r="AA61" s="225"/>
      <c r="AB61" s="226"/>
      <c r="AC61" s="227"/>
      <c r="AD61" s="224"/>
      <c r="AE61" s="224"/>
      <c r="AF61" s="224"/>
      <c r="AG61" s="224"/>
      <c r="AH61" s="227"/>
      <c r="AI61" s="224"/>
      <c r="AJ61" s="224"/>
      <c r="AK61" s="227"/>
      <c r="AL61" s="224"/>
    </row>
    <row r="62" spans="1:38" ht="17.100000000000001" hidden="1" customHeight="1" x14ac:dyDescent="0.25">
      <c r="A62" s="220">
        <v>40087</v>
      </c>
      <c r="B62" s="211">
        <v>2307.4481992813303</v>
      </c>
      <c r="C62" s="211">
        <v>12206.56754091081</v>
      </c>
      <c r="D62" s="211">
        <v>-4.0000000000000001E-8</v>
      </c>
      <c r="E62" s="213">
        <v>14514.015740152141</v>
      </c>
      <c r="F62" s="211">
        <v>202144.01002198004</v>
      </c>
      <c r="G62" s="211">
        <v>7192.2973099495439</v>
      </c>
      <c r="H62" s="211">
        <v>7117.570719177349</v>
      </c>
      <c r="I62" s="211">
        <v>308.52558731316196</v>
      </c>
      <c r="J62" s="211">
        <v>210244.65961331848</v>
      </c>
      <c r="K62" s="213">
        <v>427007.06325173855</v>
      </c>
      <c r="L62" s="221">
        <v>33837.09297920455</v>
      </c>
      <c r="M62" s="211">
        <v>25366.706530736421</v>
      </c>
      <c r="N62" s="211">
        <v>2.802200000000532E-4</v>
      </c>
      <c r="O62" s="213">
        <v>59203.799790160978</v>
      </c>
      <c r="P62" s="211">
        <v>985.16581940999993</v>
      </c>
      <c r="Q62" s="211">
        <v>2682.929596335558</v>
      </c>
      <c r="R62" s="211">
        <v>169967.0147723952</v>
      </c>
      <c r="S62" s="211">
        <v>8302.3558300640834</v>
      </c>
      <c r="T62" s="222">
        <v>181937.46601820481</v>
      </c>
      <c r="U62" s="223">
        <v>16983.12483957535</v>
      </c>
      <c r="V62" s="211">
        <v>5216.054096469702</v>
      </c>
      <c r="W62" s="216">
        <v>29008.10477487617</v>
      </c>
      <c r="X62" s="217">
        <v>733869.62851117773</v>
      </c>
      <c r="Y62" s="218">
        <v>50243.165164153106</v>
      </c>
      <c r="Z62" s="224"/>
      <c r="AA62" s="225"/>
      <c r="AB62" s="226"/>
      <c r="AC62" s="227"/>
      <c r="AD62" s="224"/>
      <c r="AE62" s="224"/>
      <c r="AF62" s="224"/>
      <c r="AG62" s="224"/>
      <c r="AH62" s="227"/>
      <c r="AI62" s="224"/>
      <c r="AJ62" s="224"/>
      <c r="AK62" s="227"/>
      <c r="AL62" s="224"/>
    </row>
    <row r="63" spans="1:38" ht="17.100000000000001" hidden="1" customHeight="1" x14ac:dyDescent="0.25">
      <c r="A63" s="220">
        <v>40118</v>
      </c>
      <c r="B63" s="211">
        <v>2500.8570033545293</v>
      </c>
      <c r="C63" s="211">
        <v>11629.663041222699</v>
      </c>
      <c r="D63" s="211">
        <v>0</v>
      </c>
      <c r="E63" s="213">
        <v>14130.520044577228</v>
      </c>
      <c r="F63" s="211">
        <v>199170.51935747339</v>
      </c>
      <c r="G63" s="211">
        <v>7443.4449799937865</v>
      </c>
      <c r="H63" s="211">
        <v>7567.9710630006502</v>
      </c>
      <c r="I63" s="211">
        <v>405.0909730760464</v>
      </c>
      <c r="J63" s="211">
        <v>204768.65731873107</v>
      </c>
      <c r="K63" s="213">
        <v>419355.68369227491</v>
      </c>
      <c r="L63" s="221">
        <v>33739.09375096234</v>
      </c>
      <c r="M63" s="211">
        <v>26156.280986041489</v>
      </c>
      <c r="N63" s="211">
        <v>8.7879999999929126E-5</v>
      </c>
      <c r="O63" s="213">
        <v>59895.374824883831</v>
      </c>
      <c r="P63" s="211">
        <v>1054.47010301</v>
      </c>
      <c r="Q63" s="211">
        <v>2566.5865455100002</v>
      </c>
      <c r="R63" s="211">
        <v>170630.26088054583</v>
      </c>
      <c r="S63" s="211">
        <v>8224.0762259592466</v>
      </c>
      <c r="T63" s="222">
        <v>182475.39375502508</v>
      </c>
      <c r="U63" s="223">
        <v>17191.143801646955</v>
      </c>
      <c r="V63" s="211">
        <v>4432.900399316125</v>
      </c>
      <c r="W63" s="216">
        <v>28934.693953399681</v>
      </c>
      <c r="X63" s="217">
        <v>726415.71047112392</v>
      </c>
      <c r="Y63" s="218">
        <v>52485.028766634619</v>
      </c>
      <c r="Z63" s="224"/>
      <c r="AA63" s="225"/>
      <c r="AB63" s="226"/>
      <c r="AC63" s="227"/>
      <c r="AD63" s="224"/>
      <c r="AE63" s="224"/>
      <c r="AF63" s="224"/>
      <c r="AG63" s="224"/>
      <c r="AH63" s="227"/>
      <c r="AI63" s="224"/>
      <c r="AJ63" s="224"/>
      <c r="AK63" s="227"/>
      <c r="AL63" s="224"/>
    </row>
    <row r="64" spans="1:38" ht="17.100000000000001" hidden="1" customHeight="1" x14ac:dyDescent="0.25">
      <c r="A64" s="220">
        <v>40148</v>
      </c>
      <c r="B64" s="211">
        <v>3915.8101919802457</v>
      </c>
      <c r="C64" s="211">
        <v>14707.723298127281</v>
      </c>
      <c r="D64" s="211">
        <v>0</v>
      </c>
      <c r="E64" s="213">
        <v>18623.533490107526</v>
      </c>
      <c r="F64" s="211">
        <v>212882.82959792399</v>
      </c>
      <c r="G64" s="211">
        <v>9093.3874310360261</v>
      </c>
      <c r="H64" s="211">
        <v>7498.5332594366319</v>
      </c>
      <c r="I64" s="211">
        <v>624.59062635668545</v>
      </c>
      <c r="J64" s="211">
        <v>207189.02804542537</v>
      </c>
      <c r="K64" s="213">
        <v>437288.36896017869</v>
      </c>
      <c r="L64" s="221">
        <v>31694.190140637886</v>
      </c>
      <c r="M64" s="211">
        <v>26919.051777879555</v>
      </c>
      <c r="N64" s="211">
        <v>-2.1651000000000309E-4</v>
      </c>
      <c r="O64" s="213">
        <v>58613.241702007435</v>
      </c>
      <c r="P64" s="211">
        <v>1177.93864641</v>
      </c>
      <c r="Q64" s="211">
        <v>2597.0991705868482</v>
      </c>
      <c r="R64" s="211">
        <v>172902.19421826309</v>
      </c>
      <c r="S64" s="211">
        <v>7972.4800924038027</v>
      </c>
      <c r="T64" s="222">
        <v>184649.71212766369</v>
      </c>
      <c r="U64" s="223">
        <v>16984.090662227558</v>
      </c>
      <c r="V64" s="211">
        <v>3287.5360248108141</v>
      </c>
      <c r="W64" s="216">
        <v>31811.096855997894</v>
      </c>
      <c r="X64" s="217">
        <v>751257.57982299372</v>
      </c>
      <c r="Y64" s="218">
        <v>54541.08962479265</v>
      </c>
      <c r="Z64" s="224"/>
      <c r="AA64" s="225"/>
      <c r="AB64" s="226"/>
      <c r="AC64" s="227"/>
      <c r="AD64" s="224"/>
      <c r="AE64" s="224"/>
      <c r="AF64" s="224"/>
      <c r="AG64" s="224"/>
      <c r="AH64" s="227"/>
      <c r="AI64" s="224"/>
      <c r="AJ64" s="224"/>
      <c r="AK64" s="227"/>
      <c r="AL64" s="224"/>
    </row>
    <row r="65" spans="1:38" ht="24" hidden="1" customHeight="1" x14ac:dyDescent="0.25">
      <c r="A65" s="220">
        <v>40179</v>
      </c>
      <c r="B65" s="211">
        <v>2780.023530206854</v>
      </c>
      <c r="C65" s="211">
        <v>13099.832837444601</v>
      </c>
      <c r="D65" s="211">
        <v>0</v>
      </c>
      <c r="E65" s="213">
        <v>15879.8</v>
      </c>
      <c r="F65" s="211">
        <v>221541.48925304678</v>
      </c>
      <c r="G65" s="211">
        <v>8266.5488434896215</v>
      </c>
      <c r="H65" s="211">
        <v>7503.3040874088001</v>
      </c>
      <c r="I65" s="211">
        <v>413.23181624107394</v>
      </c>
      <c r="J65" s="211">
        <v>208179.88808915144</v>
      </c>
      <c r="K65" s="213">
        <v>445904.4</v>
      </c>
      <c r="L65" s="221">
        <v>31832.421237908544</v>
      </c>
      <c r="M65" s="211">
        <v>27560.216865669645</v>
      </c>
      <c r="N65" s="211">
        <v>-1.5917999999981447E-4</v>
      </c>
      <c r="O65" s="213">
        <v>59392.637944398186</v>
      </c>
      <c r="P65" s="211">
        <v>1212.2202783599998</v>
      </c>
      <c r="Q65" s="211">
        <v>2590.5182837234652</v>
      </c>
      <c r="R65" s="211">
        <v>173058.13845241221</v>
      </c>
      <c r="S65" s="211">
        <v>7977.7670005267792</v>
      </c>
      <c r="T65" s="222">
        <v>184838.64401502244</v>
      </c>
      <c r="U65" s="223">
        <v>15314.753493705786</v>
      </c>
      <c r="V65" s="211">
        <v>7187.1286817944583</v>
      </c>
      <c r="W65" s="216">
        <v>32297.178702546567</v>
      </c>
      <c r="X65" s="217">
        <v>760814.66129445657</v>
      </c>
      <c r="Y65" s="218">
        <v>55548.169799877942</v>
      </c>
      <c r="Z65" s="224"/>
      <c r="AA65" s="225"/>
      <c r="AB65" s="226"/>
      <c r="AC65" s="227"/>
      <c r="AD65" s="224"/>
      <c r="AE65" s="224"/>
      <c r="AF65" s="224"/>
      <c r="AG65" s="224"/>
      <c r="AH65" s="227"/>
      <c r="AI65" s="224"/>
      <c r="AJ65" s="224"/>
      <c r="AK65" s="227"/>
      <c r="AL65" s="224"/>
    </row>
    <row r="66" spans="1:38" ht="24" hidden="1" customHeight="1" x14ac:dyDescent="0.25">
      <c r="A66" s="220">
        <v>40210</v>
      </c>
      <c r="B66" s="211">
        <v>2660.6673514488489</v>
      </c>
      <c r="C66" s="211">
        <v>15436.769076361817</v>
      </c>
      <c r="D66" s="211">
        <v>0</v>
      </c>
      <c r="E66" s="213">
        <v>18097.436427810666</v>
      </c>
      <c r="F66" s="211">
        <v>213703.5873042364</v>
      </c>
      <c r="G66" s="211">
        <v>8110.8323936700262</v>
      </c>
      <c r="H66" s="211">
        <v>7349.2890265812584</v>
      </c>
      <c r="I66" s="211">
        <v>349.26166424818439</v>
      </c>
      <c r="J66" s="211">
        <v>223495.03616576595</v>
      </c>
      <c r="K66" s="213">
        <v>453008.00655450183</v>
      </c>
      <c r="L66" s="221">
        <v>31567.891394918039</v>
      </c>
      <c r="M66" s="211">
        <v>27710.946615091565</v>
      </c>
      <c r="N66" s="211">
        <v>0</v>
      </c>
      <c r="O66" s="213">
        <v>59278.838010009604</v>
      </c>
      <c r="P66" s="211">
        <v>1288.46467721</v>
      </c>
      <c r="Q66" s="211">
        <v>2676.7205614137247</v>
      </c>
      <c r="R66" s="211">
        <v>174117.69026635069</v>
      </c>
      <c r="S66" s="211">
        <v>7635.6720307078194</v>
      </c>
      <c r="T66" s="222">
        <v>185718.54753568224</v>
      </c>
      <c r="U66" s="223">
        <v>16513.464361601295</v>
      </c>
      <c r="V66" s="211">
        <v>6180.9169583330468</v>
      </c>
      <c r="W66" s="216">
        <v>30253.935396580069</v>
      </c>
      <c r="X66" s="217">
        <v>769051.14524451864</v>
      </c>
      <c r="Y66" s="218">
        <v>61589.256488542735</v>
      </c>
      <c r="Z66" s="224"/>
      <c r="AA66" s="225"/>
      <c r="AB66" s="226"/>
      <c r="AC66" s="227"/>
      <c r="AD66" s="224"/>
      <c r="AE66" s="224"/>
      <c r="AF66" s="224"/>
      <c r="AG66" s="224"/>
      <c r="AH66" s="227"/>
      <c r="AI66" s="224"/>
      <c r="AJ66" s="224"/>
      <c r="AK66" s="227"/>
      <c r="AL66" s="224"/>
    </row>
    <row r="67" spans="1:38" ht="24" hidden="1" customHeight="1" x14ac:dyDescent="0.25">
      <c r="A67" s="220">
        <v>40238</v>
      </c>
      <c r="B67" s="211">
        <v>2897.6108960383258</v>
      </c>
      <c r="C67" s="211">
        <v>19037.869672340148</v>
      </c>
      <c r="D67" s="211">
        <v>0</v>
      </c>
      <c r="E67" s="213">
        <v>21935.480568378473</v>
      </c>
      <c r="F67" s="211">
        <v>226059.96133473181</v>
      </c>
      <c r="G67" s="211">
        <v>6403.4290238830799</v>
      </c>
      <c r="H67" s="211">
        <v>7068.583263869994</v>
      </c>
      <c r="I67" s="211">
        <v>428.86692854623249</v>
      </c>
      <c r="J67" s="211">
        <v>222838.09629763025</v>
      </c>
      <c r="K67" s="213">
        <v>462798.9368486614</v>
      </c>
      <c r="L67" s="221">
        <v>29082.739201372719</v>
      </c>
      <c r="M67" s="211">
        <v>27109.517113115129</v>
      </c>
      <c r="N67" s="211">
        <v>0</v>
      </c>
      <c r="O67" s="213">
        <v>56192.256314487851</v>
      </c>
      <c r="P67" s="211">
        <v>1341.65357657</v>
      </c>
      <c r="Q67" s="211">
        <v>2917.25126198</v>
      </c>
      <c r="R67" s="211">
        <v>176575.92054715083</v>
      </c>
      <c r="S67" s="211">
        <v>7692.3967565473622</v>
      </c>
      <c r="T67" s="222">
        <v>188527.22214224821</v>
      </c>
      <c r="U67" s="223">
        <v>16240.204882827016</v>
      </c>
      <c r="V67" s="211">
        <v>1368.2558203355959</v>
      </c>
      <c r="W67" s="216">
        <v>29527.425442278138</v>
      </c>
      <c r="X67" s="217">
        <v>776589.78201921657</v>
      </c>
      <c r="Y67" s="218">
        <v>60393.458922994294</v>
      </c>
      <c r="Z67" s="224"/>
      <c r="AA67" s="225"/>
      <c r="AB67" s="226"/>
      <c r="AC67" s="227"/>
      <c r="AD67" s="224"/>
      <c r="AE67" s="224"/>
      <c r="AF67" s="224"/>
      <c r="AG67" s="224"/>
      <c r="AH67" s="227"/>
      <c r="AI67" s="224"/>
      <c r="AJ67" s="224"/>
      <c r="AK67" s="227"/>
      <c r="AL67" s="224"/>
    </row>
    <row r="68" spans="1:38" ht="24" hidden="1" customHeight="1" x14ac:dyDescent="0.25">
      <c r="A68" s="220">
        <v>40269</v>
      </c>
      <c r="B68" s="211">
        <v>2714.8940145849865</v>
      </c>
      <c r="C68" s="211">
        <v>16776.253461564178</v>
      </c>
      <c r="D68" s="211">
        <v>0</v>
      </c>
      <c r="E68" s="213">
        <v>19491.147476149163</v>
      </c>
      <c r="F68" s="211">
        <v>206888.80822615509</v>
      </c>
      <c r="G68" s="211">
        <v>6795.7797851839096</v>
      </c>
      <c r="H68" s="211">
        <v>7033.1904892048169</v>
      </c>
      <c r="I68" s="211">
        <v>319.51106514733038</v>
      </c>
      <c r="J68" s="211">
        <v>233229.12170045351</v>
      </c>
      <c r="K68" s="213">
        <v>454266.4112661446</v>
      </c>
      <c r="L68" s="221">
        <v>31919.457578443678</v>
      </c>
      <c r="M68" s="211">
        <v>26313.524998848003</v>
      </c>
      <c r="N68" s="211">
        <v>0</v>
      </c>
      <c r="O68" s="213">
        <v>58232.982577291681</v>
      </c>
      <c r="P68" s="211">
        <v>1403.4770519399999</v>
      </c>
      <c r="Q68" s="211">
        <v>2865.0513356261176</v>
      </c>
      <c r="R68" s="211">
        <v>176768.23369493458</v>
      </c>
      <c r="S68" s="211">
        <v>7710.5905080774355</v>
      </c>
      <c r="T68" s="222">
        <v>188747.35259057814</v>
      </c>
      <c r="U68" s="223">
        <v>15217.195867773229</v>
      </c>
      <c r="V68" s="211">
        <v>3428.5726745660982</v>
      </c>
      <c r="W68" s="216">
        <v>32298.11377464384</v>
      </c>
      <c r="X68" s="217">
        <v>771681.77622714674</v>
      </c>
      <c r="Y68" s="218">
        <v>61398.084538984862</v>
      </c>
      <c r="Z68" s="224"/>
      <c r="AA68" s="225"/>
      <c r="AB68" s="226"/>
      <c r="AC68" s="227"/>
      <c r="AD68" s="224"/>
      <c r="AE68" s="224"/>
      <c r="AF68" s="224"/>
      <c r="AG68" s="224"/>
      <c r="AH68" s="227"/>
      <c r="AI68" s="224"/>
      <c r="AJ68" s="224"/>
      <c r="AK68" s="227"/>
      <c r="AL68" s="224"/>
    </row>
    <row r="69" spans="1:38" ht="24" hidden="1" customHeight="1" x14ac:dyDescent="0.25">
      <c r="A69" s="220">
        <v>40299</v>
      </c>
      <c r="B69" s="211">
        <v>2683.557411916996</v>
      </c>
      <c r="C69" s="211">
        <v>15996.911171375739</v>
      </c>
      <c r="D69" s="211">
        <v>694.88758855869241</v>
      </c>
      <c r="E69" s="213">
        <v>19375.356171851428</v>
      </c>
      <c r="F69" s="211">
        <v>239446.130810979</v>
      </c>
      <c r="G69" s="211">
        <v>7512.3100360126364</v>
      </c>
      <c r="H69" s="211">
        <v>7497.6233504556176</v>
      </c>
      <c r="I69" s="211">
        <v>374.43364939408548</v>
      </c>
      <c r="J69" s="211">
        <v>268250.38378702919</v>
      </c>
      <c r="K69" s="213">
        <v>523080.88163387054</v>
      </c>
      <c r="L69" s="221">
        <v>32634.839654149891</v>
      </c>
      <c r="M69" s="211">
        <v>26152.909695297556</v>
      </c>
      <c r="N69" s="211">
        <v>0</v>
      </c>
      <c r="O69" s="213">
        <v>58787.749349447447</v>
      </c>
      <c r="P69" s="211">
        <v>1729.6492064599997</v>
      </c>
      <c r="Q69" s="211">
        <v>2997.6987194799999</v>
      </c>
      <c r="R69" s="211">
        <v>180200.70065512098</v>
      </c>
      <c r="S69" s="211">
        <v>7754.2647558558556</v>
      </c>
      <c r="T69" s="222">
        <v>192682.31333691682</v>
      </c>
      <c r="U69" s="223">
        <v>18727.052802755963</v>
      </c>
      <c r="V69" s="211">
        <v>5689.7084206375794</v>
      </c>
      <c r="W69" s="216">
        <v>30700.71833679163</v>
      </c>
      <c r="X69" s="217">
        <v>849043.78005227132</v>
      </c>
      <c r="Y69" s="218">
        <v>64053.956464669158</v>
      </c>
      <c r="Z69" s="224"/>
      <c r="AA69" s="225"/>
      <c r="AB69" s="226"/>
      <c r="AC69" s="227"/>
      <c r="AD69" s="224"/>
      <c r="AE69" s="224"/>
      <c r="AF69" s="224"/>
      <c r="AG69" s="224"/>
      <c r="AH69" s="227"/>
      <c r="AI69" s="224"/>
      <c r="AJ69" s="224"/>
      <c r="AK69" s="227"/>
      <c r="AL69" s="224"/>
    </row>
    <row r="70" spans="1:38" ht="15.75" hidden="1" customHeight="1" x14ac:dyDescent="0.25">
      <c r="A70" s="220">
        <v>40330</v>
      </c>
      <c r="B70" s="211">
        <v>2744.4322192199897</v>
      </c>
      <c r="C70" s="211">
        <v>18819.32531309249</v>
      </c>
      <c r="D70" s="211">
        <v>0</v>
      </c>
      <c r="E70" s="213">
        <v>21563.75753231248</v>
      </c>
      <c r="F70" s="211">
        <v>225780.34421533521</v>
      </c>
      <c r="G70" s="211">
        <v>7740.0328000802938</v>
      </c>
      <c r="H70" s="211">
        <v>7296.8860074548129</v>
      </c>
      <c r="I70" s="211">
        <v>299.83977082985507</v>
      </c>
      <c r="J70" s="211">
        <v>269521.53249850444</v>
      </c>
      <c r="K70" s="213">
        <v>510638.63529220456</v>
      </c>
      <c r="L70" s="221">
        <v>31299.058851508038</v>
      </c>
      <c r="M70" s="211">
        <v>28297.081063237601</v>
      </c>
      <c r="N70" s="211">
        <v>0</v>
      </c>
      <c r="O70" s="213">
        <v>59596.13991474564</v>
      </c>
      <c r="P70" s="211">
        <v>1638.1805952499997</v>
      </c>
      <c r="Q70" s="211">
        <v>2930.1236476899949</v>
      </c>
      <c r="R70" s="211">
        <v>185296.70625810683</v>
      </c>
      <c r="S70" s="211">
        <v>7951.4446825652349</v>
      </c>
      <c r="T70" s="222">
        <v>197816.45518361207</v>
      </c>
      <c r="U70" s="223">
        <v>19242.166486380072</v>
      </c>
      <c r="V70" s="211">
        <v>2101.1977220421031</v>
      </c>
      <c r="W70" s="216">
        <v>32215.365324832113</v>
      </c>
      <c r="X70" s="217">
        <v>843173.71745612903</v>
      </c>
      <c r="Y70" s="218">
        <v>79090.043422740055</v>
      </c>
      <c r="Z70" s="224"/>
      <c r="AA70" s="225"/>
      <c r="AB70" s="226"/>
      <c r="AC70" s="227"/>
      <c r="AD70" s="224"/>
      <c r="AE70" s="224"/>
      <c r="AF70" s="224"/>
      <c r="AG70" s="224"/>
      <c r="AH70" s="227"/>
      <c r="AI70" s="224"/>
      <c r="AJ70" s="224"/>
      <c r="AK70" s="227"/>
      <c r="AL70" s="224"/>
    </row>
    <row r="71" spans="1:38" ht="15.75" hidden="1" customHeight="1" x14ac:dyDescent="0.25">
      <c r="A71" s="220">
        <v>40360</v>
      </c>
      <c r="B71" s="211">
        <v>2586.1947508917551</v>
      </c>
      <c r="C71" s="211">
        <v>19039.82427787803</v>
      </c>
      <c r="D71" s="211">
        <v>0</v>
      </c>
      <c r="E71" s="213">
        <v>21626.019028769784</v>
      </c>
      <c r="F71" s="211">
        <v>178358.0784495954</v>
      </c>
      <c r="G71" s="211">
        <v>7177.1045137878791</v>
      </c>
      <c r="H71" s="211">
        <v>6919.373129896745</v>
      </c>
      <c r="I71" s="211">
        <v>324.09124885355664</v>
      </c>
      <c r="J71" s="211">
        <v>267099.02299618517</v>
      </c>
      <c r="K71" s="213">
        <v>459877.67033831874</v>
      </c>
      <c r="L71" s="221">
        <v>27408.656196896474</v>
      </c>
      <c r="M71" s="211">
        <v>29185.711126587135</v>
      </c>
      <c r="N71" s="211">
        <v>0</v>
      </c>
      <c r="O71" s="213">
        <v>56594.36732348361</v>
      </c>
      <c r="P71" s="211">
        <v>1696.5683253899999</v>
      </c>
      <c r="Q71" s="211">
        <v>2760.0300645921998</v>
      </c>
      <c r="R71" s="211">
        <v>184840.44994928729</v>
      </c>
      <c r="S71" s="211">
        <v>7948.273948986317</v>
      </c>
      <c r="T71" s="222">
        <v>197245.32228825579</v>
      </c>
      <c r="U71" s="223">
        <v>19176.608494810571</v>
      </c>
      <c r="V71" s="211">
        <v>5512.6420233722811</v>
      </c>
      <c r="W71" s="216">
        <v>36423.195411560788</v>
      </c>
      <c r="X71" s="217">
        <v>796455.82490857143</v>
      </c>
      <c r="Y71" s="218">
        <v>73033.526870446163</v>
      </c>
      <c r="Z71" s="224"/>
      <c r="AA71" s="225"/>
      <c r="AB71" s="226"/>
      <c r="AC71" s="227"/>
      <c r="AD71" s="224"/>
      <c r="AE71" s="224"/>
      <c r="AF71" s="224"/>
      <c r="AG71" s="224"/>
      <c r="AH71" s="227"/>
      <c r="AI71" s="224"/>
      <c r="AJ71" s="224"/>
      <c r="AK71" s="227"/>
      <c r="AL71" s="224"/>
    </row>
    <row r="72" spans="1:38" ht="15.75" hidden="1" customHeight="1" x14ac:dyDescent="0.25">
      <c r="A72" s="220">
        <v>40391</v>
      </c>
      <c r="B72" s="211">
        <v>2818.0228882735619</v>
      </c>
      <c r="C72" s="211">
        <v>17178.780995102978</v>
      </c>
      <c r="D72" s="211">
        <v>1340.6746463657</v>
      </c>
      <c r="E72" s="213">
        <v>21337.478529742239</v>
      </c>
      <c r="F72" s="211">
        <v>206491.15862294834</v>
      </c>
      <c r="G72" s="211">
        <v>6795.2903854451206</v>
      </c>
      <c r="H72" s="211">
        <v>7199.5084492770966</v>
      </c>
      <c r="I72" s="211">
        <v>364.75861413030168</v>
      </c>
      <c r="J72" s="211">
        <v>274294.24598348816</v>
      </c>
      <c r="K72" s="213">
        <v>495144.96205528895</v>
      </c>
      <c r="L72" s="221">
        <v>25078.936098629147</v>
      </c>
      <c r="M72" s="211">
        <v>30057.419785408423</v>
      </c>
      <c r="N72" s="211">
        <v>0</v>
      </c>
      <c r="O72" s="213">
        <v>55136.35588403757</v>
      </c>
      <c r="P72" s="211">
        <v>1736.5770820400001</v>
      </c>
      <c r="Q72" s="211">
        <v>2919.1129399535139</v>
      </c>
      <c r="R72" s="211">
        <v>187172.31890265777</v>
      </c>
      <c r="S72" s="211">
        <v>7867.7877123153821</v>
      </c>
      <c r="T72" s="222">
        <v>199695.7966369667</v>
      </c>
      <c r="U72" s="223">
        <v>20414.573636164874</v>
      </c>
      <c r="V72" s="211">
        <v>6516.7847087439322</v>
      </c>
      <c r="W72" s="216">
        <v>32748.89822999324</v>
      </c>
      <c r="X72" s="217">
        <v>830994.84968093759</v>
      </c>
      <c r="Y72" s="218">
        <v>69579.8</v>
      </c>
      <c r="Z72" s="224"/>
      <c r="AA72" s="225"/>
      <c r="AB72" s="226"/>
      <c r="AC72" s="227"/>
      <c r="AD72" s="224"/>
      <c r="AE72" s="224"/>
      <c r="AF72" s="224"/>
      <c r="AG72" s="224"/>
      <c r="AH72" s="227"/>
      <c r="AI72" s="224"/>
      <c r="AJ72" s="224"/>
      <c r="AK72" s="227"/>
      <c r="AL72" s="224"/>
    </row>
    <row r="73" spans="1:38" ht="15.75" hidden="1" customHeight="1" x14ac:dyDescent="0.25">
      <c r="A73" s="220">
        <v>40422</v>
      </c>
      <c r="B73" s="211">
        <v>2853.6926894947119</v>
      </c>
      <c r="C73" s="211">
        <v>17079.637266333291</v>
      </c>
      <c r="D73" s="211">
        <v>5124.3595836402001</v>
      </c>
      <c r="E73" s="213">
        <v>25057.689539468207</v>
      </c>
      <c r="F73" s="211">
        <v>209122.50444762688</v>
      </c>
      <c r="G73" s="211">
        <v>7502.5940707455266</v>
      </c>
      <c r="H73" s="211">
        <v>7062.799988615755</v>
      </c>
      <c r="I73" s="211">
        <v>403.02794922846999</v>
      </c>
      <c r="J73" s="211">
        <v>271407.28915970615</v>
      </c>
      <c r="K73" s="213">
        <v>495498.21561592282</v>
      </c>
      <c r="L73" s="221">
        <v>22793.818513925999</v>
      </c>
      <c r="M73" s="211">
        <v>30724.429712491798</v>
      </c>
      <c r="N73" s="211">
        <v>0</v>
      </c>
      <c r="O73" s="213">
        <v>53518.248226417796</v>
      </c>
      <c r="P73" s="211">
        <v>1742.1712046199998</v>
      </c>
      <c r="Q73" s="211">
        <v>2782.5529474936498</v>
      </c>
      <c r="R73" s="211">
        <v>188808.57599211409</v>
      </c>
      <c r="S73" s="211">
        <v>7995.4577349340834</v>
      </c>
      <c r="T73" s="222">
        <v>201328.7578791618</v>
      </c>
      <c r="U73" s="223">
        <v>19903.424060649515</v>
      </c>
      <c r="V73" s="211">
        <v>6503.7721792329221</v>
      </c>
      <c r="W73" s="216">
        <v>35718.252639442195</v>
      </c>
      <c r="X73" s="217">
        <v>837528.36014029512</v>
      </c>
      <c r="Y73" s="218">
        <v>68111.565201371603</v>
      </c>
      <c r="Z73" s="224"/>
      <c r="AA73" s="225"/>
      <c r="AB73" s="226"/>
      <c r="AC73" s="227"/>
      <c r="AD73" s="224"/>
      <c r="AE73" s="224"/>
      <c r="AF73" s="224"/>
      <c r="AG73" s="224"/>
      <c r="AH73" s="227"/>
      <c r="AI73" s="224"/>
      <c r="AJ73" s="224"/>
      <c r="AK73" s="227"/>
      <c r="AL73" s="224"/>
    </row>
    <row r="74" spans="1:38" ht="15.75" hidden="1" customHeight="1" x14ac:dyDescent="0.25">
      <c r="A74" s="228" t="s">
        <v>235</v>
      </c>
      <c r="B74" s="211">
        <v>2652.2680539120252</v>
      </c>
      <c r="C74" s="211">
        <v>19591.282364363669</v>
      </c>
      <c r="D74" s="211">
        <v>5132.4733828159997</v>
      </c>
      <c r="E74" s="213">
        <v>27376.023801091695</v>
      </c>
      <c r="F74" s="211">
        <v>212395.64738014841</v>
      </c>
      <c r="G74" s="211">
        <v>6459.3742641344843</v>
      </c>
      <c r="H74" s="211">
        <v>7617.1923113906796</v>
      </c>
      <c r="I74" s="211">
        <v>504.61739530451769</v>
      </c>
      <c r="J74" s="211">
        <v>266537.07394599478</v>
      </c>
      <c r="K74" s="213">
        <v>493513.90529697284</v>
      </c>
      <c r="L74" s="221">
        <v>21656.409726817394</v>
      </c>
      <c r="M74" s="211">
        <v>30699.32103295661</v>
      </c>
      <c r="N74" s="211">
        <v>0</v>
      </c>
      <c r="O74" s="213">
        <v>52355.730759774</v>
      </c>
      <c r="P74" s="211">
        <v>1780.2244891124328</v>
      </c>
      <c r="Q74" s="211">
        <v>2923.0782221668715</v>
      </c>
      <c r="R74" s="211">
        <v>190550.03250973506</v>
      </c>
      <c r="S74" s="211">
        <v>8019.9183582533242</v>
      </c>
      <c r="T74" s="222">
        <v>203273.25357926768</v>
      </c>
      <c r="U74" s="223">
        <v>19535.955546566296</v>
      </c>
      <c r="V74" s="211">
        <v>7507.0259352029034</v>
      </c>
      <c r="W74" s="216">
        <v>38316.494944674312</v>
      </c>
      <c r="X74" s="217">
        <v>841878.38986354973</v>
      </c>
      <c r="Y74" s="218">
        <v>70730.430464873731</v>
      </c>
      <c r="Z74" s="224"/>
      <c r="AA74" s="225"/>
      <c r="AB74" s="226"/>
      <c r="AC74" s="227"/>
      <c r="AD74" s="224"/>
      <c r="AE74" s="224"/>
      <c r="AF74" s="224"/>
      <c r="AG74" s="224"/>
      <c r="AH74" s="227"/>
      <c r="AI74" s="224"/>
      <c r="AJ74" s="224"/>
      <c r="AK74" s="227"/>
      <c r="AL74" s="224"/>
    </row>
    <row r="75" spans="1:38" ht="15.75" hidden="1" customHeight="1" x14ac:dyDescent="0.25">
      <c r="A75" s="220">
        <v>40483</v>
      </c>
      <c r="B75" s="211">
        <v>2792.2492223402805</v>
      </c>
      <c r="C75" s="211">
        <v>20371.657220595825</v>
      </c>
      <c r="D75" s="211">
        <v>5120.6615816106296</v>
      </c>
      <c r="E75" s="213">
        <v>28284.568024546737</v>
      </c>
      <c r="F75" s="211">
        <v>215222.78794147616</v>
      </c>
      <c r="G75" s="211">
        <v>6208.1048063073995</v>
      </c>
      <c r="H75" s="211">
        <v>7359.4560861646387</v>
      </c>
      <c r="I75" s="211">
        <v>443.02881424329303</v>
      </c>
      <c r="J75" s="211">
        <v>266309.39584555058</v>
      </c>
      <c r="K75" s="213">
        <v>495542.7734937421</v>
      </c>
      <c r="L75" s="221">
        <v>22677.553178399787</v>
      </c>
      <c r="M75" s="211">
        <v>30623.326830519174</v>
      </c>
      <c r="N75" s="211">
        <v>0</v>
      </c>
      <c r="O75" s="213">
        <v>53300.880008918961</v>
      </c>
      <c r="P75" s="211">
        <v>1826.9919332100001</v>
      </c>
      <c r="Q75" s="211">
        <v>3117.7225766264401</v>
      </c>
      <c r="R75" s="211">
        <v>191939.86733791602</v>
      </c>
      <c r="S75" s="211">
        <v>8222.609143867845</v>
      </c>
      <c r="T75" s="222">
        <v>205107.1909916203</v>
      </c>
      <c r="U75" s="223">
        <v>19692.23394572805</v>
      </c>
      <c r="V75" s="211">
        <v>8676.5384254040127</v>
      </c>
      <c r="W75" s="216">
        <v>44400.893902674143</v>
      </c>
      <c r="X75" s="217">
        <v>855005.0787926343</v>
      </c>
      <c r="Y75" s="218">
        <v>61026.755245199034</v>
      </c>
      <c r="Z75" s="224"/>
      <c r="AA75" s="225"/>
      <c r="AB75" s="226"/>
      <c r="AC75" s="227"/>
      <c r="AD75" s="224"/>
      <c r="AE75" s="224"/>
      <c r="AF75" s="224"/>
      <c r="AG75" s="224"/>
      <c r="AH75" s="227"/>
      <c r="AI75" s="224"/>
      <c r="AJ75" s="224"/>
      <c r="AK75" s="227"/>
      <c r="AL75" s="224"/>
    </row>
    <row r="76" spans="1:38" ht="15.75" hidden="1" customHeight="1" x14ac:dyDescent="0.25">
      <c r="A76" s="220">
        <v>40513</v>
      </c>
      <c r="B76" s="211">
        <v>3616.2577962918376</v>
      </c>
      <c r="C76" s="211">
        <v>22158.044021089943</v>
      </c>
      <c r="D76" s="211">
        <v>3644.6352118236568</v>
      </c>
      <c r="E76" s="213">
        <v>29418.937029205437</v>
      </c>
      <c r="F76" s="211">
        <v>213379.96359807596</v>
      </c>
      <c r="G76" s="211">
        <v>6338.8620633331029</v>
      </c>
      <c r="H76" s="211">
        <v>7607.0238474533262</v>
      </c>
      <c r="I76" s="211">
        <v>589.66209495500061</v>
      </c>
      <c r="J76" s="211">
        <v>270841.96615080861</v>
      </c>
      <c r="K76" s="213">
        <v>498757.47775462602</v>
      </c>
      <c r="L76" s="221">
        <v>24209.625501544244</v>
      </c>
      <c r="M76" s="211">
        <v>31153.374765343011</v>
      </c>
      <c r="N76" s="211">
        <v>0</v>
      </c>
      <c r="O76" s="213">
        <v>55363.000266887255</v>
      </c>
      <c r="P76" s="211">
        <v>1876.4468153099999</v>
      </c>
      <c r="Q76" s="211">
        <v>3241.766021875625</v>
      </c>
      <c r="R76" s="211">
        <v>195702.54394124955</v>
      </c>
      <c r="S76" s="211">
        <v>8748.7655749084061</v>
      </c>
      <c r="T76" s="222">
        <v>209569.52235334358</v>
      </c>
      <c r="U76" s="223">
        <v>20427.685689689079</v>
      </c>
      <c r="V76" s="211">
        <v>4536.1935280835087</v>
      </c>
      <c r="W76" s="216">
        <v>45394.63205186202</v>
      </c>
      <c r="X76" s="217">
        <v>863467.44867369696</v>
      </c>
      <c r="Y76" s="218">
        <v>72453.813803695622</v>
      </c>
      <c r="Z76" s="224"/>
      <c r="AA76" s="225"/>
      <c r="AB76" s="226"/>
      <c r="AC76" s="227"/>
      <c r="AD76" s="224"/>
      <c r="AE76" s="224"/>
      <c r="AF76" s="224"/>
      <c r="AG76" s="224"/>
      <c r="AH76" s="227"/>
      <c r="AI76" s="224"/>
      <c r="AJ76" s="224"/>
      <c r="AK76" s="227"/>
      <c r="AL76" s="224"/>
    </row>
    <row r="77" spans="1:38" ht="15.75" hidden="1" customHeight="1" x14ac:dyDescent="0.25">
      <c r="A77" s="220">
        <v>40544</v>
      </c>
      <c r="B77" s="211">
        <v>3225.5843576301813</v>
      </c>
      <c r="C77" s="211">
        <v>22865.728545631078</v>
      </c>
      <c r="D77" s="211">
        <v>4286.3040422811182</v>
      </c>
      <c r="E77" s="213">
        <v>30377.616945542377</v>
      </c>
      <c r="F77" s="211">
        <v>212736.01270389627</v>
      </c>
      <c r="G77" s="211">
        <v>5098.1118903319548</v>
      </c>
      <c r="H77" s="211">
        <v>7488.9835415830075</v>
      </c>
      <c r="I77" s="211">
        <v>635.53063199232338</v>
      </c>
      <c r="J77" s="211">
        <v>262326.09663083911</v>
      </c>
      <c r="K77" s="213">
        <v>488284.73539864266</v>
      </c>
      <c r="L77" s="221">
        <v>23458.773238433878</v>
      </c>
      <c r="M77" s="211">
        <v>29604.37239004151</v>
      </c>
      <c r="N77" s="211">
        <v>-3.7999999988824127E-7</v>
      </c>
      <c r="O77" s="213">
        <v>53063.145628095386</v>
      </c>
      <c r="P77" s="211">
        <v>1828.02485572</v>
      </c>
      <c r="Q77" s="211">
        <v>3160.7625865800965</v>
      </c>
      <c r="R77" s="211">
        <v>193931.31380575561</v>
      </c>
      <c r="S77" s="211">
        <v>8648.8833144157834</v>
      </c>
      <c r="T77" s="222">
        <v>207568.98456247148</v>
      </c>
      <c r="U77" s="223">
        <v>20451.283387642052</v>
      </c>
      <c r="V77" s="211">
        <v>7453.2866069876854</v>
      </c>
      <c r="W77" s="216">
        <v>42879.796657467159</v>
      </c>
      <c r="X77" s="217">
        <v>850078.84918684885</v>
      </c>
      <c r="Y77" s="218">
        <v>70234.770978216868</v>
      </c>
      <c r="Z77" s="224"/>
      <c r="AA77" s="225"/>
      <c r="AB77" s="226"/>
      <c r="AC77" s="227"/>
      <c r="AD77" s="224"/>
      <c r="AE77" s="224"/>
      <c r="AF77" s="224"/>
      <c r="AG77" s="224"/>
      <c r="AH77" s="227"/>
      <c r="AI77" s="224"/>
      <c r="AJ77" s="224"/>
      <c r="AK77" s="227"/>
      <c r="AL77" s="224"/>
    </row>
    <row r="78" spans="1:38" ht="15.75" hidden="1" customHeight="1" x14ac:dyDescent="0.25">
      <c r="A78" s="220">
        <v>40575</v>
      </c>
      <c r="B78" s="211">
        <v>2789.0219851159918</v>
      </c>
      <c r="C78" s="211">
        <v>22793.221585526288</v>
      </c>
      <c r="D78" s="211">
        <v>5484.737176855755</v>
      </c>
      <c r="E78" s="213">
        <v>31066.980747498033</v>
      </c>
      <c r="F78" s="211">
        <v>216046.12511097974</v>
      </c>
      <c r="G78" s="211">
        <v>4689.7670654446274</v>
      </c>
      <c r="H78" s="211">
        <v>7569.884346578644</v>
      </c>
      <c r="I78" s="211">
        <v>458.82486672154221</v>
      </c>
      <c r="J78" s="211">
        <v>263587.37333366123</v>
      </c>
      <c r="K78" s="213">
        <v>492351.97472338582</v>
      </c>
      <c r="L78" s="221">
        <v>23364.63550813137</v>
      </c>
      <c r="M78" s="211">
        <v>28384.956497972027</v>
      </c>
      <c r="N78" s="211">
        <v>0</v>
      </c>
      <c r="O78" s="213">
        <v>51749.592006103398</v>
      </c>
      <c r="P78" s="211">
        <v>1791.5602022099999</v>
      </c>
      <c r="Q78" s="211">
        <v>3225.7377535037813</v>
      </c>
      <c r="R78" s="211">
        <v>195732.6338296523</v>
      </c>
      <c r="S78" s="211">
        <v>8799.1596146674347</v>
      </c>
      <c r="T78" s="222">
        <v>209549.0914000335</v>
      </c>
      <c r="U78" s="223">
        <v>20691.085174811651</v>
      </c>
      <c r="V78" s="211">
        <v>5609.3739375352425</v>
      </c>
      <c r="W78" s="216">
        <v>44302.194425451475</v>
      </c>
      <c r="X78" s="217">
        <v>855320.29241481901</v>
      </c>
      <c r="Y78" s="218">
        <v>74332.888893920986</v>
      </c>
      <c r="Z78" s="224"/>
      <c r="AA78" s="225"/>
      <c r="AB78" s="226"/>
      <c r="AC78" s="227"/>
      <c r="AD78" s="224"/>
      <c r="AE78" s="224"/>
      <c r="AF78" s="224"/>
      <c r="AG78" s="224"/>
      <c r="AH78" s="227"/>
      <c r="AI78" s="224"/>
      <c r="AJ78" s="224"/>
      <c r="AK78" s="227"/>
      <c r="AL78" s="224"/>
    </row>
    <row r="79" spans="1:38" ht="15.75" hidden="1" customHeight="1" x14ac:dyDescent="0.25">
      <c r="A79" s="220">
        <v>40603</v>
      </c>
      <c r="B79" s="211">
        <v>3063.9193258381529</v>
      </c>
      <c r="C79" s="211">
        <v>21929.962441261283</v>
      </c>
      <c r="D79" s="211">
        <v>5089.9681918370989</v>
      </c>
      <c r="E79" s="213">
        <v>30083.849958936535</v>
      </c>
      <c r="F79" s="211">
        <v>177639.23883035607</v>
      </c>
      <c r="G79" s="211">
        <v>4901.585761290361</v>
      </c>
      <c r="H79" s="211">
        <v>7328.9037064704817</v>
      </c>
      <c r="I79" s="211">
        <v>337.53798993913193</v>
      </c>
      <c r="J79" s="211">
        <v>268490.42036553135</v>
      </c>
      <c r="K79" s="213">
        <v>458697.68665358739</v>
      </c>
      <c r="L79" s="221">
        <v>23770.001544924096</v>
      </c>
      <c r="M79" s="211">
        <v>27862.283991310411</v>
      </c>
      <c r="N79" s="211">
        <v>0</v>
      </c>
      <c r="O79" s="213">
        <v>51632.285536234507</v>
      </c>
      <c r="P79" s="211">
        <v>2021.0745067100002</v>
      </c>
      <c r="Q79" s="211">
        <v>2911.3008551143203</v>
      </c>
      <c r="R79" s="211">
        <v>196056.09690503727</v>
      </c>
      <c r="S79" s="211">
        <v>8900.1375993667207</v>
      </c>
      <c r="T79" s="222">
        <v>209888.6098662283</v>
      </c>
      <c r="U79" s="223">
        <v>21549.573097771052</v>
      </c>
      <c r="V79" s="211">
        <v>3777.4874615691347</v>
      </c>
      <c r="W79" s="216">
        <v>49542.515383962127</v>
      </c>
      <c r="X79" s="217">
        <v>825172.007958289</v>
      </c>
      <c r="Y79" s="218">
        <v>75589.158320363349</v>
      </c>
      <c r="Z79" s="224"/>
      <c r="AA79" s="225"/>
      <c r="AB79" s="226"/>
      <c r="AC79" s="227"/>
      <c r="AD79" s="224"/>
      <c r="AE79" s="224"/>
      <c r="AF79" s="224"/>
      <c r="AG79" s="224"/>
      <c r="AH79" s="227"/>
      <c r="AI79" s="224"/>
      <c r="AJ79" s="224"/>
      <c r="AK79" s="227"/>
      <c r="AL79" s="224"/>
    </row>
    <row r="80" spans="1:38" ht="15.75" hidden="1" customHeight="1" x14ac:dyDescent="0.25">
      <c r="A80" s="220">
        <v>40634</v>
      </c>
      <c r="B80" s="211">
        <v>2705.8164150554585</v>
      </c>
      <c r="C80" s="211">
        <v>22959.214333860637</v>
      </c>
      <c r="D80" s="211">
        <v>5292.9957092716177</v>
      </c>
      <c r="E80" s="213">
        <v>30958.026458187713</v>
      </c>
      <c r="F80" s="211">
        <v>214205.9173297674</v>
      </c>
      <c r="G80" s="211">
        <v>4532.9920135676648</v>
      </c>
      <c r="H80" s="211">
        <v>6944.0728612010171</v>
      </c>
      <c r="I80" s="211">
        <v>437.21727384792217</v>
      </c>
      <c r="J80" s="211">
        <v>263041.8904447247</v>
      </c>
      <c r="K80" s="213">
        <v>489162.0899231087</v>
      </c>
      <c r="L80" s="221">
        <v>23741.459320154816</v>
      </c>
      <c r="M80" s="211">
        <v>28593.697072701903</v>
      </c>
      <c r="N80" s="211">
        <v>1.4625000000023647E-4</v>
      </c>
      <c r="O80" s="213">
        <v>52335.15653910672</v>
      </c>
      <c r="P80" s="211">
        <v>2073.7466184099999</v>
      </c>
      <c r="Q80" s="211">
        <v>3005.6227395250662</v>
      </c>
      <c r="R80" s="211">
        <v>197709.00641826532</v>
      </c>
      <c r="S80" s="211">
        <v>9012.0854666104715</v>
      </c>
      <c r="T80" s="222">
        <v>211800.46124281085</v>
      </c>
      <c r="U80" s="223">
        <v>20818.192582347841</v>
      </c>
      <c r="V80" s="211">
        <v>3199.6368082277017</v>
      </c>
      <c r="W80" s="216">
        <v>48366.347275845961</v>
      </c>
      <c r="X80" s="217">
        <v>856639.91082963557</v>
      </c>
      <c r="Y80" s="218">
        <v>74222.737103658146</v>
      </c>
      <c r="Z80" s="224"/>
      <c r="AA80" s="225"/>
      <c r="AB80" s="226"/>
      <c r="AC80" s="227"/>
      <c r="AD80" s="224"/>
      <c r="AE80" s="224"/>
      <c r="AF80" s="224"/>
      <c r="AG80" s="224"/>
      <c r="AH80" s="227"/>
      <c r="AI80" s="224"/>
      <c r="AJ80" s="224"/>
      <c r="AK80" s="227"/>
      <c r="AL80" s="224"/>
    </row>
    <row r="81" spans="1:38" ht="15.75" hidden="1" customHeight="1" x14ac:dyDescent="0.25">
      <c r="A81" s="220">
        <v>40664</v>
      </c>
      <c r="B81" s="211">
        <v>3000.0062699328291</v>
      </c>
      <c r="C81" s="211">
        <v>20852.072573058114</v>
      </c>
      <c r="D81" s="211">
        <v>6155.7071333131389</v>
      </c>
      <c r="E81" s="213">
        <v>30007.785976304083</v>
      </c>
      <c r="F81" s="211">
        <v>175045.0754913305</v>
      </c>
      <c r="G81" s="211">
        <v>4344.8813409041904</v>
      </c>
      <c r="H81" s="211">
        <v>8059.9749926756294</v>
      </c>
      <c r="I81" s="211">
        <v>347.67298356067403</v>
      </c>
      <c r="J81" s="211">
        <v>267856.61801254831</v>
      </c>
      <c r="K81" s="213">
        <v>455654.2228210193</v>
      </c>
      <c r="L81" s="221">
        <v>24577.810442849099</v>
      </c>
      <c r="M81" s="211">
        <v>27460.832777376123</v>
      </c>
      <c r="N81" s="211">
        <v>0</v>
      </c>
      <c r="O81" s="213">
        <v>52038.643220225218</v>
      </c>
      <c r="P81" s="211">
        <v>2106.0621074900005</v>
      </c>
      <c r="Q81" s="211">
        <v>2899.2770230959554</v>
      </c>
      <c r="R81" s="211">
        <v>198688.98156546062</v>
      </c>
      <c r="S81" s="211">
        <v>9074.0540482481611</v>
      </c>
      <c r="T81" s="222">
        <v>212768.37474429474</v>
      </c>
      <c r="U81" s="223">
        <v>21804.283013493809</v>
      </c>
      <c r="V81" s="211">
        <v>3691.377350635229</v>
      </c>
      <c r="W81" s="216">
        <v>50331.705088058763</v>
      </c>
      <c r="X81" s="217">
        <v>826296.39221403108</v>
      </c>
      <c r="Y81" s="218">
        <v>76957.781246871265</v>
      </c>
      <c r="Z81" s="224"/>
      <c r="AA81" s="225"/>
      <c r="AB81" s="226"/>
      <c r="AC81" s="227"/>
      <c r="AD81" s="224"/>
      <c r="AE81" s="224"/>
      <c r="AF81" s="224"/>
      <c r="AG81" s="224"/>
      <c r="AH81" s="227"/>
      <c r="AI81" s="224"/>
      <c r="AJ81" s="224"/>
      <c r="AK81" s="227"/>
      <c r="AL81" s="224"/>
    </row>
    <row r="82" spans="1:38" ht="15.75" hidden="1" customHeight="1" x14ac:dyDescent="0.25">
      <c r="A82" s="220">
        <v>40695</v>
      </c>
      <c r="B82" s="211">
        <v>2936.6751681768264</v>
      </c>
      <c r="C82" s="211">
        <v>21543.726431744282</v>
      </c>
      <c r="D82" s="211">
        <v>7354.6553030121568</v>
      </c>
      <c r="E82" s="213">
        <v>31835.056902933266</v>
      </c>
      <c r="F82" s="211">
        <v>199741.0461100158</v>
      </c>
      <c r="G82" s="211">
        <v>5568.9404552623573</v>
      </c>
      <c r="H82" s="211">
        <v>8800.2736034388272</v>
      </c>
      <c r="I82" s="211">
        <v>258.79348738965939</v>
      </c>
      <c r="J82" s="211">
        <v>282419.11159923853</v>
      </c>
      <c r="K82" s="213">
        <v>496788.16525534517</v>
      </c>
      <c r="L82" s="221">
        <v>24144.934497290309</v>
      </c>
      <c r="M82" s="211">
        <v>27352.174444878925</v>
      </c>
      <c r="N82" s="211">
        <v>0</v>
      </c>
      <c r="O82" s="213">
        <v>51497.10894216923</v>
      </c>
      <c r="P82" s="211">
        <v>2156.5839423800003</v>
      </c>
      <c r="Q82" s="211">
        <v>3146.1639456446578</v>
      </c>
      <c r="R82" s="211">
        <v>202016.91875500561</v>
      </c>
      <c r="S82" s="211">
        <v>9255.5049622427105</v>
      </c>
      <c r="T82" s="222">
        <v>216575.17160527298</v>
      </c>
      <c r="U82" s="223">
        <v>21697.245580654038</v>
      </c>
      <c r="V82" s="211">
        <v>3776.313118616732</v>
      </c>
      <c r="W82" s="216">
        <v>52908.002071598756</v>
      </c>
      <c r="X82" s="217">
        <v>875077.06347659009</v>
      </c>
      <c r="Y82" s="218">
        <v>78346.26749010841</v>
      </c>
      <c r="Z82" s="224"/>
      <c r="AA82" s="225"/>
      <c r="AB82" s="226"/>
      <c r="AC82" s="227"/>
      <c r="AD82" s="224"/>
      <c r="AE82" s="224"/>
      <c r="AF82" s="224"/>
      <c r="AG82" s="224"/>
      <c r="AH82" s="227"/>
      <c r="AI82" s="224"/>
      <c r="AJ82" s="224"/>
      <c r="AK82" s="227"/>
      <c r="AL82" s="224"/>
    </row>
    <row r="83" spans="1:38" ht="15.75" hidden="1" customHeight="1" x14ac:dyDescent="0.25">
      <c r="A83" s="220">
        <v>40725</v>
      </c>
      <c r="B83" s="211">
        <v>2859.8503637397707</v>
      </c>
      <c r="C83" s="211">
        <v>21040.443483399824</v>
      </c>
      <c r="D83" s="211">
        <v>7954.8583207552874</v>
      </c>
      <c r="E83" s="213">
        <v>31855.152167894881</v>
      </c>
      <c r="F83" s="211">
        <v>179502.18365970708</v>
      </c>
      <c r="G83" s="211">
        <v>6218.9539309351749</v>
      </c>
      <c r="H83" s="211">
        <v>8672.7557852685568</v>
      </c>
      <c r="I83" s="211">
        <v>410.66970653098201</v>
      </c>
      <c r="J83" s="211">
        <v>286196.02315934189</v>
      </c>
      <c r="K83" s="213">
        <v>481000.58624178369</v>
      </c>
      <c r="L83" s="221">
        <v>24841.530352050224</v>
      </c>
      <c r="M83" s="211">
        <v>27423.323500567094</v>
      </c>
      <c r="N83" s="211">
        <v>0</v>
      </c>
      <c r="O83" s="213">
        <v>52264.853852617322</v>
      </c>
      <c r="P83" s="211">
        <v>2189.6837342899998</v>
      </c>
      <c r="Q83" s="211">
        <v>2998.1004229363793</v>
      </c>
      <c r="R83" s="211">
        <v>204220.26709719573</v>
      </c>
      <c r="S83" s="211">
        <v>9115.5414143006383</v>
      </c>
      <c r="T83" s="222">
        <v>218523.59266872273</v>
      </c>
      <c r="U83" s="223">
        <v>22125.953862983071</v>
      </c>
      <c r="V83" s="211">
        <v>677.75062408921565</v>
      </c>
      <c r="W83" s="216">
        <v>47497.857586786413</v>
      </c>
      <c r="X83" s="217">
        <v>853945.74700487731</v>
      </c>
      <c r="Y83" s="218">
        <v>78224.745723918531</v>
      </c>
      <c r="Z83" s="224"/>
      <c r="AA83" s="225"/>
      <c r="AB83" s="226"/>
      <c r="AC83" s="227"/>
      <c r="AD83" s="224"/>
      <c r="AE83" s="224"/>
      <c r="AF83" s="224"/>
      <c r="AG83" s="224"/>
      <c r="AH83" s="227"/>
      <c r="AI83" s="224"/>
      <c r="AJ83" s="224"/>
      <c r="AK83" s="227"/>
      <c r="AL83" s="224"/>
    </row>
    <row r="84" spans="1:38" ht="15.75" hidden="1" customHeight="1" x14ac:dyDescent="0.25">
      <c r="A84" s="220">
        <v>40756</v>
      </c>
      <c r="B84" s="211">
        <f>[3]ADJ!$B83</f>
        <v>3375.3384309329995</v>
      </c>
      <c r="C84" s="211">
        <f>[3]ADJ!$C83</f>
        <v>22392.698689076999</v>
      </c>
      <c r="D84" s="211">
        <f>[3]ADJ!$D83</f>
        <v>7682.1327746235002</v>
      </c>
      <c r="E84" s="213">
        <f>[3]ADJ!$E83</f>
        <v>33450.169894633495</v>
      </c>
      <c r="F84" s="211">
        <f>[3]ADJ!$K83</f>
        <v>166230.86015341053</v>
      </c>
      <c r="G84" s="211">
        <f>[3]ADJ!$L83</f>
        <v>7042.4914972244997</v>
      </c>
      <c r="H84" s="211">
        <f>[3]ADJ!$M83</f>
        <v>12469.731554830501</v>
      </c>
      <c r="I84" s="211">
        <f>[3]ADJ!$N83</f>
        <v>347.47321022869482</v>
      </c>
      <c r="J84" s="211">
        <f>[3]ADJ!$O83</f>
        <v>291404.4771116653</v>
      </c>
      <c r="K84" s="213">
        <f>[3]ADJ!$P83</f>
        <v>477495.03352735948</v>
      </c>
      <c r="L84" s="221">
        <f>[3]ADJ!$F83</f>
        <v>23308.359653477502</v>
      </c>
      <c r="M84" s="211">
        <f>[3]ADJ!$G83</f>
        <v>27298.333473545503</v>
      </c>
      <c r="N84" s="211">
        <f>[3]ADJ!$H83</f>
        <v>0</v>
      </c>
      <c r="O84" s="213">
        <f>[3]ADJ!$I83</f>
        <v>50606.693127023005</v>
      </c>
      <c r="P84" s="211">
        <f>[3]ADJ!$Q83</f>
        <v>2133.1364882500002</v>
      </c>
      <c r="Q84" s="211">
        <f>[3]ADJ!$R83</f>
        <v>3083.261600522143</v>
      </c>
      <c r="R84" s="211">
        <f>[3]ADJ!$S83+[3]ADJ!$T83+[3]ADJ!$U83+[3]ADJ!$V83</f>
        <v>206399.69239687311</v>
      </c>
      <c r="S84" s="211">
        <f>[3]ADJ!$W83</f>
        <v>8932.7667650755011</v>
      </c>
      <c r="T84" s="222">
        <f>[3]ADJ!$X83</f>
        <v>220548.85725072076</v>
      </c>
      <c r="U84" s="223">
        <f>[3]ADJ!$Y83</f>
        <v>21644.789536806504</v>
      </c>
      <c r="V84" s="211">
        <f>[3]ADJ!$AC83</f>
        <v>3376.6940116475998</v>
      </c>
      <c r="W84" s="216">
        <f>[3]ADJ!$AD83+[3]ADJ!$J83</f>
        <v>35563.74454400465</v>
      </c>
      <c r="X84" s="217">
        <f>[3]ADJ!$AE83</f>
        <v>842685.98189219553</v>
      </c>
      <c r="Y84" s="218">
        <f>([4]TOTAL!$E$147+[4]TOTAL!$E$148+[4]TOTAL!$E$149)/1000000</f>
        <v>78201.485125693944</v>
      </c>
      <c r="Z84" s="224"/>
      <c r="AA84" s="225"/>
      <c r="AB84" s="226"/>
      <c r="AC84" s="227"/>
      <c r="AD84" s="224"/>
      <c r="AE84" s="224"/>
      <c r="AF84" s="224"/>
      <c r="AG84" s="224"/>
      <c r="AH84" s="227"/>
      <c r="AI84" s="224"/>
      <c r="AJ84" s="224"/>
      <c r="AK84" s="227"/>
      <c r="AL84" s="224"/>
    </row>
    <row r="85" spans="1:38" ht="15.75" hidden="1" customHeight="1" x14ac:dyDescent="0.25">
      <c r="A85" s="220">
        <v>40787</v>
      </c>
      <c r="B85" s="229">
        <v>3198.3239795405002</v>
      </c>
      <c r="C85" s="229">
        <v>20954.786082438801</v>
      </c>
      <c r="D85" s="229">
        <v>6795.9140200788997</v>
      </c>
      <c r="E85" s="230">
        <v>30949.0240820582</v>
      </c>
      <c r="F85" s="229">
        <v>178059.91321855754</v>
      </c>
      <c r="G85" s="229">
        <v>8787.0884687589005</v>
      </c>
      <c r="H85" s="229">
        <v>13882.909634781699</v>
      </c>
      <c r="I85" s="229">
        <v>324.11229653161985</v>
      </c>
      <c r="J85" s="229">
        <v>291918.39331768663</v>
      </c>
      <c r="K85" s="230">
        <v>492972.41693631641</v>
      </c>
      <c r="L85" s="231">
        <v>22209.637730357696</v>
      </c>
      <c r="M85" s="229">
        <v>27885.488088108701</v>
      </c>
      <c r="N85" s="229">
        <v>0</v>
      </c>
      <c r="O85" s="230">
        <v>50095.125818466397</v>
      </c>
      <c r="P85" s="229">
        <v>2234.5835929999998</v>
      </c>
      <c r="Q85" s="229">
        <v>2990.3539351994</v>
      </c>
      <c r="R85" s="229">
        <v>208826.63667584871</v>
      </c>
      <c r="S85" s="229">
        <v>8920.8796536114314</v>
      </c>
      <c r="T85" s="232">
        <v>222972.45385765954</v>
      </c>
      <c r="U85" s="233">
        <v>22114.8215742795</v>
      </c>
      <c r="V85" s="229">
        <v>4156.3375820420224</v>
      </c>
      <c r="W85" s="234">
        <v>47548.1586484539</v>
      </c>
      <c r="X85" s="235">
        <v>870808.33849927585</v>
      </c>
      <c r="Y85" s="236">
        <v>77780.808069186402</v>
      </c>
      <c r="Z85" s="224"/>
      <c r="AA85" s="225"/>
      <c r="AB85" s="226"/>
      <c r="AC85" s="227"/>
      <c r="AD85" s="224"/>
      <c r="AE85" s="224"/>
      <c r="AF85" s="224"/>
      <c r="AG85" s="224"/>
      <c r="AH85" s="227"/>
      <c r="AI85" s="224"/>
      <c r="AJ85" s="224"/>
      <c r="AK85" s="227"/>
      <c r="AL85" s="224"/>
    </row>
    <row r="86" spans="1:38" ht="15.75" hidden="1" customHeight="1" x14ac:dyDescent="0.25">
      <c r="A86" s="220">
        <v>40817</v>
      </c>
      <c r="B86" s="229">
        <v>3543.2</v>
      </c>
      <c r="C86" s="229">
        <v>20388.8</v>
      </c>
      <c r="D86" s="229">
        <v>6810.7</v>
      </c>
      <c r="E86" s="230">
        <v>30742.7</v>
      </c>
      <c r="F86" s="229">
        <v>178987.9</v>
      </c>
      <c r="G86" s="229">
        <v>6414.7</v>
      </c>
      <c r="H86" s="229">
        <v>13661.1</v>
      </c>
      <c r="I86" s="229">
        <v>409.1</v>
      </c>
      <c r="J86" s="229">
        <v>293219.09999999998</v>
      </c>
      <c r="K86" s="230">
        <v>492691.9</v>
      </c>
      <c r="L86" s="231">
        <v>23068.400000000001</v>
      </c>
      <c r="M86" s="229">
        <v>28737.8</v>
      </c>
      <c r="N86" s="229">
        <v>0</v>
      </c>
      <c r="O86" s="230">
        <v>51806.2</v>
      </c>
      <c r="P86" s="229">
        <v>2175.9</v>
      </c>
      <c r="Q86" s="229">
        <v>3060.6</v>
      </c>
      <c r="R86" s="229">
        <v>210613.6</v>
      </c>
      <c r="S86" s="229">
        <v>8962.6</v>
      </c>
      <c r="T86" s="232">
        <v>224812.79999999999</v>
      </c>
      <c r="U86" s="233">
        <v>23066</v>
      </c>
      <c r="V86" s="229">
        <v>4218.2</v>
      </c>
      <c r="W86" s="234">
        <v>46834.400000000001</v>
      </c>
      <c r="X86" s="235">
        <v>874172.2</v>
      </c>
      <c r="Y86" s="236">
        <v>76972.433192168188</v>
      </c>
      <c r="Z86" s="224"/>
      <c r="AA86" s="225"/>
      <c r="AB86" s="226"/>
      <c r="AC86" s="227"/>
      <c r="AD86" s="224"/>
      <c r="AE86" s="224"/>
      <c r="AF86" s="224"/>
      <c r="AG86" s="224"/>
      <c r="AH86" s="227"/>
      <c r="AI86" s="224"/>
      <c r="AJ86" s="224"/>
      <c r="AK86" s="227"/>
      <c r="AL86" s="224"/>
    </row>
    <row r="87" spans="1:38" ht="15.75" hidden="1" customHeight="1" x14ac:dyDescent="0.25">
      <c r="A87" s="220">
        <v>40848</v>
      </c>
      <c r="B87" s="229">
        <v>3528.7870211434019</v>
      </c>
      <c r="C87" s="229">
        <v>20286.5075946332</v>
      </c>
      <c r="D87" s="229">
        <v>6807.2422332584683</v>
      </c>
      <c r="E87" s="230">
        <v>30622.53684903507</v>
      </c>
      <c r="F87" s="229">
        <v>225502.1599820547</v>
      </c>
      <c r="G87" s="229">
        <v>5403.2641804745026</v>
      </c>
      <c r="H87" s="229">
        <v>13875.289969407406</v>
      </c>
      <c r="I87" s="229">
        <v>466.91467365863764</v>
      </c>
      <c r="J87" s="229">
        <v>296007.52189673163</v>
      </c>
      <c r="K87" s="230">
        <v>541255.15070232691</v>
      </c>
      <c r="L87" s="231">
        <v>21950.139617520377</v>
      </c>
      <c r="M87" s="229">
        <v>28415.982532359067</v>
      </c>
      <c r="N87" s="229">
        <v>0</v>
      </c>
      <c r="O87" s="230">
        <v>50366.122149879448</v>
      </c>
      <c r="P87" s="229">
        <v>2159.2118388099998</v>
      </c>
      <c r="Q87" s="229">
        <v>3114.7926491511566</v>
      </c>
      <c r="R87" s="229">
        <v>213001.6115340812</v>
      </c>
      <c r="S87" s="229">
        <v>8815.6814621638987</v>
      </c>
      <c r="T87" s="232">
        <v>227091.29748420627</v>
      </c>
      <c r="U87" s="233">
        <v>21712.15426137509</v>
      </c>
      <c r="V87" s="229">
        <v>5157.3365843991069</v>
      </c>
      <c r="W87" s="234">
        <v>48019.937514440222</v>
      </c>
      <c r="X87" s="235">
        <v>924224.53554566216</v>
      </c>
      <c r="Y87" s="236">
        <v>82656.617079239164</v>
      </c>
      <c r="Z87" s="224"/>
      <c r="AA87" s="225"/>
      <c r="AB87" s="226"/>
      <c r="AC87" s="227"/>
      <c r="AD87" s="224"/>
      <c r="AE87" s="224"/>
      <c r="AF87" s="224"/>
      <c r="AG87" s="224"/>
      <c r="AH87" s="227"/>
      <c r="AI87" s="224"/>
      <c r="AJ87" s="224"/>
      <c r="AK87" s="227"/>
      <c r="AL87" s="224"/>
    </row>
    <row r="88" spans="1:38" ht="15.75" hidden="1" customHeight="1" x14ac:dyDescent="0.25">
      <c r="A88" s="220">
        <v>40878</v>
      </c>
      <c r="B88" s="229">
        <v>4161.3058933593975</v>
      </c>
      <c r="C88" s="229">
        <v>23666.015403390866</v>
      </c>
      <c r="D88" s="229">
        <v>5530.7222544847891</v>
      </c>
      <c r="E88" s="230">
        <v>33358.043551235052</v>
      </c>
      <c r="F88" s="229">
        <v>169559.63251429689</v>
      </c>
      <c r="G88" s="229">
        <v>5256.2560837023948</v>
      </c>
      <c r="H88" s="229">
        <v>14215.849824108576</v>
      </c>
      <c r="I88" s="229">
        <v>578.94824093098407</v>
      </c>
      <c r="J88" s="229">
        <v>304525.95358682761</v>
      </c>
      <c r="K88" s="230">
        <v>494136.64024986647</v>
      </c>
      <c r="L88" s="231">
        <v>22359.262628340559</v>
      </c>
      <c r="M88" s="229">
        <v>27610.718725664014</v>
      </c>
      <c r="N88" s="229">
        <v>0</v>
      </c>
      <c r="O88" s="230">
        <v>49969.981354004572</v>
      </c>
      <c r="P88" s="229">
        <v>2267.3750127500002</v>
      </c>
      <c r="Q88" s="229">
        <v>3367.0263419879279</v>
      </c>
      <c r="R88" s="229">
        <v>215502.7567929512</v>
      </c>
      <c r="S88" s="229">
        <v>5906.699644370342</v>
      </c>
      <c r="T88" s="232">
        <v>227043.85779205948</v>
      </c>
      <c r="U88" s="233">
        <v>21696.255118983932</v>
      </c>
      <c r="V88" s="229">
        <v>5539.7199611784636</v>
      </c>
      <c r="W88" s="234">
        <v>51217.418348084189</v>
      </c>
      <c r="X88" s="235">
        <v>882961.91637541214</v>
      </c>
      <c r="Y88" s="236">
        <v>82921.153734625128</v>
      </c>
      <c r="Z88" s="224"/>
      <c r="AA88" s="225"/>
      <c r="AB88" s="226"/>
      <c r="AC88" s="227"/>
      <c r="AD88" s="224"/>
      <c r="AE88" s="224"/>
      <c r="AF88" s="224"/>
      <c r="AG88" s="224"/>
      <c r="AH88" s="227"/>
      <c r="AI88" s="224"/>
      <c r="AJ88" s="224"/>
      <c r="AK88" s="227"/>
      <c r="AL88" s="224"/>
    </row>
    <row r="89" spans="1:38" ht="15.75" hidden="1" customHeight="1" x14ac:dyDescent="0.25">
      <c r="A89" s="220">
        <v>40909</v>
      </c>
      <c r="B89" s="229">
        <v>3377.8577229181574</v>
      </c>
      <c r="C89" s="229">
        <v>21141.943766675478</v>
      </c>
      <c r="D89" s="229">
        <v>5970.5931081138569</v>
      </c>
      <c r="E89" s="230">
        <v>30490.394597707491</v>
      </c>
      <c r="F89" s="229">
        <v>137049.49255194288</v>
      </c>
      <c r="G89" s="229">
        <v>5794.927933896126</v>
      </c>
      <c r="H89" s="229">
        <v>14366.909559920852</v>
      </c>
      <c r="I89" s="229">
        <v>397.71367002277361</v>
      </c>
      <c r="J89" s="229">
        <v>317520.01417282637</v>
      </c>
      <c r="K89" s="230">
        <v>475129.05788860901</v>
      </c>
      <c r="L89" s="231">
        <v>23274.470704213691</v>
      </c>
      <c r="M89" s="229">
        <v>27470.682987923836</v>
      </c>
      <c r="N89" s="229">
        <v>0</v>
      </c>
      <c r="O89" s="230">
        <v>50745.153692137523</v>
      </c>
      <c r="P89" s="229">
        <v>2179.4598121100003</v>
      </c>
      <c r="Q89" s="229">
        <v>3376.4400918290557</v>
      </c>
      <c r="R89" s="229">
        <v>216216.57323338234</v>
      </c>
      <c r="S89" s="229">
        <v>5213.3593300410193</v>
      </c>
      <c r="T89" s="232">
        <v>226985.8324673624</v>
      </c>
      <c r="U89" s="233">
        <v>21860.66818401829</v>
      </c>
      <c r="V89" s="229">
        <v>3537.278033084031</v>
      </c>
      <c r="W89" s="234">
        <v>47435.948723034679</v>
      </c>
      <c r="X89" s="235">
        <v>856184.33358595346</v>
      </c>
      <c r="Y89" s="236">
        <v>81550.897167730524</v>
      </c>
      <c r="Z89" s="224"/>
      <c r="AA89" s="225"/>
      <c r="AB89" s="226"/>
      <c r="AC89" s="227"/>
      <c r="AD89" s="224"/>
      <c r="AE89" s="224"/>
      <c r="AF89" s="224"/>
      <c r="AG89" s="224"/>
      <c r="AH89" s="227"/>
      <c r="AI89" s="224"/>
      <c r="AJ89" s="224"/>
      <c r="AK89" s="227"/>
      <c r="AL89" s="224"/>
    </row>
    <row r="90" spans="1:38" ht="15.75" hidden="1" customHeight="1" x14ac:dyDescent="0.25">
      <c r="A90" s="220">
        <v>40940</v>
      </c>
      <c r="B90" s="229">
        <v>3247.5483847620671</v>
      </c>
      <c r="C90" s="229">
        <v>22594.063526663413</v>
      </c>
      <c r="D90" s="229">
        <v>5969.3324446488286</v>
      </c>
      <c r="E90" s="230">
        <v>31810.944356074309</v>
      </c>
      <c r="F90" s="229">
        <v>158801.00354184365</v>
      </c>
      <c r="G90" s="229">
        <v>5420.9639458060328</v>
      </c>
      <c r="H90" s="229">
        <v>14624.484856336006</v>
      </c>
      <c r="I90" s="229">
        <v>392.39835692719828</v>
      </c>
      <c r="J90" s="229">
        <v>303132.90251555695</v>
      </c>
      <c r="K90" s="230">
        <v>482371.75321646984</v>
      </c>
      <c r="L90" s="231">
        <v>22638.77102865322</v>
      </c>
      <c r="M90" s="229">
        <v>27054.463399570774</v>
      </c>
      <c r="N90" s="229">
        <v>0</v>
      </c>
      <c r="O90" s="230">
        <v>49693.234428223994</v>
      </c>
      <c r="P90" s="229">
        <v>2169.36700866</v>
      </c>
      <c r="Q90" s="229">
        <v>3291.9655209218181</v>
      </c>
      <c r="R90" s="229">
        <v>216656.83916802227</v>
      </c>
      <c r="S90" s="229">
        <v>5080.7606061628576</v>
      </c>
      <c r="T90" s="232">
        <v>227198.93230376695</v>
      </c>
      <c r="U90" s="233">
        <v>21590.509142442963</v>
      </c>
      <c r="V90" s="229">
        <v>917.06412928932218</v>
      </c>
      <c r="W90" s="234">
        <v>46864.893579726588</v>
      </c>
      <c r="X90" s="235">
        <v>860447.33115599398</v>
      </c>
      <c r="Y90" s="236">
        <v>81373.939486907533</v>
      </c>
      <c r="Z90" s="224"/>
      <c r="AA90" s="225"/>
      <c r="AB90" s="226"/>
      <c r="AC90" s="227"/>
      <c r="AD90" s="224"/>
      <c r="AE90" s="224"/>
      <c r="AF90" s="224"/>
      <c r="AG90" s="224"/>
      <c r="AH90" s="227"/>
      <c r="AI90" s="224"/>
      <c r="AJ90" s="224"/>
      <c r="AK90" s="227"/>
      <c r="AL90" s="224"/>
    </row>
    <row r="91" spans="1:38" ht="15.75" hidden="1" customHeight="1" x14ac:dyDescent="0.25">
      <c r="A91" s="220">
        <v>40969</v>
      </c>
      <c r="B91" s="229">
        <v>2882.7408640878157</v>
      </c>
      <c r="C91" s="229">
        <v>22641.169606127009</v>
      </c>
      <c r="D91" s="229">
        <v>5870.4795776286392</v>
      </c>
      <c r="E91" s="230">
        <v>31394.390047843466</v>
      </c>
      <c r="F91" s="229">
        <v>205042.19268547531</v>
      </c>
      <c r="G91" s="229">
        <v>6066.1011481882742</v>
      </c>
      <c r="H91" s="229">
        <v>14657.901986392124</v>
      </c>
      <c r="I91" s="229">
        <v>428.69531279547692</v>
      </c>
      <c r="J91" s="229">
        <v>301873.03399931861</v>
      </c>
      <c r="K91" s="230">
        <v>528067.92513216985</v>
      </c>
      <c r="L91" s="231">
        <v>23268.36474161423</v>
      </c>
      <c r="M91" s="229">
        <v>28247.482431714627</v>
      </c>
      <c r="N91" s="229">
        <v>0</v>
      </c>
      <c r="O91" s="230">
        <v>51515.847173328861</v>
      </c>
      <c r="P91" s="229">
        <v>2403.1448821400004</v>
      </c>
      <c r="Q91" s="229">
        <v>3257.4345401909009</v>
      </c>
      <c r="R91" s="229">
        <v>217096.22724605363</v>
      </c>
      <c r="S91" s="229">
        <v>5044.5155523813146</v>
      </c>
      <c r="T91" s="232">
        <v>227801.32222076584</v>
      </c>
      <c r="U91" s="233">
        <v>24633.307281702608</v>
      </c>
      <c r="V91" s="229">
        <v>1816.4239201337509</v>
      </c>
      <c r="W91" s="234">
        <v>49132.555337492049</v>
      </c>
      <c r="X91" s="235">
        <v>914361.77111343644</v>
      </c>
      <c r="Y91" s="236">
        <v>74544.44820685919</v>
      </c>
      <c r="Z91" s="224"/>
      <c r="AA91" s="225"/>
      <c r="AB91" s="226"/>
      <c r="AC91" s="227"/>
      <c r="AD91" s="224"/>
      <c r="AE91" s="224"/>
      <c r="AF91" s="224"/>
      <c r="AG91" s="224"/>
      <c r="AH91" s="227"/>
      <c r="AI91" s="224"/>
      <c r="AJ91" s="224"/>
      <c r="AK91" s="227"/>
      <c r="AL91" s="224"/>
    </row>
    <row r="92" spans="1:38" ht="15.75" hidden="1" customHeight="1" x14ac:dyDescent="0.25">
      <c r="A92" s="220">
        <v>41000</v>
      </c>
      <c r="B92" s="229">
        <v>2977.1581511389591</v>
      </c>
      <c r="C92" s="229">
        <v>22436.676579636103</v>
      </c>
      <c r="D92" s="229">
        <v>5614.029617527437</v>
      </c>
      <c r="E92" s="230">
        <v>31027.864348302501</v>
      </c>
      <c r="F92" s="229">
        <v>203118.85343870491</v>
      </c>
      <c r="G92" s="229">
        <v>12264.459541750135</v>
      </c>
      <c r="H92" s="229">
        <v>16288.21412787103</v>
      </c>
      <c r="I92" s="229">
        <v>416.86687836259568</v>
      </c>
      <c r="J92" s="229">
        <v>297238.87085867958</v>
      </c>
      <c r="K92" s="230">
        <v>529327.26484536822</v>
      </c>
      <c r="L92" s="231">
        <v>21512.482986064988</v>
      </c>
      <c r="M92" s="229">
        <v>28792.887020003527</v>
      </c>
      <c r="N92" s="229">
        <v>0</v>
      </c>
      <c r="O92" s="230">
        <v>50305.370006068515</v>
      </c>
      <c r="P92" s="229">
        <v>2349.4463478000002</v>
      </c>
      <c r="Q92" s="229">
        <v>3137.7763356302967</v>
      </c>
      <c r="R92" s="229">
        <v>218740.46690582077</v>
      </c>
      <c r="S92" s="229">
        <v>5042.5205945498255</v>
      </c>
      <c r="T92" s="232">
        <v>229270.2101838009</v>
      </c>
      <c r="U92" s="233">
        <v>25617.146470715572</v>
      </c>
      <c r="V92" s="229">
        <v>2538.8054058670537</v>
      </c>
      <c r="W92" s="234">
        <v>49954.81970859108</v>
      </c>
      <c r="X92" s="235">
        <v>918041.48096871376</v>
      </c>
      <c r="Y92" s="236">
        <v>73035.197989719571</v>
      </c>
      <c r="Z92" s="224"/>
      <c r="AA92" s="225"/>
      <c r="AB92" s="226"/>
      <c r="AC92" s="227"/>
      <c r="AD92" s="224"/>
      <c r="AE92" s="224"/>
      <c r="AF92" s="224"/>
      <c r="AG92" s="224"/>
      <c r="AH92" s="227"/>
      <c r="AI92" s="224"/>
      <c r="AJ92" s="224"/>
      <c r="AK92" s="227"/>
      <c r="AL92" s="224"/>
    </row>
    <row r="93" spans="1:38" ht="15.75" hidden="1" customHeight="1" x14ac:dyDescent="0.25">
      <c r="A93" s="220">
        <v>41030</v>
      </c>
      <c r="B93" s="229">
        <v>3403.2816521788723</v>
      </c>
      <c r="C93" s="229">
        <v>22469.61414010738</v>
      </c>
      <c r="D93" s="229">
        <v>4992.590669825955</v>
      </c>
      <c r="E93" s="230">
        <v>30865.486462112211</v>
      </c>
      <c r="F93" s="229">
        <v>211692.68722091772</v>
      </c>
      <c r="G93" s="229">
        <v>8727.8956672498425</v>
      </c>
      <c r="H93" s="229">
        <v>16236.615435390586</v>
      </c>
      <c r="I93" s="229">
        <v>265.62382705664709</v>
      </c>
      <c r="J93" s="229">
        <v>303646.20910962846</v>
      </c>
      <c r="K93" s="230">
        <v>540569.03126024327</v>
      </c>
      <c r="L93" s="231">
        <v>22129.940814470876</v>
      </c>
      <c r="M93" s="229">
        <v>29284.299435042747</v>
      </c>
      <c r="N93" s="229">
        <v>0</v>
      </c>
      <c r="O93" s="230">
        <v>51414.240249513619</v>
      </c>
      <c r="P93" s="229">
        <v>2264.5195456799997</v>
      </c>
      <c r="Q93" s="229">
        <v>3434.0187590331684</v>
      </c>
      <c r="R93" s="229">
        <v>222519.84833212622</v>
      </c>
      <c r="S93" s="229">
        <v>5440.3567334665586</v>
      </c>
      <c r="T93" s="232">
        <v>233658.74337030592</v>
      </c>
      <c r="U93" s="233">
        <v>25871.304967811051</v>
      </c>
      <c r="V93" s="229">
        <v>2174.0060830678635</v>
      </c>
      <c r="W93" s="234">
        <v>54803.370092568781</v>
      </c>
      <c r="X93" s="235">
        <v>939356.1824856227</v>
      </c>
      <c r="Y93" s="236">
        <v>78916.17595602537</v>
      </c>
      <c r="Z93" s="224"/>
      <c r="AA93" s="225"/>
      <c r="AB93" s="226"/>
      <c r="AC93" s="227"/>
      <c r="AD93" s="224"/>
      <c r="AE93" s="224"/>
      <c r="AF93" s="224"/>
      <c r="AG93" s="224"/>
      <c r="AH93" s="227"/>
      <c r="AI93" s="224"/>
      <c r="AJ93" s="224"/>
      <c r="AK93" s="227"/>
      <c r="AL93" s="224"/>
    </row>
    <row r="94" spans="1:38" ht="15.75" hidden="1" customHeight="1" x14ac:dyDescent="0.25">
      <c r="A94" s="220">
        <v>41061</v>
      </c>
      <c r="B94" s="229">
        <v>2731.1107226587774</v>
      </c>
      <c r="C94" s="229">
        <v>23950.041637013281</v>
      </c>
      <c r="D94" s="229">
        <v>4904.0601349360959</v>
      </c>
      <c r="E94" s="230">
        <v>31585.212494608153</v>
      </c>
      <c r="F94" s="229">
        <v>151528.96451311992</v>
      </c>
      <c r="G94" s="229">
        <v>15388.823455999925</v>
      </c>
      <c r="H94" s="229">
        <v>17100.604029549966</v>
      </c>
      <c r="I94" s="229">
        <v>339.75802811770177</v>
      </c>
      <c r="J94" s="229">
        <v>318500.15766009828</v>
      </c>
      <c r="K94" s="230">
        <v>502858.30768688582</v>
      </c>
      <c r="L94" s="231">
        <v>22202.084318121986</v>
      </c>
      <c r="M94" s="229">
        <v>29901.408042010324</v>
      </c>
      <c r="N94" s="229">
        <v>0</v>
      </c>
      <c r="O94" s="230">
        <v>52103.49236013231</v>
      </c>
      <c r="P94" s="229">
        <v>2263.8692802900009</v>
      </c>
      <c r="Q94" s="229">
        <v>3577.8578079299991</v>
      </c>
      <c r="R94" s="229">
        <v>228453.35532406234</v>
      </c>
      <c r="S94" s="229">
        <v>5465.2015017986141</v>
      </c>
      <c r="T94" s="232">
        <v>239760.28391408097</v>
      </c>
      <c r="U94" s="233">
        <v>27463.113710590642</v>
      </c>
      <c r="V94" s="229">
        <v>2926.7806992231053</v>
      </c>
      <c r="W94" s="234">
        <v>53602.674955190458</v>
      </c>
      <c r="X94" s="235">
        <v>910299.86582071136</v>
      </c>
      <c r="Y94" s="236">
        <v>77117.232420134213</v>
      </c>
      <c r="Z94" s="224"/>
      <c r="AA94" s="225"/>
      <c r="AB94" s="226"/>
      <c r="AC94" s="227"/>
      <c r="AD94" s="224"/>
      <c r="AE94" s="224"/>
      <c r="AF94" s="224"/>
      <c r="AG94" s="224"/>
      <c r="AH94" s="227"/>
      <c r="AI94" s="224"/>
      <c r="AJ94" s="224"/>
      <c r="AK94" s="227"/>
      <c r="AL94" s="224"/>
    </row>
    <row r="95" spans="1:38" ht="15.75" hidden="1" customHeight="1" x14ac:dyDescent="0.25">
      <c r="A95" s="220">
        <v>41091</v>
      </c>
      <c r="B95" s="229">
        <v>2921.0103157083176</v>
      </c>
      <c r="C95" s="229">
        <v>23713.508129245078</v>
      </c>
      <c r="D95" s="229">
        <v>4780.6728805872081</v>
      </c>
      <c r="E95" s="230">
        <v>31415.191325540603</v>
      </c>
      <c r="F95" s="229">
        <v>194436.1491565741</v>
      </c>
      <c r="G95" s="229">
        <v>6610.5813201246274</v>
      </c>
      <c r="H95" s="229">
        <v>17177.378447944815</v>
      </c>
      <c r="I95" s="229">
        <v>404.22224966960994</v>
      </c>
      <c r="J95" s="229">
        <v>312712.25437268877</v>
      </c>
      <c r="K95" s="230">
        <v>531340.58554700192</v>
      </c>
      <c r="L95" s="231">
        <v>20322.818580521896</v>
      </c>
      <c r="M95" s="229">
        <v>29867.604892200838</v>
      </c>
      <c r="N95" s="229">
        <v>0</v>
      </c>
      <c r="O95" s="230">
        <v>50190.42347272273</v>
      </c>
      <c r="P95" s="229">
        <v>2216.59188593</v>
      </c>
      <c r="Q95" s="229">
        <v>3718.2181354924633</v>
      </c>
      <c r="R95" s="229">
        <v>230251.53480015229</v>
      </c>
      <c r="S95" s="229">
        <v>5051.7902635482924</v>
      </c>
      <c r="T95" s="232">
        <v>241238.13508512304</v>
      </c>
      <c r="U95" s="233">
        <v>25789.873753587151</v>
      </c>
      <c r="V95" s="229">
        <v>2865.3593143427711</v>
      </c>
      <c r="W95" s="234">
        <v>50916.962320157028</v>
      </c>
      <c r="X95" s="235">
        <v>933756.53081847518</v>
      </c>
      <c r="Y95" s="236">
        <v>76661.289627980936</v>
      </c>
      <c r="Z95" s="224"/>
      <c r="AA95" s="225"/>
      <c r="AB95" s="226"/>
      <c r="AC95" s="227"/>
      <c r="AD95" s="224"/>
      <c r="AE95" s="224"/>
      <c r="AF95" s="224"/>
      <c r="AG95" s="224"/>
      <c r="AH95" s="227"/>
      <c r="AI95" s="224"/>
      <c r="AJ95" s="224"/>
      <c r="AK95" s="227"/>
      <c r="AL95" s="224"/>
    </row>
    <row r="96" spans="1:38" ht="15.75" hidden="1" customHeight="1" x14ac:dyDescent="0.25">
      <c r="A96" s="220">
        <v>41122</v>
      </c>
      <c r="B96" s="229">
        <v>3284.4810359086955</v>
      </c>
      <c r="C96" s="229">
        <v>23523.554012584336</v>
      </c>
      <c r="D96" s="229">
        <v>4061.6556221765641</v>
      </c>
      <c r="E96" s="230">
        <v>30869.690670669595</v>
      </c>
      <c r="F96" s="229">
        <v>162741.38229825956</v>
      </c>
      <c r="G96" s="229">
        <v>9851.2425503996456</v>
      </c>
      <c r="H96" s="229">
        <v>17435.091239850364</v>
      </c>
      <c r="I96" s="229">
        <v>306.7691450936004</v>
      </c>
      <c r="J96" s="229">
        <v>303070.00273284176</v>
      </c>
      <c r="K96" s="230">
        <v>493404.48796644493</v>
      </c>
      <c r="L96" s="231">
        <v>20643.316118093797</v>
      </c>
      <c r="M96" s="229">
        <v>31012.597817991547</v>
      </c>
      <c r="N96" s="229">
        <v>0</v>
      </c>
      <c r="O96" s="230">
        <v>51655.913936085344</v>
      </c>
      <c r="P96" s="229">
        <v>2176.5146290299972</v>
      </c>
      <c r="Q96" s="229">
        <v>3495.0830790664813</v>
      </c>
      <c r="R96" s="229">
        <v>232869.04253645663</v>
      </c>
      <c r="S96" s="229">
        <v>5206.2745493063485</v>
      </c>
      <c r="T96" s="232">
        <v>243746.91479385947</v>
      </c>
      <c r="U96" s="233">
        <v>26319.768176589088</v>
      </c>
      <c r="V96" s="229">
        <v>4859.412819033736</v>
      </c>
      <c r="W96" s="234">
        <v>48714.162755731348</v>
      </c>
      <c r="X96" s="235">
        <v>899570.35111841338</v>
      </c>
      <c r="Y96" s="236">
        <v>73975.667162467682</v>
      </c>
      <c r="Z96" s="224"/>
      <c r="AA96" s="225"/>
      <c r="AB96" s="226"/>
      <c r="AC96" s="227"/>
      <c r="AD96" s="224"/>
      <c r="AE96" s="224"/>
      <c r="AF96" s="224"/>
      <c r="AG96" s="224"/>
      <c r="AH96" s="227"/>
      <c r="AI96" s="224"/>
      <c r="AJ96" s="224"/>
      <c r="AK96" s="227"/>
      <c r="AL96" s="224"/>
    </row>
    <row r="97" spans="1:38" ht="15.75" hidden="1" customHeight="1" x14ac:dyDescent="0.25">
      <c r="A97" s="220">
        <v>41153</v>
      </c>
      <c r="B97" s="229">
        <v>3218.2288786296672</v>
      </c>
      <c r="C97" s="229">
        <v>24567.280498543936</v>
      </c>
      <c r="D97" s="229">
        <v>4098.1801504752711</v>
      </c>
      <c r="E97" s="230">
        <v>31883.689527648872</v>
      </c>
      <c r="F97" s="229">
        <v>170705.50366254535</v>
      </c>
      <c r="G97" s="229">
        <v>5542.377223081432</v>
      </c>
      <c r="H97" s="229">
        <v>74403.369127877566</v>
      </c>
      <c r="I97" s="229">
        <v>357.04215440172322</v>
      </c>
      <c r="J97" s="229">
        <v>255989.53546947165</v>
      </c>
      <c r="K97" s="230">
        <v>506997.82763737772</v>
      </c>
      <c r="L97" s="231">
        <v>19790.847510056385</v>
      </c>
      <c r="M97" s="229">
        <v>31857.256550132257</v>
      </c>
      <c r="N97" s="229">
        <v>0</v>
      </c>
      <c r="O97" s="230">
        <v>51648.104060188642</v>
      </c>
      <c r="P97" s="229">
        <v>2166.0323224699996</v>
      </c>
      <c r="Q97" s="229">
        <v>3597.3311136899993</v>
      </c>
      <c r="R97" s="229">
        <v>234385.18802095356</v>
      </c>
      <c r="S97" s="229">
        <v>5200.3828885887542</v>
      </c>
      <c r="T97" s="232">
        <v>245348.93434570232</v>
      </c>
      <c r="U97" s="233">
        <v>24825.458582824092</v>
      </c>
      <c r="V97" s="229">
        <v>3228.9814879340802</v>
      </c>
      <c r="W97" s="234">
        <v>51266.297694450324</v>
      </c>
      <c r="X97" s="235">
        <v>915199.29333612614</v>
      </c>
      <c r="Y97" s="236">
        <v>75662.066773687082</v>
      </c>
      <c r="Z97" s="224"/>
      <c r="AA97" s="225"/>
      <c r="AB97" s="226"/>
      <c r="AC97" s="227"/>
      <c r="AD97" s="224"/>
      <c r="AE97" s="224"/>
      <c r="AF97" s="224"/>
      <c r="AG97" s="224"/>
      <c r="AH97" s="227"/>
      <c r="AI97" s="224"/>
      <c r="AJ97" s="224"/>
      <c r="AK97" s="227"/>
      <c r="AL97" s="224"/>
    </row>
    <row r="98" spans="1:38" ht="15.75" hidden="1" customHeight="1" x14ac:dyDescent="0.25">
      <c r="A98" s="220">
        <v>41183</v>
      </c>
      <c r="B98" s="229">
        <v>3774.5899837413481</v>
      </c>
      <c r="C98" s="229">
        <v>23306.248333443531</v>
      </c>
      <c r="D98" s="229">
        <v>3735.0619519924121</v>
      </c>
      <c r="E98" s="230">
        <v>30815.900269177291</v>
      </c>
      <c r="F98" s="229">
        <v>180452.16199523627</v>
      </c>
      <c r="G98" s="229">
        <v>5773.055153109498</v>
      </c>
      <c r="H98" s="229">
        <v>74175.837945345731</v>
      </c>
      <c r="I98" s="229">
        <v>453.56446622043683</v>
      </c>
      <c r="J98" s="229">
        <v>267400.68326330849</v>
      </c>
      <c r="K98" s="230">
        <v>528255.30282322038</v>
      </c>
      <c r="L98" s="231">
        <v>20951.76090043164</v>
      </c>
      <c r="M98" s="229">
        <v>32775.04618245233</v>
      </c>
      <c r="N98" s="229">
        <v>0</v>
      </c>
      <c r="O98" s="230">
        <v>53726.80708288397</v>
      </c>
      <c r="P98" s="229">
        <v>2152.3988804899996</v>
      </c>
      <c r="Q98" s="229">
        <v>3608.6489464346573</v>
      </c>
      <c r="R98" s="229">
        <v>237642.99863015331</v>
      </c>
      <c r="S98" s="229">
        <v>5193.0040613247984</v>
      </c>
      <c r="T98" s="232">
        <v>248597.05051840277</v>
      </c>
      <c r="U98" s="233">
        <v>24639.436049841115</v>
      </c>
      <c r="V98" s="229">
        <v>2445.1176567562434</v>
      </c>
      <c r="W98" s="234">
        <v>50717.96188035018</v>
      </c>
      <c r="X98" s="235">
        <v>939197.57628063182</v>
      </c>
      <c r="Y98" s="236">
        <v>82600.739648435498</v>
      </c>
      <c r="Z98" s="224"/>
      <c r="AA98" s="225"/>
      <c r="AB98" s="226"/>
      <c r="AC98" s="227"/>
      <c r="AD98" s="224"/>
      <c r="AE98" s="224"/>
      <c r="AF98" s="224"/>
      <c r="AG98" s="224"/>
      <c r="AH98" s="227"/>
      <c r="AI98" s="224"/>
      <c r="AJ98" s="224"/>
      <c r="AK98" s="227"/>
      <c r="AL98" s="224"/>
    </row>
    <row r="99" spans="1:38" ht="15.75" hidden="1" customHeight="1" x14ac:dyDescent="0.25">
      <c r="A99" s="220">
        <v>41214</v>
      </c>
      <c r="B99" s="229">
        <v>3585.7834358731334</v>
      </c>
      <c r="C99" s="229">
        <v>22118.502086285411</v>
      </c>
      <c r="D99" s="229">
        <v>3924.7981016869289</v>
      </c>
      <c r="E99" s="230">
        <v>29629.083623845472</v>
      </c>
      <c r="F99" s="229">
        <v>180946.66637666876</v>
      </c>
      <c r="G99" s="229">
        <v>10427.826476748913</v>
      </c>
      <c r="H99" s="229">
        <v>76520.990202872854</v>
      </c>
      <c r="I99" s="229">
        <v>394.01705846880384</v>
      </c>
      <c r="J99" s="229">
        <v>270565.96483887202</v>
      </c>
      <c r="K99" s="230">
        <v>538855.4649536314</v>
      </c>
      <c r="L99" s="231">
        <v>22618.050443832763</v>
      </c>
      <c r="M99" s="229">
        <v>32754.743679875355</v>
      </c>
      <c r="N99" s="229">
        <v>0</v>
      </c>
      <c r="O99" s="230">
        <v>55372.794123708118</v>
      </c>
      <c r="P99" s="229">
        <v>2146.4969997899998</v>
      </c>
      <c r="Q99" s="229">
        <v>4025.1186350762955</v>
      </c>
      <c r="R99" s="229">
        <v>240003.17928584196</v>
      </c>
      <c r="S99" s="229">
        <v>5222.3287444529587</v>
      </c>
      <c r="T99" s="232">
        <v>251397.12366516123</v>
      </c>
      <c r="U99" s="233">
        <v>25261.940211193039</v>
      </c>
      <c r="V99" s="229">
        <v>3812.701609465566</v>
      </c>
      <c r="W99" s="234">
        <v>51651.65056377367</v>
      </c>
      <c r="X99" s="235">
        <v>955980.75875077839</v>
      </c>
      <c r="Y99" s="236">
        <v>84546.226308585712</v>
      </c>
      <c r="Z99" s="224"/>
      <c r="AA99" s="225"/>
      <c r="AB99" s="226"/>
      <c r="AC99" s="227"/>
      <c r="AD99" s="224"/>
      <c r="AE99" s="224"/>
      <c r="AF99" s="224"/>
      <c r="AG99" s="224"/>
      <c r="AH99" s="227"/>
      <c r="AI99" s="224"/>
      <c r="AJ99" s="224"/>
      <c r="AK99" s="227"/>
      <c r="AL99" s="224"/>
    </row>
    <row r="100" spans="1:38" ht="15.75" hidden="1" customHeight="1" x14ac:dyDescent="0.25">
      <c r="A100" s="220">
        <v>41244</v>
      </c>
      <c r="B100" s="229">
        <v>4790.6840856975523</v>
      </c>
      <c r="C100" s="229">
        <v>25339.780584248743</v>
      </c>
      <c r="D100" s="229">
        <v>3905.92799421463</v>
      </c>
      <c r="E100" s="230">
        <v>34036.392664160929</v>
      </c>
      <c r="F100" s="229">
        <v>199260.7330669355</v>
      </c>
      <c r="G100" s="229">
        <v>9097.6390664785158</v>
      </c>
      <c r="H100" s="229">
        <v>59733.1076888928</v>
      </c>
      <c r="I100" s="229">
        <v>840.52055735902934</v>
      </c>
      <c r="J100" s="229">
        <v>267568.86667540995</v>
      </c>
      <c r="K100" s="230">
        <v>536500.86705507583</v>
      </c>
      <c r="L100" s="231">
        <v>22866.860033246521</v>
      </c>
      <c r="M100" s="229">
        <v>32475.39564267586</v>
      </c>
      <c r="N100" s="229">
        <v>0</v>
      </c>
      <c r="O100" s="230">
        <v>55342.255675922381</v>
      </c>
      <c r="P100" s="229">
        <v>2161.7332296599998</v>
      </c>
      <c r="Q100" s="229">
        <v>3941.2395126400002</v>
      </c>
      <c r="R100" s="229">
        <v>244689.29471564887</v>
      </c>
      <c r="S100" s="229">
        <v>5232.8626867983548</v>
      </c>
      <c r="T100" s="232">
        <v>256025.13014474724</v>
      </c>
      <c r="U100" s="233">
        <v>24522.991983031116</v>
      </c>
      <c r="V100" s="229">
        <v>3465.9404415139197</v>
      </c>
      <c r="W100" s="234">
        <v>58226.614831499624</v>
      </c>
      <c r="X100" s="235">
        <v>968120.19279595104</v>
      </c>
      <c r="Y100" s="236">
        <v>97199.698506452565</v>
      </c>
      <c r="Z100" s="224"/>
      <c r="AA100" s="225"/>
      <c r="AB100" s="226"/>
      <c r="AC100" s="227"/>
      <c r="AD100" s="224"/>
      <c r="AE100" s="224"/>
      <c r="AF100" s="224"/>
      <c r="AG100" s="224"/>
      <c r="AH100" s="227"/>
      <c r="AI100" s="224"/>
      <c r="AJ100" s="224"/>
      <c r="AK100" s="227"/>
      <c r="AL100" s="224"/>
    </row>
    <row r="101" spans="1:38" ht="15.75" hidden="1" customHeight="1" x14ac:dyDescent="0.25">
      <c r="A101" s="220">
        <v>41275</v>
      </c>
      <c r="B101" s="229">
        <v>4197.9410828299788</v>
      </c>
      <c r="C101" s="229">
        <v>24811.495700873409</v>
      </c>
      <c r="D101" s="229">
        <v>6127.1671396705433</v>
      </c>
      <c r="E101" s="230">
        <v>35136.603923373928</v>
      </c>
      <c r="F101" s="229">
        <v>214992.23385839554</v>
      </c>
      <c r="G101" s="229">
        <v>7854.3039085798318</v>
      </c>
      <c r="H101" s="229">
        <v>59660.071731718002</v>
      </c>
      <c r="I101" s="229">
        <v>542.6002541327581</v>
      </c>
      <c r="J101" s="229">
        <v>266977.69319286681</v>
      </c>
      <c r="K101" s="230">
        <v>550026.90294569288</v>
      </c>
      <c r="L101" s="231">
        <v>21868.924538016981</v>
      </c>
      <c r="M101" s="229">
        <v>32305.609157436753</v>
      </c>
      <c r="N101" s="229">
        <v>0</v>
      </c>
      <c r="O101" s="230">
        <v>54174.533695453734</v>
      </c>
      <c r="P101" s="229">
        <v>2055.31211196</v>
      </c>
      <c r="Q101" s="229">
        <v>4080.2196987469401</v>
      </c>
      <c r="R101" s="229">
        <v>243699.34253958875</v>
      </c>
      <c r="S101" s="229">
        <v>5166.7593326383421</v>
      </c>
      <c r="T101" s="232">
        <v>255001.63368293401</v>
      </c>
      <c r="U101" s="233">
        <v>24587.881833676674</v>
      </c>
      <c r="V101" s="229">
        <v>3548.4109893249556</v>
      </c>
      <c r="W101" s="234">
        <v>57809.348672554406</v>
      </c>
      <c r="X101" s="235">
        <v>980285.31574301061</v>
      </c>
      <c r="Y101" s="236">
        <v>97486.770289453445</v>
      </c>
      <c r="Z101" s="224"/>
      <c r="AA101" s="225"/>
      <c r="AB101" s="226"/>
      <c r="AC101" s="227"/>
      <c r="AD101" s="224"/>
      <c r="AE101" s="224"/>
      <c r="AF101" s="224"/>
      <c r="AG101" s="224"/>
      <c r="AH101" s="227"/>
      <c r="AI101" s="224"/>
      <c r="AJ101" s="224"/>
      <c r="AK101" s="227"/>
      <c r="AL101" s="224"/>
    </row>
    <row r="102" spans="1:38" ht="15.75" hidden="1" customHeight="1" x14ac:dyDescent="0.25">
      <c r="A102" s="220">
        <v>41306</v>
      </c>
      <c r="B102" s="229">
        <v>3717.6308666898854</v>
      </c>
      <c r="C102" s="229">
        <v>27615.861378601181</v>
      </c>
      <c r="D102" s="229">
        <v>5724.8602325562551</v>
      </c>
      <c r="E102" s="230">
        <v>37058.352477847322</v>
      </c>
      <c r="F102" s="229">
        <v>165082.25885845107</v>
      </c>
      <c r="G102" s="229">
        <v>9808.4620404039179</v>
      </c>
      <c r="H102" s="229">
        <v>61830.639548710227</v>
      </c>
      <c r="I102" s="229">
        <v>399.53841073952901</v>
      </c>
      <c r="J102" s="229">
        <v>273282.26831628883</v>
      </c>
      <c r="K102" s="230">
        <v>510403.16717459355</v>
      </c>
      <c r="L102" s="231">
        <v>21241.102000206731</v>
      </c>
      <c r="M102" s="229">
        <v>33028.635964010806</v>
      </c>
      <c r="N102" s="229">
        <v>0</v>
      </c>
      <c r="O102" s="230">
        <v>54269.737964217537</v>
      </c>
      <c r="P102" s="229">
        <v>1995.1757597799999</v>
      </c>
      <c r="Q102" s="229">
        <v>4121.0003794499753</v>
      </c>
      <c r="R102" s="229">
        <v>246132.10945075788</v>
      </c>
      <c r="S102" s="229">
        <v>5139.0358453779891</v>
      </c>
      <c r="T102" s="232">
        <v>257387.32143536585</v>
      </c>
      <c r="U102" s="233">
        <v>24577.124134676214</v>
      </c>
      <c r="V102" s="229">
        <v>4226.7756793264771</v>
      </c>
      <c r="W102" s="234">
        <v>57652.202033863359</v>
      </c>
      <c r="X102" s="235">
        <v>945574.68089989026</v>
      </c>
      <c r="Y102" s="236">
        <v>83953.280145166311</v>
      </c>
      <c r="Z102" s="224"/>
      <c r="AA102" s="225"/>
      <c r="AB102" s="226"/>
      <c r="AC102" s="227"/>
      <c r="AD102" s="224"/>
      <c r="AE102" s="224"/>
      <c r="AF102" s="224"/>
      <c r="AG102" s="224"/>
      <c r="AH102" s="227"/>
      <c r="AI102" s="224"/>
      <c r="AJ102" s="224"/>
      <c r="AK102" s="227"/>
      <c r="AL102" s="224"/>
    </row>
    <row r="103" spans="1:38" ht="21" hidden="1" customHeight="1" x14ac:dyDescent="0.25">
      <c r="A103" s="220">
        <v>41334</v>
      </c>
      <c r="B103" s="229">
        <v>3967.2277917323436</v>
      </c>
      <c r="C103" s="229">
        <v>26916.1579577753</v>
      </c>
      <c r="D103" s="229">
        <v>7325.4277845211036</v>
      </c>
      <c r="E103" s="230">
        <v>38208.813534028748</v>
      </c>
      <c r="F103" s="229">
        <v>204401.43653566597</v>
      </c>
      <c r="G103" s="229">
        <v>13170.632378161816</v>
      </c>
      <c r="H103" s="229">
        <v>62892.780986644</v>
      </c>
      <c r="I103" s="229">
        <v>383.05522580256928</v>
      </c>
      <c r="J103" s="229">
        <v>261834.43335867175</v>
      </c>
      <c r="K103" s="230">
        <v>542682.33848494617</v>
      </c>
      <c r="L103" s="231">
        <v>22374.683074228218</v>
      </c>
      <c r="M103" s="229">
        <v>33015.043053453017</v>
      </c>
      <c r="N103" s="229">
        <v>0</v>
      </c>
      <c r="O103" s="230">
        <v>55389.726127681235</v>
      </c>
      <c r="P103" s="229">
        <v>2053.4655619599998</v>
      </c>
      <c r="Q103" s="229">
        <v>4209.707040420657</v>
      </c>
      <c r="R103" s="229">
        <v>246236.70799282534</v>
      </c>
      <c r="S103" s="229">
        <v>5143.7960124826923</v>
      </c>
      <c r="T103" s="232">
        <v>257643.67660768869</v>
      </c>
      <c r="U103" s="233">
        <v>25392.032758178866</v>
      </c>
      <c r="V103" s="229">
        <v>3394.8798851569527</v>
      </c>
      <c r="W103" s="234">
        <v>56954.00814356764</v>
      </c>
      <c r="X103" s="235">
        <v>979665.47554124834</v>
      </c>
      <c r="Y103" s="236">
        <v>87762.748039115148</v>
      </c>
      <c r="Z103" s="224"/>
      <c r="AA103" s="225"/>
      <c r="AB103" s="226"/>
      <c r="AC103" s="227"/>
      <c r="AD103" s="224"/>
      <c r="AE103" s="224"/>
      <c r="AF103" s="224"/>
      <c r="AG103" s="224"/>
      <c r="AH103" s="227"/>
      <c r="AI103" s="224"/>
      <c r="AJ103" s="224"/>
      <c r="AK103" s="227"/>
      <c r="AL103" s="224"/>
    </row>
    <row r="104" spans="1:38" ht="21.6" hidden="1" customHeight="1" x14ac:dyDescent="0.25">
      <c r="A104" s="220">
        <v>41365</v>
      </c>
      <c r="B104" s="237">
        <v>4262.6947439086689</v>
      </c>
      <c r="C104" s="237">
        <v>23732.577148695545</v>
      </c>
      <c r="D104" s="237">
        <v>8018.9071872932154</v>
      </c>
      <c r="E104" s="238">
        <v>36014.179079897433</v>
      </c>
      <c r="F104" s="237">
        <v>208353.53231493372</v>
      </c>
      <c r="G104" s="237">
        <v>10080.333223700765</v>
      </c>
      <c r="H104" s="237">
        <v>62979.815321048707</v>
      </c>
      <c r="I104" s="237">
        <v>332.87887703450582</v>
      </c>
      <c r="J104" s="237">
        <v>271716.37731327518</v>
      </c>
      <c r="K104" s="238">
        <v>553462.93704999285</v>
      </c>
      <c r="L104" s="239">
        <v>22727.02891464431</v>
      </c>
      <c r="M104" s="237">
        <v>33169.458219518427</v>
      </c>
      <c r="N104" s="237">
        <v>0</v>
      </c>
      <c r="O104" s="238">
        <v>55896.487134162737</v>
      </c>
      <c r="P104" s="237">
        <v>1911.3687765</v>
      </c>
      <c r="Q104" s="237">
        <v>4138.5714254347795</v>
      </c>
      <c r="R104" s="237">
        <v>246482.02950709529</v>
      </c>
      <c r="S104" s="237">
        <v>5138.6910889667797</v>
      </c>
      <c r="T104" s="240">
        <v>257670.66079799685</v>
      </c>
      <c r="U104" s="241">
        <v>26377.229050806625</v>
      </c>
      <c r="V104" s="237">
        <v>3261.1137703635104</v>
      </c>
      <c r="W104" s="242">
        <v>59716.386728413723</v>
      </c>
      <c r="X104" s="243">
        <v>992398.99361163378</v>
      </c>
      <c r="Y104" s="244">
        <v>83059.376085762604</v>
      </c>
      <c r="Z104" s="224"/>
      <c r="AA104" s="225"/>
      <c r="AB104" s="226"/>
      <c r="AC104" s="227"/>
      <c r="AD104" s="224"/>
      <c r="AE104" s="224"/>
      <c r="AF104" s="224"/>
      <c r="AG104" s="224"/>
      <c r="AH104" s="227"/>
      <c r="AI104" s="224"/>
      <c r="AJ104" s="224"/>
      <c r="AK104" s="227"/>
      <c r="AL104" s="224"/>
    </row>
    <row r="105" spans="1:38" ht="21.6" hidden="1" customHeight="1" x14ac:dyDescent="0.25">
      <c r="A105" s="220">
        <v>41395</v>
      </c>
      <c r="B105" s="237">
        <v>4029.9208662018909</v>
      </c>
      <c r="C105" s="237">
        <v>28097.547205747709</v>
      </c>
      <c r="D105" s="237">
        <v>9224.6091864278842</v>
      </c>
      <c r="E105" s="238">
        <v>41352.077258377481</v>
      </c>
      <c r="F105" s="237">
        <v>229181.32199153971</v>
      </c>
      <c r="G105" s="237">
        <v>11456.155941579871</v>
      </c>
      <c r="H105" s="237">
        <v>64401.236482210137</v>
      </c>
      <c r="I105" s="237">
        <v>298.55997035352829</v>
      </c>
      <c r="J105" s="237">
        <v>275172.81739512604</v>
      </c>
      <c r="K105" s="238">
        <v>580510.09178080934</v>
      </c>
      <c r="L105" s="239">
        <v>23029.93481222304</v>
      </c>
      <c r="M105" s="237">
        <v>33127.532275362857</v>
      </c>
      <c r="N105" s="237">
        <v>0</v>
      </c>
      <c r="O105" s="238">
        <v>56157.467087585901</v>
      </c>
      <c r="P105" s="237">
        <v>2023.6883983299999</v>
      </c>
      <c r="Q105" s="237">
        <v>4504.3748470081355</v>
      </c>
      <c r="R105" s="237">
        <v>244485.41144904454</v>
      </c>
      <c r="S105" s="237">
        <v>5165.972585386543</v>
      </c>
      <c r="T105" s="240">
        <v>256179.44727976923</v>
      </c>
      <c r="U105" s="241">
        <v>25009.374336319936</v>
      </c>
      <c r="V105" s="237">
        <v>4413.0958466446027</v>
      </c>
      <c r="W105" s="242">
        <v>58218.583225184673</v>
      </c>
      <c r="X105" s="243">
        <v>1021840.1368146911</v>
      </c>
      <c r="Y105" s="244">
        <v>79259.359279211771</v>
      </c>
      <c r="Z105" s="224"/>
      <c r="AA105" s="225"/>
      <c r="AB105" s="226"/>
      <c r="AC105" s="227"/>
      <c r="AD105" s="224"/>
      <c r="AE105" s="224"/>
      <c r="AF105" s="224"/>
      <c r="AG105" s="224"/>
      <c r="AH105" s="227"/>
      <c r="AI105" s="224"/>
      <c r="AJ105" s="224"/>
      <c r="AK105" s="227"/>
      <c r="AL105" s="224"/>
    </row>
    <row r="106" spans="1:38" ht="21.6" hidden="1" customHeight="1" x14ac:dyDescent="0.25">
      <c r="A106" s="220">
        <v>41426</v>
      </c>
      <c r="B106" s="237">
        <v>3880.7910153801176</v>
      </c>
      <c r="C106" s="237">
        <v>28141.999478795293</v>
      </c>
      <c r="D106" s="237">
        <v>10151.768490547971</v>
      </c>
      <c r="E106" s="238">
        <v>42174.558984723379</v>
      </c>
      <c r="F106" s="237">
        <v>209466.98424653077</v>
      </c>
      <c r="G106" s="237">
        <v>8873.0575161805755</v>
      </c>
      <c r="H106" s="237">
        <v>60450.905929176195</v>
      </c>
      <c r="I106" s="237">
        <v>384.48773600076333</v>
      </c>
      <c r="J106" s="237">
        <v>277889.1891076871</v>
      </c>
      <c r="K106" s="238">
        <v>557064.62453557539</v>
      </c>
      <c r="L106" s="239">
        <v>22398.011030656187</v>
      </c>
      <c r="M106" s="237">
        <v>33426.986061342279</v>
      </c>
      <c r="N106" s="237">
        <v>0</v>
      </c>
      <c r="O106" s="238">
        <v>55824.997091998463</v>
      </c>
      <c r="P106" s="237">
        <v>1910.56088669</v>
      </c>
      <c r="Q106" s="237">
        <v>4433.8913253866158</v>
      </c>
      <c r="R106" s="237">
        <v>247153.31376983286</v>
      </c>
      <c r="S106" s="237">
        <v>5354.6861570313777</v>
      </c>
      <c r="T106" s="240">
        <v>258852.45213894086</v>
      </c>
      <c r="U106" s="241">
        <v>25578.031640610257</v>
      </c>
      <c r="V106" s="237">
        <v>4490.1979337635748</v>
      </c>
      <c r="W106" s="242">
        <v>59370.119487361488</v>
      </c>
      <c r="X106" s="243">
        <v>1003354.9818129735</v>
      </c>
      <c r="Y106" s="244">
        <v>82396.02447648035</v>
      </c>
      <c r="Z106" s="224"/>
      <c r="AA106" s="225"/>
      <c r="AB106" s="226"/>
      <c r="AC106" s="227"/>
      <c r="AD106" s="224"/>
      <c r="AE106" s="224"/>
      <c r="AF106" s="224"/>
      <c r="AG106" s="224"/>
      <c r="AH106" s="227"/>
      <c r="AI106" s="224"/>
      <c r="AJ106" s="224"/>
      <c r="AK106" s="227"/>
      <c r="AL106" s="224"/>
    </row>
    <row r="107" spans="1:38" ht="21.6" hidden="1" customHeight="1" x14ac:dyDescent="0.25">
      <c r="A107" s="220">
        <v>41456</v>
      </c>
      <c r="B107" s="237">
        <v>4399.672453168796</v>
      </c>
      <c r="C107" s="237">
        <v>28845.911377799446</v>
      </c>
      <c r="D107" s="237">
        <v>9856.9029232079247</v>
      </c>
      <c r="E107" s="238">
        <v>43102.486754176171</v>
      </c>
      <c r="F107" s="237">
        <v>226422.23091285076</v>
      </c>
      <c r="G107" s="237">
        <v>14718.634986213397</v>
      </c>
      <c r="H107" s="237">
        <v>61273.923120491098</v>
      </c>
      <c r="I107" s="237">
        <v>525.28397690566101</v>
      </c>
      <c r="J107" s="237">
        <v>280260.06819464517</v>
      </c>
      <c r="K107" s="238">
        <v>583200.14119110606</v>
      </c>
      <c r="L107" s="239">
        <v>23051.591366495388</v>
      </c>
      <c r="M107" s="237">
        <v>34387.619725586366</v>
      </c>
      <c r="N107" s="237">
        <v>0</v>
      </c>
      <c r="O107" s="238">
        <v>57439.21109208175</v>
      </c>
      <c r="P107" s="237">
        <v>1846.9816478299999</v>
      </c>
      <c r="Q107" s="237">
        <v>4556.6056778832335</v>
      </c>
      <c r="R107" s="237">
        <v>248392.52522024908</v>
      </c>
      <c r="S107" s="237">
        <v>5332.6384012472836</v>
      </c>
      <c r="T107" s="240">
        <v>260128.75094720954</v>
      </c>
      <c r="U107" s="241">
        <v>28453.399480534346</v>
      </c>
      <c r="V107" s="237">
        <v>5469.3324128259519</v>
      </c>
      <c r="W107" s="242">
        <v>62763.807245401651</v>
      </c>
      <c r="X107" s="243">
        <v>1040557.1291233355</v>
      </c>
      <c r="Y107" s="244">
        <v>77093.805824002426</v>
      </c>
      <c r="Z107" s="224"/>
      <c r="AA107" s="225"/>
      <c r="AB107" s="226"/>
      <c r="AC107" s="227"/>
      <c r="AD107" s="224"/>
      <c r="AE107" s="224"/>
      <c r="AF107" s="224"/>
      <c r="AG107" s="224"/>
      <c r="AH107" s="227"/>
      <c r="AI107" s="224"/>
      <c r="AJ107" s="224"/>
      <c r="AK107" s="227"/>
      <c r="AL107" s="224"/>
    </row>
    <row r="108" spans="1:38" ht="21.6" hidden="1" customHeight="1" x14ac:dyDescent="0.25">
      <c r="A108" s="220">
        <v>41487</v>
      </c>
      <c r="B108" s="237">
        <v>4328.8715194583456</v>
      </c>
      <c r="C108" s="237">
        <v>26079.403917639902</v>
      </c>
      <c r="D108" s="237">
        <v>11539.137224767033</v>
      </c>
      <c r="E108" s="238">
        <v>41947.412661865281</v>
      </c>
      <c r="F108" s="237">
        <v>201642.23773973188</v>
      </c>
      <c r="G108" s="237">
        <v>13291.317903286385</v>
      </c>
      <c r="H108" s="237">
        <v>59002.211185275606</v>
      </c>
      <c r="I108" s="237">
        <v>328.9703920295845</v>
      </c>
      <c r="J108" s="237">
        <v>280354.89569847874</v>
      </c>
      <c r="K108" s="238">
        <v>554619.63291880221</v>
      </c>
      <c r="L108" s="239">
        <v>23621.371254237791</v>
      </c>
      <c r="M108" s="237">
        <v>34981.967966864213</v>
      </c>
      <c r="N108" s="237">
        <v>0</v>
      </c>
      <c r="O108" s="238">
        <v>58603.339221102004</v>
      </c>
      <c r="P108" s="237">
        <v>1861.5179682299997</v>
      </c>
      <c r="Q108" s="237">
        <v>4578.1518455265023</v>
      </c>
      <c r="R108" s="237">
        <v>251717.37413608353</v>
      </c>
      <c r="S108" s="237">
        <v>5625.9974800944192</v>
      </c>
      <c r="T108" s="240">
        <v>263783.04142993444</v>
      </c>
      <c r="U108" s="241">
        <v>29189.758705660588</v>
      </c>
      <c r="V108" s="237">
        <v>5559.2895301262051</v>
      </c>
      <c r="W108" s="242">
        <v>71411.732976076673</v>
      </c>
      <c r="X108" s="243">
        <v>1025114.2074435673</v>
      </c>
      <c r="Y108" s="244">
        <v>77938.519070114548</v>
      </c>
      <c r="Z108" s="224"/>
      <c r="AA108" s="225"/>
      <c r="AB108" s="226"/>
      <c r="AC108" s="227"/>
      <c r="AD108" s="224"/>
      <c r="AE108" s="224"/>
      <c r="AF108" s="224"/>
      <c r="AG108" s="224"/>
      <c r="AH108" s="227"/>
      <c r="AI108" s="224"/>
      <c r="AJ108" s="224"/>
      <c r="AK108" s="227"/>
      <c r="AL108" s="224"/>
    </row>
    <row r="109" spans="1:38" ht="21.6" hidden="1" customHeight="1" x14ac:dyDescent="0.25">
      <c r="A109" s="220">
        <v>41518</v>
      </c>
      <c r="B109" s="237">
        <v>4241.3018763716818</v>
      </c>
      <c r="C109" s="237">
        <v>24890.737504334746</v>
      </c>
      <c r="D109" s="237">
        <v>11640.855292581578</v>
      </c>
      <c r="E109" s="238">
        <v>40772.894673288007</v>
      </c>
      <c r="F109" s="237">
        <v>201181.30612873103</v>
      </c>
      <c r="G109" s="237">
        <v>15367.485923513073</v>
      </c>
      <c r="H109" s="237">
        <v>61736.596293362869</v>
      </c>
      <c r="I109" s="237">
        <v>412.3802881285082</v>
      </c>
      <c r="J109" s="237">
        <v>267359.381999943</v>
      </c>
      <c r="K109" s="238">
        <v>546057.15063367854</v>
      </c>
      <c r="L109" s="239">
        <v>23056.323995721505</v>
      </c>
      <c r="M109" s="237">
        <v>35832.984629299659</v>
      </c>
      <c r="N109" s="237">
        <v>0</v>
      </c>
      <c r="O109" s="238">
        <v>58889.308625021164</v>
      </c>
      <c r="P109" s="237">
        <v>1744.7541001300001</v>
      </c>
      <c r="Q109" s="237">
        <v>4635.1738163300006</v>
      </c>
      <c r="R109" s="237">
        <v>255504.36996933469</v>
      </c>
      <c r="S109" s="237">
        <v>5474.8776835143226</v>
      </c>
      <c r="T109" s="240">
        <v>267359.17556930904</v>
      </c>
      <c r="U109" s="241">
        <v>29573.916580039506</v>
      </c>
      <c r="V109" s="237">
        <v>5937.002199294634</v>
      </c>
      <c r="W109" s="242">
        <v>66756.659861477528</v>
      </c>
      <c r="X109" s="243">
        <v>1015346.1081421084</v>
      </c>
      <c r="Y109" s="244">
        <v>84791.639829964421</v>
      </c>
      <c r="Z109" s="224"/>
      <c r="AA109" s="225"/>
      <c r="AB109" s="226"/>
      <c r="AC109" s="227"/>
      <c r="AD109" s="224"/>
      <c r="AE109" s="224"/>
      <c r="AF109" s="224"/>
      <c r="AG109" s="224"/>
      <c r="AH109" s="227"/>
      <c r="AI109" s="224"/>
      <c r="AJ109" s="224"/>
      <c r="AK109" s="227"/>
      <c r="AL109" s="224"/>
    </row>
    <row r="110" spans="1:38" ht="21.6" hidden="1" customHeight="1" x14ac:dyDescent="0.25">
      <c r="A110" s="220">
        <v>41548</v>
      </c>
      <c r="B110" s="237">
        <v>4811.2506011403848</v>
      </c>
      <c r="C110" s="237">
        <v>26385.796652097277</v>
      </c>
      <c r="D110" s="237">
        <v>11358.624307611208</v>
      </c>
      <c r="E110" s="238">
        <v>42555.671560848874</v>
      </c>
      <c r="F110" s="237">
        <v>197492.02880524518</v>
      </c>
      <c r="G110" s="237">
        <v>13562.874693319922</v>
      </c>
      <c r="H110" s="237">
        <v>55268.322681338752</v>
      </c>
      <c r="I110" s="237">
        <v>447.42692513944536</v>
      </c>
      <c r="J110" s="237">
        <v>267686.65164087864</v>
      </c>
      <c r="K110" s="238">
        <v>534457.30474592187</v>
      </c>
      <c r="L110" s="239">
        <v>22116.745892637948</v>
      </c>
      <c r="M110" s="237">
        <v>36231.068644660998</v>
      </c>
      <c r="N110" s="237">
        <v>0</v>
      </c>
      <c r="O110" s="238">
        <v>58347.814537298946</v>
      </c>
      <c r="P110" s="237">
        <v>1828.8747707699999</v>
      </c>
      <c r="Q110" s="237">
        <v>4706.1784363385841</v>
      </c>
      <c r="R110" s="237">
        <v>253652.4042292707</v>
      </c>
      <c r="S110" s="237">
        <v>5818.5795464006596</v>
      </c>
      <c r="T110" s="240">
        <v>266006.03698277991</v>
      </c>
      <c r="U110" s="241">
        <v>30639.468371773331</v>
      </c>
      <c r="V110" s="237">
        <v>3204.2819639692034</v>
      </c>
      <c r="W110" s="242">
        <v>58011.338147617535</v>
      </c>
      <c r="X110" s="243">
        <v>993221.91631020966</v>
      </c>
      <c r="Y110" s="244">
        <v>84512.298503910337</v>
      </c>
      <c r="Z110" s="224"/>
      <c r="AA110" s="225"/>
      <c r="AB110" s="226"/>
      <c r="AC110" s="227"/>
      <c r="AD110" s="224"/>
      <c r="AE110" s="224"/>
      <c r="AF110" s="224"/>
      <c r="AG110" s="224"/>
      <c r="AH110" s="227"/>
      <c r="AI110" s="224"/>
      <c r="AJ110" s="224"/>
      <c r="AK110" s="227"/>
      <c r="AL110" s="224"/>
    </row>
    <row r="111" spans="1:38" ht="21.6" hidden="1" customHeight="1" x14ac:dyDescent="0.25">
      <c r="A111" s="220">
        <v>41579</v>
      </c>
      <c r="B111" s="237">
        <v>4467.1702216118156</v>
      </c>
      <c r="C111" s="237">
        <v>28214.962233215654</v>
      </c>
      <c r="D111" s="237">
        <v>11185.337246683976</v>
      </c>
      <c r="E111" s="238">
        <v>43867.469701511451</v>
      </c>
      <c r="F111" s="237">
        <v>201668.973496063</v>
      </c>
      <c r="G111" s="237">
        <v>14493.669740705081</v>
      </c>
      <c r="H111" s="237">
        <v>61561.754411019509</v>
      </c>
      <c r="I111" s="237">
        <v>533.67200817338755</v>
      </c>
      <c r="J111" s="237">
        <v>268190.87126118608</v>
      </c>
      <c r="K111" s="238">
        <v>546448.94091714709</v>
      </c>
      <c r="L111" s="239">
        <v>21313.562095464211</v>
      </c>
      <c r="M111" s="237">
        <v>36534.336342814095</v>
      </c>
      <c r="N111" s="237">
        <v>0</v>
      </c>
      <c r="O111" s="238">
        <v>57847.898438278309</v>
      </c>
      <c r="P111" s="237">
        <v>1975.8009962900001</v>
      </c>
      <c r="Q111" s="237">
        <v>4912.2183182799663</v>
      </c>
      <c r="R111" s="237">
        <v>256542.35086008051</v>
      </c>
      <c r="S111" s="237">
        <v>5789.3053788147263</v>
      </c>
      <c r="T111" s="240">
        <v>269219.6755534652</v>
      </c>
      <c r="U111" s="241">
        <v>30624.318209656696</v>
      </c>
      <c r="V111" s="237">
        <v>3823.9849964586647</v>
      </c>
      <c r="W111" s="242">
        <v>55512.380091501676</v>
      </c>
      <c r="X111" s="243">
        <v>1007344.667908019</v>
      </c>
      <c r="Y111" s="244">
        <v>82429.32420046936</v>
      </c>
      <c r="Z111" s="224"/>
      <c r="AA111" s="225"/>
      <c r="AB111" s="226"/>
      <c r="AC111" s="227"/>
      <c r="AD111" s="224"/>
      <c r="AE111" s="224"/>
      <c r="AF111" s="224"/>
      <c r="AG111" s="224"/>
      <c r="AH111" s="227"/>
      <c r="AI111" s="224"/>
      <c r="AJ111" s="224"/>
      <c r="AK111" s="227"/>
      <c r="AL111" s="224"/>
    </row>
    <row r="112" spans="1:38" ht="21.6" hidden="1" customHeight="1" x14ac:dyDescent="0.25">
      <c r="A112" s="220">
        <v>41609</v>
      </c>
      <c r="B112" s="237">
        <v>6810.0933414541223</v>
      </c>
      <c r="C112" s="237">
        <v>32104.327647379319</v>
      </c>
      <c r="D112" s="237">
        <v>10648.579377938948</v>
      </c>
      <c r="E112" s="238">
        <v>49563.000366772394</v>
      </c>
      <c r="F112" s="237">
        <v>241109.85381519891</v>
      </c>
      <c r="G112" s="237">
        <v>11330.997677129855</v>
      </c>
      <c r="H112" s="237">
        <v>59863.851260588883</v>
      </c>
      <c r="I112" s="237">
        <v>731.03640634573128</v>
      </c>
      <c r="J112" s="237">
        <v>258154.37026382881</v>
      </c>
      <c r="K112" s="238">
        <v>571190.10942309222</v>
      </c>
      <c r="L112" s="239">
        <v>21011.114171994846</v>
      </c>
      <c r="M112" s="237">
        <v>37059.885545682861</v>
      </c>
      <c r="N112" s="237">
        <v>0</v>
      </c>
      <c r="O112" s="238">
        <v>58070.999717677711</v>
      </c>
      <c r="P112" s="237">
        <v>1861.9622497999999</v>
      </c>
      <c r="Q112" s="237">
        <v>4696.5305705006012</v>
      </c>
      <c r="R112" s="237">
        <v>258919.20191453653</v>
      </c>
      <c r="S112" s="237">
        <v>5769.7931111539401</v>
      </c>
      <c r="T112" s="240">
        <v>271247.4878459911</v>
      </c>
      <c r="U112" s="241">
        <v>33709.939182922913</v>
      </c>
      <c r="V112" s="237">
        <v>3817.7409457248541</v>
      </c>
      <c r="W112" s="242">
        <v>53218.495915106425</v>
      </c>
      <c r="X112" s="243">
        <v>1040817.7733972876</v>
      </c>
      <c r="Y112" s="244">
        <v>86111.620200683043</v>
      </c>
      <c r="Z112" s="224"/>
      <c r="AA112" s="225"/>
      <c r="AB112" s="226"/>
      <c r="AC112" s="227"/>
      <c r="AD112" s="224"/>
      <c r="AE112" s="224"/>
      <c r="AF112" s="224"/>
      <c r="AG112" s="224"/>
      <c r="AH112" s="227"/>
      <c r="AI112" s="224"/>
      <c r="AJ112" s="224"/>
      <c r="AK112" s="227"/>
      <c r="AL112" s="224"/>
    </row>
    <row r="113" spans="1:38" ht="21.6" hidden="1" customHeight="1" x14ac:dyDescent="0.25">
      <c r="A113" s="220">
        <v>41640</v>
      </c>
      <c r="B113" s="237">
        <v>5069.024049682791</v>
      </c>
      <c r="C113" s="237">
        <v>31278.309183396799</v>
      </c>
      <c r="D113" s="237">
        <v>12149.355474783542</v>
      </c>
      <c r="E113" s="238">
        <v>48496.688707863133</v>
      </c>
      <c r="F113" s="237">
        <v>213504.46302230025</v>
      </c>
      <c r="G113" s="237">
        <v>11157.538159604272</v>
      </c>
      <c r="H113" s="237">
        <v>59094.832595400811</v>
      </c>
      <c r="I113" s="237">
        <v>627.66205105705922</v>
      </c>
      <c r="J113" s="237">
        <v>259686.68708638541</v>
      </c>
      <c r="K113" s="238">
        <v>544071.18291474774</v>
      </c>
      <c r="L113" s="239">
        <v>21871.693204192634</v>
      </c>
      <c r="M113" s="237">
        <v>38150.652335324557</v>
      </c>
      <c r="N113" s="237">
        <v>0</v>
      </c>
      <c r="O113" s="238">
        <v>60022.345539517191</v>
      </c>
      <c r="P113" s="237">
        <v>599.78035923999994</v>
      </c>
      <c r="Q113" s="237">
        <v>4800.9684769160085</v>
      </c>
      <c r="R113" s="237">
        <v>258422.95630467447</v>
      </c>
      <c r="S113" s="237">
        <v>5767.8365389796272</v>
      </c>
      <c r="T113" s="240">
        <v>269591.54167981009</v>
      </c>
      <c r="U113" s="241">
        <v>34534.598701656825</v>
      </c>
      <c r="V113" s="237">
        <v>2400.9949190990351</v>
      </c>
      <c r="W113" s="242">
        <v>51649.548720236475</v>
      </c>
      <c r="X113" s="243">
        <v>1010766.9011829303</v>
      </c>
      <c r="Y113" s="244">
        <v>81520.564717422894</v>
      </c>
      <c r="Z113" s="224"/>
      <c r="AA113" s="225"/>
      <c r="AB113" s="226"/>
      <c r="AC113" s="227"/>
      <c r="AD113" s="224"/>
      <c r="AE113" s="224"/>
      <c r="AF113" s="224"/>
      <c r="AG113" s="224"/>
      <c r="AH113" s="227"/>
      <c r="AI113" s="224"/>
      <c r="AJ113" s="224"/>
      <c r="AK113" s="227"/>
      <c r="AL113" s="224"/>
    </row>
    <row r="114" spans="1:38" ht="21.6" hidden="1" customHeight="1" x14ac:dyDescent="0.25">
      <c r="A114" s="220">
        <v>41671</v>
      </c>
      <c r="B114" s="237">
        <v>4858.8513606829583</v>
      </c>
      <c r="C114" s="237">
        <v>37064.609421999492</v>
      </c>
      <c r="D114" s="237">
        <v>12985.686127324472</v>
      </c>
      <c r="E114" s="238">
        <v>54909.146910006923</v>
      </c>
      <c r="F114" s="237">
        <v>219188.38170315442</v>
      </c>
      <c r="G114" s="237">
        <v>7445.125906775178</v>
      </c>
      <c r="H114" s="237">
        <v>60607.024886473038</v>
      </c>
      <c r="I114" s="237">
        <v>484.1258497778316</v>
      </c>
      <c r="J114" s="237">
        <v>258128.9906881373</v>
      </c>
      <c r="K114" s="238">
        <v>545853.64903431782</v>
      </c>
      <c r="L114" s="239">
        <v>20297.090313608434</v>
      </c>
      <c r="M114" s="237">
        <v>39998.900745781175</v>
      </c>
      <c r="N114" s="237">
        <v>0</v>
      </c>
      <c r="O114" s="238">
        <v>60295.991059389606</v>
      </c>
      <c r="P114" s="237">
        <v>537.44428195999978</v>
      </c>
      <c r="Q114" s="237">
        <v>4723.1151700500004</v>
      </c>
      <c r="R114" s="237">
        <v>259577.90196538699</v>
      </c>
      <c r="S114" s="237">
        <v>5751.9439673543302</v>
      </c>
      <c r="T114" s="240">
        <v>270590.40538475133</v>
      </c>
      <c r="U114" s="241">
        <v>33295.519640815248</v>
      </c>
      <c r="V114" s="237">
        <v>4039.7461403108264</v>
      </c>
      <c r="W114" s="242">
        <v>51686.148804152734</v>
      </c>
      <c r="X114" s="243">
        <v>1020670.6069737443</v>
      </c>
      <c r="Y114" s="244">
        <v>76465.815371534773</v>
      </c>
      <c r="AA114" s="245"/>
      <c r="AB114" s="245"/>
    </row>
    <row r="115" spans="1:38" ht="21.6" hidden="1" customHeight="1" x14ac:dyDescent="0.25">
      <c r="A115" s="220">
        <v>41699</v>
      </c>
      <c r="B115" s="237">
        <v>4677.8088589876961</v>
      </c>
      <c r="C115" s="237">
        <v>35347.830840093993</v>
      </c>
      <c r="D115" s="237">
        <v>15103.693457069929</v>
      </c>
      <c r="E115" s="238">
        <v>55129.333156151617</v>
      </c>
      <c r="F115" s="237">
        <v>236486.71607347639</v>
      </c>
      <c r="G115" s="237">
        <v>9679.4603381679699</v>
      </c>
      <c r="H115" s="237">
        <v>60272.620452496441</v>
      </c>
      <c r="I115" s="237">
        <v>404.76557631137359</v>
      </c>
      <c r="J115" s="237">
        <v>255697.16750234505</v>
      </c>
      <c r="K115" s="238">
        <v>562540.72994279722</v>
      </c>
      <c r="L115" s="239">
        <v>19891.185917170846</v>
      </c>
      <c r="M115" s="237">
        <v>41404.786531058096</v>
      </c>
      <c r="N115" s="237">
        <v>0</v>
      </c>
      <c r="O115" s="238">
        <v>61295.972448228946</v>
      </c>
      <c r="P115" s="237">
        <v>662.00819439999987</v>
      </c>
      <c r="Q115" s="237">
        <v>4542.2501521800004</v>
      </c>
      <c r="R115" s="237">
        <v>260030.06550859928</v>
      </c>
      <c r="S115" s="237">
        <v>5781.0270268888817</v>
      </c>
      <c r="T115" s="240">
        <v>271015.35088206816</v>
      </c>
      <c r="U115" s="241">
        <v>31751.160609195824</v>
      </c>
      <c r="V115" s="237">
        <v>6125.4585455618308</v>
      </c>
      <c r="W115" s="242">
        <v>48191.781848586528</v>
      </c>
      <c r="X115" s="243">
        <v>1036049.7874325902</v>
      </c>
      <c r="Y115" s="244">
        <v>84296.050950388628</v>
      </c>
      <c r="AA115" s="245"/>
      <c r="AB115" s="245"/>
    </row>
    <row r="116" spans="1:38" ht="21.6" hidden="1" customHeight="1" x14ac:dyDescent="0.25">
      <c r="A116" s="220">
        <v>41730</v>
      </c>
      <c r="B116" s="237">
        <v>5001.6165995124438</v>
      </c>
      <c r="C116" s="237">
        <v>34975.195226555348</v>
      </c>
      <c r="D116" s="237">
        <v>15651.557001741576</v>
      </c>
      <c r="E116" s="238">
        <v>55628.368827809369</v>
      </c>
      <c r="F116" s="237">
        <v>224785.39700616617</v>
      </c>
      <c r="G116" s="237">
        <v>6751.4183300266086</v>
      </c>
      <c r="H116" s="237">
        <v>58895.977357063566</v>
      </c>
      <c r="I116" s="237">
        <v>532.92622258742745</v>
      </c>
      <c r="J116" s="237">
        <v>264694.90196888958</v>
      </c>
      <c r="K116" s="238">
        <v>555660.62088473327</v>
      </c>
      <c r="L116" s="239">
        <v>19385.555067877907</v>
      </c>
      <c r="M116" s="237">
        <v>44219.705902657792</v>
      </c>
      <c r="N116" s="237">
        <v>0</v>
      </c>
      <c r="O116" s="238">
        <v>63605.260970535703</v>
      </c>
      <c r="P116" s="237">
        <v>638.91066726999986</v>
      </c>
      <c r="Q116" s="237">
        <v>4475.2051822949998</v>
      </c>
      <c r="R116" s="237">
        <v>258880.05013901339</v>
      </c>
      <c r="S116" s="237">
        <v>6104.2650248939344</v>
      </c>
      <c r="T116" s="240">
        <v>270098.43101347232</v>
      </c>
      <c r="U116" s="241">
        <v>31689.688584023053</v>
      </c>
      <c r="V116" s="237">
        <v>4915.7592953834283</v>
      </c>
      <c r="W116" s="242">
        <v>51535.431043000914</v>
      </c>
      <c r="X116" s="243">
        <v>1033133.560618958</v>
      </c>
      <c r="Y116" s="244">
        <v>87831.740264898981</v>
      </c>
      <c r="AA116" s="245"/>
      <c r="AB116" s="245"/>
    </row>
    <row r="117" spans="1:38" ht="21.6" hidden="1" customHeight="1" x14ac:dyDescent="0.25">
      <c r="A117" s="220">
        <v>41760</v>
      </c>
      <c r="B117" s="237">
        <v>4284.2831568149759</v>
      </c>
      <c r="C117" s="237">
        <v>36200.592122623988</v>
      </c>
      <c r="D117" s="237">
        <v>16872.746480860293</v>
      </c>
      <c r="E117" s="238">
        <v>57357.621760299255</v>
      </c>
      <c r="F117" s="237">
        <v>195777.90346106852</v>
      </c>
      <c r="G117" s="237">
        <v>7457.2671456919497</v>
      </c>
      <c r="H117" s="237">
        <v>63157.735522620926</v>
      </c>
      <c r="I117" s="237">
        <v>462.37334705635686</v>
      </c>
      <c r="J117" s="237">
        <v>270641.87205841206</v>
      </c>
      <c r="K117" s="238">
        <v>537497.15153484978</v>
      </c>
      <c r="L117" s="239">
        <v>19449.203798030103</v>
      </c>
      <c r="M117" s="237">
        <v>45829.315121733198</v>
      </c>
      <c r="N117" s="237">
        <v>0</v>
      </c>
      <c r="O117" s="238">
        <v>65278.518919763301</v>
      </c>
      <c r="P117" s="237">
        <v>629.68270240000004</v>
      </c>
      <c r="Q117" s="237">
        <v>4103.0691505200011</v>
      </c>
      <c r="R117" s="237">
        <v>256877.68471434969</v>
      </c>
      <c r="S117" s="237">
        <v>6113.097089343506</v>
      </c>
      <c r="T117" s="240">
        <v>267723.5336566132</v>
      </c>
      <c r="U117" s="241">
        <v>35159.629754696762</v>
      </c>
      <c r="V117" s="237">
        <v>4519.9698590793578</v>
      </c>
      <c r="W117" s="242">
        <v>50599.316390320753</v>
      </c>
      <c r="X117" s="243">
        <v>1018135.7418756223</v>
      </c>
      <c r="Y117" s="244">
        <v>92313.545399901574</v>
      </c>
      <c r="AA117" s="245"/>
      <c r="AB117" s="245"/>
    </row>
    <row r="118" spans="1:38" ht="21.6" hidden="1" customHeight="1" x14ac:dyDescent="0.25">
      <c r="A118" s="220">
        <v>41791</v>
      </c>
      <c r="B118" s="237">
        <v>4659.0554516293196</v>
      </c>
      <c r="C118" s="237">
        <v>35450.801770102997</v>
      </c>
      <c r="D118" s="237">
        <v>17010.5318632323</v>
      </c>
      <c r="E118" s="238">
        <v>57120.389084964612</v>
      </c>
      <c r="F118" s="237">
        <v>189045.37336056825</v>
      </c>
      <c r="G118" s="237">
        <v>10369.533545288798</v>
      </c>
      <c r="H118" s="237">
        <v>62255.367329174507</v>
      </c>
      <c r="I118" s="237">
        <v>456.95772599887545</v>
      </c>
      <c r="J118" s="237">
        <v>271001.10262459249</v>
      </c>
      <c r="K118" s="238">
        <v>533128.33458562288</v>
      </c>
      <c r="L118" s="239">
        <v>19819.410237617558</v>
      </c>
      <c r="M118" s="237">
        <v>47476.458302434759</v>
      </c>
      <c r="N118" s="237">
        <v>0</v>
      </c>
      <c r="O118" s="238">
        <v>67295.868540052325</v>
      </c>
      <c r="P118" s="237">
        <v>650.40999287</v>
      </c>
      <c r="Q118" s="237">
        <v>4066.5693370800013</v>
      </c>
      <c r="R118" s="237">
        <v>260505.65980676812</v>
      </c>
      <c r="S118" s="237">
        <v>2822.3301723813711</v>
      </c>
      <c r="T118" s="240">
        <v>268044.96930909948</v>
      </c>
      <c r="U118" s="241">
        <v>34493.732392353057</v>
      </c>
      <c r="V118" s="237">
        <v>3610.9673657993299</v>
      </c>
      <c r="W118" s="242">
        <v>50028.784782582959</v>
      </c>
      <c r="X118" s="243">
        <v>1013723.0460604746</v>
      </c>
      <c r="Y118" s="244">
        <v>97965.217452960336</v>
      </c>
      <c r="AA118" s="245"/>
      <c r="AB118" s="245"/>
    </row>
    <row r="119" spans="1:38" ht="21.6" hidden="1" customHeight="1" x14ac:dyDescent="0.25">
      <c r="A119" s="220">
        <v>41821</v>
      </c>
      <c r="B119" s="237">
        <v>5158.9866176597716</v>
      </c>
      <c r="C119" s="237">
        <v>37422.462011476397</v>
      </c>
      <c r="D119" s="237">
        <v>15704.911478740391</v>
      </c>
      <c r="E119" s="238">
        <v>58286.360107876557</v>
      </c>
      <c r="F119" s="237">
        <v>206155.51745140454</v>
      </c>
      <c r="G119" s="237">
        <v>11380.261462772494</v>
      </c>
      <c r="H119" s="237">
        <v>66761.815542407014</v>
      </c>
      <c r="I119" s="237">
        <v>524.036182703431</v>
      </c>
      <c r="J119" s="237">
        <v>263286.65347439225</v>
      </c>
      <c r="K119" s="238">
        <v>548108.28411367978</v>
      </c>
      <c r="L119" s="239">
        <v>18505.119341124726</v>
      </c>
      <c r="M119" s="237">
        <v>47845.158066684016</v>
      </c>
      <c r="N119" s="237">
        <v>0</v>
      </c>
      <c r="O119" s="238">
        <v>66350.277407808739</v>
      </c>
      <c r="P119" s="237">
        <v>614.80640303999985</v>
      </c>
      <c r="Q119" s="237">
        <v>4102.7702037600002</v>
      </c>
      <c r="R119" s="237">
        <v>259480.43962487776</v>
      </c>
      <c r="S119" s="237">
        <v>2757.9693064837793</v>
      </c>
      <c r="T119" s="240">
        <v>266955.98553816153</v>
      </c>
      <c r="U119" s="241">
        <v>34558.3131155917</v>
      </c>
      <c r="V119" s="237">
        <v>5364.8964200236633</v>
      </c>
      <c r="W119" s="242">
        <v>50825.090472658238</v>
      </c>
      <c r="X119" s="243">
        <v>1030449.2071758001</v>
      </c>
      <c r="Y119" s="244">
        <v>87726.859449611686</v>
      </c>
      <c r="AA119" s="245"/>
      <c r="AB119" s="245"/>
    </row>
    <row r="120" spans="1:38" ht="21.6" hidden="1" customHeight="1" x14ac:dyDescent="0.25">
      <c r="A120" s="220">
        <v>41852</v>
      </c>
      <c r="B120" s="237">
        <v>4783.9330257040938</v>
      </c>
      <c r="C120" s="237">
        <v>39205.599398618615</v>
      </c>
      <c r="D120" s="237">
        <v>14073.94859628893</v>
      </c>
      <c r="E120" s="238">
        <v>58063.481020611638</v>
      </c>
      <c r="F120" s="237">
        <v>210646.33906666574</v>
      </c>
      <c r="G120" s="237">
        <v>10833.163781597261</v>
      </c>
      <c r="H120" s="237">
        <v>67261.901229396215</v>
      </c>
      <c r="I120" s="237">
        <v>489.15980662670495</v>
      </c>
      <c r="J120" s="237">
        <v>268822.20049978665</v>
      </c>
      <c r="K120" s="238">
        <v>558052.76438407251</v>
      </c>
      <c r="L120" s="239">
        <v>19092.051607781948</v>
      </c>
      <c r="M120" s="237">
        <v>47479.913957568693</v>
      </c>
      <c r="N120" s="237">
        <v>0</v>
      </c>
      <c r="O120" s="238">
        <v>66571.965565350634</v>
      </c>
      <c r="P120" s="237">
        <v>595.15408637000007</v>
      </c>
      <c r="Q120" s="237">
        <v>4004.9184446100007</v>
      </c>
      <c r="R120" s="237">
        <v>257807.28886094718</v>
      </c>
      <c r="S120" s="237">
        <v>2778.8037777058048</v>
      </c>
      <c r="T120" s="240">
        <v>265186.16516963299</v>
      </c>
      <c r="U120" s="241">
        <v>37320.369150139006</v>
      </c>
      <c r="V120" s="237">
        <v>3901.5552625953073</v>
      </c>
      <c r="W120" s="242">
        <v>54103.691203704548</v>
      </c>
      <c r="X120" s="243">
        <v>1043199.9917561066</v>
      </c>
      <c r="Y120" s="244">
        <v>94191.093106427041</v>
      </c>
      <c r="AA120" s="245"/>
      <c r="AB120" s="245"/>
    </row>
    <row r="121" spans="1:38" ht="21.6" hidden="1" customHeight="1" x14ac:dyDescent="0.25">
      <c r="A121" s="220">
        <v>41883</v>
      </c>
      <c r="B121" s="237">
        <v>4721.8598425532718</v>
      </c>
      <c r="C121" s="237">
        <v>37002.045763067938</v>
      </c>
      <c r="D121" s="237">
        <v>12868.283676338735</v>
      </c>
      <c r="E121" s="238">
        <v>54592.189281959945</v>
      </c>
      <c r="F121" s="237">
        <v>241497.46582976929</v>
      </c>
      <c r="G121" s="237">
        <v>22638.874790773516</v>
      </c>
      <c r="H121" s="237">
        <v>72410.725851973199</v>
      </c>
      <c r="I121" s="237">
        <v>404.11560476436847</v>
      </c>
      <c r="J121" s="237">
        <v>279949.72377013729</v>
      </c>
      <c r="K121" s="238">
        <v>616900.90584741766</v>
      </c>
      <c r="L121" s="239">
        <v>20841.192965205635</v>
      </c>
      <c r="M121" s="237">
        <v>49311.273427091706</v>
      </c>
      <c r="N121" s="237">
        <v>0</v>
      </c>
      <c r="O121" s="238">
        <v>70152.466392297341</v>
      </c>
      <c r="P121" s="237">
        <v>1204.78531834</v>
      </c>
      <c r="Q121" s="237">
        <v>3956.20205786</v>
      </c>
      <c r="R121" s="237">
        <v>257741.75044826962</v>
      </c>
      <c r="S121" s="237">
        <v>2893.8275306513988</v>
      </c>
      <c r="T121" s="240">
        <v>265796.56535512104</v>
      </c>
      <c r="U121" s="241">
        <v>36937.144859480009</v>
      </c>
      <c r="V121" s="237">
        <v>3494.5042009850386</v>
      </c>
      <c r="W121" s="242">
        <v>53644.037666903401</v>
      </c>
      <c r="X121" s="243">
        <v>1101517.8136041644</v>
      </c>
      <c r="Y121" s="244">
        <v>93105.294553467218</v>
      </c>
      <c r="AA121" s="245"/>
      <c r="AB121" s="245"/>
    </row>
    <row r="122" spans="1:38" ht="21.6" hidden="1" customHeight="1" x14ac:dyDescent="0.25">
      <c r="A122" s="220">
        <v>41913</v>
      </c>
      <c r="B122" s="237">
        <v>4492.649312281681</v>
      </c>
      <c r="C122" s="237">
        <v>38500.56024633006</v>
      </c>
      <c r="D122" s="237">
        <v>11653.603059561827</v>
      </c>
      <c r="E122" s="238">
        <v>54646.812618173572</v>
      </c>
      <c r="F122" s="237">
        <v>283588.27739075571</v>
      </c>
      <c r="G122" s="237">
        <v>15696.340933801455</v>
      </c>
      <c r="H122" s="237">
        <v>74290.892330663701</v>
      </c>
      <c r="I122" s="237">
        <v>372.43701177531921</v>
      </c>
      <c r="J122" s="237">
        <v>287625.04534671869</v>
      </c>
      <c r="K122" s="238">
        <v>661572.99301371491</v>
      </c>
      <c r="L122" s="239">
        <v>22788.69977854802</v>
      </c>
      <c r="M122" s="237">
        <v>49234.620012670108</v>
      </c>
      <c r="N122" s="237">
        <v>0</v>
      </c>
      <c r="O122" s="238">
        <v>72023.31979121812</v>
      </c>
      <c r="P122" s="237">
        <v>1055.2526737799999</v>
      </c>
      <c r="Q122" s="237">
        <v>4155.2940386799992</v>
      </c>
      <c r="R122" s="237">
        <v>259597.61617624603</v>
      </c>
      <c r="S122" s="237">
        <v>2910.0922891256919</v>
      </c>
      <c r="T122" s="240">
        <v>267718.25517783168</v>
      </c>
      <c r="U122" s="241">
        <v>38588.068086102903</v>
      </c>
      <c r="V122" s="237">
        <v>4436.5284438296185</v>
      </c>
      <c r="W122" s="242">
        <v>50787.698279336269</v>
      </c>
      <c r="X122" s="243">
        <v>1149773.6754102069</v>
      </c>
      <c r="Y122" s="244">
        <v>88784.874498484074</v>
      </c>
      <c r="AA122" s="245"/>
      <c r="AB122" s="245"/>
    </row>
    <row r="123" spans="1:38" ht="21.6" hidden="1" customHeight="1" x14ac:dyDescent="0.25">
      <c r="A123" s="220">
        <v>41944</v>
      </c>
      <c r="B123" s="237">
        <v>4727.1846390311903</v>
      </c>
      <c r="C123" s="237">
        <v>36085.471126053111</v>
      </c>
      <c r="D123" s="237">
        <v>15210.922675100292</v>
      </c>
      <c r="E123" s="238">
        <v>56023.578440184596</v>
      </c>
      <c r="F123" s="237">
        <v>250682.06717242204</v>
      </c>
      <c r="G123" s="237">
        <v>15889.04143503056</v>
      </c>
      <c r="H123" s="237">
        <v>74023.403009874062</v>
      </c>
      <c r="I123" s="237">
        <v>471.70632810358029</v>
      </c>
      <c r="J123" s="237">
        <v>302530.87009861757</v>
      </c>
      <c r="K123" s="238">
        <v>643597.08804404782</v>
      </c>
      <c r="L123" s="239">
        <v>24474.865649890035</v>
      </c>
      <c r="M123" s="237">
        <v>48721.490397489331</v>
      </c>
      <c r="N123" s="237">
        <v>0</v>
      </c>
      <c r="O123" s="238">
        <v>73196.356047379362</v>
      </c>
      <c r="P123" s="237">
        <v>557.85945064999999</v>
      </c>
      <c r="Q123" s="237">
        <v>4216.6680827899991</v>
      </c>
      <c r="R123" s="237">
        <v>265315.15363750805</v>
      </c>
      <c r="S123" s="237">
        <v>2961.0692214494534</v>
      </c>
      <c r="T123" s="240">
        <v>273050.75039239752</v>
      </c>
      <c r="U123" s="241">
        <v>37311.071565382525</v>
      </c>
      <c r="V123" s="237">
        <v>2263.0481247403895</v>
      </c>
      <c r="W123" s="242">
        <v>50572.478060513968</v>
      </c>
      <c r="X123" s="243">
        <v>1136014.370674646</v>
      </c>
      <c r="Y123" s="244">
        <v>93260.628681751041</v>
      </c>
      <c r="AA123" s="245"/>
      <c r="AB123" s="245"/>
    </row>
    <row r="124" spans="1:38" ht="21.6" hidden="1" customHeight="1" x14ac:dyDescent="0.25">
      <c r="A124" s="220">
        <v>41974</v>
      </c>
      <c r="B124" s="237">
        <v>7138.8698263849874</v>
      </c>
      <c r="C124" s="237">
        <v>35330.824416916745</v>
      </c>
      <c r="D124" s="237">
        <v>15317.641635744041</v>
      </c>
      <c r="E124" s="238">
        <v>57787.335879045771</v>
      </c>
      <c r="F124" s="237">
        <v>266515.11987930769</v>
      </c>
      <c r="G124" s="237">
        <v>14617.870804461954</v>
      </c>
      <c r="H124" s="237">
        <v>69204.795036991141</v>
      </c>
      <c r="I124" s="237">
        <v>698.70482332930794</v>
      </c>
      <c r="J124" s="237">
        <v>304621.50741572567</v>
      </c>
      <c r="K124" s="238">
        <v>655657.99795981566</v>
      </c>
      <c r="L124" s="239">
        <v>24705.266712910248</v>
      </c>
      <c r="M124" s="237">
        <v>48514.500255780149</v>
      </c>
      <c r="N124" s="237">
        <v>0</v>
      </c>
      <c r="O124" s="238">
        <v>73219.766968690397</v>
      </c>
      <c r="P124" s="237">
        <v>762.17531808999991</v>
      </c>
      <c r="Q124" s="237">
        <v>4402.5172417299982</v>
      </c>
      <c r="R124" s="237">
        <v>266520.64316056465</v>
      </c>
      <c r="S124" s="237">
        <v>2961.2719943200236</v>
      </c>
      <c r="T124" s="240">
        <v>274646.60771470465</v>
      </c>
      <c r="U124" s="241">
        <v>37418.929106908152</v>
      </c>
      <c r="V124" s="237">
        <v>3572.0776124096519</v>
      </c>
      <c r="W124" s="242">
        <v>51268.178589074407</v>
      </c>
      <c r="X124" s="243">
        <v>1153570.8938306486</v>
      </c>
      <c r="Y124" s="244">
        <v>91515.374804406674</v>
      </c>
      <c r="AA124" s="245"/>
      <c r="AB124" s="245"/>
    </row>
    <row r="125" spans="1:38" ht="21.6" hidden="1" customHeight="1" x14ac:dyDescent="0.25">
      <c r="A125" s="220">
        <v>42005</v>
      </c>
      <c r="B125" s="237">
        <v>4662.5904915924611</v>
      </c>
      <c r="C125" s="237">
        <v>40581.183993312639</v>
      </c>
      <c r="D125" s="237">
        <v>13341.741282099831</v>
      </c>
      <c r="E125" s="238">
        <v>58585.51576700493</v>
      </c>
      <c r="F125" s="237">
        <v>282588.8168799429</v>
      </c>
      <c r="G125" s="237">
        <v>13188.068583386335</v>
      </c>
      <c r="H125" s="237">
        <v>74023.959394408768</v>
      </c>
      <c r="I125" s="237">
        <v>423.98167363562555</v>
      </c>
      <c r="J125" s="237">
        <v>301795.32793572039</v>
      </c>
      <c r="K125" s="238">
        <v>672020.15446709399</v>
      </c>
      <c r="L125" s="239">
        <v>23696.282027837231</v>
      </c>
      <c r="M125" s="237">
        <v>49107.152948742332</v>
      </c>
      <c r="N125" s="237">
        <v>0</v>
      </c>
      <c r="O125" s="238">
        <v>72803.434976579563</v>
      </c>
      <c r="P125" s="237">
        <v>668.46850611000002</v>
      </c>
      <c r="Q125" s="237">
        <v>4113.7618372799998</v>
      </c>
      <c r="R125" s="237">
        <v>266129.58407158725</v>
      </c>
      <c r="S125" s="237">
        <v>2922.2774754293609</v>
      </c>
      <c r="T125" s="240">
        <v>273834.09189040662</v>
      </c>
      <c r="U125" s="241">
        <v>38942.074562934256</v>
      </c>
      <c r="V125" s="237">
        <v>1995.9759622269819</v>
      </c>
      <c r="W125" s="242">
        <v>57491.171525257334</v>
      </c>
      <c r="X125" s="243">
        <v>1175672.4191515036</v>
      </c>
      <c r="Y125" s="244">
        <v>86125.649676295565</v>
      </c>
      <c r="AA125" s="245"/>
      <c r="AB125" s="245"/>
    </row>
    <row r="126" spans="1:38" ht="21.6" hidden="1" customHeight="1" x14ac:dyDescent="0.25">
      <c r="A126" s="220">
        <v>42036</v>
      </c>
      <c r="B126" s="237">
        <v>4522.8056762799606</v>
      </c>
      <c r="C126" s="237">
        <v>43088.471447396041</v>
      </c>
      <c r="D126" s="237">
        <v>12154.001948226352</v>
      </c>
      <c r="E126" s="238">
        <v>59765.279071902354</v>
      </c>
      <c r="F126" s="237">
        <v>274813.25639467535</v>
      </c>
      <c r="G126" s="237">
        <v>6544.8169872574999</v>
      </c>
      <c r="H126" s="237">
        <v>78718.735061059255</v>
      </c>
      <c r="I126" s="237">
        <v>531.04310666307526</v>
      </c>
      <c r="J126" s="237">
        <v>310334.15366113075</v>
      </c>
      <c r="K126" s="238">
        <v>670942.00521078589</v>
      </c>
      <c r="L126" s="239">
        <v>23746.902084888268</v>
      </c>
      <c r="M126" s="237">
        <v>51119.852370799366</v>
      </c>
      <c r="N126" s="237">
        <v>0</v>
      </c>
      <c r="O126" s="238">
        <v>74866.754455687638</v>
      </c>
      <c r="P126" s="237">
        <v>672.90090731000009</v>
      </c>
      <c r="Q126" s="237">
        <v>4091.4738456500004</v>
      </c>
      <c r="R126" s="237">
        <v>265680.70168443827</v>
      </c>
      <c r="S126" s="237">
        <v>3276.5821133728914</v>
      </c>
      <c r="T126" s="240">
        <v>273721.65855077119</v>
      </c>
      <c r="U126" s="241">
        <v>39123.37462154025</v>
      </c>
      <c r="V126" s="237">
        <v>2344.9416190246702</v>
      </c>
      <c r="W126" s="242">
        <v>55690.157978399424</v>
      </c>
      <c r="X126" s="243">
        <v>1176454.1715081113</v>
      </c>
      <c r="Y126" s="244">
        <v>84699.023299068809</v>
      </c>
      <c r="AA126" s="245"/>
      <c r="AB126" s="245"/>
    </row>
    <row r="127" spans="1:38" ht="21.6" hidden="1" customHeight="1" x14ac:dyDescent="0.25">
      <c r="A127" s="220">
        <v>42064</v>
      </c>
      <c r="B127" s="237">
        <v>4449.7476041728087</v>
      </c>
      <c r="C127" s="237">
        <v>47517.731696131472</v>
      </c>
      <c r="D127" s="237">
        <v>12650.82660702057</v>
      </c>
      <c r="E127" s="238">
        <v>64618.305907324851</v>
      </c>
      <c r="F127" s="237">
        <v>319010.4342419267</v>
      </c>
      <c r="G127" s="237">
        <v>13194.9098727324</v>
      </c>
      <c r="H127" s="237">
        <v>89878.736476133607</v>
      </c>
      <c r="I127" s="237">
        <v>604.83257995779968</v>
      </c>
      <c r="J127" s="237">
        <v>321443.09934415459</v>
      </c>
      <c r="K127" s="238">
        <v>744132.01251490507</v>
      </c>
      <c r="L127" s="239">
        <v>22775.731356741493</v>
      </c>
      <c r="M127" s="237">
        <v>48762.891840431017</v>
      </c>
      <c r="N127" s="237">
        <v>0</v>
      </c>
      <c r="O127" s="238">
        <v>71538.623197172506</v>
      </c>
      <c r="P127" s="237">
        <v>837.05014994999988</v>
      </c>
      <c r="Q127" s="237">
        <v>4207.8137703700013</v>
      </c>
      <c r="R127" s="237">
        <v>269723.75073279109</v>
      </c>
      <c r="S127" s="237">
        <v>3372.4781010728543</v>
      </c>
      <c r="T127" s="240">
        <v>278141.09275418392</v>
      </c>
      <c r="U127" s="241">
        <v>45104.057822078292</v>
      </c>
      <c r="V127" s="237">
        <v>1987.9562750494242</v>
      </c>
      <c r="W127" s="242">
        <v>56699.155656277457</v>
      </c>
      <c r="X127" s="243">
        <v>1262221.2041269913</v>
      </c>
      <c r="Y127" s="244">
        <v>88599.906417803009</v>
      </c>
      <c r="AA127" s="245"/>
      <c r="AB127" s="245"/>
    </row>
    <row r="128" spans="1:38" ht="21.6" customHeight="1" x14ac:dyDescent="0.25">
      <c r="A128" s="220">
        <v>42095</v>
      </c>
      <c r="B128" s="237">
        <v>4978.3235708260127</v>
      </c>
      <c r="C128" s="237">
        <v>48730.192411207536</v>
      </c>
      <c r="D128" s="237">
        <v>11885.349935664692</v>
      </c>
      <c r="E128" s="238">
        <v>65593.865917698233</v>
      </c>
      <c r="F128" s="237">
        <v>331639.16668903478</v>
      </c>
      <c r="G128" s="237">
        <v>10155.407412508752</v>
      </c>
      <c r="H128" s="237">
        <v>90526.794890186822</v>
      </c>
      <c r="I128" s="237">
        <v>400.98453939155047</v>
      </c>
      <c r="J128" s="237">
        <v>305405.97173065192</v>
      </c>
      <c r="K128" s="238">
        <v>738128.32526177377</v>
      </c>
      <c r="L128" s="239">
        <v>22871.83761205207</v>
      </c>
      <c r="M128" s="237">
        <v>50651.450769147217</v>
      </c>
      <c r="N128" s="237">
        <v>0</v>
      </c>
      <c r="O128" s="238">
        <v>73523.288381199294</v>
      </c>
      <c r="P128" s="237">
        <v>933.07250800999998</v>
      </c>
      <c r="Q128" s="237">
        <v>4083.0272215</v>
      </c>
      <c r="R128" s="237">
        <v>266426.81588494434</v>
      </c>
      <c r="S128" s="237">
        <v>2901.5090085943002</v>
      </c>
      <c r="T128" s="240">
        <v>274344.42462304869</v>
      </c>
      <c r="U128" s="241">
        <v>39438.014354035775</v>
      </c>
      <c r="V128" s="237">
        <v>3080.787987128786</v>
      </c>
      <c r="W128" s="242">
        <v>56148.738162947397</v>
      </c>
      <c r="X128" s="243">
        <v>1250257.4446878321</v>
      </c>
      <c r="Y128" s="244">
        <v>82150.112358648505</v>
      </c>
      <c r="AA128" s="245"/>
      <c r="AB128" s="245"/>
    </row>
    <row r="129" spans="1:57" ht="21.6" customHeight="1" x14ac:dyDescent="0.25">
      <c r="A129" s="220">
        <v>42125</v>
      </c>
      <c r="B129" s="237">
        <v>4160.0451258495286</v>
      </c>
      <c r="C129" s="237">
        <v>46801.404808395993</v>
      </c>
      <c r="D129" s="237">
        <v>15268.735002714959</v>
      </c>
      <c r="E129" s="238">
        <v>66230.18493696049</v>
      </c>
      <c r="F129" s="237">
        <v>291425.92654686864</v>
      </c>
      <c r="G129" s="237">
        <v>13775.837362444399</v>
      </c>
      <c r="H129" s="237">
        <v>86491.289501565523</v>
      </c>
      <c r="I129" s="237">
        <v>439.67506363855654</v>
      </c>
      <c r="J129" s="237">
        <v>293251.29033557267</v>
      </c>
      <c r="K129" s="238">
        <v>685384.01881008968</v>
      </c>
      <c r="L129" s="239">
        <v>23015.673915492593</v>
      </c>
      <c r="M129" s="237">
        <v>53041.289763508299</v>
      </c>
      <c r="N129" s="237">
        <v>0</v>
      </c>
      <c r="O129" s="238">
        <v>76056.963679000895</v>
      </c>
      <c r="P129" s="237">
        <v>952.68595091999998</v>
      </c>
      <c r="Q129" s="237">
        <v>4099.1001657300003</v>
      </c>
      <c r="R129" s="237">
        <v>266435.07649085496</v>
      </c>
      <c r="S129" s="237">
        <v>2940.4089577793466</v>
      </c>
      <c r="T129" s="240">
        <v>274427.27156528435</v>
      </c>
      <c r="U129" s="241">
        <v>38892.542777977214</v>
      </c>
      <c r="V129" s="237">
        <v>2131.0275963038389</v>
      </c>
      <c r="W129" s="242">
        <v>53234.479909467227</v>
      </c>
      <c r="X129" s="243">
        <v>1196356.4892750836</v>
      </c>
      <c r="Y129" s="244">
        <v>82126.880468885531</v>
      </c>
      <c r="AA129" s="245"/>
      <c r="AB129" s="245"/>
    </row>
    <row r="130" spans="1:57" ht="21.6" customHeight="1" x14ac:dyDescent="0.25">
      <c r="A130" s="220">
        <v>42156</v>
      </c>
      <c r="B130" s="237">
        <v>4382.5595780579861</v>
      </c>
      <c r="C130" s="237">
        <v>48452.474201602265</v>
      </c>
      <c r="D130" s="237">
        <v>18882.365288663474</v>
      </c>
      <c r="E130" s="238">
        <v>71717.399068323721</v>
      </c>
      <c r="F130" s="237">
        <v>277584.79123526294</v>
      </c>
      <c r="G130" s="237">
        <v>11677.135575557837</v>
      </c>
      <c r="H130" s="237">
        <v>85249.06320567544</v>
      </c>
      <c r="I130" s="237">
        <v>451.37073547571742</v>
      </c>
      <c r="J130" s="237">
        <v>288812.91085779545</v>
      </c>
      <c r="K130" s="238">
        <v>663775.27160976734</v>
      </c>
      <c r="L130" s="239">
        <v>24312.420672213637</v>
      </c>
      <c r="M130" s="237">
        <v>51045.987499749979</v>
      </c>
      <c r="N130" s="237">
        <v>0</v>
      </c>
      <c r="O130" s="238">
        <v>75358.408171963616</v>
      </c>
      <c r="P130" s="237">
        <v>975.87733921000006</v>
      </c>
      <c r="Q130" s="237">
        <v>3984.3610223699984</v>
      </c>
      <c r="R130" s="237">
        <v>267201.28654745989</v>
      </c>
      <c r="S130" s="237">
        <v>3104.5373864047438</v>
      </c>
      <c r="T130" s="240">
        <v>275266.06229544466</v>
      </c>
      <c r="U130" s="241">
        <v>41427.287141513545</v>
      </c>
      <c r="V130" s="237">
        <v>2148.0480161570995</v>
      </c>
      <c r="W130" s="242">
        <v>53630.358331788571</v>
      </c>
      <c r="X130" s="243">
        <v>1183322.8346349585</v>
      </c>
      <c r="Y130" s="244">
        <v>79335.383138803241</v>
      </c>
      <c r="AA130" s="245"/>
      <c r="AB130" s="245"/>
    </row>
    <row r="131" spans="1:57" ht="21.6" customHeight="1" x14ac:dyDescent="0.25">
      <c r="A131" s="220">
        <v>42186</v>
      </c>
      <c r="B131" s="237">
        <v>4495.241059603477</v>
      </c>
      <c r="C131" s="237">
        <v>45290.972368698625</v>
      </c>
      <c r="D131" s="237">
        <v>20131.457806441722</v>
      </c>
      <c r="E131" s="238">
        <v>69917.671234743815</v>
      </c>
      <c r="F131" s="237">
        <v>279473.57490299206</v>
      </c>
      <c r="G131" s="237">
        <v>11442.825127561415</v>
      </c>
      <c r="H131" s="237">
        <v>88432.673058425673</v>
      </c>
      <c r="I131" s="237">
        <v>455.5506387323959</v>
      </c>
      <c r="J131" s="237">
        <v>286014.21783164755</v>
      </c>
      <c r="K131" s="238">
        <v>665818.84155935911</v>
      </c>
      <c r="L131" s="239">
        <v>24582.830333353955</v>
      </c>
      <c r="M131" s="237">
        <v>51492.782096218645</v>
      </c>
      <c r="N131" s="237">
        <v>0</v>
      </c>
      <c r="O131" s="238">
        <v>76075.612429572604</v>
      </c>
      <c r="P131" s="237">
        <v>1036.7352529100001</v>
      </c>
      <c r="Q131" s="237">
        <v>3928.967484589999</v>
      </c>
      <c r="R131" s="237">
        <v>269055.09850561537</v>
      </c>
      <c r="S131" s="237">
        <v>3013.9383263479654</v>
      </c>
      <c r="T131" s="240">
        <v>277034.73956946336</v>
      </c>
      <c r="U131" s="241">
        <v>40715.021502257579</v>
      </c>
      <c r="V131" s="237">
        <v>5655.0178186402281</v>
      </c>
      <c r="W131" s="242">
        <v>54865.177805873478</v>
      </c>
      <c r="X131" s="243">
        <v>1190082.0819199099</v>
      </c>
      <c r="Y131" s="244">
        <v>81142.022093848253</v>
      </c>
      <c r="AA131" s="245"/>
      <c r="AB131" s="245"/>
    </row>
    <row r="132" spans="1:57" ht="21.6" customHeight="1" x14ac:dyDescent="0.25">
      <c r="A132" s="220">
        <v>42217</v>
      </c>
      <c r="B132" s="237">
        <v>3993.156598620626</v>
      </c>
      <c r="C132" s="237">
        <v>43724.526149652891</v>
      </c>
      <c r="D132" s="237">
        <v>22552.138895620363</v>
      </c>
      <c r="E132" s="238">
        <v>70269.821643893883</v>
      </c>
      <c r="F132" s="237">
        <v>259295.50994837328</v>
      </c>
      <c r="G132" s="237">
        <v>11590.767002003253</v>
      </c>
      <c r="H132" s="237">
        <v>83644.87267246659</v>
      </c>
      <c r="I132" s="237">
        <v>465.94646851917594</v>
      </c>
      <c r="J132" s="237">
        <v>284413.95820569352</v>
      </c>
      <c r="K132" s="238">
        <v>639411.05429705582</v>
      </c>
      <c r="L132" s="239">
        <v>24844.690630681864</v>
      </c>
      <c r="M132" s="237">
        <v>52333.319344588264</v>
      </c>
      <c r="N132" s="237">
        <v>0</v>
      </c>
      <c r="O132" s="238">
        <v>77178.009975270135</v>
      </c>
      <c r="P132" s="237">
        <v>1001.8531262599998</v>
      </c>
      <c r="Q132" s="237">
        <v>3828.7802993199998</v>
      </c>
      <c r="R132" s="237">
        <v>271887.25462880154</v>
      </c>
      <c r="S132" s="237">
        <v>3023.0730174447622</v>
      </c>
      <c r="T132" s="240">
        <v>279740.96107182634</v>
      </c>
      <c r="U132" s="241">
        <v>44347.51642704328</v>
      </c>
      <c r="V132" s="237">
        <v>3817.9483994495522</v>
      </c>
      <c r="W132" s="242">
        <v>58018.870388883763</v>
      </c>
      <c r="X132" s="243">
        <v>1172784.1822034228</v>
      </c>
      <c r="Y132" s="244">
        <v>79582.396321555934</v>
      </c>
      <c r="AA132" s="245"/>
      <c r="AB132" s="245"/>
    </row>
    <row r="133" spans="1:57" ht="21.6" customHeight="1" x14ac:dyDescent="0.25">
      <c r="A133" s="220">
        <v>42248</v>
      </c>
      <c r="B133" s="237">
        <v>4460.7044430719225</v>
      </c>
      <c r="C133" s="237">
        <v>44476.714853259095</v>
      </c>
      <c r="D133" s="237">
        <v>21655.239338140622</v>
      </c>
      <c r="E133" s="238">
        <v>70592.658634471649</v>
      </c>
      <c r="F133" s="237">
        <v>266098.54171424313</v>
      </c>
      <c r="G133" s="237">
        <v>11997.903152917932</v>
      </c>
      <c r="H133" s="237">
        <v>78783.104666092011</v>
      </c>
      <c r="I133" s="237">
        <v>425.33186271091535</v>
      </c>
      <c r="J133" s="237">
        <v>279342.60933580849</v>
      </c>
      <c r="K133" s="238">
        <v>636647.4907317725</v>
      </c>
      <c r="L133" s="239">
        <v>24291.880187611951</v>
      </c>
      <c r="M133" s="237">
        <v>53382.154471078051</v>
      </c>
      <c r="N133" s="237">
        <v>0</v>
      </c>
      <c r="O133" s="238">
        <v>77674.034658689998</v>
      </c>
      <c r="P133" s="237">
        <v>1053.7540438799999</v>
      </c>
      <c r="Q133" s="237">
        <v>3945.2068151999983</v>
      </c>
      <c r="R133" s="237">
        <v>271715.56596679706</v>
      </c>
      <c r="S133" s="237">
        <v>2985.7601988834904</v>
      </c>
      <c r="T133" s="240">
        <v>279700.2870247605</v>
      </c>
      <c r="U133" s="241">
        <v>44864.584891167113</v>
      </c>
      <c r="V133" s="237">
        <v>4158.7840432046851</v>
      </c>
      <c r="W133" s="242">
        <v>54156.068918761106</v>
      </c>
      <c r="X133" s="243">
        <v>1167793.9089028272</v>
      </c>
      <c r="Y133" s="244">
        <v>83787.921067623247</v>
      </c>
      <c r="AA133" s="245"/>
      <c r="AB133" s="245"/>
    </row>
    <row r="134" spans="1:57" ht="21.6" customHeight="1" x14ac:dyDescent="0.25">
      <c r="A134" s="220">
        <v>42278</v>
      </c>
      <c r="B134" s="237">
        <v>4317.2344424381145</v>
      </c>
      <c r="C134" s="237">
        <v>49295.266288767503</v>
      </c>
      <c r="D134" s="237">
        <v>20633.533944191982</v>
      </c>
      <c r="E134" s="238">
        <v>74246.034675397605</v>
      </c>
      <c r="F134" s="237">
        <v>287952.22487853211</v>
      </c>
      <c r="G134" s="237">
        <v>11766.506227944499</v>
      </c>
      <c r="H134" s="237">
        <v>79661.324266476484</v>
      </c>
      <c r="I134" s="237">
        <v>405.21339701915275</v>
      </c>
      <c r="J134" s="237">
        <v>274672.86324969918</v>
      </c>
      <c r="K134" s="238">
        <v>654458.13201967138</v>
      </c>
      <c r="L134" s="239">
        <v>24828.941613165825</v>
      </c>
      <c r="M134" s="237">
        <v>53447.69911195062</v>
      </c>
      <c r="N134" s="237">
        <v>0</v>
      </c>
      <c r="O134" s="238">
        <v>78276.640725116449</v>
      </c>
      <c r="P134" s="237">
        <v>893.86932196999999</v>
      </c>
      <c r="Q134" s="237">
        <v>4239.4038705900002</v>
      </c>
      <c r="R134" s="237">
        <v>271630.83829000394</v>
      </c>
      <c r="S134" s="237">
        <v>2949.2053981195413</v>
      </c>
      <c r="T134" s="240">
        <v>279713.31688068347</v>
      </c>
      <c r="U134" s="241">
        <v>43588.156307093166</v>
      </c>
      <c r="V134" s="237">
        <v>4039.4419093087608</v>
      </c>
      <c r="W134" s="242">
        <v>52904.993401013664</v>
      </c>
      <c r="X134" s="243">
        <v>1187226.7159182844</v>
      </c>
      <c r="Y134" s="244">
        <v>80730.537032343404</v>
      </c>
      <c r="AA134" s="245"/>
      <c r="AB134" s="245"/>
    </row>
    <row r="135" spans="1:57" ht="21.6" customHeight="1" x14ac:dyDescent="0.25">
      <c r="A135" s="220">
        <v>42309</v>
      </c>
      <c r="B135" s="237">
        <v>4134.7507410796597</v>
      </c>
      <c r="C135" s="237">
        <v>48549.787137973195</v>
      </c>
      <c r="D135" s="237">
        <v>19562.345837597877</v>
      </c>
      <c r="E135" s="238">
        <v>72246.883716650729</v>
      </c>
      <c r="F135" s="237">
        <v>280941.22404473013</v>
      </c>
      <c r="G135" s="237">
        <v>11924.288674918245</v>
      </c>
      <c r="H135" s="237">
        <v>78493.897753429599</v>
      </c>
      <c r="I135" s="237">
        <v>479.64976084737816</v>
      </c>
      <c r="J135" s="237">
        <v>276666.28451240383</v>
      </c>
      <c r="K135" s="238">
        <v>648505.34474632912</v>
      </c>
      <c r="L135" s="239">
        <v>26392.794358128715</v>
      </c>
      <c r="M135" s="237">
        <v>54328.928638301208</v>
      </c>
      <c r="N135" s="237">
        <v>0.31624103999999997</v>
      </c>
      <c r="O135" s="238">
        <v>80722.039237469915</v>
      </c>
      <c r="P135" s="237">
        <v>669.54601171000002</v>
      </c>
      <c r="Q135" s="237">
        <v>4150.9587926100003</v>
      </c>
      <c r="R135" s="237">
        <v>275370.57462671248</v>
      </c>
      <c r="S135" s="237">
        <v>2897.6491321627027</v>
      </c>
      <c r="T135" s="240">
        <v>283088.72856319515</v>
      </c>
      <c r="U135" s="241">
        <v>45946.057632215357</v>
      </c>
      <c r="V135" s="237">
        <v>3951.7266444094284</v>
      </c>
      <c r="W135" s="242">
        <v>53856.940457229386</v>
      </c>
      <c r="X135" s="243">
        <v>1188317.7209974988</v>
      </c>
      <c r="Y135" s="244">
        <v>77640.748528404845</v>
      </c>
      <c r="AA135" s="245"/>
      <c r="AB135" s="245"/>
    </row>
    <row r="136" spans="1:57" ht="21.6" customHeight="1" x14ac:dyDescent="0.25">
      <c r="A136" s="220">
        <v>42339</v>
      </c>
      <c r="B136" s="237">
        <v>5698.5380942724478</v>
      </c>
      <c r="C136" s="237">
        <v>47465.202647194979</v>
      </c>
      <c r="D136" s="237">
        <v>19156.011225647544</v>
      </c>
      <c r="E136" s="238">
        <v>72319.751967114964</v>
      </c>
      <c r="F136" s="237">
        <v>306732.82188298838</v>
      </c>
      <c r="G136" s="237">
        <v>11706.013066935759</v>
      </c>
      <c r="H136" s="237">
        <v>69427.575521123377</v>
      </c>
      <c r="I136" s="237">
        <v>740.4043144091869</v>
      </c>
      <c r="J136" s="237">
        <v>264787.24442303984</v>
      </c>
      <c r="K136" s="238">
        <v>653394.05920849647</v>
      </c>
      <c r="L136" s="239">
        <v>24900.986574636096</v>
      </c>
      <c r="M136" s="237">
        <v>54716.250372639101</v>
      </c>
      <c r="N136" s="237">
        <v>0</v>
      </c>
      <c r="O136" s="238">
        <v>79617.236947275203</v>
      </c>
      <c r="P136" s="237">
        <v>787.30335236999986</v>
      </c>
      <c r="Q136" s="237">
        <v>4253.4386061699997</v>
      </c>
      <c r="R136" s="237">
        <v>278219.21608307608</v>
      </c>
      <c r="S136" s="237">
        <v>2911.6111913047889</v>
      </c>
      <c r="T136" s="240">
        <v>286171.56923292088</v>
      </c>
      <c r="U136" s="241">
        <v>44990.034900098311</v>
      </c>
      <c r="V136" s="237">
        <v>3653.8724971859947</v>
      </c>
      <c r="W136" s="242">
        <v>51587.764371314755</v>
      </c>
      <c r="X136" s="243">
        <v>1191734.2891244066</v>
      </c>
      <c r="Y136" s="244">
        <v>72744.723190963734</v>
      </c>
      <c r="AA136" s="245"/>
      <c r="AB136" s="245"/>
    </row>
    <row r="137" spans="1:57" ht="21.6" customHeight="1" x14ac:dyDescent="0.25">
      <c r="A137" s="220">
        <v>42370</v>
      </c>
      <c r="B137" s="237">
        <v>4638.4640894584727</v>
      </c>
      <c r="C137" s="237">
        <v>51020.873982995523</v>
      </c>
      <c r="D137" s="237">
        <v>20526.715238613324</v>
      </c>
      <c r="E137" s="238">
        <v>76186.053311067313</v>
      </c>
      <c r="F137" s="237">
        <v>327970.03743116354</v>
      </c>
      <c r="G137" s="237">
        <v>12597.897311592771</v>
      </c>
      <c r="H137" s="237">
        <v>69151.420320465171</v>
      </c>
      <c r="I137" s="237">
        <v>547.96510857689339</v>
      </c>
      <c r="J137" s="237">
        <v>260654.02404938143</v>
      </c>
      <c r="K137" s="238">
        <v>670921.34422117984</v>
      </c>
      <c r="L137" s="239">
        <v>26108.311849544407</v>
      </c>
      <c r="M137" s="237">
        <v>54266.116932978031</v>
      </c>
      <c r="N137" s="237">
        <v>0</v>
      </c>
      <c r="O137" s="238">
        <v>80374.428782522446</v>
      </c>
      <c r="P137" s="237">
        <v>1136.87527404</v>
      </c>
      <c r="Q137" s="237">
        <v>3931.3763957000006</v>
      </c>
      <c r="R137" s="237">
        <v>278395.55925249122</v>
      </c>
      <c r="S137" s="237">
        <v>2933.1508562522617</v>
      </c>
      <c r="T137" s="240">
        <v>286396.96177848341</v>
      </c>
      <c r="U137" s="241">
        <v>45365.674140889751</v>
      </c>
      <c r="V137" s="237">
        <v>3165.0866027222669</v>
      </c>
      <c r="W137" s="242">
        <v>53181.827881907171</v>
      </c>
      <c r="X137" s="243">
        <v>1215591.3767187721</v>
      </c>
      <c r="Y137" s="244">
        <v>68237.771848726436</v>
      </c>
      <c r="AA137" s="245"/>
      <c r="AB137" s="245"/>
    </row>
    <row r="138" spans="1:57" ht="21.6" customHeight="1" x14ac:dyDescent="0.25">
      <c r="A138" s="220">
        <v>42401</v>
      </c>
      <c r="B138" s="237">
        <v>4118.9985032693794</v>
      </c>
      <c r="C138" s="237">
        <v>50430.996460509501</v>
      </c>
      <c r="D138" s="237">
        <v>21693.787104249284</v>
      </c>
      <c r="E138" s="238">
        <v>76243.782068028173</v>
      </c>
      <c r="F138" s="237">
        <v>338951.92250682769</v>
      </c>
      <c r="G138" s="237">
        <v>11546.649347033168</v>
      </c>
      <c r="H138" s="237">
        <v>65015.160934386658</v>
      </c>
      <c r="I138" s="237">
        <v>442.38531907248608</v>
      </c>
      <c r="J138" s="237">
        <v>256646.00357016252</v>
      </c>
      <c r="K138" s="238">
        <v>672602.1216774825</v>
      </c>
      <c r="L138" s="239">
        <v>27905.348913879388</v>
      </c>
      <c r="M138" s="237">
        <v>55654.834697215425</v>
      </c>
      <c r="N138" s="237">
        <v>0</v>
      </c>
      <c r="O138" s="238">
        <v>83560.183611094806</v>
      </c>
      <c r="P138" s="237">
        <v>910.36955728999999</v>
      </c>
      <c r="Q138" s="237">
        <v>4179.6975747799997</v>
      </c>
      <c r="R138" s="237">
        <v>278522.71392899414</v>
      </c>
      <c r="S138" s="237">
        <v>2924.3069737280325</v>
      </c>
      <c r="T138" s="240">
        <v>286537.08803479222</v>
      </c>
      <c r="U138" s="241">
        <v>45434.602598854406</v>
      </c>
      <c r="V138" s="237">
        <v>3281.3391926743734</v>
      </c>
      <c r="W138" s="242">
        <v>55336.908125986774</v>
      </c>
      <c r="X138" s="243">
        <v>1222996.0253089131</v>
      </c>
      <c r="Y138" s="244">
        <v>66221.753036398339</v>
      </c>
      <c r="AA138" s="245"/>
      <c r="AB138" s="245"/>
    </row>
    <row r="139" spans="1:57" ht="21.6" customHeight="1" x14ac:dyDescent="0.25">
      <c r="A139" s="220">
        <v>42430</v>
      </c>
      <c r="B139" s="237">
        <v>4557.2559894919905</v>
      </c>
      <c r="C139" s="237">
        <v>46725.025513597313</v>
      </c>
      <c r="D139" s="237">
        <v>23176.667954990233</v>
      </c>
      <c r="E139" s="238">
        <v>74458.949458079529</v>
      </c>
      <c r="F139" s="237">
        <v>305849.64510963025</v>
      </c>
      <c r="G139" s="237">
        <v>17430.560291737303</v>
      </c>
      <c r="H139" s="237">
        <v>64002.266461199324</v>
      </c>
      <c r="I139" s="237">
        <v>366.40115107687211</v>
      </c>
      <c r="J139" s="237">
        <v>252897.3502022092</v>
      </c>
      <c r="K139" s="238">
        <v>640546.22321585298</v>
      </c>
      <c r="L139" s="239">
        <v>30062.043002821818</v>
      </c>
      <c r="M139" s="237">
        <v>56876.359023235498</v>
      </c>
      <c r="N139" s="237">
        <v>0</v>
      </c>
      <c r="O139" s="238">
        <v>86938.402026057316</v>
      </c>
      <c r="P139" s="237">
        <v>582.83276192000005</v>
      </c>
      <c r="Q139" s="237">
        <v>4145.3901303600005</v>
      </c>
      <c r="R139" s="237">
        <v>276163.72454753472</v>
      </c>
      <c r="S139" s="237">
        <v>2958.1576633101859</v>
      </c>
      <c r="T139" s="240">
        <v>283850.10510312486</v>
      </c>
      <c r="U139" s="241">
        <v>43847.963008017912</v>
      </c>
      <c r="V139" s="237">
        <v>3841.1625985216051</v>
      </c>
      <c r="W139" s="242">
        <v>49462.577390130456</v>
      </c>
      <c r="X139" s="243">
        <v>1182945.3827997847</v>
      </c>
      <c r="Y139" s="244">
        <v>61670.814574586846</v>
      </c>
      <c r="AA139" s="245"/>
      <c r="AB139" s="245"/>
    </row>
    <row r="140" spans="1:57" ht="21.6" customHeight="1" x14ac:dyDescent="0.25">
      <c r="A140" s="220">
        <v>42461</v>
      </c>
      <c r="B140" s="237">
        <v>4191.8248000514504</v>
      </c>
      <c r="C140" s="237">
        <v>45021.197495908142</v>
      </c>
      <c r="D140" s="237">
        <v>22879.29225279107</v>
      </c>
      <c r="E140" s="238">
        <v>72092.31454875067</v>
      </c>
      <c r="F140" s="237">
        <v>328537.05061745143</v>
      </c>
      <c r="G140" s="237">
        <v>18743.628603904053</v>
      </c>
      <c r="H140" s="237">
        <v>59479.81812814196</v>
      </c>
      <c r="I140" s="237">
        <v>390.25254670604062</v>
      </c>
      <c r="J140" s="237">
        <v>242061.41184552698</v>
      </c>
      <c r="K140" s="238">
        <v>649212.16174173052</v>
      </c>
      <c r="L140" s="239">
        <v>30463.757645962425</v>
      </c>
      <c r="M140" s="237">
        <v>59478.212484292417</v>
      </c>
      <c r="N140" s="237">
        <v>0</v>
      </c>
      <c r="O140" s="238">
        <v>89941.970130254835</v>
      </c>
      <c r="P140" s="237">
        <v>484.90044547999997</v>
      </c>
      <c r="Q140" s="237">
        <v>3949.2058149199997</v>
      </c>
      <c r="R140" s="237">
        <v>275935.4428932938</v>
      </c>
      <c r="S140" s="237">
        <v>3268.0250606230998</v>
      </c>
      <c r="T140" s="240">
        <v>283637.5742143169</v>
      </c>
      <c r="U140" s="241">
        <v>42662.448127548305</v>
      </c>
      <c r="V140" s="237">
        <v>3241.011770657215</v>
      </c>
      <c r="W140" s="242">
        <v>52475.641582364537</v>
      </c>
      <c r="X140" s="243">
        <v>1193263.122115623</v>
      </c>
      <c r="Y140" s="244">
        <v>63567.529699621067</v>
      </c>
      <c r="AA140" s="245"/>
      <c r="AB140" s="245"/>
    </row>
    <row r="141" spans="1:57" ht="9.75" customHeight="1" thickBot="1" x14ac:dyDescent="0.3">
      <c r="A141" s="246"/>
      <c r="B141" s="247"/>
      <c r="C141" s="248"/>
      <c r="D141" s="248"/>
      <c r="E141" s="249"/>
      <c r="F141" s="250"/>
      <c r="G141" s="248"/>
      <c r="H141" s="248"/>
      <c r="I141" s="248"/>
      <c r="J141" s="248"/>
      <c r="K141" s="249"/>
      <c r="L141" s="250"/>
      <c r="M141" s="248"/>
      <c r="N141" s="248"/>
      <c r="O141" s="249"/>
      <c r="P141" s="250"/>
      <c r="Q141" s="248"/>
      <c r="R141" s="248"/>
      <c r="S141" s="248"/>
      <c r="T141" s="249"/>
      <c r="U141" s="251"/>
      <c r="V141" s="247"/>
      <c r="W141" s="252"/>
      <c r="X141" s="253"/>
      <c r="Y141" s="254"/>
    </row>
    <row r="142" spans="1:57" ht="17.100000000000001" customHeight="1" thickTop="1" x14ac:dyDescent="0.25">
      <c r="A142" s="255" t="s">
        <v>236</v>
      </c>
      <c r="K142" s="256" t="s">
        <v>237</v>
      </c>
      <c r="L142" s="257"/>
      <c r="N142" s="219"/>
      <c r="O142" s="257"/>
      <c r="R142" s="255"/>
      <c r="S142" s="219"/>
      <c r="U142" s="219"/>
      <c r="V142" s="219"/>
      <c r="W142" s="258"/>
      <c r="X142" s="219"/>
    </row>
    <row r="143" spans="1:57" ht="17.100000000000001" customHeight="1" x14ac:dyDescent="0.25">
      <c r="A143" s="255" t="s">
        <v>238</v>
      </c>
      <c r="K143" s="259" t="s">
        <v>239</v>
      </c>
      <c r="L143" s="257"/>
      <c r="N143" s="219"/>
      <c r="O143" s="257"/>
      <c r="R143" s="255"/>
      <c r="S143" s="219"/>
      <c r="U143" s="219"/>
      <c r="V143" s="219"/>
      <c r="W143" s="258"/>
      <c r="X143" s="219"/>
      <c r="Z143" s="219"/>
      <c r="AA143" s="219"/>
      <c r="AB143" s="219"/>
      <c r="AC143" s="219"/>
      <c r="AD143" s="219"/>
      <c r="AE143" s="219"/>
    </row>
    <row r="144" spans="1:57" ht="17.100000000000001" customHeight="1" x14ac:dyDescent="0.25">
      <c r="A144" s="260" t="s">
        <v>179</v>
      </c>
      <c r="B144" s="219"/>
      <c r="C144" s="219"/>
      <c r="D144" s="219"/>
      <c r="E144" s="219"/>
      <c r="F144" s="219"/>
      <c r="G144" s="219"/>
      <c r="H144" s="219"/>
      <c r="I144" s="219"/>
      <c r="J144" s="219"/>
      <c r="K144" s="219"/>
      <c r="L144" s="219"/>
      <c r="M144" s="261"/>
      <c r="N144" s="219"/>
      <c r="O144" s="219"/>
      <c r="P144" s="262"/>
      <c r="Q144" s="219"/>
      <c r="R144" s="219"/>
      <c r="S144" s="219"/>
      <c r="T144" s="219"/>
      <c r="U144" s="219"/>
      <c r="V144" s="219"/>
      <c r="W144" s="219"/>
      <c r="X144" s="219"/>
      <c r="Y144" s="219"/>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row>
    <row r="145" spans="1:57" ht="17.100000000000001" customHeight="1" x14ac:dyDescent="0.25">
      <c r="A145" s="260"/>
      <c r="B145" s="219"/>
      <c r="C145" s="219"/>
      <c r="D145" s="219"/>
      <c r="E145" s="219"/>
      <c r="F145" s="219"/>
      <c r="G145" s="219"/>
      <c r="H145" s="219"/>
      <c r="I145" s="219"/>
      <c r="J145" s="219"/>
      <c r="K145" s="219"/>
      <c r="L145" s="219"/>
      <c r="M145" s="261"/>
      <c r="N145" s="219"/>
      <c r="O145" s="219"/>
      <c r="P145" s="262"/>
      <c r="Q145" s="219"/>
      <c r="R145" s="219"/>
      <c r="S145" s="219"/>
      <c r="T145" s="219"/>
      <c r="U145" s="219"/>
      <c r="V145" s="219"/>
      <c r="W145" s="219"/>
      <c r="X145" s="219"/>
      <c r="Y145" s="219"/>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row>
    <row r="146" spans="1:57" ht="17.100000000000001" customHeight="1" x14ac:dyDescent="0.25">
      <c r="A146" s="264"/>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row>
    <row r="147" spans="1:57" ht="17.100000000000001" customHeight="1" x14ac:dyDescent="0.3">
      <c r="A147" s="3221" t="s">
        <v>240</v>
      </c>
      <c r="B147" s="3221"/>
      <c r="C147" s="3221"/>
      <c r="D147" s="3221"/>
      <c r="E147" s="3221"/>
      <c r="F147" s="3221"/>
      <c r="G147" s="3221"/>
      <c r="H147" s="3221"/>
      <c r="I147" s="3221"/>
      <c r="J147" s="3221"/>
      <c r="K147" s="3221"/>
      <c r="L147" s="3221"/>
      <c r="M147" s="3221"/>
      <c r="N147" s="3221"/>
      <c r="O147" s="3221"/>
      <c r="P147" s="3221"/>
      <c r="Q147" s="3221"/>
      <c r="R147" s="3221"/>
      <c r="S147" s="261"/>
      <c r="T147" s="219"/>
      <c r="U147" s="219"/>
      <c r="V147" s="219"/>
      <c r="W147" s="219"/>
      <c r="X147" s="219"/>
      <c r="Y147" s="219"/>
    </row>
    <row r="148" spans="1:57" ht="17.100000000000001" customHeight="1" thickBot="1" x14ac:dyDescent="0.3">
      <c r="R148" s="174" t="s">
        <v>73</v>
      </c>
      <c r="Y148" s="263"/>
      <c r="Z148" s="219"/>
      <c r="AA148" s="219"/>
      <c r="AB148" s="219"/>
      <c r="AC148" s="219"/>
      <c r="AD148" s="219"/>
      <c r="AE148" s="219"/>
    </row>
    <row r="149" spans="1:57" ht="17.100000000000001" customHeight="1" thickTop="1" thickBot="1" x14ac:dyDescent="0.3">
      <c r="A149" s="175" t="s">
        <v>183</v>
      </c>
      <c r="B149" s="265" t="s">
        <v>241</v>
      </c>
      <c r="C149" s="179" t="s">
        <v>242</v>
      </c>
      <c r="D149" s="179"/>
      <c r="E149" s="179"/>
      <c r="F149" s="179"/>
      <c r="G149" s="180"/>
      <c r="H149" s="266" t="s">
        <v>202</v>
      </c>
      <c r="I149" s="266" t="s">
        <v>243</v>
      </c>
      <c r="J149" s="266" t="s">
        <v>53</v>
      </c>
      <c r="K149" s="3222" t="s">
        <v>244</v>
      </c>
      <c r="L149" s="3223"/>
      <c r="M149" s="266" t="s">
        <v>205</v>
      </c>
      <c r="N149" s="266" t="s">
        <v>245</v>
      </c>
      <c r="O149" s="267" t="s">
        <v>246</v>
      </c>
      <c r="P149" s="268" t="s">
        <v>192</v>
      </c>
      <c r="Q149" s="266" t="s">
        <v>210</v>
      </c>
      <c r="R149" s="267" t="s">
        <v>230</v>
      </c>
      <c r="S149" s="219"/>
      <c r="T149" s="219"/>
      <c r="U149" s="219"/>
      <c r="V149" s="219"/>
      <c r="W149" s="219"/>
      <c r="X149" s="219"/>
      <c r="Y149" s="219"/>
    </row>
    <row r="150" spans="1:57" ht="17.100000000000001" customHeight="1" x14ac:dyDescent="0.25">
      <c r="A150" s="185" t="s">
        <v>193</v>
      </c>
      <c r="B150" s="269" t="s">
        <v>221</v>
      </c>
      <c r="C150" s="270" t="s">
        <v>247</v>
      </c>
      <c r="D150" s="271" t="s">
        <v>248</v>
      </c>
      <c r="E150" s="271" t="s">
        <v>249</v>
      </c>
      <c r="F150" s="271" t="s">
        <v>199</v>
      </c>
      <c r="G150" s="272" t="s">
        <v>197</v>
      </c>
      <c r="H150" s="273" t="s">
        <v>250</v>
      </c>
      <c r="I150" s="273" t="s">
        <v>53</v>
      </c>
      <c r="J150" s="273" t="s">
        <v>251</v>
      </c>
      <c r="K150" s="270" t="s">
        <v>224</v>
      </c>
      <c r="L150" s="271" t="s">
        <v>224</v>
      </c>
      <c r="M150" s="273" t="s">
        <v>252</v>
      </c>
      <c r="N150" s="273" t="s">
        <v>253</v>
      </c>
      <c r="O150" s="274" t="s">
        <v>6</v>
      </c>
      <c r="P150" s="275" t="s">
        <v>254</v>
      </c>
      <c r="Q150" s="273" t="s">
        <v>255</v>
      </c>
      <c r="R150" s="274" t="s">
        <v>25</v>
      </c>
    </row>
    <row r="151" spans="1:57" ht="17.100000000000001" customHeight="1" x14ac:dyDescent="0.25">
      <c r="A151" s="185" t="s">
        <v>211</v>
      </c>
      <c r="B151" s="269" t="s">
        <v>27</v>
      </c>
      <c r="C151" s="276"/>
      <c r="D151" s="277"/>
      <c r="E151" s="277"/>
      <c r="F151" s="277" t="s">
        <v>256</v>
      </c>
      <c r="G151" s="278"/>
      <c r="H151" s="273"/>
      <c r="I151" s="273"/>
      <c r="J151" s="273" t="s">
        <v>196</v>
      </c>
      <c r="K151" s="276" t="s">
        <v>212</v>
      </c>
      <c r="L151" s="277" t="s">
        <v>231</v>
      </c>
      <c r="M151" s="273"/>
      <c r="N151" s="273"/>
      <c r="O151" s="274"/>
      <c r="P151" s="275" t="s">
        <v>257</v>
      </c>
      <c r="Q151" s="273"/>
      <c r="R151" s="274"/>
    </row>
    <row r="152" spans="1:57" ht="17.100000000000001" customHeight="1" x14ac:dyDescent="0.25">
      <c r="A152" s="201" t="s">
        <v>25</v>
      </c>
      <c r="B152" s="279"/>
      <c r="C152" s="280"/>
      <c r="D152" s="281"/>
      <c r="E152" s="281"/>
      <c r="F152" s="281" t="s">
        <v>48</v>
      </c>
      <c r="G152" s="282"/>
      <c r="H152" s="283"/>
      <c r="I152" s="283"/>
      <c r="J152" s="283" t="s">
        <v>214</v>
      </c>
      <c r="K152" s="284" t="s">
        <v>214</v>
      </c>
      <c r="L152" s="280"/>
      <c r="M152" s="283"/>
      <c r="N152" s="283"/>
      <c r="O152" s="285"/>
      <c r="P152" s="286"/>
      <c r="Q152" s="283"/>
      <c r="R152" s="285"/>
    </row>
    <row r="153" spans="1:57" ht="17.100000000000001" hidden="1" customHeight="1" x14ac:dyDescent="0.25">
      <c r="A153" s="201"/>
      <c r="B153" s="287"/>
      <c r="C153" s="288"/>
      <c r="D153" s="289"/>
      <c r="E153" s="289"/>
      <c r="F153" s="289"/>
      <c r="G153" s="290"/>
      <c r="H153" s="291"/>
      <c r="I153" s="291"/>
      <c r="J153" s="291"/>
      <c r="K153" s="292"/>
      <c r="L153" s="289"/>
      <c r="M153" s="291"/>
      <c r="N153" s="291"/>
      <c r="O153" s="293"/>
      <c r="P153" s="287"/>
      <c r="Q153" s="291"/>
      <c r="R153" s="293"/>
    </row>
    <row r="154" spans="1:57" ht="17.100000000000001" hidden="1" customHeight="1" x14ac:dyDescent="0.25">
      <c r="A154" s="210"/>
      <c r="B154" s="294"/>
      <c r="C154" s="211"/>
      <c r="D154" s="212"/>
      <c r="E154" s="212"/>
      <c r="F154" s="212"/>
      <c r="G154" s="213"/>
      <c r="H154" s="295"/>
      <c r="I154" s="295"/>
      <c r="J154" s="295"/>
      <c r="K154" s="214"/>
      <c r="L154" s="212"/>
      <c r="M154" s="295"/>
      <c r="N154" s="295"/>
      <c r="O154" s="296"/>
      <c r="P154" s="294"/>
      <c r="Q154" s="295"/>
      <c r="R154" s="297"/>
    </row>
    <row r="155" spans="1:57" ht="17.100000000000001" hidden="1" customHeight="1" x14ac:dyDescent="0.25">
      <c r="A155" s="220">
        <v>38507</v>
      </c>
      <c r="B155" s="213">
        <v>33314.3296652313</v>
      </c>
      <c r="C155" s="211">
        <f>12403.7541621657+137.783</f>
        <v>12541.5371621657</v>
      </c>
      <c r="D155" s="211">
        <f>63359.1606115899+1330.64</f>
        <v>64689.800611589897</v>
      </c>
      <c r="E155" s="212">
        <f>46898.3281212962+49.348</f>
        <v>46947.676121296201</v>
      </c>
      <c r="F155" s="211">
        <v>185530.59383451584</v>
      </c>
      <c r="G155" s="213">
        <f>SUM(C155:F155)</f>
        <v>309709.60772956762</v>
      </c>
      <c r="H155" s="294">
        <v>294.13099999999997</v>
      </c>
      <c r="I155" s="294">
        <v>176.06079</v>
      </c>
      <c r="J155" s="298">
        <v>1824.9484996299898</v>
      </c>
      <c r="K155" s="214">
        <v>534.96565491799993</v>
      </c>
      <c r="L155" s="212">
        <v>44451.889366543561</v>
      </c>
      <c r="M155" s="295">
        <v>233.75249338</v>
      </c>
      <c r="N155" s="219">
        <v>26172.337258578093</v>
      </c>
      <c r="O155" s="299">
        <f>B155+G155+H155+I155+J155+K155+L155+M155+N155</f>
        <v>416712.02245784854</v>
      </c>
      <c r="P155" s="294">
        <v>1386.595668385</v>
      </c>
      <c r="Q155" s="295">
        <v>7129.5542757148251</v>
      </c>
      <c r="R155" s="297">
        <v>23605.773775925765</v>
      </c>
    </row>
    <row r="156" spans="1:57" ht="17.100000000000001" hidden="1" customHeight="1" x14ac:dyDescent="0.25">
      <c r="A156" s="220">
        <v>38537</v>
      </c>
      <c r="B156" s="213">
        <v>35655.840129182223</v>
      </c>
      <c r="C156" s="211">
        <f>12403.7318402061+120.368</f>
        <v>12524.0998402061</v>
      </c>
      <c r="D156" s="211">
        <f>63550.0828963899+1150.549</f>
        <v>64700.631896389896</v>
      </c>
      <c r="E156" s="212">
        <f>43427.00470713+48.348</f>
        <v>43475.352707129998</v>
      </c>
      <c r="F156" s="211">
        <v>172578.70953205152</v>
      </c>
      <c r="G156" s="213">
        <f>SUM(C156:F156)</f>
        <v>293278.79397577752</v>
      </c>
      <c r="H156" s="294">
        <v>439.52199999999999</v>
      </c>
      <c r="I156" s="294">
        <v>256.65156100000002</v>
      </c>
      <c r="J156" s="298">
        <v>1965.37868288</v>
      </c>
      <c r="K156" s="214">
        <v>543.55635719600002</v>
      </c>
      <c r="L156" s="212">
        <v>43598.200048683779</v>
      </c>
      <c r="M156" s="295">
        <v>197.56938764999998</v>
      </c>
      <c r="N156" s="219">
        <v>24349.856048317906</v>
      </c>
      <c r="O156" s="299">
        <f>B156+G156+H156+I156+J156+K156+L156+M156+N156</f>
        <v>400285.36819068744</v>
      </c>
      <c r="P156" s="294">
        <v>1212.9483919088393</v>
      </c>
      <c r="Q156" s="295">
        <v>6586.7872792642711</v>
      </c>
      <c r="R156" s="297">
        <v>24238.623600216506</v>
      </c>
    </row>
    <row r="157" spans="1:57" ht="17.100000000000001" hidden="1" customHeight="1" x14ac:dyDescent="0.25">
      <c r="A157" s="220">
        <v>38568</v>
      </c>
      <c r="B157" s="213">
        <v>34807.926521993882</v>
      </c>
      <c r="C157" s="211">
        <v>12270.817540330001</v>
      </c>
      <c r="D157" s="211">
        <v>65173.569934319996</v>
      </c>
      <c r="E157" s="212">
        <v>44538.826833970001</v>
      </c>
      <c r="F157" s="211">
        <v>174702.33705945779</v>
      </c>
      <c r="G157" s="213">
        <v>296685.55136807775</v>
      </c>
      <c r="H157" s="294">
        <v>443.97899999999998</v>
      </c>
      <c r="I157" s="294">
        <v>207.467126107642</v>
      </c>
      <c r="J157" s="298">
        <v>2024.9421581700001</v>
      </c>
      <c r="K157" s="214">
        <v>767.93342603415795</v>
      </c>
      <c r="L157" s="212">
        <v>47846.490397179819</v>
      </c>
      <c r="M157" s="295">
        <v>187.29691399999999</v>
      </c>
      <c r="N157" s="219">
        <v>30819.523098918944</v>
      </c>
      <c r="O157" s="299">
        <v>413791.1100104822</v>
      </c>
      <c r="P157" s="294">
        <v>618.3953475774</v>
      </c>
      <c r="Q157" s="295">
        <v>7438.0409352728529</v>
      </c>
      <c r="R157" s="297">
        <v>24823.17850991038</v>
      </c>
    </row>
    <row r="158" spans="1:57" ht="17.100000000000001" hidden="1" customHeight="1" x14ac:dyDescent="0.25">
      <c r="A158" s="220">
        <v>38599</v>
      </c>
      <c r="B158" s="213">
        <v>34679.337280858068</v>
      </c>
      <c r="C158" s="211">
        <v>13133.051838309999</v>
      </c>
      <c r="D158" s="211">
        <v>65814.825229919996</v>
      </c>
      <c r="E158" s="212">
        <v>45604.084845470003</v>
      </c>
      <c r="F158" s="211">
        <v>168539.09622266487</v>
      </c>
      <c r="G158" s="213">
        <v>293091.05813636485</v>
      </c>
      <c r="H158" s="294">
        <v>471.721</v>
      </c>
      <c r="I158" s="294">
        <v>498.23988800000001</v>
      </c>
      <c r="J158" s="298">
        <v>1941.948607</v>
      </c>
      <c r="K158" s="214">
        <v>376.61374038959997</v>
      </c>
      <c r="L158" s="212">
        <v>70186.567670441116</v>
      </c>
      <c r="M158" s="295">
        <v>299.35067511</v>
      </c>
      <c r="N158" s="219">
        <v>29807.131427826018</v>
      </c>
      <c r="O158" s="299">
        <v>431351.96842598967</v>
      </c>
      <c r="P158" s="294">
        <v>831.60307686940007</v>
      </c>
      <c r="Q158" s="295">
        <v>8289.9490468058011</v>
      </c>
      <c r="R158" s="297">
        <v>24860.211941645201</v>
      </c>
    </row>
    <row r="159" spans="1:57" ht="17.100000000000001" hidden="1" customHeight="1" x14ac:dyDescent="0.25">
      <c r="A159" s="220">
        <v>38629</v>
      </c>
      <c r="B159" s="213">
        <v>34949.918854685537</v>
      </c>
      <c r="C159" s="211">
        <v>13177.965172479997</v>
      </c>
      <c r="D159" s="211">
        <v>65220.554194400014</v>
      </c>
      <c r="E159" s="212">
        <v>46809.53954939</v>
      </c>
      <c r="F159" s="211">
        <v>169555.64450865064</v>
      </c>
      <c r="G159" s="213">
        <v>294763.70342492068</v>
      </c>
      <c r="H159" s="294">
        <v>410.94436300000001</v>
      </c>
      <c r="I159" s="294">
        <v>637.72974366666665</v>
      </c>
      <c r="J159" s="298">
        <v>1919.1523198299999</v>
      </c>
      <c r="K159" s="214">
        <v>345.63559025706667</v>
      </c>
      <c r="L159" s="212">
        <v>68994.12984421193</v>
      </c>
      <c r="M159" s="295">
        <v>188.41700259999999</v>
      </c>
      <c r="N159" s="219">
        <v>28956.235910349227</v>
      </c>
      <c r="O159" s="299">
        <v>431165.8670535211</v>
      </c>
      <c r="P159" s="294">
        <v>827.45719163144372</v>
      </c>
      <c r="Q159" s="295">
        <v>7338.4225083410975</v>
      </c>
      <c r="R159" s="297">
        <v>26421.413142311201</v>
      </c>
    </row>
    <row r="160" spans="1:57" ht="17.100000000000001" hidden="1" customHeight="1" x14ac:dyDescent="0.25">
      <c r="A160" s="220">
        <v>38660</v>
      </c>
      <c r="B160" s="213">
        <v>34569.799230259065</v>
      </c>
      <c r="C160" s="211">
        <v>13508.101885370001</v>
      </c>
      <c r="D160" s="211">
        <v>65724.891629670004</v>
      </c>
      <c r="E160" s="212">
        <v>48167.1976122958</v>
      </c>
      <c r="F160" s="211">
        <v>187200.09959854669</v>
      </c>
      <c r="G160" s="213">
        <v>314600.29072588251</v>
      </c>
      <c r="H160" s="294">
        <v>574.05638999999996</v>
      </c>
      <c r="I160" s="294">
        <v>797.50450000000001</v>
      </c>
      <c r="J160" s="298">
        <v>1909.2033610999999</v>
      </c>
      <c r="K160" s="214">
        <v>979.66696502100001</v>
      </c>
      <c r="L160" s="212">
        <v>64551.397934147477</v>
      </c>
      <c r="M160" s="295">
        <v>171.91533527000001</v>
      </c>
      <c r="N160" s="219">
        <v>32647.344193514655</v>
      </c>
      <c r="O160" s="299">
        <v>450801.17863519466</v>
      </c>
      <c r="P160" s="294">
        <v>856.7</v>
      </c>
      <c r="Q160" s="295">
        <v>7216.3</v>
      </c>
      <c r="R160" s="297">
        <v>27579.4</v>
      </c>
    </row>
    <row r="161" spans="1:18" ht="17.100000000000001" hidden="1" customHeight="1" x14ac:dyDescent="0.25">
      <c r="A161" s="220">
        <v>38690</v>
      </c>
      <c r="B161" s="213">
        <v>34574.420254218647</v>
      </c>
      <c r="C161" s="211">
        <v>14110.53589809</v>
      </c>
      <c r="D161" s="211">
        <v>67501.420431265593</v>
      </c>
      <c r="E161" s="212">
        <v>47244.470643932567</v>
      </c>
      <c r="F161" s="211">
        <v>174181.71096754924</v>
      </c>
      <c r="G161" s="213">
        <v>303038.13794083742</v>
      </c>
      <c r="H161" s="294">
        <v>1010.2077939825701</v>
      </c>
      <c r="I161" s="294">
        <v>1437.3346373766665</v>
      </c>
      <c r="J161" s="298">
        <v>1987.4868184100001</v>
      </c>
      <c r="K161" s="214">
        <v>1076.5130019999999</v>
      </c>
      <c r="L161" s="212">
        <v>64852.58950334743</v>
      </c>
      <c r="M161" s="295">
        <v>166.07655534</v>
      </c>
      <c r="N161" s="219">
        <v>31652.435671702529</v>
      </c>
      <c r="O161" s="299">
        <v>439795.20217721525</v>
      </c>
      <c r="P161" s="294">
        <v>928.4</v>
      </c>
      <c r="Q161" s="295">
        <v>7948.1</v>
      </c>
      <c r="R161" s="297">
        <v>28045.599999999999</v>
      </c>
    </row>
    <row r="162" spans="1:18" ht="17.100000000000001" hidden="1" customHeight="1" x14ac:dyDescent="0.25">
      <c r="A162" s="220">
        <v>38721</v>
      </c>
      <c r="B162" s="213">
        <v>36924.35446157265</v>
      </c>
      <c r="C162" s="211">
        <v>13983.074644281842</v>
      </c>
      <c r="D162" s="211">
        <v>68332.636517339997</v>
      </c>
      <c r="E162" s="212">
        <v>47491.847798671755</v>
      </c>
      <c r="F162" s="211">
        <v>176916.80491587555</v>
      </c>
      <c r="G162" s="213">
        <v>306724.36387616914</v>
      </c>
      <c r="H162" s="294">
        <v>503.04685326176002</v>
      </c>
      <c r="I162" s="294">
        <v>2070.0501545390002</v>
      </c>
      <c r="J162" s="298">
        <v>1888.4039616300001</v>
      </c>
      <c r="K162" s="214">
        <v>158.27166600000001</v>
      </c>
      <c r="L162" s="212">
        <v>60758.515065852342</v>
      </c>
      <c r="M162" s="295">
        <v>183.78642453000001</v>
      </c>
      <c r="N162" s="219">
        <v>31387.622715742345</v>
      </c>
      <c r="O162" s="299">
        <v>440598.41517929721</v>
      </c>
      <c r="P162" s="294">
        <v>1077.9000000000001</v>
      </c>
      <c r="Q162" s="295">
        <v>6275.4</v>
      </c>
      <c r="R162" s="297">
        <v>27917.4</v>
      </c>
    </row>
    <row r="163" spans="1:18" ht="17.100000000000001" hidden="1" customHeight="1" x14ac:dyDescent="0.25">
      <c r="A163" s="220">
        <v>38752</v>
      </c>
      <c r="B163" s="213">
        <v>36627.104248475021</v>
      </c>
      <c r="C163" s="211">
        <v>12790.41216901</v>
      </c>
      <c r="D163" s="211">
        <v>70087.675198149984</v>
      </c>
      <c r="E163" s="212">
        <v>48122.885505840008</v>
      </c>
      <c r="F163" s="211">
        <v>203185.96320741251</v>
      </c>
      <c r="G163" s="213">
        <v>334186.93608041247</v>
      </c>
      <c r="H163" s="294">
        <v>497.67116764000002</v>
      </c>
      <c r="I163" s="294">
        <v>1036.3906663333332</v>
      </c>
      <c r="J163" s="298">
        <v>1878.2635167999999</v>
      </c>
      <c r="K163" s="214">
        <v>123.572222</v>
      </c>
      <c r="L163" s="212">
        <v>61300.669975414079</v>
      </c>
      <c r="M163" s="295">
        <v>237.19258668999998</v>
      </c>
      <c r="N163" s="219">
        <v>31760.560316088995</v>
      </c>
      <c r="O163" s="299">
        <v>467648.36077985395</v>
      </c>
      <c r="P163" s="294">
        <v>1099.9000000000001</v>
      </c>
      <c r="Q163" s="295">
        <v>6848.2</v>
      </c>
      <c r="R163" s="297">
        <v>27361.3</v>
      </c>
    </row>
    <row r="164" spans="1:18" ht="17.100000000000001" hidden="1" customHeight="1" x14ac:dyDescent="0.25">
      <c r="A164" s="220">
        <v>38780</v>
      </c>
      <c r="B164" s="213">
        <v>36958.36487863915</v>
      </c>
      <c r="C164" s="211">
        <v>12805.844599700002</v>
      </c>
      <c r="D164" s="211">
        <v>69688.856829174372</v>
      </c>
      <c r="E164" s="212">
        <v>49522.178670157497</v>
      </c>
      <c r="F164" s="211">
        <v>205318.67478298573</v>
      </c>
      <c r="G164" s="213">
        <v>337335.5548820176</v>
      </c>
      <c r="H164" s="294">
        <v>666.22069099999999</v>
      </c>
      <c r="I164" s="294">
        <v>1191.648193</v>
      </c>
      <c r="J164" s="298">
        <v>1783.6481996399998</v>
      </c>
      <c r="K164" s="214">
        <v>119.6611312463</v>
      </c>
      <c r="L164" s="212">
        <v>64140.453085788766</v>
      </c>
      <c r="M164" s="295">
        <v>180.36242061000002</v>
      </c>
      <c r="N164" s="219">
        <v>32254.836692658588</v>
      </c>
      <c r="O164" s="299">
        <v>474630.7501746004</v>
      </c>
      <c r="P164" s="294">
        <v>844.1</v>
      </c>
      <c r="Q164" s="295">
        <v>7712.3</v>
      </c>
      <c r="R164" s="297">
        <v>26934.2</v>
      </c>
    </row>
    <row r="165" spans="1:18" ht="17.100000000000001" hidden="1" customHeight="1" x14ac:dyDescent="0.25">
      <c r="A165" s="220">
        <v>38811</v>
      </c>
      <c r="B165" s="213">
        <v>37789.083059867386</v>
      </c>
      <c r="C165" s="211">
        <v>12339.17701003</v>
      </c>
      <c r="D165" s="211">
        <v>69908.187465793453</v>
      </c>
      <c r="E165" s="212">
        <v>48888.403495937499</v>
      </c>
      <c r="F165" s="211">
        <v>191542.68850449726</v>
      </c>
      <c r="G165" s="213">
        <v>322678.45647625823</v>
      </c>
      <c r="H165" s="294">
        <v>675.66790700000001</v>
      </c>
      <c r="I165" s="294">
        <v>1506.6770185</v>
      </c>
      <c r="J165" s="298">
        <v>1766.0030543200003</v>
      </c>
      <c r="K165" s="214">
        <v>115.39687499999999</v>
      </c>
      <c r="L165" s="212">
        <v>69075.346047901214</v>
      </c>
      <c r="M165" s="295">
        <v>171.32919222999999</v>
      </c>
      <c r="N165" s="219">
        <v>33618.464355409305</v>
      </c>
      <c r="O165" s="299">
        <v>467396.4239864861</v>
      </c>
      <c r="P165" s="294">
        <v>859.50071336691997</v>
      </c>
      <c r="Q165" s="295">
        <v>8681.2519002012414</v>
      </c>
      <c r="R165" s="297">
        <v>26333.643518534278</v>
      </c>
    </row>
    <row r="166" spans="1:18" ht="17.100000000000001" hidden="1" customHeight="1" x14ac:dyDescent="0.25">
      <c r="A166" s="220">
        <v>38841</v>
      </c>
      <c r="B166" s="213">
        <v>36328.548670672157</v>
      </c>
      <c r="C166" s="211">
        <v>12456.594394139998</v>
      </c>
      <c r="D166" s="211">
        <v>69281.615019550009</v>
      </c>
      <c r="E166" s="212">
        <v>49475.622163072505</v>
      </c>
      <c r="F166" s="211">
        <v>208622.99470665227</v>
      </c>
      <c r="G166" s="213">
        <v>339836.82628341479</v>
      </c>
      <c r="H166" s="294">
        <v>608.93604400000004</v>
      </c>
      <c r="I166" s="294">
        <v>920.86022607929999</v>
      </c>
      <c r="J166" s="298">
        <v>1776.53939898</v>
      </c>
      <c r="K166" s="214">
        <v>111.3600499197</v>
      </c>
      <c r="L166" s="212">
        <v>83185.643189479306</v>
      </c>
      <c r="M166" s="295">
        <v>146.50138437999999</v>
      </c>
      <c r="N166" s="219">
        <v>35824.189557003177</v>
      </c>
      <c r="O166" s="299">
        <v>498739.40480392834</v>
      </c>
      <c r="P166" s="294">
        <v>759.54695717229401</v>
      </c>
      <c r="Q166" s="295">
        <v>9110.7840926324461</v>
      </c>
      <c r="R166" s="297">
        <v>26639.475061536417</v>
      </c>
    </row>
    <row r="167" spans="1:18" ht="17.100000000000001" hidden="1" customHeight="1" x14ac:dyDescent="0.25">
      <c r="A167" s="220">
        <v>38872</v>
      </c>
      <c r="B167" s="213">
        <v>35945.678492865554</v>
      </c>
      <c r="C167" s="211">
        <v>14240.402501648103</v>
      </c>
      <c r="D167" s="211">
        <v>70504.164355250003</v>
      </c>
      <c r="E167" s="212">
        <v>50414.439548219998</v>
      </c>
      <c r="F167" s="211">
        <v>208440.57626165368</v>
      </c>
      <c r="G167" s="213">
        <v>343599.58266677184</v>
      </c>
      <c r="H167" s="294">
        <v>841.06467599999996</v>
      </c>
      <c r="I167" s="294">
        <v>1393.282193342762</v>
      </c>
      <c r="J167" s="298">
        <v>1680.85943479</v>
      </c>
      <c r="K167" s="214">
        <v>106.961805</v>
      </c>
      <c r="L167" s="212">
        <v>73413.897162165798</v>
      </c>
      <c r="M167" s="295">
        <v>268.34537397999998</v>
      </c>
      <c r="N167" s="219">
        <v>34041.51757578503</v>
      </c>
      <c r="O167" s="299">
        <v>491291.18938070093</v>
      </c>
      <c r="P167" s="294">
        <v>884.22912759779695</v>
      </c>
      <c r="Q167" s="295">
        <v>9224.5234574953029</v>
      </c>
      <c r="R167" s="297">
        <v>25183.870442024734</v>
      </c>
    </row>
    <row r="168" spans="1:18" ht="17.100000000000001" hidden="1" customHeight="1" x14ac:dyDescent="0.25">
      <c r="A168" s="220">
        <v>38902</v>
      </c>
      <c r="B168" s="213">
        <v>38856.715565693012</v>
      </c>
      <c r="C168" s="211">
        <v>13651.915797934758</v>
      </c>
      <c r="D168" s="211">
        <v>70665.480435509991</v>
      </c>
      <c r="E168" s="212">
        <v>51500.670103259996</v>
      </c>
      <c r="F168" s="211">
        <v>217617.05176535808</v>
      </c>
      <c r="G168" s="213">
        <v>353435.11810206284</v>
      </c>
      <c r="H168" s="294">
        <v>1017.480589</v>
      </c>
      <c r="I168" s="294">
        <v>789.3799865574</v>
      </c>
      <c r="J168" s="298">
        <v>1663.21851984</v>
      </c>
      <c r="K168" s="214">
        <v>103.833333</v>
      </c>
      <c r="L168" s="212">
        <v>80259.341724990096</v>
      </c>
      <c r="M168" s="295">
        <v>184.77071556000001</v>
      </c>
      <c r="N168" s="219">
        <v>33472.357200486753</v>
      </c>
      <c r="O168" s="299">
        <v>509782.2157371901</v>
      </c>
      <c r="P168" s="294">
        <v>811.86053165465</v>
      </c>
      <c r="Q168" s="295">
        <v>9500.8478939076012</v>
      </c>
      <c r="R168" s="297">
        <v>24376.632046391231</v>
      </c>
    </row>
    <row r="169" spans="1:18" ht="17.100000000000001" hidden="1" customHeight="1" x14ac:dyDescent="0.25">
      <c r="A169" s="220">
        <v>38933</v>
      </c>
      <c r="B169" s="213">
        <v>39538.894083582309</v>
      </c>
      <c r="C169" s="211">
        <v>14606.158464992388</v>
      </c>
      <c r="D169" s="211">
        <v>71360.13975301999</v>
      </c>
      <c r="E169" s="212">
        <v>52029.152807316896</v>
      </c>
      <c r="F169" s="211">
        <v>222634.03862917353</v>
      </c>
      <c r="G169" s="213">
        <v>360629.48965450283</v>
      </c>
      <c r="H169" s="294">
        <v>763.323081</v>
      </c>
      <c r="I169" s="294">
        <v>1007.0960447402</v>
      </c>
      <c r="J169" s="298">
        <v>2103.03426756</v>
      </c>
      <c r="K169" s="214">
        <v>103.34861594253333</v>
      </c>
      <c r="L169" s="212">
        <v>83111.495058473738</v>
      </c>
      <c r="M169" s="295">
        <v>185.93523019999998</v>
      </c>
      <c r="N169" s="219">
        <v>34806.996549945376</v>
      </c>
      <c r="O169" s="299">
        <v>522249.61258594698</v>
      </c>
      <c r="P169" s="294">
        <v>909.05931357014083</v>
      </c>
      <c r="Q169" s="295">
        <v>11204.916419407582</v>
      </c>
      <c r="R169" s="297">
        <v>24534.506904093349</v>
      </c>
    </row>
    <row r="170" spans="1:18" ht="17.100000000000001" hidden="1" customHeight="1" x14ac:dyDescent="0.25">
      <c r="A170" s="220">
        <v>38964</v>
      </c>
      <c r="B170" s="213">
        <v>38415.680143325524</v>
      </c>
      <c r="C170" s="211">
        <v>14755.339781037763</v>
      </c>
      <c r="D170" s="211">
        <v>70865.407833656151</v>
      </c>
      <c r="E170" s="212">
        <v>52258.20919070152</v>
      </c>
      <c r="F170" s="211">
        <v>246474.22319282172</v>
      </c>
      <c r="G170" s="213">
        <v>384353.17999821715</v>
      </c>
      <c r="H170" s="294">
        <v>576.47537799999998</v>
      </c>
      <c r="I170" s="294">
        <v>1542.863464</v>
      </c>
      <c r="J170" s="298">
        <v>1645.1564350599999</v>
      </c>
      <c r="K170" s="214">
        <v>99.100597968799988</v>
      </c>
      <c r="L170" s="212">
        <v>82272.749120402979</v>
      </c>
      <c r="M170" s="295">
        <v>409.62573135000002</v>
      </c>
      <c r="N170" s="219">
        <v>38681.221334301532</v>
      </c>
      <c r="O170" s="299">
        <v>547996.0522026259</v>
      </c>
      <c r="P170" s="294">
        <v>784.88532452712388</v>
      </c>
      <c r="Q170" s="295">
        <v>13396.544971753299</v>
      </c>
      <c r="R170" s="297">
        <v>24891.347758025375</v>
      </c>
    </row>
    <row r="171" spans="1:18" ht="17.100000000000001" hidden="1" customHeight="1" x14ac:dyDescent="0.25">
      <c r="A171" s="220">
        <v>38994</v>
      </c>
      <c r="B171" s="213">
        <v>39183.210187195349</v>
      </c>
      <c r="C171" s="211">
        <v>13763.312606333302</v>
      </c>
      <c r="D171" s="211">
        <v>70353.759731990474</v>
      </c>
      <c r="E171" s="212">
        <v>52952.367946641803</v>
      </c>
      <c r="F171" s="211">
        <v>247893.75165553577</v>
      </c>
      <c r="G171" s="213">
        <v>384963.19194050133</v>
      </c>
      <c r="H171" s="294">
        <v>1942.4446660000001</v>
      </c>
      <c r="I171" s="294">
        <v>1525.3531800000001</v>
      </c>
      <c r="J171" s="298">
        <v>1544.2456067999999</v>
      </c>
      <c r="K171" s="214">
        <v>99.152777</v>
      </c>
      <c r="L171" s="212">
        <v>85273.871437792142</v>
      </c>
      <c r="M171" s="295">
        <v>181.78692365000001</v>
      </c>
      <c r="N171" s="219">
        <v>38968.708448031422</v>
      </c>
      <c r="O171" s="299">
        <v>553681.96516697027</v>
      </c>
      <c r="P171" s="294">
        <v>948.10002470860195</v>
      </c>
      <c r="Q171" s="295">
        <v>14847.023643733521</v>
      </c>
      <c r="R171" s="297">
        <v>25647.676949284843</v>
      </c>
    </row>
    <row r="172" spans="1:18" ht="17.100000000000001" hidden="1" customHeight="1" x14ac:dyDescent="0.25">
      <c r="A172" s="220">
        <v>39025</v>
      </c>
      <c r="B172" s="213">
        <v>39628.254322696332</v>
      </c>
      <c r="C172" s="211">
        <v>14530.925454881601</v>
      </c>
      <c r="D172" s="211">
        <v>70805.037313051493</v>
      </c>
      <c r="E172" s="212">
        <v>52101.017588882773</v>
      </c>
      <c r="F172" s="211">
        <v>272561.67765062919</v>
      </c>
      <c r="G172" s="213">
        <v>409998.65800744505</v>
      </c>
      <c r="H172" s="294">
        <v>1735.303161</v>
      </c>
      <c r="I172" s="294">
        <v>1552.3153500000001</v>
      </c>
      <c r="J172" s="298">
        <v>1541.1359628</v>
      </c>
      <c r="K172" s="214">
        <v>90.284722000000002</v>
      </c>
      <c r="L172" s="212">
        <v>83848.779267479214</v>
      </c>
      <c r="M172" s="295">
        <v>195.18050628</v>
      </c>
      <c r="N172" s="219">
        <v>41365.106218092849</v>
      </c>
      <c r="O172" s="299">
        <v>579955.01751779357</v>
      </c>
      <c r="P172" s="294">
        <v>920.66912907108997</v>
      </c>
      <c r="Q172" s="295">
        <v>14385.066447959533</v>
      </c>
      <c r="R172" s="297">
        <v>26797.138012394582</v>
      </c>
    </row>
    <row r="173" spans="1:18" ht="17.100000000000001" hidden="1" customHeight="1" x14ac:dyDescent="0.25">
      <c r="A173" s="220">
        <v>39055</v>
      </c>
      <c r="B173" s="213">
        <v>38264.265274796315</v>
      </c>
      <c r="C173" s="211">
        <v>15094.59161351</v>
      </c>
      <c r="D173" s="211">
        <v>72630.524212953576</v>
      </c>
      <c r="E173" s="212">
        <v>52007.626654745</v>
      </c>
      <c r="F173" s="211">
        <v>299459.55919592892</v>
      </c>
      <c r="G173" s="213">
        <v>439192.3016771375</v>
      </c>
      <c r="H173" s="294">
        <v>1942.5017720000001</v>
      </c>
      <c r="I173" s="294">
        <v>922.40969308000001</v>
      </c>
      <c r="J173" s="298">
        <v>1535.6781856100001</v>
      </c>
      <c r="K173" s="214">
        <v>1710.8034720000001</v>
      </c>
      <c r="L173" s="212">
        <v>85821.266988164993</v>
      </c>
      <c r="M173" s="295">
        <v>188.93912783999997</v>
      </c>
      <c r="N173" s="219">
        <v>39696.624835439325</v>
      </c>
      <c r="O173" s="299">
        <v>609274.79102606804</v>
      </c>
      <c r="P173" s="294">
        <v>1036.9925128875</v>
      </c>
      <c r="Q173" s="295">
        <v>14817.26762307225</v>
      </c>
      <c r="R173" s="297">
        <v>26745.332369011503</v>
      </c>
    </row>
    <row r="174" spans="1:18" ht="17.100000000000001" hidden="1" customHeight="1" x14ac:dyDescent="0.25">
      <c r="A174" s="220">
        <v>39086</v>
      </c>
      <c r="B174" s="213">
        <v>41237.896880329274</v>
      </c>
      <c r="C174" s="211">
        <v>14926.672092806451</v>
      </c>
      <c r="D174" s="211">
        <v>72075.320443250006</v>
      </c>
      <c r="E174" s="212">
        <v>52383.656059624169</v>
      </c>
      <c r="F174" s="211">
        <v>273912.26782859705</v>
      </c>
      <c r="G174" s="213">
        <v>413297.9164242777</v>
      </c>
      <c r="H174" s="294">
        <v>495.6</v>
      </c>
      <c r="I174" s="294">
        <v>2034.7150406097501</v>
      </c>
      <c r="J174" s="298">
        <v>1439.55187161</v>
      </c>
      <c r="K174" s="214">
        <v>84.233287000000004</v>
      </c>
      <c r="L174" s="212">
        <v>82434.071374812906</v>
      </c>
      <c r="M174" s="295">
        <v>394.68905271000006</v>
      </c>
      <c r="N174" s="219">
        <v>37759.681166899434</v>
      </c>
      <c r="O174" s="299">
        <v>579178.35509824904</v>
      </c>
      <c r="P174" s="294">
        <v>894.8075234487676</v>
      </c>
      <c r="Q174" s="295">
        <v>20719.872950271463</v>
      </c>
      <c r="R174" s="297">
        <v>27121.786636066317</v>
      </c>
    </row>
    <row r="175" spans="1:18" ht="17.100000000000001" hidden="1" customHeight="1" x14ac:dyDescent="0.25">
      <c r="A175" s="220">
        <v>39117</v>
      </c>
      <c r="B175" s="213">
        <v>39361.552037328802</v>
      </c>
      <c r="C175" s="211">
        <v>15969.821559922933</v>
      </c>
      <c r="D175" s="211">
        <v>73475.119023290012</v>
      </c>
      <c r="E175" s="212">
        <v>52703.943840727508</v>
      </c>
      <c r="F175" s="211">
        <v>275346.52046434314</v>
      </c>
      <c r="G175" s="213">
        <v>417495.40488828358</v>
      </c>
      <c r="H175" s="294">
        <v>1432.41155</v>
      </c>
      <c r="I175" s="294">
        <v>596.00466031999997</v>
      </c>
      <c r="J175" s="298">
        <v>1437.4964736100001</v>
      </c>
      <c r="K175" s="214">
        <v>87.513453148183331</v>
      </c>
      <c r="L175" s="212">
        <v>82689.254730108049</v>
      </c>
      <c r="M175" s="295">
        <v>202.66117700000001</v>
      </c>
      <c r="N175" s="219">
        <v>38679.908281309705</v>
      </c>
      <c r="O175" s="299">
        <v>581982.20725110837</v>
      </c>
      <c r="P175" s="294">
        <v>634.22318991004317</v>
      </c>
      <c r="Q175" s="295">
        <v>13048.87204747268</v>
      </c>
      <c r="R175" s="297">
        <v>27789.450119973182</v>
      </c>
    </row>
    <row r="176" spans="1:18" ht="17.100000000000001" hidden="1" customHeight="1" x14ac:dyDescent="0.25">
      <c r="A176" s="220">
        <v>39145</v>
      </c>
      <c r="B176" s="213">
        <v>39093.285654012958</v>
      </c>
      <c r="C176" s="211">
        <v>15971.881930221802</v>
      </c>
      <c r="D176" s="211">
        <v>73118.177204579988</v>
      </c>
      <c r="E176" s="212">
        <v>54628.388704122393</v>
      </c>
      <c r="F176" s="211">
        <v>283611.89338598202</v>
      </c>
      <c r="G176" s="213">
        <v>427330.34122490621</v>
      </c>
      <c r="H176" s="294">
        <v>1260.2740650000001</v>
      </c>
      <c r="I176" s="294">
        <v>1166.8732867342976</v>
      </c>
      <c r="J176" s="298">
        <v>1435.15478981</v>
      </c>
      <c r="K176" s="214">
        <v>71.990440748531313</v>
      </c>
      <c r="L176" s="212">
        <v>87663.059775620422</v>
      </c>
      <c r="M176" s="295">
        <v>194.75647052000002</v>
      </c>
      <c r="N176" s="219">
        <v>40042.757555454584</v>
      </c>
      <c r="O176" s="299">
        <v>598258.49326280702</v>
      </c>
      <c r="P176" s="294">
        <v>668.99630235338998</v>
      </c>
      <c r="Q176" s="295">
        <v>13823.225738575306</v>
      </c>
      <c r="R176" s="297">
        <v>26889.231380395693</v>
      </c>
    </row>
    <row r="177" spans="1:18" ht="17.100000000000001" hidden="1" customHeight="1" x14ac:dyDescent="0.25">
      <c r="A177" s="220">
        <v>39176</v>
      </c>
      <c r="B177" s="213">
        <v>40016.14276302675</v>
      </c>
      <c r="C177" s="211">
        <v>16421.777443627736</v>
      </c>
      <c r="D177" s="211">
        <v>73037.387095263563</v>
      </c>
      <c r="E177" s="212">
        <v>54999.42761372737</v>
      </c>
      <c r="F177" s="211">
        <v>282141.28529764002</v>
      </c>
      <c r="G177" s="213">
        <v>426599.8774502587</v>
      </c>
      <c r="H177" s="294">
        <v>1176.9680900000001</v>
      </c>
      <c r="I177" s="294">
        <v>1435.8381945547274</v>
      </c>
      <c r="J177" s="298">
        <v>1340.0286288099999</v>
      </c>
      <c r="K177" s="214">
        <v>856.250001</v>
      </c>
      <c r="L177" s="212">
        <v>86063.911275163235</v>
      </c>
      <c r="M177" s="295">
        <v>172.40133334999999</v>
      </c>
      <c r="N177" s="219">
        <v>40046.096965503864</v>
      </c>
      <c r="O177" s="299">
        <v>597707.51470166724</v>
      </c>
      <c r="P177" s="294">
        <v>616.82661953017669</v>
      </c>
      <c r="Q177" s="295">
        <v>14862.392229500863</v>
      </c>
      <c r="R177" s="297">
        <v>27547.850340083387</v>
      </c>
    </row>
    <row r="178" spans="1:18" ht="17.100000000000001" hidden="1" customHeight="1" x14ac:dyDescent="0.25">
      <c r="A178" s="220">
        <v>39206</v>
      </c>
      <c r="B178" s="213">
        <v>39592.090761160915</v>
      </c>
      <c r="C178" s="211">
        <v>17439.220281897567</v>
      </c>
      <c r="D178" s="211">
        <v>72496.842956805354</v>
      </c>
      <c r="E178" s="212">
        <v>55883.906478431891</v>
      </c>
      <c r="F178" s="211">
        <v>275617.64896454872</v>
      </c>
      <c r="G178" s="213">
        <v>421437.61868168355</v>
      </c>
      <c r="H178" s="294">
        <v>2068.7641610000001</v>
      </c>
      <c r="I178" s="294">
        <v>570.24548286940001</v>
      </c>
      <c r="J178" s="298">
        <v>1339.9668938099999</v>
      </c>
      <c r="K178" s="214">
        <v>3166.3652769999999</v>
      </c>
      <c r="L178" s="212">
        <v>92525.658885445999</v>
      </c>
      <c r="M178" s="295">
        <v>198.01183466999998</v>
      </c>
      <c r="N178" s="219">
        <v>43505.211066319098</v>
      </c>
      <c r="O178" s="299">
        <v>604403.93304395897</v>
      </c>
      <c r="P178" s="294">
        <v>1570.99340514</v>
      </c>
      <c r="Q178" s="295">
        <v>12298.885359942966</v>
      </c>
      <c r="R178" s="297">
        <v>28485.965913041888</v>
      </c>
    </row>
    <row r="179" spans="1:18" ht="17.100000000000001" hidden="1" customHeight="1" x14ac:dyDescent="0.25">
      <c r="A179" s="220">
        <v>39237</v>
      </c>
      <c r="B179" s="213">
        <v>39761.497566172409</v>
      </c>
      <c r="C179" s="211">
        <v>16218.650150268439</v>
      </c>
      <c r="D179" s="211">
        <v>75083.559045704606</v>
      </c>
      <c r="E179" s="212">
        <v>56171.337685987099</v>
      </c>
      <c r="F179" s="211">
        <v>286940.21505947877</v>
      </c>
      <c r="G179" s="213">
        <v>434413.76194143889</v>
      </c>
      <c r="H179" s="294">
        <v>740.66122600000006</v>
      </c>
      <c r="I179" s="294">
        <v>1095.6070701645601</v>
      </c>
      <c r="J179" s="298">
        <v>1337.4968465999998</v>
      </c>
      <c r="K179" s="214">
        <v>2388.9479135000001</v>
      </c>
      <c r="L179" s="212">
        <v>101448.19552319779</v>
      </c>
      <c r="M179" s="295">
        <v>179.19547094999999</v>
      </c>
      <c r="N179" s="219">
        <v>42533.540475688707</v>
      </c>
      <c r="O179" s="299">
        <v>623898.90403371223</v>
      </c>
      <c r="P179" s="294">
        <v>754.09366899313</v>
      </c>
      <c r="Q179" s="295">
        <v>14636.019580593207</v>
      </c>
      <c r="R179" s="297">
        <v>29108.232753626628</v>
      </c>
    </row>
    <row r="180" spans="1:18" ht="17.100000000000001" hidden="1" customHeight="1" x14ac:dyDescent="0.25">
      <c r="A180" s="220">
        <v>39267</v>
      </c>
      <c r="B180" s="213">
        <v>42815.13521403545</v>
      </c>
      <c r="C180" s="211">
        <v>14882.622112465391</v>
      </c>
      <c r="D180" s="211">
        <v>74439.564063894199</v>
      </c>
      <c r="E180" s="212">
        <v>57338.248666217769</v>
      </c>
      <c r="F180" s="211">
        <v>321345.06791420595</v>
      </c>
      <c r="G180" s="213">
        <v>468005.50275678333</v>
      </c>
      <c r="H180" s="294">
        <v>793.87748399999998</v>
      </c>
      <c r="I180" s="294">
        <v>1331.0079938677331</v>
      </c>
      <c r="J180" s="298">
        <v>1240.68604329</v>
      </c>
      <c r="K180" s="214">
        <v>51.508333</v>
      </c>
      <c r="L180" s="212">
        <v>91349.802510185749</v>
      </c>
      <c r="M180" s="295">
        <v>204.43575978000001</v>
      </c>
      <c r="N180" s="219">
        <v>39711.031656833256</v>
      </c>
      <c r="O180" s="299">
        <v>645502.98775177554</v>
      </c>
      <c r="P180" s="294">
        <v>660.59865343611864</v>
      </c>
      <c r="Q180" s="295">
        <v>14579.387111143475</v>
      </c>
      <c r="R180" s="297">
        <v>28445.738697732326</v>
      </c>
    </row>
    <row r="181" spans="1:18" ht="17.100000000000001" hidden="1" customHeight="1" x14ac:dyDescent="0.25">
      <c r="A181" s="220">
        <v>39298</v>
      </c>
      <c r="B181" s="213">
        <v>42107.660789130772</v>
      </c>
      <c r="C181" s="211">
        <v>15038.221269937188</v>
      </c>
      <c r="D181" s="211">
        <v>74510.392492476822</v>
      </c>
      <c r="E181" s="212">
        <v>59252.264913179082</v>
      </c>
      <c r="F181" s="211">
        <v>327309.68400544632</v>
      </c>
      <c r="G181" s="213">
        <v>476110.56268103939</v>
      </c>
      <c r="H181" s="294">
        <v>1200.041553</v>
      </c>
      <c r="I181" s="294">
        <v>2090.1869199770999</v>
      </c>
      <c r="J181" s="298">
        <v>1240.57743891</v>
      </c>
      <c r="K181" s="214">
        <v>47.124304999999993</v>
      </c>
      <c r="L181" s="212">
        <v>97019.453372070886</v>
      </c>
      <c r="M181" s="295">
        <v>262.66118234999999</v>
      </c>
      <c r="N181" s="219">
        <v>42523.403885241409</v>
      </c>
      <c r="O181" s="299">
        <v>662601.6721267195</v>
      </c>
      <c r="P181" s="294">
        <v>1871.4671275974499</v>
      </c>
      <c r="Q181" s="295">
        <v>14424.54493593898</v>
      </c>
      <c r="R181" s="297">
        <v>29897.428364197403</v>
      </c>
    </row>
    <row r="182" spans="1:18" ht="17.100000000000001" hidden="1" customHeight="1" x14ac:dyDescent="0.25">
      <c r="A182" s="220">
        <v>39329</v>
      </c>
      <c r="B182" s="213">
        <v>41351.253952710242</v>
      </c>
      <c r="C182" s="211">
        <v>17698.460957907664</v>
      </c>
      <c r="D182" s="211">
        <v>74643.907522941721</v>
      </c>
      <c r="E182" s="212">
        <v>59005.12241185984</v>
      </c>
      <c r="F182" s="211">
        <v>332024.35019516654</v>
      </c>
      <c r="G182" s="213">
        <v>483371.84108787577</v>
      </c>
      <c r="H182" s="294">
        <v>598.56087500000001</v>
      </c>
      <c r="I182" s="294">
        <v>2428.8150328634665</v>
      </c>
      <c r="J182" s="298">
        <v>1238.2822980000001</v>
      </c>
      <c r="K182" s="214">
        <v>157.33760255819118</v>
      </c>
      <c r="L182" s="212">
        <v>101282.39344934023</v>
      </c>
      <c r="M182" s="295">
        <v>223.00376259999999</v>
      </c>
      <c r="N182" s="219">
        <v>42014.882050474902</v>
      </c>
      <c r="O182" s="299">
        <v>672666.37011142273</v>
      </c>
      <c r="P182" s="294">
        <v>1760.2558156549348</v>
      </c>
      <c r="Q182" s="295">
        <v>15610.524431525258</v>
      </c>
      <c r="R182" s="297">
        <v>30790.800912059651</v>
      </c>
    </row>
    <row r="183" spans="1:18" ht="17.100000000000001" hidden="1" customHeight="1" x14ac:dyDescent="0.25">
      <c r="A183" s="220">
        <v>39359</v>
      </c>
      <c r="B183" s="213">
        <v>41761.875019543375</v>
      </c>
      <c r="C183" s="211">
        <v>17484.290051539319</v>
      </c>
      <c r="D183" s="211">
        <v>74176.35885617754</v>
      </c>
      <c r="E183" s="212">
        <v>60562.157653942711</v>
      </c>
      <c r="F183" s="211">
        <v>334505.25595951884</v>
      </c>
      <c r="G183" s="213">
        <v>486728.06252117839</v>
      </c>
      <c r="H183" s="294">
        <v>550.20000000000005</v>
      </c>
      <c r="I183" s="294">
        <v>1167.161942</v>
      </c>
      <c r="J183" s="298">
        <v>1138.8180956800002</v>
      </c>
      <c r="K183" s="214">
        <v>127.737499</v>
      </c>
      <c r="L183" s="212">
        <v>93162.695088233537</v>
      </c>
      <c r="M183" s="295">
        <v>176.05114791999998</v>
      </c>
      <c r="N183" s="219">
        <v>45414.605347294979</v>
      </c>
      <c r="O183" s="299">
        <v>670227.20666085021</v>
      </c>
      <c r="P183" s="294">
        <v>742.39100515989878</v>
      </c>
      <c r="Q183" s="295">
        <v>18279.364566641376</v>
      </c>
      <c r="R183" s="297">
        <v>32099.461166553127</v>
      </c>
    </row>
    <row r="184" spans="1:18" ht="17.100000000000001" hidden="1" customHeight="1" x14ac:dyDescent="0.25">
      <c r="A184" s="220">
        <v>39390</v>
      </c>
      <c r="B184" s="213">
        <v>41349.790478749084</v>
      </c>
      <c r="C184" s="211">
        <v>17581.012513052476</v>
      </c>
      <c r="D184" s="211">
        <v>75478.222469530127</v>
      </c>
      <c r="E184" s="212">
        <v>62086.77497899274</v>
      </c>
      <c r="F184" s="211">
        <v>369659.41182994132</v>
      </c>
      <c r="G184" s="213">
        <v>524805.42179151671</v>
      </c>
      <c r="H184" s="294">
        <v>1580.2014790000001</v>
      </c>
      <c r="I184" s="294">
        <v>1699.1791639999999</v>
      </c>
      <c r="J184" s="298">
        <v>1138.8181356800001</v>
      </c>
      <c r="K184" s="214">
        <v>122.185832</v>
      </c>
      <c r="L184" s="212">
        <v>97693.564260183644</v>
      </c>
      <c r="M184" s="295">
        <v>194.71733823000002</v>
      </c>
      <c r="N184" s="219">
        <v>45926.496207031982</v>
      </c>
      <c r="O184" s="299">
        <v>714510.37468639144</v>
      </c>
      <c r="P184" s="294">
        <v>1846.1546069188505</v>
      </c>
      <c r="Q184" s="295">
        <v>14067.362827346911</v>
      </c>
      <c r="R184" s="297">
        <v>32088.866855681736</v>
      </c>
    </row>
    <row r="185" spans="1:18" ht="17.100000000000001" hidden="1" customHeight="1" x14ac:dyDescent="0.25">
      <c r="A185" s="220">
        <v>39420</v>
      </c>
      <c r="B185" s="213">
        <v>40608.749888339378</v>
      </c>
      <c r="C185" s="211">
        <v>20988.844513389162</v>
      </c>
      <c r="D185" s="211">
        <v>80058.047623434672</v>
      </c>
      <c r="E185" s="212">
        <v>60979.576944237982</v>
      </c>
      <c r="F185" s="211">
        <v>341766.62186746439</v>
      </c>
      <c r="G185" s="213">
        <v>503793.09094852622</v>
      </c>
      <c r="H185" s="294">
        <v>1688.2</v>
      </c>
      <c r="I185" s="294">
        <v>1179.985846</v>
      </c>
      <c r="J185" s="298">
        <v>1039.8980081</v>
      </c>
      <c r="K185" s="214">
        <v>27.756944000000001</v>
      </c>
      <c r="L185" s="212">
        <v>98714.051315161196</v>
      </c>
      <c r="M185" s="295">
        <v>156.28003122999999</v>
      </c>
      <c r="N185" s="219">
        <v>47550.322329328767</v>
      </c>
      <c r="O185" s="299">
        <v>694758.33531068545</v>
      </c>
      <c r="P185" s="294">
        <v>1915.9548169166123</v>
      </c>
      <c r="Q185" s="295">
        <v>20762.554697381362</v>
      </c>
      <c r="R185" s="297">
        <v>24875.468099713384</v>
      </c>
    </row>
    <row r="186" spans="1:18" ht="17.100000000000001" hidden="1" customHeight="1" x14ac:dyDescent="0.25">
      <c r="A186" s="220">
        <v>39451</v>
      </c>
      <c r="B186" s="213">
        <v>45219.733712550544</v>
      </c>
      <c r="C186" s="211">
        <v>18534.134153139501</v>
      </c>
      <c r="D186" s="211">
        <v>81207.245343740928</v>
      </c>
      <c r="E186" s="212">
        <v>63277.397415653177</v>
      </c>
      <c r="F186" s="211">
        <v>371821.6633845421</v>
      </c>
      <c r="G186" s="213">
        <v>534840.44029707578</v>
      </c>
      <c r="H186" s="294">
        <v>528.68053399999997</v>
      </c>
      <c r="I186" s="294">
        <v>1391.4727522820558</v>
      </c>
      <c r="J186" s="298">
        <v>1031.7192833500001</v>
      </c>
      <c r="K186" s="214">
        <v>663.72923800000001</v>
      </c>
      <c r="L186" s="212">
        <v>94578.328081936867</v>
      </c>
      <c r="M186" s="295">
        <v>258.47888306999999</v>
      </c>
      <c r="N186" s="219">
        <v>44956.311655903381</v>
      </c>
      <c r="O186" s="299">
        <v>723468.89443816862</v>
      </c>
      <c r="P186" s="294">
        <v>797.35901141019599</v>
      </c>
      <c r="Q186" s="295">
        <v>15835.307889879743</v>
      </c>
      <c r="R186" s="297">
        <v>33587.159823334492</v>
      </c>
    </row>
    <row r="187" spans="1:18" ht="17.100000000000001" hidden="1" customHeight="1" x14ac:dyDescent="0.25">
      <c r="A187" s="220">
        <v>39482</v>
      </c>
      <c r="B187" s="213">
        <v>44157.010248564169</v>
      </c>
      <c r="C187" s="211">
        <v>18412.574908160284</v>
      </c>
      <c r="D187" s="211">
        <v>83938.260442163475</v>
      </c>
      <c r="E187" s="212">
        <v>63170.641707209703</v>
      </c>
      <c r="F187" s="211">
        <v>349702.87977487751</v>
      </c>
      <c r="G187" s="213">
        <v>515224.35683241097</v>
      </c>
      <c r="H187" s="294">
        <v>619.20630000000006</v>
      </c>
      <c r="I187" s="294">
        <v>2392.6345342760801</v>
      </c>
      <c r="J187" s="298">
        <v>1031.7117390999999</v>
      </c>
      <c r="K187" s="214">
        <v>673.01901154910229</v>
      </c>
      <c r="L187" s="212">
        <v>96548.267291048774</v>
      </c>
      <c r="M187" s="295">
        <v>251.84620692999999</v>
      </c>
      <c r="N187" s="219">
        <v>43935.237624523965</v>
      </c>
      <c r="O187" s="299">
        <v>704833.28978840297</v>
      </c>
      <c r="P187" s="294">
        <v>683.9946615662401</v>
      </c>
      <c r="Q187" s="295">
        <v>13923.390133913685</v>
      </c>
      <c r="R187" s="297">
        <v>33365.485037089602</v>
      </c>
    </row>
    <row r="188" spans="1:18" ht="17.100000000000001" hidden="1" customHeight="1" x14ac:dyDescent="0.25">
      <c r="A188" s="220">
        <v>39511</v>
      </c>
      <c r="B188" s="213">
        <v>44910.173476965756</v>
      </c>
      <c r="C188" s="211">
        <v>19724.030662492001</v>
      </c>
      <c r="D188" s="211">
        <v>84561.29692060352</v>
      </c>
      <c r="E188" s="212">
        <v>63780.792761205383</v>
      </c>
      <c r="F188" s="211">
        <v>333992.21119524055</v>
      </c>
      <c r="G188" s="213">
        <v>502058.33153954148</v>
      </c>
      <c r="H188" s="294">
        <v>522.72570900000005</v>
      </c>
      <c r="I188" s="294">
        <v>1708.8411643392001</v>
      </c>
      <c r="J188" s="298">
        <v>948.38940024999999</v>
      </c>
      <c r="K188" s="214">
        <v>1448.8523960578514</v>
      </c>
      <c r="L188" s="212">
        <v>99935.646526357232</v>
      </c>
      <c r="M188" s="295">
        <v>212.59675449000002</v>
      </c>
      <c r="N188" s="219">
        <v>41830.212677692951</v>
      </c>
      <c r="O188" s="299">
        <v>693575.76964469452</v>
      </c>
      <c r="P188" s="294">
        <v>679.58188638586478</v>
      </c>
      <c r="Q188" s="295">
        <v>13558.901720736643</v>
      </c>
      <c r="R188" s="297">
        <v>32722.405401442564</v>
      </c>
    </row>
    <row r="189" spans="1:18" ht="17.100000000000001" hidden="1" customHeight="1" x14ac:dyDescent="0.25">
      <c r="A189" s="220">
        <v>39542</v>
      </c>
      <c r="B189" s="213">
        <v>45848.841611171447</v>
      </c>
      <c r="C189" s="211">
        <v>19734.298720471084</v>
      </c>
      <c r="D189" s="211">
        <v>84690.78256286215</v>
      </c>
      <c r="E189" s="212">
        <v>65010.498764904842</v>
      </c>
      <c r="F189" s="211">
        <v>324774.01394262968</v>
      </c>
      <c r="G189" s="213">
        <v>494209.59399086778</v>
      </c>
      <c r="H189" s="294">
        <v>802.36300000000006</v>
      </c>
      <c r="I189" s="294">
        <v>2093.9754046900002</v>
      </c>
      <c r="J189" s="298">
        <v>920.78114125000002</v>
      </c>
      <c r="K189" s="214">
        <v>576.63443815050289</v>
      </c>
      <c r="L189" s="212">
        <v>94274.512404133231</v>
      </c>
      <c r="M189" s="295">
        <v>222.74640398000003</v>
      </c>
      <c r="N189" s="219">
        <v>42076.990137140856</v>
      </c>
      <c r="O189" s="299">
        <v>681026.43853138376</v>
      </c>
      <c r="P189" s="294">
        <v>578.80602092979598</v>
      </c>
      <c r="Q189" s="295">
        <v>14802.094783983917</v>
      </c>
      <c r="R189" s="297">
        <v>32662.521141380668</v>
      </c>
    </row>
    <row r="190" spans="1:18" ht="15.75" hidden="1" x14ac:dyDescent="0.25">
      <c r="A190" s="220">
        <v>39572</v>
      </c>
      <c r="B190" s="213">
        <v>47177.779339516645</v>
      </c>
      <c r="C190" s="211">
        <v>19685.681642919943</v>
      </c>
      <c r="D190" s="211">
        <v>85463.976679167085</v>
      </c>
      <c r="E190" s="212">
        <v>65817.924610309477</v>
      </c>
      <c r="F190" s="211">
        <v>360244.46664578613</v>
      </c>
      <c r="G190" s="213">
        <v>531212.04957818263</v>
      </c>
      <c r="H190" s="294">
        <v>1003.659224</v>
      </c>
      <c r="I190" s="294">
        <v>2641.5220657513678</v>
      </c>
      <c r="J190" s="298">
        <v>920.78114225000002</v>
      </c>
      <c r="K190" s="214">
        <v>603.82880214461977</v>
      </c>
      <c r="L190" s="212">
        <v>88488.464074485993</v>
      </c>
      <c r="M190" s="295">
        <v>414.39452836000004</v>
      </c>
      <c r="N190" s="219">
        <v>45458.324808682773</v>
      </c>
      <c r="O190" s="299">
        <v>717920.80356337398</v>
      </c>
      <c r="P190" s="294">
        <v>546.942120975889</v>
      </c>
      <c r="Q190" s="295">
        <v>15101.476187212389</v>
      </c>
      <c r="R190" s="297">
        <v>37316.926964848237</v>
      </c>
    </row>
    <row r="191" spans="1:18" ht="15.75" hidden="1" x14ac:dyDescent="0.25">
      <c r="A191" s="220">
        <v>39603</v>
      </c>
      <c r="B191" s="213">
        <v>47360.804633645967</v>
      </c>
      <c r="C191" s="211">
        <v>21507.384456406235</v>
      </c>
      <c r="D191" s="211">
        <v>88942.767253905346</v>
      </c>
      <c r="E191" s="212">
        <v>63879.467641770272</v>
      </c>
      <c r="F191" s="211">
        <v>361915.3205144697</v>
      </c>
      <c r="G191" s="213">
        <v>536244.93986655155</v>
      </c>
      <c r="H191" s="294">
        <v>832.39395200000001</v>
      </c>
      <c r="I191" s="294">
        <v>1134.3030817885001</v>
      </c>
      <c r="J191" s="298">
        <v>836.01806525999996</v>
      </c>
      <c r="K191" s="214">
        <v>1441.3874209032226</v>
      </c>
      <c r="L191" s="212">
        <v>95825.776374097186</v>
      </c>
      <c r="M191" s="295">
        <v>296.52655923000003</v>
      </c>
      <c r="N191" s="219">
        <v>45370.31866591471</v>
      </c>
      <c r="O191" s="299">
        <v>729342.46861939097</v>
      </c>
      <c r="P191" s="294">
        <v>556.66365399074368</v>
      </c>
      <c r="Q191" s="295">
        <v>16837.667766306666</v>
      </c>
      <c r="R191" s="297">
        <v>36383.167117811172</v>
      </c>
    </row>
    <row r="192" spans="1:18" ht="15.75" hidden="1" x14ac:dyDescent="0.25">
      <c r="A192" s="220">
        <v>39633</v>
      </c>
      <c r="B192" s="213">
        <v>49144.686777378432</v>
      </c>
      <c r="C192" s="211">
        <v>21475.655013545398</v>
      </c>
      <c r="D192" s="211">
        <v>88717.012885069897</v>
      </c>
      <c r="E192" s="212">
        <v>66791.014981336702</v>
      </c>
      <c r="F192" s="211">
        <v>378284.92903650901</v>
      </c>
      <c r="G192" s="213">
        <v>555268.61191646103</v>
      </c>
      <c r="H192" s="294">
        <v>1425.744909</v>
      </c>
      <c r="I192" s="294">
        <v>3194.8850221512498</v>
      </c>
      <c r="J192" s="298">
        <v>806.85000100000002</v>
      </c>
      <c r="K192" s="214">
        <v>483.66829337891187</v>
      </c>
      <c r="L192" s="212">
        <v>93151.564762463036</v>
      </c>
      <c r="M192" s="295">
        <v>172.64354832999999</v>
      </c>
      <c r="N192" s="219">
        <v>43791.883484629529</v>
      </c>
      <c r="O192" s="299">
        <v>747440.53871479211</v>
      </c>
      <c r="P192" s="294">
        <v>571.37464843946839</v>
      </c>
      <c r="Q192" s="295">
        <v>20302.100770603825</v>
      </c>
      <c r="R192" s="297">
        <v>33168.255893505731</v>
      </c>
    </row>
    <row r="193" spans="1:18" ht="15.75" hidden="1" x14ac:dyDescent="0.25">
      <c r="A193" s="220">
        <v>39664</v>
      </c>
      <c r="B193" s="213">
        <v>51340.932441332523</v>
      </c>
      <c r="C193" s="211">
        <v>21134.872596868096</v>
      </c>
      <c r="D193" s="211">
        <v>90539.478492278417</v>
      </c>
      <c r="E193" s="212">
        <v>67987.345907546434</v>
      </c>
      <c r="F193" s="211">
        <v>361505.7955692744</v>
      </c>
      <c r="G193" s="213">
        <v>541167.49256596738</v>
      </c>
      <c r="H193" s="294">
        <v>496.41699999999997</v>
      </c>
      <c r="I193" s="294">
        <v>2912.2194842146</v>
      </c>
      <c r="J193" s="298">
        <v>806.85000026</v>
      </c>
      <c r="K193" s="214">
        <v>428.9992502465808</v>
      </c>
      <c r="L193" s="212">
        <v>95045.208723996795</v>
      </c>
      <c r="M193" s="295">
        <v>197.95109120999999</v>
      </c>
      <c r="N193" s="219">
        <v>45303.54849054887</v>
      </c>
      <c r="O193" s="299">
        <v>737699.61904777668</v>
      </c>
      <c r="P193" s="294">
        <v>593.14658540923926</v>
      </c>
      <c r="Q193" s="295">
        <v>21393.544766134102</v>
      </c>
      <c r="R193" s="297">
        <v>33392.036226588069</v>
      </c>
    </row>
    <row r="194" spans="1:18" ht="15.75" hidden="1" x14ac:dyDescent="0.25">
      <c r="A194" s="220">
        <v>39695</v>
      </c>
      <c r="B194" s="213">
        <v>50216.105079680594</v>
      </c>
      <c r="C194" s="211">
        <v>22304.164342481843</v>
      </c>
      <c r="D194" s="211">
        <v>89344.572167662031</v>
      </c>
      <c r="E194" s="212">
        <v>68170.122612989639</v>
      </c>
      <c r="F194" s="211">
        <v>348498.6935376653</v>
      </c>
      <c r="G194" s="213">
        <v>528317.55266079889</v>
      </c>
      <c r="H194" s="294">
        <v>487.24700000000001</v>
      </c>
      <c r="I194" s="294">
        <v>3292.5991291874998</v>
      </c>
      <c r="J194" s="298">
        <v>4113.2387461899998</v>
      </c>
      <c r="K194" s="214">
        <v>157.03017788684411</v>
      </c>
      <c r="L194" s="212">
        <v>89352.648733748138</v>
      </c>
      <c r="M194" s="295">
        <v>222.63850665999996</v>
      </c>
      <c r="N194" s="219">
        <v>48639.851340202571</v>
      </c>
      <c r="O194" s="299">
        <v>724798.9113743545</v>
      </c>
      <c r="P194" s="294">
        <v>594.39894971594413</v>
      </c>
      <c r="Q194" s="295">
        <v>17244.768851782479</v>
      </c>
      <c r="R194" s="297">
        <v>33812.558937183348</v>
      </c>
    </row>
    <row r="195" spans="1:18" ht="15.75" hidden="1" x14ac:dyDescent="0.25">
      <c r="A195" s="220">
        <v>39725</v>
      </c>
      <c r="B195" s="213">
        <v>51729.080520453237</v>
      </c>
      <c r="C195" s="211">
        <v>20511.657671893747</v>
      </c>
      <c r="D195" s="211">
        <v>88694.685949735169</v>
      </c>
      <c r="E195" s="212">
        <v>68678.174452889565</v>
      </c>
      <c r="F195" s="211">
        <v>373608.02982834564</v>
      </c>
      <c r="G195" s="213">
        <v>551492.54790286417</v>
      </c>
      <c r="H195" s="294">
        <v>526.87300000000005</v>
      </c>
      <c r="I195" s="294">
        <v>2147.0628055925999</v>
      </c>
      <c r="J195" s="298">
        <v>3333.8130922747</v>
      </c>
      <c r="K195" s="214">
        <v>610.7525222577367</v>
      </c>
      <c r="L195" s="212">
        <v>97682.110377361721</v>
      </c>
      <c r="M195" s="295">
        <v>206.12754294760001</v>
      </c>
      <c r="N195" s="219">
        <v>51219.215057716414</v>
      </c>
      <c r="O195" s="299">
        <v>758947.58282146824</v>
      </c>
      <c r="P195" s="294">
        <v>786.25701884270302</v>
      </c>
      <c r="Q195" s="295">
        <v>14122.024991602661</v>
      </c>
      <c r="R195" s="297">
        <v>33784.364646441754</v>
      </c>
    </row>
    <row r="196" spans="1:18" ht="15.75" hidden="1" x14ac:dyDescent="0.25">
      <c r="A196" s="220">
        <v>39756</v>
      </c>
      <c r="B196" s="213">
        <v>52853.248062491599</v>
      </c>
      <c r="C196" s="211">
        <v>20841.055160320411</v>
      </c>
      <c r="D196" s="211">
        <v>89034.257963490003</v>
      </c>
      <c r="E196" s="212">
        <v>69351.55656582168</v>
      </c>
      <c r="F196" s="211">
        <v>372210.63852001436</v>
      </c>
      <c r="G196" s="213">
        <v>551437.50820964645</v>
      </c>
      <c r="H196" s="294">
        <v>1348.5377089999999</v>
      </c>
      <c r="I196" s="294">
        <v>1222.2685451919999</v>
      </c>
      <c r="J196" s="298">
        <v>1943.3734891232</v>
      </c>
      <c r="K196" s="214">
        <v>108.30803224993818</v>
      </c>
      <c r="L196" s="212">
        <v>96953.76987736435</v>
      </c>
      <c r="M196" s="295">
        <v>259.99400323280003</v>
      </c>
      <c r="N196" s="219">
        <v>51740.552854688089</v>
      </c>
      <c r="O196" s="299">
        <v>757867.56078298844</v>
      </c>
      <c r="P196" s="294">
        <v>874.13585125856923</v>
      </c>
      <c r="Q196" s="295">
        <v>13784.792607661788</v>
      </c>
      <c r="R196" s="297">
        <v>33663.999416034982</v>
      </c>
    </row>
    <row r="197" spans="1:18" ht="15.75" hidden="1" x14ac:dyDescent="0.25">
      <c r="A197" s="220">
        <v>39786</v>
      </c>
      <c r="B197" s="213">
        <v>54700.343137394317</v>
      </c>
      <c r="C197" s="211">
        <v>22844.721323428636</v>
      </c>
      <c r="D197" s="211">
        <v>92669.709372234051</v>
      </c>
      <c r="E197" s="212">
        <v>69807.812998389098</v>
      </c>
      <c r="F197" s="211">
        <v>362019.32611493685</v>
      </c>
      <c r="G197" s="213">
        <v>547341.5698089886</v>
      </c>
      <c r="H197" s="294">
        <v>802.36400000000003</v>
      </c>
      <c r="I197" s="294">
        <v>2052.5273361</v>
      </c>
      <c r="J197" s="298">
        <v>1046.4665269899999</v>
      </c>
      <c r="K197" s="214">
        <v>1894.7161161956001</v>
      </c>
      <c r="L197" s="212">
        <v>95617.851318108107</v>
      </c>
      <c r="M197" s="295">
        <v>221.77706874840001</v>
      </c>
      <c r="N197" s="219">
        <v>50786.295439785128</v>
      </c>
      <c r="O197" s="299">
        <v>754463.91075231007</v>
      </c>
      <c r="P197" s="294">
        <v>860.23191000476345</v>
      </c>
      <c r="Q197" s="295">
        <v>13595.05324248684</v>
      </c>
      <c r="R197" s="297">
        <v>34423.613467809737</v>
      </c>
    </row>
    <row r="198" spans="1:18" ht="15.75" hidden="1" x14ac:dyDescent="0.25">
      <c r="A198" s="220">
        <v>39817</v>
      </c>
      <c r="B198" s="213">
        <v>58857.989894412516</v>
      </c>
      <c r="C198" s="211">
        <v>21162.444175694542</v>
      </c>
      <c r="D198" s="211">
        <v>93319.282377482974</v>
      </c>
      <c r="E198" s="212">
        <v>71270.215750839605</v>
      </c>
      <c r="F198" s="211">
        <v>366897.56039632543</v>
      </c>
      <c r="G198" s="213">
        <v>552649.50270034256</v>
      </c>
      <c r="H198" s="294">
        <v>1545.654442</v>
      </c>
      <c r="I198" s="294">
        <v>1935.5991266999999</v>
      </c>
      <c r="J198" s="298">
        <v>708.50234898999997</v>
      </c>
      <c r="K198" s="214">
        <v>305.550929</v>
      </c>
      <c r="L198" s="212">
        <v>95114.735272365855</v>
      </c>
      <c r="M198" s="295">
        <v>292.67397846000006</v>
      </c>
      <c r="N198" s="219">
        <v>48553.225396595313</v>
      </c>
      <c r="O198" s="299">
        <v>759963.43408886623</v>
      </c>
      <c r="P198" s="294">
        <v>747.78617163979743</v>
      </c>
      <c r="Q198" s="295">
        <v>15630.616656338127</v>
      </c>
      <c r="R198" s="297">
        <v>33380.924579800638</v>
      </c>
    </row>
    <row r="199" spans="1:18" ht="15.75" hidden="1" x14ac:dyDescent="0.25">
      <c r="A199" s="220">
        <v>39848</v>
      </c>
      <c r="B199" s="213">
        <v>60166.100554600511</v>
      </c>
      <c r="C199" s="211">
        <v>21787.346253175554</v>
      </c>
      <c r="D199" s="211">
        <v>97048.745818822383</v>
      </c>
      <c r="E199" s="212">
        <v>69140.669554318418</v>
      </c>
      <c r="F199" s="211">
        <v>371794.90896761115</v>
      </c>
      <c r="G199" s="213">
        <v>559771.6705939275</v>
      </c>
      <c r="H199" s="294">
        <v>1041.838</v>
      </c>
      <c r="I199" s="294">
        <v>1784.46137275</v>
      </c>
      <c r="J199" s="298">
        <v>743.81295198999999</v>
      </c>
      <c r="K199" s="214">
        <v>36.565853641600015</v>
      </c>
      <c r="L199" s="212">
        <v>99738.3217176951</v>
      </c>
      <c r="M199" s="295">
        <v>257.89429102720004</v>
      </c>
      <c r="N199" s="219">
        <v>46291.264199137979</v>
      </c>
      <c r="O199" s="299">
        <v>769831.92953476985</v>
      </c>
      <c r="P199" s="294">
        <v>688.32938447617107</v>
      </c>
      <c r="Q199" s="295">
        <v>15048.786912847008</v>
      </c>
      <c r="R199" s="297">
        <v>33129.926348115448</v>
      </c>
    </row>
    <row r="200" spans="1:18" ht="15.75" hidden="1" x14ac:dyDescent="0.25">
      <c r="A200" s="220">
        <v>39873</v>
      </c>
      <c r="B200" s="213">
        <v>62953.644872439858</v>
      </c>
      <c r="C200" s="211">
        <v>21385.308853695024</v>
      </c>
      <c r="D200" s="211">
        <v>97652.100510577875</v>
      </c>
      <c r="E200" s="212">
        <v>70456.998155416484</v>
      </c>
      <c r="F200" s="211">
        <v>366535.51354843064</v>
      </c>
      <c r="G200" s="213">
        <v>556029.92106812005</v>
      </c>
      <c r="H200" s="294">
        <v>767.279</v>
      </c>
      <c r="I200" s="294">
        <v>2604.8436032179998</v>
      </c>
      <c r="J200" s="298">
        <v>487.72308737999998</v>
      </c>
      <c r="K200" s="214">
        <v>1694.3440419999999</v>
      </c>
      <c r="L200" s="212">
        <v>93470.135853915897</v>
      </c>
      <c r="M200" s="295">
        <v>228.20029296520002</v>
      </c>
      <c r="N200" s="219">
        <v>44538.422700314746</v>
      </c>
      <c r="O200" s="299">
        <v>762774.51452035375</v>
      </c>
      <c r="P200" s="294">
        <v>599.85100501955935</v>
      </c>
      <c r="Q200" s="295">
        <v>14537.89662064004</v>
      </c>
      <c r="R200" s="297">
        <v>33646.992286966066</v>
      </c>
    </row>
    <row r="201" spans="1:18" ht="15.75" hidden="1" x14ac:dyDescent="0.25">
      <c r="A201" s="220">
        <v>39907</v>
      </c>
      <c r="B201" s="213">
        <v>61599.155955257971</v>
      </c>
      <c r="C201" s="211">
        <v>22643.723497651659</v>
      </c>
      <c r="D201" s="211">
        <v>96213.609601596501</v>
      </c>
      <c r="E201" s="212">
        <v>70501.880388499543</v>
      </c>
      <c r="F201" s="211">
        <v>364065.51867827045</v>
      </c>
      <c r="G201" s="213">
        <v>553424.7321660181</v>
      </c>
      <c r="H201" s="294">
        <v>990.61699999999996</v>
      </c>
      <c r="I201" s="294">
        <v>2345.1108859069996</v>
      </c>
      <c r="J201" s="298">
        <v>460.46300437999997</v>
      </c>
      <c r="K201" s="214">
        <v>0</v>
      </c>
      <c r="L201" s="212">
        <v>85439.550612757273</v>
      </c>
      <c r="M201" s="295">
        <v>189.77917418000001</v>
      </c>
      <c r="N201" s="219">
        <v>48045.101579254704</v>
      </c>
      <c r="O201" s="299">
        <v>752494.51037775492</v>
      </c>
      <c r="P201" s="294">
        <v>587.85364539409352</v>
      </c>
      <c r="Q201" s="295">
        <v>14430.403990702565</v>
      </c>
      <c r="R201" s="297">
        <v>34843.785867487306</v>
      </c>
    </row>
    <row r="202" spans="1:18" ht="15.75" hidden="1" x14ac:dyDescent="0.25">
      <c r="A202" s="220">
        <v>39937</v>
      </c>
      <c r="B202" s="213">
        <v>60137.435609038781</v>
      </c>
      <c r="C202" s="211">
        <v>22969.437891841248</v>
      </c>
      <c r="D202" s="211">
        <v>97012.589999816802</v>
      </c>
      <c r="E202" s="212">
        <v>71313.036934640142</v>
      </c>
      <c r="F202" s="211">
        <v>364263.76003305835</v>
      </c>
      <c r="G202" s="213">
        <v>555558.82485935651</v>
      </c>
      <c r="H202" s="294">
        <v>639.61599999999999</v>
      </c>
      <c r="I202" s="294">
        <v>1171.7315468959998</v>
      </c>
      <c r="J202" s="298">
        <v>457.09956438</v>
      </c>
      <c r="K202" s="214">
        <v>1052.40977709</v>
      </c>
      <c r="L202" s="212">
        <v>77984.557781941199</v>
      </c>
      <c r="M202" s="295">
        <v>200.94665505695201</v>
      </c>
      <c r="N202" s="219">
        <v>47111.267697345</v>
      </c>
      <c r="O202" s="299">
        <v>744313.88949110452</v>
      </c>
      <c r="P202" s="294">
        <v>695.16017213884834</v>
      </c>
      <c r="Q202" s="295">
        <v>13298.053462980382</v>
      </c>
      <c r="R202" s="297">
        <v>33625.451352652024</v>
      </c>
    </row>
    <row r="203" spans="1:18" ht="15.75" hidden="1" x14ac:dyDescent="0.25">
      <c r="A203" s="220">
        <v>39968</v>
      </c>
      <c r="B203" s="213">
        <v>60638.934105374392</v>
      </c>
      <c r="C203" s="211">
        <v>24660.848066690891</v>
      </c>
      <c r="D203" s="211">
        <v>99170.970640773055</v>
      </c>
      <c r="E203" s="212">
        <v>71892.474309693629</v>
      </c>
      <c r="F203" s="211">
        <v>351092.8373943466</v>
      </c>
      <c r="G203" s="213">
        <v>546817.13041150419</v>
      </c>
      <c r="H203" s="294">
        <v>945.46699999999998</v>
      </c>
      <c r="I203" s="294">
        <v>2621.4465825488001</v>
      </c>
      <c r="J203" s="298">
        <v>452.69533885000004</v>
      </c>
      <c r="K203" s="214">
        <v>9096.6384214655991</v>
      </c>
      <c r="L203" s="212">
        <v>75381.104810002726</v>
      </c>
      <c r="M203" s="295">
        <v>217.88154949246402</v>
      </c>
      <c r="N203" s="219">
        <v>47183.109431425612</v>
      </c>
      <c r="O203" s="299">
        <v>743354.40765066363</v>
      </c>
      <c r="P203" s="294">
        <v>683.94380281842825</v>
      </c>
      <c r="Q203" s="295">
        <v>15800.262109073437</v>
      </c>
      <c r="R203" s="297">
        <v>36194.886017207922</v>
      </c>
    </row>
    <row r="204" spans="1:18" ht="15.75" hidden="1" x14ac:dyDescent="0.25">
      <c r="A204" s="220">
        <v>39998</v>
      </c>
      <c r="B204" s="213">
        <v>63310.04966833441</v>
      </c>
      <c r="C204" s="211">
        <v>24383.715771260006</v>
      </c>
      <c r="D204" s="211">
        <v>99304.822027424074</v>
      </c>
      <c r="E204" s="212">
        <v>73341.416255129268</v>
      </c>
      <c r="F204" s="211">
        <v>347319.40878746758</v>
      </c>
      <c r="G204" s="213">
        <v>544349.36284128088</v>
      </c>
      <c r="H204" s="294">
        <v>1319.0889999999999</v>
      </c>
      <c r="I204" s="294">
        <v>1405.4850506135999</v>
      </c>
      <c r="J204" s="298">
        <v>462.58009242000003</v>
      </c>
      <c r="K204" s="214">
        <v>772.20568403800007</v>
      </c>
      <c r="L204" s="212">
        <v>84025.869412232176</v>
      </c>
      <c r="M204" s="295">
        <v>243.824599229097</v>
      </c>
      <c r="N204" s="219">
        <v>42841.637353917242</v>
      </c>
      <c r="O204" s="299">
        <v>738730.10370206553</v>
      </c>
      <c r="P204" s="294">
        <v>705.88179097797536</v>
      </c>
      <c r="Q204" s="295">
        <v>14378.144842656218</v>
      </c>
      <c r="R204" s="297">
        <v>38432.926176483554</v>
      </c>
    </row>
    <row r="205" spans="1:18" ht="15.75" hidden="1" x14ac:dyDescent="0.25">
      <c r="A205" s="220">
        <v>40029</v>
      </c>
      <c r="B205" s="213">
        <v>63117.091124944825</v>
      </c>
      <c r="C205" s="211">
        <v>24701.374362548806</v>
      </c>
      <c r="D205" s="211">
        <v>100572.77282245575</v>
      </c>
      <c r="E205" s="212">
        <v>72956.364376813319</v>
      </c>
      <c r="F205" s="211">
        <v>338901.28668538213</v>
      </c>
      <c r="G205" s="213">
        <v>537131.79824719997</v>
      </c>
      <c r="H205" s="294">
        <v>597.60299999999995</v>
      </c>
      <c r="I205" s="294">
        <v>811.08419085909998</v>
      </c>
      <c r="J205" s="298">
        <v>462.18009241999999</v>
      </c>
      <c r="K205" s="214">
        <v>3216.3249145012996</v>
      </c>
      <c r="L205" s="212">
        <v>84605.003176492697</v>
      </c>
      <c r="M205" s="295">
        <v>222.29705368637897</v>
      </c>
      <c r="N205" s="219">
        <v>46202.034381075879</v>
      </c>
      <c r="O205" s="299">
        <v>736365.41618118028</v>
      </c>
      <c r="P205" s="294">
        <v>841.77812490621181</v>
      </c>
      <c r="Q205" s="295">
        <v>16199.676937812368</v>
      </c>
      <c r="R205" s="297">
        <v>39728.972339206332</v>
      </c>
    </row>
    <row r="206" spans="1:18" ht="15.75" hidden="1" x14ac:dyDescent="0.25">
      <c r="A206" s="220">
        <v>40060</v>
      </c>
      <c r="B206" s="213">
        <v>60270.263501462847</v>
      </c>
      <c r="C206" s="211">
        <v>25408.006177711872</v>
      </c>
      <c r="D206" s="211">
        <v>101205.02584365846</v>
      </c>
      <c r="E206" s="212">
        <v>70772.101154821808</v>
      </c>
      <c r="F206" s="211">
        <v>338202.52197144518</v>
      </c>
      <c r="G206" s="213">
        <v>535587.65514763724</v>
      </c>
      <c r="H206" s="294">
        <v>590.00010199999997</v>
      </c>
      <c r="I206" s="294">
        <v>1754.6526391672</v>
      </c>
      <c r="J206" s="298">
        <v>413.25054242000004</v>
      </c>
      <c r="K206" s="214">
        <v>12501.32108602</v>
      </c>
      <c r="L206" s="212">
        <v>83323.615262644555</v>
      </c>
      <c r="M206" s="295">
        <v>279.96912524733995</v>
      </c>
      <c r="N206" s="219">
        <v>43898.677469838753</v>
      </c>
      <c r="O206" s="299">
        <v>738619.40487643797</v>
      </c>
      <c r="P206" s="294">
        <v>696.35762966758557</v>
      </c>
      <c r="Q206" s="295">
        <v>15754.287299319312</v>
      </c>
      <c r="R206" s="297">
        <v>37576.247091223755</v>
      </c>
    </row>
    <row r="207" spans="1:18" ht="15.75" hidden="1" x14ac:dyDescent="0.25">
      <c r="A207" s="220">
        <v>40090</v>
      </c>
      <c r="B207" s="213">
        <v>58614.921235808266</v>
      </c>
      <c r="C207" s="211">
        <v>25541.324838773071</v>
      </c>
      <c r="D207" s="211">
        <v>101682.3562799466</v>
      </c>
      <c r="E207" s="212">
        <v>71257.78200145025</v>
      </c>
      <c r="F207" s="211">
        <v>344703.39074290846</v>
      </c>
      <c r="G207" s="213">
        <v>543184.8538630784</v>
      </c>
      <c r="H207" s="294">
        <v>574.73800000000006</v>
      </c>
      <c r="I207" s="294">
        <v>1869.1356212365499</v>
      </c>
      <c r="J207" s="298">
        <v>365.42098736000003</v>
      </c>
      <c r="K207" s="214">
        <v>4886.9200119999996</v>
      </c>
      <c r="L207" s="212">
        <v>80699.100584355561</v>
      </c>
      <c r="M207" s="295">
        <v>219.93677501367003</v>
      </c>
      <c r="N207" s="219">
        <v>43454.601246132122</v>
      </c>
      <c r="O207" s="299">
        <v>733869.62832498457</v>
      </c>
      <c r="P207" s="294">
        <v>804.64957255244565</v>
      </c>
      <c r="Q207" s="295">
        <v>13315.379064818513</v>
      </c>
      <c r="R207" s="297">
        <v>36123.136526732145</v>
      </c>
    </row>
    <row r="208" spans="1:18" ht="15.75" hidden="1" x14ac:dyDescent="0.25">
      <c r="A208" s="220">
        <v>40121</v>
      </c>
      <c r="B208" s="213">
        <v>57720.947676280644</v>
      </c>
      <c r="C208" s="211">
        <v>26396.26670676767</v>
      </c>
      <c r="D208" s="211">
        <v>101932.73453164015</v>
      </c>
      <c r="E208" s="212">
        <v>71392.822813875347</v>
      </c>
      <c r="F208" s="211">
        <v>335529.00979733584</v>
      </c>
      <c r="G208" s="213">
        <v>535250.83384961903</v>
      </c>
      <c r="H208" s="294">
        <v>539.995</v>
      </c>
      <c r="I208" s="294">
        <v>938.23169517168003</v>
      </c>
      <c r="J208" s="298">
        <v>365.42098736000003</v>
      </c>
      <c r="K208" s="214">
        <v>4047.6405648699997</v>
      </c>
      <c r="L208" s="212">
        <v>81192.308700342226</v>
      </c>
      <c r="M208" s="295">
        <v>242.558543944848</v>
      </c>
      <c r="N208" s="219">
        <v>46117.773024352355</v>
      </c>
      <c r="O208" s="299">
        <v>726415.71004194068</v>
      </c>
      <c r="P208" s="294">
        <v>812.32342899062257</v>
      </c>
      <c r="Q208" s="295">
        <v>13939.539499181197</v>
      </c>
      <c r="R208" s="297">
        <v>37733.165838412795</v>
      </c>
    </row>
    <row r="209" spans="1:18" ht="15.75" hidden="1" x14ac:dyDescent="0.25">
      <c r="A209" s="220">
        <v>40151</v>
      </c>
      <c r="B209" s="213">
        <v>59648.150701442661</v>
      </c>
      <c r="C209" s="211">
        <v>27901.590387446253</v>
      </c>
      <c r="D209" s="211">
        <v>105915.75618267751</v>
      </c>
      <c r="E209" s="212">
        <v>73072.342645833138</v>
      </c>
      <c r="F209" s="211">
        <v>352095.89741475391</v>
      </c>
      <c r="G209" s="213">
        <v>558985.58663071087</v>
      </c>
      <c r="H209" s="294">
        <v>845.947</v>
      </c>
      <c r="I209" s="294">
        <v>1830.5481243183203</v>
      </c>
      <c r="J209" s="298">
        <v>1430.0372753600002</v>
      </c>
      <c r="K209" s="214">
        <v>2896.7726990400001</v>
      </c>
      <c r="L209" s="212">
        <v>81732.602769156903</v>
      </c>
      <c r="M209" s="295">
        <v>195.25768278197202</v>
      </c>
      <c r="N209" s="219">
        <v>43692.676524058392</v>
      </c>
      <c r="O209" s="299">
        <v>751257.57940686925</v>
      </c>
      <c r="P209" s="294">
        <v>899.89029019846896</v>
      </c>
      <c r="Q209" s="295">
        <v>9142.3687734577506</v>
      </c>
      <c r="R209" s="297">
        <v>44498.830561086426</v>
      </c>
    </row>
    <row r="210" spans="1:18" ht="15.75" hidden="1" x14ac:dyDescent="0.25">
      <c r="A210" s="220">
        <v>40182</v>
      </c>
      <c r="B210" s="213">
        <v>63088.254963484345</v>
      </c>
      <c r="C210" s="211">
        <v>25771.048575719818</v>
      </c>
      <c r="D210" s="211">
        <v>107634.71024283554</v>
      </c>
      <c r="E210" s="212">
        <v>71754.820625917258</v>
      </c>
      <c r="F210" s="211">
        <v>363452.46963566192</v>
      </c>
      <c r="G210" s="213">
        <v>568613.0490801346</v>
      </c>
      <c r="H210" s="294">
        <v>657.73299999999995</v>
      </c>
      <c r="I210" s="294">
        <v>2379.4219479885996</v>
      </c>
      <c r="J210" s="298">
        <v>333.21099047000001</v>
      </c>
      <c r="K210" s="214">
        <v>6641.7400369000006</v>
      </c>
      <c r="L210" s="212">
        <v>78540.627635632729</v>
      </c>
      <c r="M210" s="295">
        <v>275.35400546631399</v>
      </c>
      <c r="N210" s="219">
        <v>40285.269598589002</v>
      </c>
      <c r="O210" s="299">
        <v>760814.66125866561</v>
      </c>
      <c r="P210" s="294">
        <v>839.42731636216206</v>
      </c>
      <c r="Q210" s="295">
        <v>15412.779712187546</v>
      </c>
      <c r="R210" s="297">
        <v>39295.962771278239</v>
      </c>
    </row>
    <row r="211" spans="1:18" ht="15.75" hidden="1" x14ac:dyDescent="0.25">
      <c r="A211" s="220">
        <v>40213</v>
      </c>
      <c r="B211" s="213">
        <v>63536.374062793846</v>
      </c>
      <c r="C211" s="211">
        <v>25545.988949335038</v>
      </c>
      <c r="D211" s="211">
        <v>109078.69935259863</v>
      </c>
      <c r="E211" s="212">
        <v>72240.931718022883</v>
      </c>
      <c r="F211" s="211">
        <v>367483.3846103804</v>
      </c>
      <c r="G211" s="213">
        <v>574349.004630337</v>
      </c>
      <c r="H211" s="294">
        <v>669.02501500000005</v>
      </c>
      <c r="I211" s="294">
        <v>1313.4365986536998</v>
      </c>
      <c r="J211" s="298">
        <v>363.92599050999996</v>
      </c>
      <c r="K211" s="214">
        <v>6068.6632345840007</v>
      </c>
      <c r="L211" s="212">
        <v>80973.788461741671</v>
      </c>
      <c r="M211" s="295">
        <v>288.75883642715002</v>
      </c>
      <c r="N211" s="219">
        <v>41488.168410227459</v>
      </c>
      <c r="O211" s="299">
        <v>769051.14524027484</v>
      </c>
      <c r="P211" s="294">
        <v>939.29816982476905</v>
      </c>
      <c r="Q211" s="295">
        <v>16530.551057188768</v>
      </c>
      <c r="R211" s="297">
        <v>44119.407261529195</v>
      </c>
    </row>
    <row r="212" spans="1:18" ht="15.75" hidden="1" x14ac:dyDescent="0.25">
      <c r="A212" s="220">
        <v>40241</v>
      </c>
      <c r="B212" s="213">
        <v>63685.445589822688</v>
      </c>
      <c r="C212" s="211">
        <v>26766.646982739643</v>
      </c>
      <c r="D212" s="211">
        <v>109194.86743656197</v>
      </c>
      <c r="E212" s="212">
        <v>72647.718333594152</v>
      </c>
      <c r="F212" s="211">
        <v>376848.3720023185</v>
      </c>
      <c r="G212" s="213">
        <v>585457.6047552143</v>
      </c>
      <c r="H212" s="294">
        <v>766.63499999999999</v>
      </c>
      <c r="I212" s="294">
        <v>1893.776658864</v>
      </c>
      <c r="J212" s="298">
        <v>348.39862247000002</v>
      </c>
      <c r="K212" s="214">
        <v>1005.37250264</v>
      </c>
      <c r="L212" s="212">
        <v>80709.760527384336</v>
      </c>
      <c r="M212" s="295">
        <v>245.53002126599998</v>
      </c>
      <c r="N212" s="219">
        <v>42477.258020842986</v>
      </c>
      <c r="O212" s="299">
        <v>776589.78169850435</v>
      </c>
      <c r="P212" s="294">
        <v>1006.6991333039598</v>
      </c>
      <c r="Q212" s="295">
        <v>15921.337542578091</v>
      </c>
      <c r="R212" s="297">
        <v>43465.422247112241</v>
      </c>
    </row>
    <row r="213" spans="1:18" ht="15.75" hidden="1" x14ac:dyDescent="0.25">
      <c r="A213" s="220">
        <v>40272</v>
      </c>
      <c r="B213" s="213">
        <v>64155.037333835753</v>
      </c>
      <c r="C213" s="211">
        <v>25424.543586466887</v>
      </c>
      <c r="D213" s="211">
        <v>111529.21988229034</v>
      </c>
      <c r="E213" s="212">
        <v>70829.486090551378</v>
      </c>
      <c r="F213" s="211">
        <v>359078.4299898615</v>
      </c>
      <c r="G213" s="213">
        <v>566861.67954917008</v>
      </c>
      <c r="H213" s="294">
        <v>728.07500000000005</v>
      </c>
      <c r="I213" s="294">
        <v>2997.5087838333816</v>
      </c>
      <c r="J213" s="298">
        <v>362.14667774000003</v>
      </c>
      <c r="K213" s="214">
        <v>3169.3483500700004</v>
      </c>
      <c r="L213" s="212">
        <v>92725.45034858596</v>
      </c>
      <c r="M213" s="295">
        <v>243.22210433356304</v>
      </c>
      <c r="N213" s="219">
        <v>40439.307847336931</v>
      </c>
      <c r="O213" s="299">
        <v>771681.77599490562</v>
      </c>
      <c r="P213" s="294">
        <v>1103.5665607132212</v>
      </c>
      <c r="Q213" s="295">
        <v>16350.244152235589</v>
      </c>
      <c r="R213" s="297">
        <v>43944.273826036057</v>
      </c>
    </row>
    <row r="214" spans="1:18" ht="15.75" hidden="1" customHeight="1" x14ac:dyDescent="0.25">
      <c r="A214" s="220">
        <v>40302</v>
      </c>
      <c r="B214" s="213">
        <v>66502.903105371413</v>
      </c>
      <c r="C214" s="211">
        <v>27591.654213031969</v>
      </c>
      <c r="D214" s="211">
        <v>111167.86030812196</v>
      </c>
      <c r="E214" s="212">
        <v>70632.556758248131</v>
      </c>
      <c r="F214" s="211">
        <v>412386.00942964578</v>
      </c>
      <c r="G214" s="213">
        <v>621778.08070904785</v>
      </c>
      <c r="H214" s="294">
        <v>653.27200000000005</v>
      </c>
      <c r="I214" s="294">
        <v>1450.7473077499997</v>
      </c>
      <c r="J214" s="298">
        <v>334.18167774</v>
      </c>
      <c r="K214" s="214">
        <v>5566.8358775196621</v>
      </c>
      <c r="L214" s="212">
        <v>104327.30432343241</v>
      </c>
      <c r="M214" s="295">
        <v>278.622239245081</v>
      </c>
      <c r="N214" s="219">
        <v>48151.832603799216</v>
      </c>
      <c r="O214" s="299">
        <v>849043.77984390559</v>
      </c>
      <c r="P214" s="294">
        <v>1095.8451834909629</v>
      </c>
      <c r="Q214" s="295">
        <v>18030.516394027152</v>
      </c>
      <c r="R214" s="297">
        <v>44927.594887161038</v>
      </c>
    </row>
    <row r="215" spans="1:18" ht="15.75" hidden="1" customHeight="1" x14ac:dyDescent="0.25">
      <c r="A215" s="220">
        <v>40333</v>
      </c>
      <c r="B215" s="213">
        <v>68275.818700393953</v>
      </c>
      <c r="C215" s="211">
        <v>27921.061733068374</v>
      </c>
      <c r="D215" s="211">
        <v>112552.85981934627</v>
      </c>
      <c r="E215" s="212">
        <v>75464.248917661142</v>
      </c>
      <c r="F215" s="211">
        <v>403825.21422575816</v>
      </c>
      <c r="G215" s="213">
        <v>619763.3846958339</v>
      </c>
      <c r="H215" s="294">
        <v>780.17200000000003</v>
      </c>
      <c r="I215" s="294">
        <v>2204.0221570507001</v>
      </c>
      <c r="J215" s="298">
        <v>373.5310801</v>
      </c>
      <c r="K215" s="214">
        <v>1463.8916393789</v>
      </c>
      <c r="L215" s="212">
        <v>103522.78615831111</v>
      </c>
      <c r="M215" s="295">
        <v>292.49951222285603</v>
      </c>
      <c r="N215" s="219">
        <v>46497.611193766192</v>
      </c>
      <c r="O215" s="299">
        <v>843173.71713705768</v>
      </c>
      <c r="P215" s="294">
        <v>2464.8077281573505</v>
      </c>
      <c r="Q215" s="295">
        <v>32572.595280409791</v>
      </c>
      <c r="R215" s="297">
        <v>44052.640414172922</v>
      </c>
    </row>
    <row r="216" spans="1:18" ht="15.75" hidden="1" customHeight="1" x14ac:dyDescent="0.25">
      <c r="A216" s="220">
        <v>40363</v>
      </c>
      <c r="B216" s="213">
        <v>71227.077879063654</v>
      </c>
      <c r="C216" s="211">
        <v>26836.789889825268</v>
      </c>
      <c r="D216" s="211">
        <v>113362.1409121715</v>
      </c>
      <c r="E216" s="212">
        <v>74981.814501889821</v>
      </c>
      <c r="F216" s="211">
        <v>364273.46238650411</v>
      </c>
      <c r="G216" s="213">
        <v>579454.20769039076</v>
      </c>
      <c r="H216" s="294">
        <v>717.21</v>
      </c>
      <c r="I216" s="294">
        <v>766.21901896999998</v>
      </c>
      <c r="J216" s="298">
        <v>328.68392384000003</v>
      </c>
      <c r="K216" s="214">
        <v>4466.5441746214274</v>
      </c>
      <c r="L216" s="212">
        <v>97405.679435756538</v>
      </c>
      <c r="M216" s="295">
        <v>263.951469272883</v>
      </c>
      <c r="N216" s="219">
        <v>41826.251316656526</v>
      </c>
      <c r="O216" s="299">
        <v>796455.82490857178</v>
      </c>
      <c r="P216" s="294">
        <v>2390.2858265569771</v>
      </c>
      <c r="Q216" s="295">
        <v>30590.023338938641</v>
      </c>
      <c r="R216" s="297">
        <v>40053.217704810544</v>
      </c>
    </row>
    <row r="217" spans="1:18" ht="15.75" hidden="1" customHeight="1" x14ac:dyDescent="0.25">
      <c r="A217" s="220">
        <v>40394</v>
      </c>
      <c r="B217" s="213">
        <v>71143.551478769718</v>
      </c>
      <c r="C217" s="211">
        <v>27617.747624458225</v>
      </c>
      <c r="D217" s="211">
        <v>114336.55092844734</v>
      </c>
      <c r="E217" s="212">
        <v>72254.534627499917</v>
      </c>
      <c r="F217" s="211">
        <v>390803.05053912569</v>
      </c>
      <c r="G217" s="213">
        <v>605011.88371953112</v>
      </c>
      <c r="H217" s="294">
        <v>650.89344400000004</v>
      </c>
      <c r="I217" s="294">
        <v>1555.9278199600001</v>
      </c>
      <c r="J217" s="298">
        <v>360.44601583999997</v>
      </c>
      <c r="K217" s="214">
        <v>5969.537134231</v>
      </c>
      <c r="L217" s="212">
        <v>105313.20449475345</v>
      </c>
      <c r="M217" s="295">
        <v>250.99309935346901</v>
      </c>
      <c r="N217" s="219">
        <v>40738.41247306166</v>
      </c>
      <c r="O217" s="299">
        <v>830994.84967950056</v>
      </c>
      <c r="P217" s="294">
        <v>2647.8517933424091</v>
      </c>
      <c r="Q217" s="295">
        <v>26835.493648603526</v>
      </c>
      <c r="R217" s="297">
        <v>40096.466051720912</v>
      </c>
    </row>
    <row r="218" spans="1:18" ht="15.75" hidden="1" customHeight="1" x14ac:dyDescent="0.25">
      <c r="A218" s="220">
        <v>40425</v>
      </c>
      <c r="B218" s="213">
        <v>69708.82198647123</v>
      </c>
      <c r="C218" s="211">
        <v>28158.5908656826</v>
      </c>
      <c r="D218" s="211">
        <v>115806.69826929308</v>
      </c>
      <c r="E218" s="212">
        <v>71850.427301611518</v>
      </c>
      <c r="F218" s="211">
        <v>394936.08643463557</v>
      </c>
      <c r="G218" s="213">
        <v>610751.80287122272</v>
      </c>
      <c r="H218" s="294">
        <v>658.91700000000003</v>
      </c>
      <c r="I218" s="294">
        <v>2669.8709598399996</v>
      </c>
      <c r="J218" s="298">
        <v>544.81786240999998</v>
      </c>
      <c r="K218" s="214">
        <v>5846.0067053005996</v>
      </c>
      <c r="L218" s="212">
        <v>101666.27468922634</v>
      </c>
      <c r="M218" s="295">
        <v>258.90709036369998</v>
      </c>
      <c r="N218" s="219">
        <v>45422.94097523349</v>
      </c>
      <c r="O218" s="299">
        <v>837528.36014006799</v>
      </c>
      <c r="P218" s="294">
        <v>2715.5322607255866</v>
      </c>
      <c r="Q218" s="295">
        <v>24938.611197876184</v>
      </c>
      <c r="R218" s="297">
        <v>40457.421742769839</v>
      </c>
    </row>
    <row r="219" spans="1:18" ht="15.75" hidden="1" customHeight="1" x14ac:dyDescent="0.25">
      <c r="A219" s="228" t="s">
        <v>235</v>
      </c>
      <c r="B219" s="213">
        <v>69811.232807923821</v>
      </c>
      <c r="C219" s="211">
        <v>28069.971441576639</v>
      </c>
      <c r="D219" s="211">
        <v>116689.99198776182</v>
      </c>
      <c r="E219" s="212">
        <v>72775.969485212001</v>
      </c>
      <c r="F219" s="211">
        <v>395447.09165531205</v>
      </c>
      <c r="G219" s="213">
        <v>612983.02456986252</v>
      </c>
      <c r="H219" s="294">
        <v>664.99199999999996</v>
      </c>
      <c r="I219" s="294">
        <v>1876.6600001796</v>
      </c>
      <c r="J219" s="298">
        <v>596.49269889000004</v>
      </c>
      <c r="K219" s="214">
        <v>7062.0755323124395</v>
      </c>
      <c r="L219" s="212">
        <v>94597.841468001847</v>
      </c>
      <c r="M219" s="295">
        <v>261.33919234705996</v>
      </c>
      <c r="N219" s="219">
        <v>54024.731617983125</v>
      </c>
      <c r="O219" s="299">
        <v>841878.38988750032</v>
      </c>
      <c r="P219" s="294">
        <v>2698.9364488039237</v>
      </c>
      <c r="Q219" s="295">
        <v>26535.341211770436</v>
      </c>
      <c r="R219" s="297">
        <v>41496.152804299374</v>
      </c>
    </row>
    <row r="220" spans="1:18" ht="15.75" hidden="1" customHeight="1" x14ac:dyDescent="0.25">
      <c r="A220" s="220">
        <v>40483</v>
      </c>
      <c r="B220" s="213">
        <v>71819.55398807906</v>
      </c>
      <c r="C220" s="211">
        <v>29345.241082260334</v>
      </c>
      <c r="D220" s="211">
        <v>116312.2510405466</v>
      </c>
      <c r="E220" s="212">
        <v>74901.84571583246</v>
      </c>
      <c r="F220" s="211">
        <v>398861.89993510942</v>
      </c>
      <c r="G220" s="213">
        <v>619421.23777374881</v>
      </c>
      <c r="H220" s="294">
        <v>658.99199999999996</v>
      </c>
      <c r="I220" s="294">
        <v>4308.4024994402798</v>
      </c>
      <c r="J220" s="298">
        <v>991.04507108999996</v>
      </c>
      <c r="K220" s="214">
        <v>8280.4925598495392</v>
      </c>
      <c r="L220" s="212">
        <v>92509.907109523716</v>
      </c>
      <c r="M220" s="295">
        <v>296.15530191341998</v>
      </c>
      <c r="N220" s="219">
        <v>56719.292914647733</v>
      </c>
      <c r="O220" s="299">
        <v>855005.07921829249</v>
      </c>
      <c r="P220" s="294">
        <v>2750.5133399917759</v>
      </c>
      <c r="Q220" s="295">
        <v>26772.55397464706</v>
      </c>
      <c r="R220" s="297">
        <v>41911.244149020196</v>
      </c>
    </row>
    <row r="221" spans="1:18" ht="15.75" hidden="1" customHeight="1" x14ac:dyDescent="0.25">
      <c r="A221" s="220">
        <v>40516</v>
      </c>
      <c r="B221" s="213">
        <v>71958.184168184671</v>
      </c>
      <c r="C221" s="211">
        <v>32673.637819172611</v>
      </c>
      <c r="D221" s="211">
        <v>121023.3822818949</v>
      </c>
      <c r="E221" s="212">
        <v>73718.453441072648</v>
      </c>
      <c r="F221" s="211">
        <v>405381.70867787389</v>
      </c>
      <c r="G221" s="213">
        <v>632797.18222001405</v>
      </c>
      <c r="H221" s="294">
        <v>843.41600000000005</v>
      </c>
      <c r="I221" s="294">
        <v>5232.7412640064977</v>
      </c>
      <c r="J221" s="298">
        <v>975.03363002999993</v>
      </c>
      <c r="K221" s="214">
        <v>4269.4683195600001</v>
      </c>
      <c r="L221" s="212">
        <v>85682.043937697104</v>
      </c>
      <c r="M221" s="295">
        <v>198.71203370812003</v>
      </c>
      <c r="N221" s="219">
        <v>61510.666985200674</v>
      </c>
      <c r="O221" s="299">
        <v>863467.44855840108</v>
      </c>
      <c r="P221" s="294">
        <v>2859.652860248671</v>
      </c>
      <c r="Q221" s="295">
        <v>26960.933966428613</v>
      </c>
      <c r="R221" s="297">
        <v>42633.226976758349</v>
      </c>
    </row>
    <row r="222" spans="1:18" ht="15.75" hidden="1" customHeight="1" x14ac:dyDescent="0.25">
      <c r="A222" s="220">
        <v>40547</v>
      </c>
      <c r="B222" s="213">
        <v>74047.987046456576</v>
      </c>
      <c r="C222" s="211">
        <v>31288.605026666588</v>
      </c>
      <c r="D222" s="211">
        <v>122498.978109989</v>
      </c>
      <c r="E222" s="212">
        <v>72211.759921383491</v>
      </c>
      <c r="F222" s="211">
        <v>401444.17940840899</v>
      </c>
      <c r="G222" s="213">
        <v>627443.52246644802</v>
      </c>
      <c r="H222" s="294">
        <v>717.59400000000005</v>
      </c>
      <c r="I222" s="294">
        <v>3357.6084247100002</v>
      </c>
      <c r="J222" s="298">
        <v>964.52194749</v>
      </c>
      <c r="K222" s="214">
        <v>6602.1330069706819</v>
      </c>
      <c r="L222" s="212">
        <v>79903.781870258084</v>
      </c>
      <c r="M222" s="295">
        <v>260.22613338603406</v>
      </c>
      <c r="N222" s="219">
        <v>56781.474286654178</v>
      </c>
      <c r="O222" s="299">
        <v>850078.84918237349</v>
      </c>
      <c r="P222" s="294">
        <v>2829.0815550333891</v>
      </c>
      <c r="Q222" s="295">
        <v>24828.466673689371</v>
      </c>
      <c r="R222" s="297">
        <v>42577.222749494111</v>
      </c>
    </row>
    <row r="223" spans="1:18" ht="15.75" hidden="1" customHeight="1" x14ac:dyDescent="0.25">
      <c r="A223" s="220">
        <v>40578</v>
      </c>
      <c r="B223" s="213">
        <v>74853.636671657572</v>
      </c>
      <c r="C223" s="211">
        <v>30362.404696405716</v>
      </c>
      <c r="D223" s="211">
        <v>125350.91506899617</v>
      </c>
      <c r="E223" s="212">
        <v>69858.125045171881</v>
      </c>
      <c r="F223" s="211">
        <v>402591.59376523638</v>
      </c>
      <c r="G223" s="213">
        <v>628163.03857581015</v>
      </c>
      <c r="H223" s="294">
        <v>952.37</v>
      </c>
      <c r="I223" s="294">
        <v>4986.6584145321995</v>
      </c>
      <c r="J223" s="298">
        <v>964.26194749000001</v>
      </c>
      <c r="K223" s="214">
        <v>5400.817612978899</v>
      </c>
      <c r="L223" s="212">
        <v>81804.495652096724</v>
      </c>
      <c r="M223" s="295">
        <v>282.56577364748892</v>
      </c>
      <c r="N223" s="219">
        <v>57912.447611142008</v>
      </c>
      <c r="O223" s="299">
        <v>855320.29225935496</v>
      </c>
      <c r="P223" s="294">
        <v>2646.7960228920742</v>
      </c>
      <c r="Q223" s="295">
        <v>27818.897027598854</v>
      </c>
      <c r="R223" s="297">
        <v>43867.195843430054</v>
      </c>
    </row>
    <row r="224" spans="1:18" ht="15.75" hidden="1" customHeight="1" x14ac:dyDescent="0.25">
      <c r="A224" s="220">
        <v>40606</v>
      </c>
      <c r="B224" s="213">
        <v>76789.355354269515</v>
      </c>
      <c r="C224" s="211">
        <v>30110.77207123808</v>
      </c>
      <c r="D224" s="211">
        <v>125789.94411874903</v>
      </c>
      <c r="E224" s="212">
        <v>69454.516815334442</v>
      </c>
      <c r="F224" s="211">
        <v>372193.8817414756</v>
      </c>
      <c r="G224" s="213">
        <v>597549.11474679713</v>
      </c>
      <c r="H224" s="294">
        <v>1120.8430000000001</v>
      </c>
      <c r="I224" s="294">
        <v>3662.2113458216004</v>
      </c>
      <c r="J224" s="298">
        <v>206.23537719999999</v>
      </c>
      <c r="K224" s="214">
        <v>3501.8580761788139</v>
      </c>
      <c r="L224" s="212">
        <v>80573.079040452387</v>
      </c>
      <c r="M224" s="295">
        <v>275.55106499726401</v>
      </c>
      <c r="N224" s="219">
        <v>61493.759920640921</v>
      </c>
      <c r="O224" s="299">
        <v>825172.00792635768</v>
      </c>
      <c r="P224" s="294">
        <v>2646.6184642214239</v>
      </c>
      <c r="Q224" s="295">
        <v>28354.504783170109</v>
      </c>
      <c r="R224" s="297">
        <v>44588.035072971819</v>
      </c>
    </row>
    <row r="225" spans="1:19" ht="15.75" hidden="1" customHeight="1" x14ac:dyDescent="0.25">
      <c r="A225" s="220">
        <v>40637</v>
      </c>
      <c r="B225" s="213">
        <v>76456.287781692372</v>
      </c>
      <c r="C225" s="211">
        <v>30195.506958344908</v>
      </c>
      <c r="D225" s="211">
        <v>127277.36113852791</v>
      </c>
      <c r="E225" s="212">
        <v>69103.301405043414</v>
      </c>
      <c r="F225" s="211">
        <v>402319.98389230797</v>
      </c>
      <c r="G225" s="213">
        <v>628896.15339422412</v>
      </c>
      <c r="H225" s="294">
        <v>1335.222</v>
      </c>
      <c r="I225" s="294">
        <v>3628.0564652045</v>
      </c>
      <c r="J225" s="298">
        <v>194.97344360999998</v>
      </c>
      <c r="K225" s="214">
        <v>2932.404509</v>
      </c>
      <c r="L225" s="212">
        <v>92964.283602078969</v>
      </c>
      <c r="M225" s="295">
        <v>299.16057685304497</v>
      </c>
      <c r="N225" s="219">
        <v>49933.369513303514</v>
      </c>
      <c r="O225" s="299">
        <v>856639.91128596652</v>
      </c>
      <c r="P225" s="294">
        <v>2665.9516886849851</v>
      </c>
      <c r="Q225" s="295">
        <v>24509.200000000001</v>
      </c>
      <c r="R225" s="297">
        <v>47047.520488739028</v>
      </c>
    </row>
    <row r="226" spans="1:19" ht="15.75" hidden="1" customHeight="1" x14ac:dyDescent="0.25">
      <c r="A226" s="220">
        <v>40667</v>
      </c>
      <c r="B226" s="213">
        <v>75743.364788620805</v>
      </c>
      <c r="C226" s="211">
        <v>30702.244648725151</v>
      </c>
      <c r="D226" s="211">
        <v>124162.58745766095</v>
      </c>
      <c r="E226" s="212">
        <v>69671.653472228849</v>
      </c>
      <c r="F226" s="211">
        <v>380544.03353076626</v>
      </c>
      <c r="G226" s="213">
        <v>605080.51910938125</v>
      </c>
      <c r="H226" s="294">
        <v>1103.53</v>
      </c>
      <c r="I226" s="294">
        <v>4062.3501496975314</v>
      </c>
      <c r="J226" s="298">
        <v>595.30344361000004</v>
      </c>
      <c r="K226" s="214">
        <v>3258.8127845355566</v>
      </c>
      <c r="L226" s="212">
        <v>72877.70659559971</v>
      </c>
      <c r="M226" s="295">
        <v>360.21468015017592</v>
      </c>
      <c r="N226" s="219">
        <v>63214.590903155535</v>
      </c>
      <c r="O226" s="299">
        <v>826296.3924547506</v>
      </c>
      <c r="P226" s="294">
        <v>2633.1786993020978</v>
      </c>
      <c r="Q226" s="295">
        <v>26977.951248752091</v>
      </c>
      <c r="R226" s="297">
        <v>47346.651298817073</v>
      </c>
    </row>
    <row r="227" spans="1:19" ht="15.75" hidden="1" customHeight="1" x14ac:dyDescent="0.25">
      <c r="A227" s="220">
        <v>40698</v>
      </c>
      <c r="B227" s="213">
        <v>75418.780908623216</v>
      </c>
      <c r="C227" s="211">
        <v>32314.753671814229</v>
      </c>
      <c r="D227" s="211">
        <v>126316.97466999752</v>
      </c>
      <c r="E227" s="212">
        <v>70253.61582255215</v>
      </c>
      <c r="F227" s="211">
        <v>411103.27486864943</v>
      </c>
      <c r="G227" s="213">
        <v>639988.61903301335</v>
      </c>
      <c r="H227" s="294">
        <v>1113.778</v>
      </c>
      <c r="I227" s="294">
        <v>8807.9412896494414</v>
      </c>
      <c r="J227" s="298">
        <v>179.43377349000002</v>
      </c>
      <c r="K227" s="214">
        <v>3354.4412090664</v>
      </c>
      <c r="L227" s="212">
        <v>83245.746823911497</v>
      </c>
      <c r="M227" s="295">
        <v>333.593312587078</v>
      </c>
      <c r="N227" s="219">
        <v>62634.729257178449</v>
      </c>
      <c r="O227" s="299">
        <v>875077.06360751949</v>
      </c>
      <c r="P227" s="294">
        <v>2603.3067927765378</v>
      </c>
      <c r="Q227" s="295">
        <v>26632.993703269691</v>
      </c>
      <c r="R227" s="297">
        <v>49109.966994062182</v>
      </c>
    </row>
    <row r="228" spans="1:19" ht="15.75" hidden="1" customHeight="1" x14ac:dyDescent="0.25">
      <c r="A228" s="220">
        <v>40728</v>
      </c>
      <c r="B228" s="213">
        <v>78585.051613898977</v>
      </c>
      <c r="C228" s="211">
        <v>31720.918188238265</v>
      </c>
      <c r="D228" s="211">
        <v>126653.07644592701</v>
      </c>
      <c r="E228" s="212">
        <v>70247.93777623566</v>
      </c>
      <c r="F228" s="211">
        <v>389723.32285252446</v>
      </c>
      <c r="G228" s="213">
        <v>618345.25526292541</v>
      </c>
      <c r="H228" s="294">
        <v>1262.942</v>
      </c>
      <c r="I228" s="294">
        <v>7933.1365532320006</v>
      </c>
      <c r="J228" s="298">
        <v>1751.7216656400001</v>
      </c>
      <c r="K228" s="214">
        <v>305.82475157700003</v>
      </c>
      <c r="L228" s="212">
        <v>90804.137829566462</v>
      </c>
      <c r="M228" s="295">
        <v>348.38155762139502</v>
      </c>
      <c r="N228" s="219">
        <v>54609.295382354954</v>
      </c>
      <c r="O228" s="299">
        <v>853945.74661681615</v>
      </c>
      <c r="P228" s="294">
        <v>2462.0230517719156</v>
      </c>
      <c r="Q228" s="295">
        <v>26767.340365850243</v>
      </c>
      <c r="R228" s="297">
        <v>48995.382306296371</v>
      </c>
      <c r="S228" s="219"/>
    </row>
    <row r="229" spans="1:19" ht="15.75" hidden="1" customHeight="1" x14ac:dyDescent="0.25">
      <c r="A229" s="220">
        <v>40759</v>
      </c>
      <c r="B229" s="213">
        <v>83513.63737184956</v>
      </c>
      <c r="C229" s="211">
        <v>32649.066461258</v>
      </c>
      <c r="D229" s="211">
        <v>126916.60251138601</v>
      </c>
      <c r="E229" s="212">
        <v>70622.341774945497</v>
      </c>
      <c r="F229" s="211">
        <v>376917.27474054921</v>
      </c>
      <c r="G229" s="213">
        <v>607105.28548813867</v>
      </c>
      <c r="H229" s="294">
        <v>1525.6179669999999</v>
      </c>
      <c r="I229" s="294">
        <v>3772.7239561060001</v>
      </c>
      <c r="J229" s="298">
        <v>1030.6016440000001</v>
      </c>
      <c r="K229" s="214">
        <v>3069.0622507974999</v>
      </c>
      <c r="L229" s="212">
        <v>94995.251343593016</v>
      </c>
      <c r="M229" s="295">
        <v>315.24851019800002</v>
      </c>
      <c r="N229" s="219">
        <v>47358.553310397372</v>
      </c>
      <c r="O229" s="299">
        <v>842685.98184208001</v>
      </c>
      <c r="P229" s="294">
        <v>2535.9199841785003</v>
      </c>
      <c r="Q229" s="295">
        <v>26014.205287048499</v>
      </c>
      <c r="R229" s="297">
        <v>49651.359854466937</v>
      </c>
      <c r="S229" s="219"/>
    </row>
    <row r="230" spans="1:19" ht="15.75" hidden="1" customHeight="1" x14ac:dyDescent="0.25">
      <c r="A230" s="220">
        <v>40790</v>
      </c>
      <c r="B230" s="213">
        <v>85113.952867349668</v>
      </c>
      <c r="C230" s="211">
        <v>33515.651613825801</v>
      </c>
      <c r="D230" s="211">
        <v>126974.66010586319</v>
      </c>
      <c r="E230" s="212">
        <v>71003.748970558998</v>
      </c>
      <c r="F230" s="211">
        <v>381492.103888679</v>
      </c>
      <c r="G230" s="213">
        <v>612986.16457892698</v>
      </c>
      <c r="H230" s="294">
        <v>1119.211</v>
      </c>
      <c r="I230" s="294">
        <v>5476.6288919655999</v>
      </c>
      <c r="J230" s="298">
        <v>724.05278499999997</v>
      </c>
      <c r="K230" s="214">
        <v>3922.798037</v>
      </c>
      <c r="L230" s="212">
        <v>104003.16297190395</v>
      </c>
      <c r="M230" s="295">
        <v>308.32020056019996</v>
      </c>
      <c r="N230" s="219">
        <v>57154.047460545866</v>
      </c>
      <c r="O230" s="299">
        <v>870808.33879325213</v>
      </c>
      <c r="P230" s="294">
        <v>2597.2604368578</v>
      </c>
      <c r="Q230" s="295">
        <v>27323.143967645599</v>
      </c>
      <c r="R230" s="297">
        <v>47860.403664682999</v>
      </c>
      <c r="S230" s="219"/>
    </row>
    <row r="231" spans="1:19" ht="15.75" hidden="1" customHeight="1" x14ac:dyDescent="0.25">
      <c r="A231" s="220">
        <v>40820</v>
      </c>
      <c r="B231" s="213">
        <v>83604.5</v>
      </c>
      <c r="C231" s="211">
        <v>32843.699999999997</v>
      </c>
      <c r="D231" s="211">
        <v>127213.2</v>
      </c>
      <c r="E231" s="212">
        <v>71351.100000000006</v>
      </c>
      <c r="F231" s="211">
        <v>377609</v>
      </c>
      <c r="G231" s="213">
        <v>609017.1</v>
      </c>
      <c r="H231" s="294">
        <v>2084.1</v>
      </c>
      <c r="I231" s="294">
        <v>4607</v>
      </c>
      <c r="J231" s="298">
        <v>911.3</v>
      </c>
      <c r="K231" s="214">
        <v>3910.4</v>
      </c>
      <c r="L231" s="212">
        <v>109553.3</v>
      </c>
      <c r="M231" s="295">
        <v>318.89999999999998</v>
      </c>
      <c r="N231" s="219">
        <v>60165.599999999999</v>
      </c>
      <c r="O231" s="299">
        <v>874172.2</v>
      </c>
      <c r="P231" s="294">
        <v>2738.358101460447</v>
      </c>
      <c r="Q231" s="295">
        <v>28017.652141925264</v>
      </c>
      <c r="R231" s="297">
        <v>46216.42294878247</v>
      </c>
      <c r="S231" s="219"/>
    </row>
    <row r="232" spans="1:19" ht="15.75" hidden="1" customHeight="1" x14ac:dyDescent="0.25">
      <c r="A232" s="220">
        <v>40851</v>
      </c>
      <c r="B232" s="213">
        <v>85341.287007083054</v>
      </c>
      <c r="C232" s="211">
        <v>33745.1397557608</v>
      </c>
      <c r="D232" s="211">
        <v>127172.70092677772</v>
      </c>
      <c r="E232" s="212">
        <v>71453.389077017811</v>
      </c>
      <c r="F232" s="211">
        <v>430756.73283985478</v>
      </c>
      <c r="G232" s="213">
        <v>663127.96259941114</v>
      </c>
      <c r="H232" s="294">
        <v>1071.5450000000001</v>
      </c>
      <c r="I232" s="294">
        <v>3956.188830539917</v>
      </c>
      <c r="J232" s="298">
        <v>1067.5176299799998</v>
      </c>
      <c r="K232" s="214">
        <v>4928.5981398961239</v>
      </c>
      <c r="L232" s="212">
        <v>99983.950569355657</v>
      </c>
      <c r="M232" s="295">
        <v>608.77041252340791</v>
      </c>
      <c r="N232" s="219">
        <v>64138.715578088493</v>
      </c>
      <c r="O232" s="299">
        <v>924224.53576687793</v>
      </c>
      <c r="P232" s="294">
        <v>2755.7193201143809</v>
      </c>
      <c r="Q232" s="295">
        <v>29792.334706412927</v>
      </c>
      <c r="R232" s="297">
        <v>50108.563052711856</v>
      </c>
      <c r="S232" s="219"/>
    </row>
    <row r="233" spans="1:19" ht="15.75" hidden="1" customHeight="1" x14ac:dyDescent="0.25">
      <c r="A233" s="220">
        <v>40881</v>
      </c>
      <c r="B233" s="213">
        <v>83809.825626176127</v>
      </c>
      <c r="C233" s="211">
        <v>36033.443504546158</v>
      </c>
      <c r="D233" s="211">
        <v>132425.0388905812</v>
      </c>
      <c r="E233" s="212">
        <v>72181.618174025338</v>
      </c>
      <c r="F233" s="211">
        <v>372016.90833563538</v>
      </c>
      <c r="G233" s="213">
        <v>612657.00890478806</v>
      </c>
      <c r="H233" s="294">
        <v>1042.915</v>
      </c>
      <c r="I233" s="294">
        <v>6005.4004488969003</v>
      </c>
      <c r="J233" s="298">
        <v>1114.8821868599998</v>
      </c>
      <c r="K233" s="214">
        <v>5193.1934919624</v>
      </c>
      <c r="L233" s="212">
        <v>109465.72838847182</v>
      </c>
      <c r="M233" s="295">
        <v>368.97363175252798</v>
      </c>
      <c r="N233" s="219">
        <v>63303.988222508458</v>
      </c>
      <c r="O233" s="299">
        <v>882961.91590141621</v>
      </c>
      <c r="P233" s="294">
        <v>2884.7155837824475</v>
      </c>
      <c r="Q233" s="295">
        <v>28366.883551936127</v>
      </c>
      <c r="R233" s="297">
        <v>51669.554598906543</v>
      </c>
      <c r="S233" s="219"/>
    </row>
    <row r="234" spans="1:19" ht="15.75" hidden="1" customHeight="1" x14ac:dyDescent="0.25">
      <c r="A234" s="220">
        <v>40912</v>
      </c>
      <c r="B234" s="213">
        <v>84758.099934525875</v>
      </c>
      <c r="C234" s="211">
        <v>35994.433152732134</v>
      </c>
      <c r="D234" s="211">
        <v>132814.2099145664</v>
      </c>
      <c r="E234" s="212">
        <v>70973.653296346049</v>
      </c>
      <c r="F234" s="211">
        <v>346577.08356266248</v>
      </c>
      <c r="G234" s="213">
        <v>586359.37992630713</v>
      </c>
      <c r="H234" s="294">
        <v>1481.6949999999999</v>
      </c>
      <c r="I234" s="294">
        <v>3766.7715452600423</v>
      </c>
      <c r="J234" s="298">
        <v>1091.41321634</v>
      </c>
      <c r="K234" s="214">
        <v>3185.3655339797301</v>
      </c>
      <c r="L234" s="212">
        <v>115355.29027617861</v>
      </c>
      <c r="M234" s="295">
        <v>434.13260952365994</v>
      </c>
      <c r="N234" s="219">
        <v>59752.185234568191</v>
      </c>
      <c r="O234" s="299">
        <v>856184.33327668335</v>
      </c>
      <c r="P234" s="294">
        <v>2821.7123677397631</v>
      </c>
      <c r="Q234" s="295">
        <v>28813.052995399325</v>
      </c>
      <c r="R234" s="297">
        <v>49916.131804591445</v>
      </c>
      <c r="S234" s="219"/>
    </row>
    <row r="235" spans="1:19" ht="15.75" hidden="1" customHeight="1" x14ac:dyDescent="0.25">
      <c r="A235" s="220">
        <v>40943</v>
      </c>
      <c r="B235" s="213">
        <v>84859.899867073589</v>
      </c>
      <c r="C235" s="211">
        <v>35068.282943368475</v>
      </c>
      <c r="D235" s="211">
        <v>134939.53384215693</v>
      </c>
      <c r="E235" s="212">
        <v>69704.701686358734</v>
      </c>
      <c r="F235" s="211">
        <v>355238.7194571257</v>
      </c>
      <c r="G235" s="213">
        <v>594951.23792900983</v>
      </c>
      <c r="H235" s="294">
        <v>1515.202</v>
      </c>
      <c r="I235" s="294">
        <v>3103.0469215846401</v>
      </c>
      <c r="J235" s="298">
        <v>1099.7932091700002</v>
      </c>
      <c r="K235" s="214">
        <v>701.66408002906599</v>
      </c>
      <c r="L235" s="212">
        <v>111905.48699807325</v>
      </c>
      <c r="M235" s="295">
        <v>427.30459541964598</v>
      </c>
      <c r="N235" s="219">
        <v>61883.695068951522</v>
      </c>
      <c r="O235" s="299">
        <v>860447.33066931169</v>
      </c>
      <c r="P235" s="294">
        <v>2759.411751148617</v>
      </c>
      <c r="Q235" s="295">
        <v>29158.089065161621</v>
      </c>
      <c r="R235" s="297">
        <v>49456.438670597287</v>
      </c>
      <c r="S235" s="219"/>
    </row>
    <row r="236" spans="1:19" ht="15.75" hidden="1" customHeight="1" x14ac:dyDescent="0.25">
      <c r="A236" s="220">
        <v>40972</v>
      </c>
      <c r="B236" s="213">
        <v>87766.875483462922</v>
      </c>
      <c r="C236" s="211">
        <v>34553.902894812614</v>
      </c>
      <c r="D236" s="211">
        <v>135882.10005695315</v>
      </c>
      <c r="E236" s="212">
        <v>70872.015047895955</v>
      </c>
      <c r="F236" s="211">
        <v>411038.85604893375</v>
      </c>
      <c r="G236" s="213">
        <v>652346.87404859543</v>
      </c>
      <c r="H236" s="294">
        <v>1478.809</v>
      </c>
      <c r="I236" s="294">
        <v>6344.8398908775007</v>
      </c>
      <c r="J236" s="298">
        <v>1099.0506297099998</v>
      </c>
      <c r="K236" s="214">
        <v>1554.7469978331999</v>
      </c>
      <c r="L236" s="212">
        <v>105675.52312420629</v>
      </c>
      <c r="M236" s="295">
        <v>460.90758538229551</v>
      </c>
      <c r="N236" s="219">
        <v>57634.144197996582</v>
      </c>
      <c r="O236" s="299">
        <v>914361.77095806436</v>
      </c>
      <c r="P236" s="294">
        <v>2885.45057107393</v>
      </c>
      <c r="Q236" s="295">
        <v>22976.781313039559</v>
      </c>
      <c r="R236" s="297">
        <v>48682.216322745699</v>
      </c>
      <c r="S236" s="219"/>
    </row>
    <row r="237" spans="1:19" ht="15.75" hidden="1" customHeight="1" x14ac:dyDescent="0.25">
      <c r="A237" s="220">
        <v>41003</v>
      </c>
      <c r="B237" s="213">
        <v>89176.489317551852</v>
      </c>
      <c r="C237" s="211">
        <v>35025.171655382081</v>
      </c>
      <c r="D237" s="211">
        <v>134899.50693514047</v>
      </c>
      <c r="E237" s="212">
        <v>70776.944392959427</v>
      </c>
      <c r="F237" s="211">
        <v>413604.75025362393</v>
      </c>
      <c r="G237" s="213">
        <v>654306.3732371059</v>
      </c>
      <c r="H237" s="294">
        <v>1556.537</v>
      </c>
      <c r="I237" s="294">
        <v>5801.6094873497896</v>
      </c>
      <c r="J237" s="298">
        <v>1080.7483627700001</v>
      </c>
      <c r="K237" s="214">
        <v>1167.9430645350139</v>
      </c>
      <c r="L237" s="212">
        <v>106091.22996343728</v>
      </c>
      <c r="M237" s="295">
        <v>406.22929911051796</v>
      </c>
      <c r="N237" s="219">
        <v>58454.321538450604</v>
      </c>
      <c r="O237" s="299">
        <v>918041.48127031082</v>
      </c>
      <c r="P237" s="294">
        <v>2790.1429762011853</v>
      </c>
      <c r="Q237" s="295">
        <v>22428.198355347962</v>
      </c>
      <c r="R237" s="297">
        <v>47816.856658170429</v>
      </c>
      <c r="S237" s="219"/>
    </row>
    <row r="238" spans="1:19" ht="15.75" hidden="1" customHeight="1" x14ac:dyDescent="0.25">
      <c r="A238" s="220">
        <v>41033</v>
      </c>
      <c r="B238" s="213">
        <v>91156.019585703049</v>
      </c>
      <c r="C238" s="211">
        <v>34945.694702214802</v>
      </c>
      <c r="D238" s="211">
        <v>134116.2918903417</v>
      </c>
      <c r="E238" s="212">
        <v>75286.2817948374</v>
      </c>
      <c r="F238" s="211">
        <v>425156.63291932363</v>
      </c>
      <c r="G238" s="213">
        <v>669504.90130671754</v>
      </c>
      <c r="H238" s="294">
        <v>1632.962</v>
      </c>
      <c r="I238" s="294">
        <v>3586.473140854333</v>
      </c>
      <c r="J238" s="298">
        <v>49.19253057000001</v>
      </c>
      <c r="K238" s="214">
        <v>2052.9093821399997</v>
      </c>
      <c r="L238" s="212">
        <v>103244.94422507088</v>
      </c>
      <c r="M238" s="295">
        <v>404.15151633362996</v>
      </c>
      <c r="N238" s="219">
        <v>67724.628858044613</v>
      </c>
      <c r="O238" s="299">
        <v>939356.18254543422</v>
      </c>
      <c r="P238" s="294">
        <v>2887.5245964966307</v>
      </c>
      <c r="Q238" s="295">
        <v>26897.386207970292</v>
      </c>
      <c r="R238" s="297">
        <v>49131.265151558451</v>
      </c>
      <c r="S238" s="219"/>
    </row>
    <row r="239" spans="1:19" ht="15.75" hidden="1" customHeight="1" x14ac:dyDescent="0.25">
      <c r="A239" s="220">
        <v>41064</v>
      </c>
      <c r="B239" s="213">
        <v>91384.349566698365</v>
      </c>
      <c r="C239" s="211">
        <v>36269.300144301204</v>
      </c>
      <c r="D239" s="211">
        <v>136714.59807530811</v>
      </c>
      <c r="E239" s="212">
        <v>75783.123382673628</v>
      </c>
      <c r="F239" s="211">
        <v>369930.90738595295</v>
      </c>
      <c r="G239" s="213">
        <v>618697.92898823589</v>
      </c>
      <c r="H239" s="294">
        <v>1876.806</v>
      </c>
      <c r="I239" s="294">
        <v>3925.9665552144957</v>
      </c>
      <c r="J239" s="298">
        <v>412.99217190999997</v>
      </c>
      <c r="K239" s="214">
        <v>2728.6366338249836</v>
      </c>
      <c r="L239" s="212">
        <v>122329.52647481611</v>
      </c>
      <c r="M239" s="295">
        <v>487.65999416487853</v>
      </c>
      <c r="N239" s="219">
        <v>68455.999422508961</v>
      </c>
      <c r="O239" s="299">
        <v>910299.86580737366</v>
      </c>
      <c r="P239" s="294">
        <v>3083.6774514934064</v>
      </c>
      <c r="Q239" s="295">
        <v>24242.75302641427</v>
      </c>
      <c r="R239" s="297">
        <v>49790.801942226535</v>
      </c>
      <c r="S239" s="219"/>
    </row>
    <row r="240" spans="1:19" ht="15.75" hidden="1" customHeight="1" x14ac:dyDescent="0.25">
      <c r="A240" s="220">
        <v>41094</v>
      </c>
      <c r="B240" s="213">
        <v>98382.627742234064</v>
      </c>
      <c r="C240" s="211">
        <v>35496.121872483913</v>
      </c>
      <c r="D240" s="211">
        <v>136630.76520391487</v>
      </c>
      <c r="E240" s="212">
        <v>77682.339250770237</v>
      </c>
      <c r="F240" s="211">
        <v>395364.27094781742</v>
      </c>
      <c r="G240" s="213">
        <v>645173.49727498647</v>
      </c>
      <c r="H240" s="294">
        <v>2072.1239999999998</v>
      </c>
      <c r="I240" s="294">
        <v>3249.7536127762878</v>
      </c>
      <c r="J240" s="298">
        <v>146.05067693000001</v>
      </c>
      <c r="K240" s="214">
        <v>2751.2126752029826</v>
      </c>
      <c r="L240" s="212">
        <v>124101.68618888553</v>
      </c>
      <c r="M240" s="295">
        <v>395.43364768092817</v>
      </c>
      <c r="N240" s="219">
        <v>57484.145346347701</v>
      </c>
      <c r="O240" s="299">
        <v>933756.53116504382</v>
      </c>
      <c r="P240" s="294">
        <v>2970.4374520983065</v>
      </c>
      <c r="Q240" s="295">
        <v>24868.537926476474</v>
      </c>
      <c r="R240" s="297">
        <v>48822.314249406161</v>
      </c>
      <c r="S240" s="219"/>
    </row>
    <row r="241" spans="1:19" ht="15.75" hidden="1" customHeight="1" x14ac:dyDescent="0.25">
      <c r="A241" s="220">
        <v>41125</v>
      </c>
      <c r="B241" s="213">
        <v>97907.611665978606</v>
      </c>
      <c r="C241" s="211">
        <v>35754.208645643441</v>
      </c>
      <c r="D241" s="211">
        <v>135650.61588188368</v>
      </c>
      <c r="E241" s="212">
        <v>77987.019456369351</v>
      </c>
      <c r="F241" s="211">
        <v>367616.12938914134</v>
      </c>
      <c r="G241" s="213">
        <v>617007.97337303776</v>
      </c>
      <c r="H241" s="294">
        <v>1955.866</v>
      </c>
      <c r="I241" s="294">
        <v>2357.4808087414003</v>
      </c>
      <c r="J241" s="298">
        <v>393.41489346000003</v>
      </c>
      <c r="K241" s="214">
        <v>4657.7173166195998</v>
      </c>
      <c r="L241" s="212">
        <v>114482.75394695339</v>
      </c>
      <c r="M241" s="295">
        <v>454.96120877411801</v>
      </c>
      <c r="N241" s="219">
        <v>60352.571566303937</v>
      </c>
      <c r="O241" s="299">
        <v>899570.35077986878</v>
      </c>
      <c r="P241" s="294">
        <v>1702.9001914878536</v>
      </c>
      <c r="Q241" s="295">
        <v>23146.837936082269</v>
      </c>
      <c r="R241" s="297">
        <v>49125.929034897556</v>
      </c>
      <c r="S241" s="219"/>
    </row>
    <row r="242" spans="1:19" ht="15.75" hidden="1" customHeight="1" x14ac:dyDescent="0.25">
      <c r="A242" s="220">
        <v>41156</v>
      </c>
      <c r="B242" s="213">
        <v>96881.462614304997</v>
      </c>
      <c r="C242" s="211">
        <v>37030.468995217656</v>
      </c>
      <c r="D242" s="211">
        <v>136326.92188617151</v>
      </c>
      <c r="E242" s="212">
        <v>77467.350737829867</v>
      </c>
      <c r="F242" s="211">
        <v>385672.81742309337</v>
      </c>
      <c r="G242" s="213">
        <v>636497.55904231244</v>
      </c>
      <c r="H242" s="294">
        <v>2602.277</v>
      </c>
      <c r="I242" s="294">
        <v>5054.3314289325999</v>
      </c>
      <c r="J242" s="298">
        <v>733.80487335999999</v>
      </c>
      <c r="K242" s="214">
        <v>2917.7640274945998</v>
      </c>
      <c r="L242" s="212">
        <v>109620.85304694989</v>
      </c>
      <c r="M242" s="295">
        <v>521.980057976117</v>
      </c>
      <c r="N242" s="219">
        <v>60369.260861811767</v>
      </c>
      <c r="O242" s="299">
        <v>915199.29295314243</v>
      </c>
      <c r="P242" s="294">
        <v>1894.7533679080273</v>
      </c>
      <c r="Q242" s="295">
        <v>24988.138734956254</v>
      </c>
      <c r="R242" s="297">
        <v>48779.174670822809</v>
      </c>
      <c r="S242" s="219"/>
    </row>
    <row r="243" spans="1:19" ht="15.75" hidden="1" customHeight="1" x14ac:dyDescent="0.25">
      <c r="A243" s="220">
        <v>41186</v>
      </c>
      <c r="B243" s="213">
        <v>97076.172045706786</v>
      </c>
      <c r="C243" s="211">
        <v>37064.39128620577</v>
      </c>
      <c r="D243" s="211">
        <v>136773.42095758097</v>
      </c>
      <c r="E243" s="212">
        <v>79028.251180180247</v>
      </c>
      <c r="F243" s="211">
        <v>407842.70777050621</v>
      </c>
      <c r="G243" s="213">
        <v>660708.77119447314</v>
      </c>
      <c r="H243" s="294">
        <v>2485.9369999999999</v>
      </c>
      <c r="I243" s="294">
        <v>5773.0419858782661</v>
      </c>
      <c r="J243" s="298">
        <v>1136.9511042399999</v>
      </c>
      <c r="K243" s="214">
        <v>2362.9800911197667</v>
      </c>
      <c r="L243" s="212">
        <v>107730.51994653618</v>
      </c>
      <c r="M243" s="295">
        <v>605.87070970520733</v>
      </c>
      <c r="N243" s="219">
        <v>61317.331878739889</v>
      </c>
      <c r="O243" s="299">
        <v>939197.5759563992</v>
      </c>
      <c r="P243" s="294">
        <v>2199.5915504234122</v>
      </c>
      <c r="Q243" s="295">
        <v>25512.491195062394</v>
      </c>
      <c r="R243" s="297">
        <v>54888.656902949697</v>
      </c>
      <c r="S243" s="219"/>
    </row>
    <row r="244" spans="1:19" ht="15.75" hidden="1" customHeight="1" x14ac:dyDescent="0.25">
      <c r="A244" s="220">
        <v>41217</v>
      </c>
      <c r="B244" s="213">
        <v>97482.070865125366</v>
      </c>
      <c r="C244" s="211">
        <v>39064.807807585894</v>
      </c>
      <c r="D244" s="211">
        <v>138489.48924704039</v>
      </c>
      <c r="E244" s="212">
        <v>78044.768641169256</v>
      </c>
      <c r="F244" s="211">
        <v>410271.21637331153</v>
      </c>
      <c r="G244" s="213">
        <v>665870.28206910705</v>
      </c>
      <c r="H244" s="294">
        <v>2953.7240000000002</v>
      </c>
      <c r="I244" s="294">
        <v>6887.7218985971003</v>
      </c>
      <c r="J244" s="298">
        <v>1303.6555494700001</v>
      </c>
      <c r="K244" s="214">
        <v>3646.1320080641003</v>
      </c>
      <c r="L244" s="212">
        <v>117066.49395234675</v>
      </c>
      <c r="M244" s="295">
        <v>427.34712131923999</v>
      </c>
      <c r="N244" s="219">
        <v>60343.331037252436</v>
      </c>
      <c r="O244" s="299">
        <v>955980.75850128208</v>
      </c>
      <c r="P244" s="294">
        <v>1540.1135014479787</v>
      </c>
      <c r="Q244" s="295">
        <v>28097.316402587625</v>
      </c>
      <c r="R244" s="297">
        <v>54908.796404550099</v>
      </c>
      <c r="S244" s="219"/>
    </row>
    <row r="245" spans="1:19" ht="15.75" hidden="1" customHeight="1" x14ac:dyDescent="0.25">
      <c r="A245" s="220">
        <v>41247</v>
      </c>
      <c r="B245" s="213">
        <v>101361.58656761546</v>
      </c>
      <c r="C245" s="211">
        <v>41808.676887730289</v>
      </c>
      <c r="D245" s="211">
        <v>143888.01180297983</v>
      </c>
      <c r="E245" s="212">
        <v>80502.059675700715</v>
      </c>
      <c r="F245" s="211">
        <v>425858.106576722</v>
      </c>
      <c r="G245" s="213">
        <v>692056.85494313273</v>
      </c>
      <c r="H245" s="294">
        <v>2645.3780000000002</v>
      </c>
      <c r="I245" s="294">
        <v>5655.3527691017334</v>
      </c>
      <c r="J245" s="298">
        <v>1683.54041646</v>
      </c>
      <c r="K245" s="214">
        <v>3240.2310300600002</v>
      </c>
      <c r="L245" s="212">
        <v>94514.342478617182</v>
      </c>
      <c r="M245" s="295">
        <v>387.41557493874535</v>
      </c>
      <c r="N245" s="219">
        <v>66575.490621872072</v>
      </c>
      <c r="O245" s="299">
        <v>968120.19240179798</v>
      </c>
      <c r="P245" s="294">
        <v>1208.2960913727682</v>
      </c>
      <c r="Q245" s="295">
        <v>31067.654204137452</v>
      </c>
      <c r="R245" s="297">
        <v>64923.748210942336</v>
      </c>
      <c r="S245" s="219"/>
    </row>
    <row r="246" spans="1:19" ht="15.75" hidden="1" customHeight="1" x14ac:dyDescent="0.25">
      <c r="A246" s="220">
        <v>41278</v>
      </c>
      <c r="B246" s="213">
        <v>103641.42483111612</v>
      </c>
      <c r="C246" s="211">
        <v>38751.752792921485</v>
      </c>
      <c r="D246" s="211">
        <v>146025.27074579359</v>
      </c>
      <c r="E246" s="212">
        <v>77722.963236239171</v>
      </c>
      <c r="F246" s="211">
        <v>452468.23856931919</v>
      </c>
      <c r="G246" s="213">
        <v>714968.22534427349</v>
      </c>
      <c r="H246" s="294">
        <v>2554.8195999999998</v>
      </c>
      <c r="I246" s="294">
        <v>5743.2109549015995</v>
      </c>
      <c r="J246" s="298">
        <v>2005.1633440000001</v>
      </c>
      <c r="K246" s="214">
        <v>3375.5633542003002</v>
      </c>
      <c r="L246" s="212">
        <v>84045.245613034524</v>
      </c>
      <c r="M246" s="295">
        <v>754.16461722296003</v>
      </c>
      <c r="N246" s="219">
        <v>63197.498067439679</v>
      </c>
      <c r="O246" s="299">
        <v>980285.31572618883</v>
      </c>
      <c r="P246" s="294">
        <v>990.13897649769535</v>
      </c>
      <c r="Q246" s="295">
        <v>31565.876404111816</v>
      </c>
      <c r="R246" s="297">
        <v>64930.754908843934</v>
      </c>
      <c r="S246" s="219"/>
    </row>
    <row r="247" spans="1:19" ht="15.75" hidden="1" customHeight="1" x14ac:dyDescent="0.25">
      <c r="A247" s="220">
        <v>41309</v>
      </c>
      <c r="B247" s="213">
        <v>106291.61916462411</v>
      </c>
      <c r="C247" s="211">
        <v>38916.4462463089</v>
      </c>
      <c r="D247" s="211">
        <v>147538.59328962941</v>
      </c>
      <c r="E247" s="212">
        <v>78434.000505821998</v>
      </c>
      <c r="F247" s="211">
        <v>385569.57175160054</v>
      </c>
      <c r="G247" s="213">
        <v>650458.61179336091</v>
      </c>
      <c r="H247" s="294">
        <v>2598.7691</v>
      </c>
      <c r="I247" s="294">
        <v>5309.8425065540005</v>
      </c>
      <c r="J247" s="298">
        <v>2087.05935615</v>
      </c>
      <c r="K247" s="214">
        <v>4666.6075818724994</v>
      </c>
      <c r="L247" s="212">
        <v>106916.12558513699</v>
      </c>
      <c r="M247" s="295">
        <v>807.00224155120009</v>
      </c>
      <c r="N247" s="219">
        <v>66439.043608616848</v>
      </c>
      <c r="O247" s="299">
        <v>945574.68093786656</v>
      </c>
      <c r="P247" s="294">
        <v>979.65441154156065</v>
      </c>
      <c r="Q247" s="295">
        <v>28510.423479334862</v>
      </c>
      <c r="R247" s="297">
        <v>54463.202254289885</v>
      </c>
      <c r="S247" s="219"/>
    </row>
    <row r="248" spans="1:19" ht="21" hidden="1" customHeight="1" x14ac:dyDescent="0.25">
      <c r="A248" s="220">
        <v>41337</v>
      </c>
      <c r="B248" s="213">
        <v>107527.05209255208</v>
      </c>
      <c r="C248" s="211">
        <v>39164.301635152602</v>
      </c>
      <c r="D248" s="211">
        <v>149898.52133020444</v>
      </c>
      <c r="E248" s="212">
        <v>76186.218043362562</v>
      </c>
      <c r="F248" s="211">
        <v>419145.27462464356</v>
      </c>
      <c r="G248" s="213">
        <v>684394.31563336321</v>
      </c>
      <c r="H248" s="294">
        <v>2255.052584</v>
      </c>
      <c r="I248" s="294">
        <v>7383.2674957429999</v>
      </c>
      <c r="J248" s="298">
        <v>2074.5940845099999</v>
      </c>
      <c r="K248" s="214">
        <v>3777.6737054855994</v>
      </c>
      <c r="L248" s="212">
        <v>109820.4615187282</v>
      </c>
      <c r="M248" s="295">
        <v>466.03184701176593</v>
      </c>
      <c r="N248" s="219">
        <v>61967.026579957586</v>
      </c>
      <c r="O248" s="299">
        <v>979665.47554135148</v>
      </c>
      <c r="P248" s="294">
        <v>1047.8503617295296</v>
      </c>
      <c r="Q248" s="295">
        <v>31228.834401101027</v>
      </c>
      <c r="R248" s="297">
        <v>55486.063276284593</v>
      </c>
      <c r="S248" s="219"/>
    </row>
    <row r="249" spans="1:19" ht="21.6" hidden="1" customHeight="1" x14ac:dyDescent="0.25">
      <c r="A249" s="220">
        <v>41368</v>
      </c>
      <c r="B249" s="300">
        <v>109069.37230200633</v>
      </c>
      <c r="C249" s="301">
        <v>37780.252607630988</v>
      </c>
      <c r="D249" s="301">
        <v>149015.76377286506</v>
      </c>
      <c r="E249" s="302">
        <v>75864.901121229472</v>
      </c>
      <c r="F249" s="301">
        <v>422102.52269197057</v>
      </c>
      <c r="G249" s="300">
        <v>684763.44019369606</v>
      </c>
      <c r="H249" s="303">
        <v>2378.9403200000002</v>
      </c>
      <c r="I249" s="303">
        <v>9905.0847239239647</v>
      </c>
      <c r="J249" s="304">
        <v>2252.31105316</v>
      </c>
      <c r="K249" s="305">
        <v>6177.3104167951415</v>
      </c>
      <c r="L249" s="302">
        <v>111499.81338063299</v>
      </c>
      <c r="M249" s="306">
        <v>414.760302605878</v>
      </c>
      <c r="N249" s="307">
        <v>65937.960919616671</v>
      </c>
      <c r="O249" s="308">
        <v>992398.99361243716</v>
      </c>
      <c r="P249" s="303">
        <v>1104.7091760099158</v>
      </c>
      <c r="Q249" s="306">
        <v>29123.561871476242</v>
      </c>
      <c r="R249" s="309">
        <v>52831.105038026442</v>
      </c>
      <c r="S249" s="219"/>
    </row>
    <row r="250" spans="1:19" ht="21.6" hidden="1" customHeight="1" x14ac:dyDescent="0.25">
      <c r="A250" s="220">
        <v>41398</v>
      </c>
      <c r="B250" s="300">
        <v>106735.2740661859</v>
      </c>
      <c r="C250" s="301">
        <v>37540.20188631893</v>
      </c>
      <c r="D250" s="301">
        <v>150060.349384072</v>
      </c>
      <c r="E250" s="302">
        <v>75028.966918558406</v>
      </c>
      <c r="F250" s="301">
        <v>455763.45858387725</v>
      </c>
      <c r="G250" s="300">
        <v>718392.97677282663</v>
      </c>
      <c r="H250" s="303">
        <v>2453.9703140000001</v>
      </c>
      <c r="I250" s="303">
        <v>6335.933228955917</v>
      </c>
      <c r="J250" s="304">
        <v>1222.0581701100002</v>
      </c>
      <c r="K250" s="305">
        <v>4094.4430260318004</v>
      </c>
      <c r="L250" s="302">
        <v>116561.49309773525</v>
      </c>
      <c r="M250" s="306">
        <v>451.511737786548</v>
      </c>
      <c r="N250" s="307">
        <v>65592.476401083768</v>
      </c>
      <c r="O250" s="308">
        <v>1021840.1368147159</v>
      </c>
      <c r="P250" s="303">
        <v>1215.6319843220642</v>
      </c>
      <c r="Q250" s="306">
        <v>26541.251021432898</v>
      </c>
      <c r="R250" s="309">
        <v>51502.476273206819</v>
      </c>
      <c r="S250" s="219"/>
    </row>
    <row r="251" spans="1:19" ht="21.6" hidden="1" customHeight="1" x14ac:dyDescent="0.25">
      <c r="A251" s="220">
        <v>41429</v>
      </c>
      <c r="B251" s="300">
        <v>108051.10349062947</v>
      </c>
      <c r="C251" s="301">
        <v>38547.35022861349</v>
      </c>
      <c r="D251" s="301">
        <v>152975.47512036291</v>
      </c>
      <c r="E251" s="302">
        <v>75141.590768111942</v>
      </c>
      <c r="F251" s="301">
        <v>421524.42024419096</v>
      </c>
      <c r="G251" s="300">
        <v>688188.83636127925</v>
      </c>
      <c r="H251" s="303">
        <v>2339.7638940000002</v>
      </c>
      <c r="I251" s="303">
        <v>4835.941547502629</v>
      </c>
      <c r="J251" s="304">
        <v>1484.4217406999999</v>
      </c>
      <c r="K251" s="305">
        <v>3451.6725393251668</v>
      </c>
      <c r="L251" s="302">
        <v>125085.50529765349</v>
      </c>
      <c r="M251" s="306">
        <v>450.34510120137918</v>
      </c>
      <c r="N251" s="307">
        <v>69467.391842437864</v>
      </c>
      <c r="O251" s="308">
        <v>1003354.9818147292</v>
      </c>
      <c r="P251" s="303">
        <v>1271.0925735450653</v>
      </c>
      <c r="Q251" s="306">
        <v>27986.487260750673</v>
      </c>
      <c r="R251" s="309">
        <v>53138.444642184601</v>
      </c>
      <c r="S251" s="219"/>
    </row>
    <row r="252" spans="1:19" ht="21.6" hidden="1" customHeight="1" x14ac:dyDescent="0.25">
      <c r="A252" s="220">
        <v>41459</v>
      </c>
      <c r="B252" s="300">
        <v>112599.7371725314</v>
      </c>
      <c r="C252" s="301">
        <v>40300.552147983653</v>
      </c>
      <c r="D252" s="301">
        <v>151896.21656499436</v>
      </c>
      <c r="E252" s="302">
        <v>74905.380089453378</v>
      </c>
      <c r="F252" s="301">
        <v>444418.29373781296</v>
      </c>
      <c r="G252" s="300">
        <v>711520.44254024443</v>
      </c>
      <c r="H252" s="303">
        <v>5396.1125451522694</v>
      </c>
      <c r="I252" s="303">
        <v>4627.0329300490748</v>
      </c>
      <c r="J252" s="304">
        <v>1660.1278906499999</v>
      </c>
      <c r="K252" s="305">
        <v>6331.4959958721829</v>
      </c>
      <c r="L252" s="302">
        <v>132746.32796449782</v>
      </c>
      <c r="M252" s="306">
        <v>538.90703109214519</v>
      </c>
      <c r="N252" s="307">
        <v>65136.945052547846</v>
      </c>
      <c r="O252" s="308">
        <v>1040557.1291226372</v>
      </c>
      <c r="P252" s="303">
        <v>1298.379691753365</v>
      </c>
      <c r="Q252" s="306">
        <v>25041.828910930584</v>
      </c>
      <c r="R252" s="309">
        <v>50753.59722106847</v>
      </c>
      <c r="S252" s="219"/>
    </row>
    <row r="253" spans="1:19" ht="21.6" hidden="1" customHeight="1" x14ac:dyDescent="0.25">
      <c r="A253" s="220">
        <v>41490</v>
      </c>
      <c r="B253" s="300">
        <v>115586.33043776441</v>
      </c>
      <c r="C253" s="301">
        <v>38794.744283445478</v>
      </c>
      <c r="D253" s="301">
        <v>150573.15641929119</v>
      </c>
      <c r="E253" s="302">
        <v>72791.545872789909</v>
      </c>
      <c r="F253" s="301">
        <v>419084.00354090222</v>
      </c>
      <c r="G253" s="300">
        <v>681243.45011642878</v>
      </c>
      <c r="H253" s="303">
        <v>5059.2149305739749</v>
      </c>
      <c r="I253" s="303">
        <v>7809.8617600638818</v>
      </c>
      <c r="J253" s="304">
        <v>1936.7734258500002</v>
      </c>
      <c r="K253" s="305">
        <v>6437.5084608477673</v>
      </c>
      <c r="L253" s="302">
        <v>133097.78856321087</v>
      </c>
      <c r="M253" s="306">
        <v>530.84155032017384</v>
      </c>
      <c r="N253" s="307">
        <v>73412.43819734361</v>
      </c>
      <c r="O253" s="308">
        <v>1025114.2074424034</v>
      </c>
      <c r="P253" s="303">
        <v>1046.5208881726687</v>
      </c>
      <c r="Q253" s="306">
        <v>25822.068969003067</v>
      </c>
      <c r="R253" s="309">
        <v>51069.929212938812</v>
      </c>
      <c r="S253" s="219"/>
    </row>
    <row r="254" spans="1:19" ht="21.6" hidden="1" customHeight="1" x14ac:dyDescent="0.25">
      <c r="A254" s="220">
        <v>41521</v>
      </c>
      <c r="B254" s="300">
        <v>113687.13974312221</v>
      </c>
      <c r="C254" s="301">
        <v>39225.803488901831</v>
      </c>
      <c r="D254" s="301">
        <v>150521.61759732736</v>
      </c>
      <c r="E254" s="302">
        <v>72473.860855201885</v>
      </c>
      <c r="F254" s="301">
        <v>410420.38927739882</v>
      </c>
      <c r="G254" s="300">
        <v>672641.67121882993</v>
      </c>
      <c r="H254" s="303">
        <v>5045.2414780269055</v>
      </c>
      <c r="I254" s="303">
        <v>7438.9877084926966</v>
      </c>
      <c r="J254" s="304">
        <v>2950.5819387999995</v>
      </c>
      <c r="K254" s="305">
        <v>6319.1822747415017</v>
      </c>
      <c r="L254" s="302">
        <v>133027.07388840363</v>
      </c>
      <c r="M254" s="306">
        <v>444.60701396990106</v>
      </c>
      <c r="N254" s="307">
        <v>73791.622877979113</v>
      </c>
      <c r="O254" s="308">
        <v>1015346.1081423661</v>
      </c>
      <c r="P254" s="303">
        <v>1015.7431562634966</v>
      </c>
      <c r="Q254" s="306">
        <v>33783.006303363189</v>
      </c>
      <c r="R254" s="309">
        <v>49992.890370337722</v>
      </c>
      <c r="S254" s="219"/>
    </row>
    <row r="255" spans="1:19" ht="21.6" hidden="1" customHeight="1" x14ac:dyDescent="0.25">
      <c r="A255" s="220">
        <v>41551</v>
      </c>
      <c r="B255" s="300">
        <v>113099.96486244278</v>
      </c>
      <c r="C255" s="301">
        <v>38545.475487481679</v>
      </c>
      <c r="D255" s="301">
        <v>149504.02347328491</v>
      </c>
      <c r="E255" s="302">
        <v>74962.916132986051</v>
      </c>
      <c r="F255" s="301">
        <v>405654.00701326714</v>
      </c>
      <c r="G255" s="300">
        <v>668666.42210701981</v>
      </c>
      <c r="H255" s="303">
        <v>6432.3440037689934</v>
      </c>
      <c r="I255" s="303">
        <v>4089.5677306657049</v>
      </c>
      <c r="J255" s="304">
        <v>2453.0548415999997</v>
      </c>
      <c r="K255" s="305">
        <v>3630.1557938526412</v>
      </c>
      <c r="L255" s="302">
        <v>126532.35375308557</v>
      </c>
      <c r="M255" s="306">
        <v>430.76485708793319</v>
      </c>
      <c r="N255" s="307">
        <v>67887.288360685983</v>
      </c>
      <c r="O255" s="308">
        <v>993221.91631020955</v>
      </c>
      <c r="P255" s="303">
        <v>1014.984180862668</v>
      </c>
      <c r="Q255" s="306">
        <v>32109.234760939253</v>
      </c>
      <c r="R255" s="309">
        <v>51388.079562108433</v>
      </c>
      <c r="S255" s="219"/>
    </row>
    <row r="256" spans="1:19" ht="21.6" hidden="1" customHeight="1" x14ac:dyDescent="0.25">
      <c r="A256" s="220">
        <v>41582</v>
      </c>
      <c r="B256" s="238">
        <v>113232.81144966342</v>
      </c>
      <c r="C256" s="237">
        <v>39901.547065491162</v>
      </c>
      <c r="D256" s="237">
        <v>150649.98707840461</v>
      </c>
      <c r="E256" s="310">
        <v>75986.894353106502</v>
      </c>
      <c r="F256" s="237">
        <v>402393.98343250819</v>
      </c>
      <c r="G256" s="238">
        <v>668932.41192951053</v>
      </c>
      <c r="H256" s="311">
        <v>5260.0114080683406</v>
      </c>
      <c r="I256" s="311">
        <v>8119.7839221598706</v>
      </c>
      <c r="J256" s="312">
        <v>2589.4961869700001</v>
      </c>
      <c r="K256" s="313">
        <v>4169.8072827085662</v>
      </c>
      <c r="L256" s="310">
        <v>140836.62999045831</v>
      </c>
      <c r="M256" s="314">
        <v>410.28985471068802</v>
      </c>
      <c r="N256" s="315">
        <v>63793.425883773569</v>
      </c>
      <c r="O256" s="316">
        <v>1007344.6679080235</v>
      </c>
      <c r="P256" s="311">
        <v>995.21993414301949</v>
      </c>
      <c r="Q256" s="314">
        <v>30270.914961447212</v>
      </c>
      <c r="R256" s="317">
        <v>51163.189304879132</v>
      </c>
      <c r="S256" s="219"/>
    </row>
    <row r="257" spans="1:76" ht="21.6" hidden="1" customHeight="1" x14ac:dyDescent="0.25">
      <c r="A257" s="220">
        <v>41612</v>
      </c>
      <c r="B257" s="318">
        <v>111987.33230480846</v>
      </c>
      <c r="C257" s="237">
        <v>43025.449592383011</v>
      </c>
      <c r="D257" s="237">
        <v>155968.48852920404</v>
      </c>
      <c r="E257" s="310">
        <v>78361.819123151203</v>
      </c>
      <c r="F257" s="237">
        <v>455857.93937059434</v>
      </c>
      <c r="G257" s="238">
        <v>733213.6966153325</v>
      </c>
      <c r="H257" s="311">
        <v>4747.5682827875153</v>
      </c>
      <c r="I257" s="311">
        <v>7566.0607467365517</v>
      </c>
      <c r="J257" s="312">
        <v>2584.04830135665</v>
      </c>
      <c r="K257" s="313">
        <v>3095.315864473851</v>
      </c>
      <c r="L257" s="310">
        <v>114655.72707817541</v>
      </c>
      <c r="M257" s="314">
        <v>249.98995268617247</v>
      </c>
      <c r="N257" s="319">
        <v>62718.034250787692</v>
      </c>
      <c r="O257" s="316">
        <v>1040817.7733971449</v>
      </c>
      <c r="P257" s="311">
        <v>844.41048086490343</v>
      </c>
      <c r="Q257" s="314">
        <v>31404.036490688482</v>
      </c>
      <c r="R257" s="317">
        <v>53863.173229129658</v>
      </c>
      <c r="S257" s="219"/>
    </row>
    <row r="258" spans="1:76" ht="21.6" hidden="1" customHeight="1" x14ac:dyDescent="0.25">
      <c r="A258" s="220">
        <v>41643</v>
      </c>
      <c r="B258" s="318">
        <v>118480.56664864114</v>
      </c>
      <c r="C258" s="237">
        <v>44410.061704477172</v>
      </c>
      <c r="D258" s="237">
        <v>157641.37688271687</v>
      </c>
      <c r="E258" s="310">
        <v>77097.410718269894</v>
      </c>
      <c r="F258" s="237">
        <v>424814.10780279938</v>
      </c>
      <c r="G258" s="238">
        <v>703962.95710826339</v>
      </c>
      <c r="H258" s="311">
        <v>4066.0457253630088</v>
      </c>
      <c r="I258" s="311">
        <v>5736.6757128412646</v>
      </c>
      <c r="J258" s="312">
        <v>3420.4605920586005</v>
      </c>
      <c r="K258" s="313">
        <v>2310.1896738029586</v>
      </c>
      <c r="L258" s="310">
        <v>114919.58497640165</v>
      </c>
      <c r="M258" s="314">
        <v>397.34183199315038</v>
      </c>
      <c r="N258" s="319">
        <v>57473.078912417928</v>
      </c>
      <c r="O258" s="316">
        <v>1010766.9011817831</v>
      </c>
      <c r="P258" s="311">
        <v>706.49010410182882</v>
      </c>
      <c r="Q258" s="314">
        <v>29176.052153816985</v>
      </c>
      <c r="R258" s="317">
        <v>51638.022459504078</v>
      </c>
      <c r="S258" s="219"/>
    </row>
    <row r="259" spans="1:76" ht="21.6" hidden="1" customHeight="1" x14ac:dyDescent="0.25">
      <c r="A259" s="220">
        <v>41674</v>
      </c>
      <c r="B259" s="318">
        <v>118447.54292112213</v>
      </c>
      <c r="C259" s="237">
        <v>44848.641749544477</v>
      </c>
      <c r="D259" s="237">
        <v>159679.69507840899</v>
      </c>
      <c r="E259" s="310">
        <v>78161.676702409357</v>
      </c>
      <c r="F259" s="237">
        <v>433928.23670445691</v>
      </c>
      <c r="G259" s="238">
        <v>716618.25023481972</v>
      </c>
      <c r="H259" s="311">
        <v>4029.9535965551731</v>
      </c>
      <c r="I259" s="311">
        <v>1920.4410696100001</v>
      </c>
      <c r="J259" s="312">
        <v>3445.1597006873999</v>
      </c>
      <c r="K259" s="313">
        <v>4370.7349970869664</v>
      </c>
      <c r="L259" s="310">
        <v>111916.96277263138</v>
      </c>
      <c r="M259" s="314">
        <v>392.19067560012547</v>
      </c>
      <c r="N259" s="319">
        <v>59529.371005643829</v>
      </c>
      <c r="O259" s="316">
        <v>1020670.6069737566</v>
      </c>
      <c r="P259" s="311">
        <v>682.02313052000932</v>
      </c>
      <c r="Q259" s="314">
        <v>28302.583839050392</v>
      </c>
      <c r="R259" s="317">
        <v>47481.208401964373</v>
      </c>
    </row>
    <row r="260" spans="1:76" ht="21.6" hidden="1" customHeight="1" x14ac:dyDescent="0.25">
      <c r="A260" s="220">
        <v>41702</v>
      </c>
      <c r="B260" s="238">
        <v>121413.94690070157</v>
      </c>
      <c r="C260" s="237">
        <v>41735.616953872188</v>
      </c>
      <c r="D260" s="237">
        <v>161723.92385626151</v>
      </c>
      <c r="E260" s="310">
        <v>78531.482669358418</v>
      </c>
      <c r="F260" s="237">
        <v>431566.40972599003</v>
      </c>
      <c r="G260" s="238">
        <v>713557.43320548208</v>
      </c>
      <c r="H260" s="311">
        <v>4011.4209963128624</v>
      </c>
      <c r="I260" s="311">
        <v>1175.70814404</v>
      </c>
      <c r="J260" s="312">
        <v>3438.4005094575996</v>
      </c>
      <c r="K260" s="313">
        <v>4864.4023643285582</v>
      </c>
      <c r="L260" s="310">
        <v>125921.40903890411</v>
      </c>
      <c r="M260" s="314">
        <v>360.72362734867738</v>
      </c>
      <c r="N260" s="319">
        <v>61306.342646008663</v>
      </c>
      <c r="O260" s="316">
        <v>1036049.7874325841</v>
      </c>
      <c r="P260" s="311">
        <v>783.70421581504058</v>
      </c>
      <c r="Q260" s="314">
        <v>34822.947475463821</v>
      </c>
      <c r="R260" s="317">
        <v>48689.399259109763</v>
      </c>
    </row>
    <row r="261" spans="1:76" ht="21.6" hidden="1" customHeight="1" x14ac:dyDescent="0.25">
      <c r="A261" s="220">
        <v>41733</v>
      </c>
      <c r="B261" s="238">
        <v>122935.07781688809</v>
      </c>
      <c r="C261" s="237">
        <v>43432.794493689646</v>
      </c>
      <c r="D261" s="237">
        <v>162039.0989455627</v>
      </c>
      <c r="E261" s="310">
        <v>78796.376785115383</v>
      </c>
      <c r="F261" s="237">
        <v>430821.02166674804</v>
      </c>
      <c r="G261" s="238">
        <v>715089.29189111572</v>
      </c>
      <c r="H261" s="311">
        <v>4000.8910778728455</v>
      </c>
      <c r="I261" s="311">
        <v>1850.93168928</v>
      </c>
      <c r="J261" s="312">
        <v>3438.9283617405999</v>
      </c>
      <c r="K261" s="313">
        <v>3507.4735714378585</v>
      </c>
      <c r="L261" s="310">
        <v>121379.33923348585</v>
      </c>
      <c r="M261" s="314">
        <v>416.26703203411495</v>
      </c>
      <c r="N261" s="319">
        <v>60515.359945103861</v>
      </c>
      <c r="O261" s="316">
        <v>1033133.560618959</v>
      </c>
      <c r="P261" s="311">
        <v>787.53073958730522</v>
      </c>
      <c r="Q261" s="314">
        <v>36759.223179091059</v>
      </c>
      <c r="R261" s="317">
        <v>50284.986346220619</v>
      </c>
    </row>
    <row r="262" spans="1:76" ht="19.5" hidden="1" customHeight="1" x14ac:dyDescent="0.25">
      <c r="A262" s="220">
        <v>41763</v>
      </c>
      <c r="B262" s="238">
        <v>124445.38765014018</v>
      </c>
      <c r="C262" s="237">
        <v>44765.293268615766</v>
      </c>
      <c r="D262" s="237">
        <v>161430.90008732726</v>
      </c>
      <c r="E262" s="310">
        <v>79031.90681075133</v>
      </c>
      <c r="F262" s="237">
        <v>410610.59391592845</v>
      </c>
      <c r="G262" s="238">
        <v>695838.69408262288</v>
      </c>
      <c r="H262" s="311">
        <v>4197.665383317104</v>
      </c>
      <c r="I262" s="311">
        <v>3228.2920833634298</v>
      </c>
      <c r="J262" s="312">
        <v>2492.2911819476003</v>
      </c>
      <c r="K262" s="313">
        <v>1889.5263743674077</v>
      </c>
      <c r="L262" s="310">
        <v>123293.97464650682</v>
      </c>
      <c r="M262" s="314">
        <v>419.49295909894397</v>
      </c>
      <c r="N262" s="319">
        <v>62330.417514262546</v>
      </c>
      <c r="O262" s="316">
        <v>1018135.741875627</v>
      </c>
      <c r="P262" s="311">
        <v>841.33733795772548</v>
      </c>
      <c r="Q262" s="314">
        <v>39807.531562273361</v>
      </c>
      <c r="R262" s="317">
        <v>51664.676499670502</v>
      </c>
    </row>
    <row r="263" spans="1:76" s="320" customFormat="1" ht="19.5" hidden="1" customHeight="1" thickBot="1" x14ac:dyDescent="0.3">
      <c r="A263" s="220">
        <v>41794</v>
      </c>
      <c r="B263" s="238">
        <v>122521.29964296731</v>
      </c>
      <c r="C263" s="237">
        <v>46169.829506132497</v>
      </c>
      <c r="D263" s="237">
        <v>165133.20285822736</v>
      </c>
      <c r="E263" s="310">
        <v>81196.743864511838</v>
      </c>
      <c r="F263" s="237">
        <v>408533.29928737279</v>
      </c>
      <c r="G263" s="238">
        <v>701033.0755162444</v>
      </c>
      <c r="H263" s="311">
        <v>4007.6379852973459</v>
      </c>
      <c r="I263" s="311">
        <v>2818.2626958324167</v>
      </c>
      <c r="J263" s="312">
        <v>2301.2816555845002</v>
      </c>
      <c r="K263" s="313">
        <v>2095.8984290898397</v>
      </c>
      <c r="L263" s="310">
        <v>116430.71790986256</v>
      </c>
      <c r="M263" s="314">
        <v>370.72691066679204</v>
      </c>
      <c r="N263" s="319">
        <v>62144.145314929527</v>
      </c>
      <c r="O263" s="316">
        <v>1013723.0460604747</v>
      </c>
      <c r="P263" s="311">
        <v>802.66300690905405</v>
      </c>
      <c r="Q263" s="314">
        <v>40953.584031657265</v>
      </c>
      <c r="R263" s="317">
        <v>56208.970414594027</v>
      </c>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c r="BE263" s="172"/>
      <c r="BF263" s="172"/>
      <c r="BG263" s="172"/>
      <c r="BH263" s="172"/>
      <c r="BI263" s="172"/>
      <c r="BJ263" s="172"/>
      <c r="BK263" s="172"/>
      <c r="BL263" s="172"/>
      <c r="BM263" s="172"/>
      <c r="BN263" s="172"/>
      <c r="BO263" s="172"/>
      <c r="BP263" s="172"/>
      <c r="BQ263" s="172"/>
      <c r="BR263" s="172"/>
      <c r="BS263" s="172"/>
      <c r="BT263" s="172"/>
      <c r="BU263" s="172"/>
      <c r="BV263" s="172"/>
      <c r="BW263" s="172"/>
      <c r="BX263" s="172"/>
    </row>
    <row r="264" spans="1:76" s="320" customFormat="1" ht="19.5" hidden="1" customHeight="1" thickBot="1" x14ac:dyDescent="0.3">
      <c r="A264" s="220">
        <v>41824</v>
      </c>
      <c r="B264" s="238">
        <v>126356.74219838866</v>
      </c>
      <c r="C264" s="237">
        <v>44069.506521158684</v>
      </c>
      <c r="D264" s="237">
        <v>165725.09550373</v>
      </c>
      <c r="E264" s="310">
        <v>78910.313142986968</v>
      </c>
      <c r="F264" s="237">
        <v>418597.43427787663</v>
      </c>
      <c r="G264" s="238">
        <v>707302.34944575233</v>
      </c>
      <c r="H264" s="311">
        <v>5203.9852197831333</v>
      </c>
      <c r="I264" s="311">
        <v>4552.6641504499994</v>
      </c>
      <c r="J264" s="312">
        <v>1742.5884104661998</v>
      </c>
      <c r="K264" s="313">
        <v>2325.0609055329892</v>
      </c>
      <c r="L264" s="310">
        <v>121180.88852607994</v>
      </c>
      <c r="M264" s="314">
        <v>538.78336644563194</v>
      </c>
      <c r="N264" s="319">
        <v>61246.144952901494</v>
      </c>
      <c r="O264" s="316">
        <v>1030449.2071758005</v>
      </c>
      <c r="P264" s="311">
        <v>918.8567127133</v>
      </c>
      <c r="Q264" s="314">
        <v>32727.890502028531</v>
      </c>
      <c r="R264" s="317">
        <v>54080.112234869848</v>
      </c>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c r="BE264" s="172"/>
      <c r="BF264" s="172"/>
      <c r="BG264" s="172"/>
      <c r="BH264" s="172"/>
      <c r="BI264" s="172"/>
      <c r="BJ264" s="172"/>
      <c r="BK264" s="172"/>
      <c r="BL264" s="172"/>
      <c r="BM264" s="172"/>
      <c r="BN264" s="172"/>
      <c r="BO264" s="172"/>
      <c r="BP264" s="172"/>
      <c r="BQ264" s="172"/>
      <c r="BR264" s="172"/>
      <c r="BS264" s="172"/>
      <c r="BT264" s="172"/>
      <c r="BU264" s="172"/>
      <c r="BV264" s="172"/>
      <c r="BW264" s="172"/>
      <c r="BX264" s="172"/>
    </row>
    <row r="265" spans="1:76" s="320" customFormat="1" ht="19.5" hidden="1" customHeight="1" thickBot="1" x14ac:dyDescent="0.3">
      <c r="A265" s="220">
        <v>41855</v>
      </c>
      <c r="B265" s="238">
        <v>125973.19106777311</v>
      </c>
      <c r="C265" s="237">
        <v>43694.487551878548</v>
      </c>
      <c r="D265" s="237">
        <v>166315.36831197748</v>
      </c>
      <c r="E265" s="310">
        <v>78323.259133017913</v>
      </c>
      <c r="F265" s="237">
        <v>432482.39595010609</v>
      </c>
      <c r="G265" s="238">
        <v>720815.51094697998</v>
      </c>
      <c r="H265" s="311">
        <v>5033.0153230030137</v>
      </c>
      <c r="I265" s="311">
        <v>6846.1841430370941</v>
      </c>
      <c r="J265" s="312">
        <v>2023.9180510872</v>
      </c>
      <c r="K265" s="313">
        <v>1520.3577330654043</v>
      </c>
      <c r="L265" s="310">
        <v>119037.48914133009</v>
      </c>
      <c r="M265" s="314">
        <v>470.1887310317943</v>
      </c>
      <c r="N265" s="319">
        <v>61480.136618798984</v>
      </c>
      <c r="O265" s="316">
        <v>1043199.9917561068</v>
      </c>
      <c r="P265" s="311">
        <v>935.42585177595731</v>
      </c>
      <c r="Q265" s="314">
        <v>35203.250671454327</v>
      </c>
      <c r="R265" s="317">
        <v>58052.416583196762</v>
      </c>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c r="BE265" s="172"/>
      <c r="BF265" s="172"/>
      <c r="BG265" s="172"/>
      <c r="BH265" s="172"/>
      <c r="BI265" s="172"/>
      <c r="BJ265" s="172"/>
      <c r="BK265" s="172"/>
      <c r="BL265" s="172"/>
      <c r="BM265" s="172"/>
      <c r="BN265" s="172"/>
      <c r="BO265" s="172"/>
      <c r="BP265" s="172"/>
      <c r="BQ265" s="172"/>
      <c r="BR265" s="172"/>
      <c r="BS265" s="172"/>
      <c r="BT265" s="172"/>
      <c r="BU265" s="172"/>
      <c r="BV265" s="172"/>
      <c r="BW265" s="172"/>
      <c r="BX265" s="172"/>
    </row>
    <row r="266" spans="1:76" s="320" customFormat="1" ht="19.5" hidden="1" customHeight="1" thickBot="1" x14ac:dyDescent="0.3">
      <c r="A266" s="220">
        <v>41886</v>
      </c>
      <c r="B266" s="238">
        <v>124006.76981744383</v>
      </c>
      <c r="C266" s="237">
        <v>44252.675878986796</v>
      </c>
      <c r="D266" s="237">
        <v>167161.52039832535</v>
      </c>
      <c r="E266" s="310">
        <v>76841.702545329681</v>
      </c>
      <c r="F266" s="237">
        <v>473483.33798169048</v>
      </c>
      <c r="G266" s="238">
        <v>761739.23680433235</v>
      </c>
      <c r="H266" s="311">
        <v>4875.3775807001348</v>
      </c>
      <c r="I266" s="311">
        <v>3793.5812503899997</v>
      </c>
      <c r="J266" s="312">
        <v>2068.2393347353996</v>
      </c>
      <c r="K266" s="313">
        <v>1725.1239316166668</v>
      </c>
      <c r="L266" s="310">
        <v>136108.56259236942</v>
      </c>
      <c r="M266" s="314">
        <v>390.02797533373337</v>
      </c>
      <c r="N266" s="319">
        <v>66810.894317240891</v>
      </c>
      <c r="O266" s="316">
        <v>1101517.8136041623</v>
      </c>
      <c r="P266" s="311">
        <v>1085.0861873825806</v>
      </c>
      <c r="Q266" s="314">
        <v>33656.298858053931</v>
      </c>
      <c r="R266" s="317">
        <v>58363.909508030716</v>
      </c>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c r="BE266" s="172"/>
      <c r="BF266" s="172"/>
      <c r="BG266" s="172"/>
      <c r="BH266" s="172"/>
      <c r="BI266" s="172"/>
      <c r="BJ266" s="172"/>
      <c r="BK266" s="172"/>
      <c r="BL266" s="172"/>
      <c r="BM266" s="172"/>
      <c r="BN266" s="172"/>
      <c r="BO266" s="172"/>
      <c r="BP266" s="172"/>
      <c r="BQ266" s="172"/>
      <c r="BR266" s="172"/>
      <c r="BS266" s="172"/>
      <c r="BT266" s="172"/>
      <c r="BU266" s="172"/>
      <c r="BV266" s="172"/>
      <c r="BW266" s="172"/>
      <c r="BX266" s="172"/>
    </row>
    <row r="267" spans="1:76" s="320" customFormat="1" ht="19.5" hidden="1" customHeight="1" thickBot="1" x14ac:dyDescent="0.3">
      <c r="A267" s="220">
        <v>41916</v>
      </c>
      <c r="B267" s="238">
        <v>119865.64189283135</v>
      </c>
      <c r="C267" s="237">
        <v>44688.787402702517</v>
      </c>
      <c r="D267" s="237">
        <v>170384.03465454609</v>
      </c>
      <c r="E267" s="310">
        <v>77920.832542246062</v>
      </c>
      <c r="F267" s="237">
        <v>524838.4856483055</v>
      </c>
      <c r="G267" s="238">
        <v>817832.14024780015</v>
      </c>
      <c r="H267" s="311">
        <v>4490.705302925855</v>
      </c>
      <c r="I267" s="311">
        <v>3805.5650502933336</v>
      </c>
      <c r="J267" s="312">
        <v>2059.5688212927002</v>
      </c>
      <c r="K267" s="313">
        <v>1845.7207547057333</v>
      </c>
      <c r="L267" s="310">
        <v>133113.67377626587</v>
      </c>
      <c r="M267" s="314">
        <v>427.89776887069968</v>
      </c>
      <c r="N267" s="319">
        <v>66332.76179522129</v>
      </c>
      <c r="O267" s="316">
        <v>1149773.6754102069</v>
      </c>
      <c r="P267" s="311">
        <v>1283.9203117969007</v>
      </c>
      <c r="Q267" s="314">
        <v>29992.220526029338</v>
      </c>
      <c r="R267" s="317">
        <v>57508.733660657825</v>
      </c>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c r="BE267" s="172"/>
      <c r="BF267" s="172"/>
      <c r="BG267" s="172"/>
      <c r="BH267" s="172"/>
      <c r="BI267" s="172"/>
      <c r="BJ267" s="172"/>
      <c r="BK267" s="172"/>
      <c r="BL267" s="172"/>
      <c r="BM267" s="172"/>
      <c r="BN267" s="172"/>
      <c r="BO267" s="172"/>
      <c r="BP267" s="172"/>
      <c r="BQ267" s="172"/>
      <c r="BR267" s="172"/>
      <c r="BS267" s="172"/>
      <c r="BT267" s="172"/>
      <c r="BU267" s="172"/>
      <c r="BV267" s="172"/>
      <c r="BW267" s="172"/>
      <c r="BX267" s="172"/>
    </row>
    <row r="268" spans="1:76" s="320" customFormat="1" ht="19.5" hidden="1" customHeight="1" thickBot="1" x14ac:dyDescent="0.3">
      <c r="A268" s="220">
        <v>41947</v>
      </c>
      <c r="B268" s="238">
        <v>120337.92626928547</v>
      </c>
      <c r="C268" s="237">
        <v>46600.179670554382</v>
      </c>
      <c r="D268" s="237">
        <v>168978.12408885983</v>
      </c>
      <c r="E268" s="310">
        <v>80592.153789483389</v>
      </c>
      <c r="F268" s="237">
        <v>491202.54253642564</v>
      </c>
      <c r="G268" s="238">
        <v>787373.00008532323</v>
      </c>
      <c r="H268" s="311">
        <v>4454.6292153061067</v>
      </c>
      <c r="I268" s="311">
        <v>2900.1534507418819</v>
      </c>
      <c r="J268" s="312">
        <v>2225.3911847059003</v>
      </c>
      <c r="K268" s="313">
        <v>571.39760440419298</v>
      </c>
      <c r="L268" s="310">
        <v>149466.81411690323</v>
      </c>
      <c r="M268" s="314">
        <v>478.29615108222475</v>
      </c>
      <c r="N268" s="319">
        <v>68206.762596893706</v>
      </c>
      <c r="O268" s="316">
        <v>1136014.3706746462</v>
      </c>
      <c r="P268" s="311">
        <v>1330.1628258087035</v>
      </c>
      <c r="Q268" s="314">
        <v>35924.541075235509</v>
      </c>
      <c r="R268" s="317">
        <v>56005.924780706817</v>
      </c>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row>
    <row r="269" spans="1:76" s="320" customFormat="1" ht="19.5" hidden="1" customHeight="1" thickBot="1" x14ac:dyDescent="0.3">
      <c r="A269" s="220">
        <v>41977</v>
      </c>
      <c r="B269" s="238">
        <v>123631.35373759393</v>
      </c>
      <c r="C269" s="237">
        <v>47956.046395652615</v>
      </c>
      <c r="D269" s="237">
        <v>172428.36987003908</v>
      </c>
      <c r="E269" s="310">
        <v>80197.933251654336</v>
      </c>
      <c r="F269" s="237">
        <v>521188.37875424413</v>
      </c>
      <c r="G269" s="238">
        <v>821770.72827159008</v>
      </c>
      <c r="H269" s="311">
        <v>4008.5614136931026</v>
      </c>
      <c r="I269" s="311">
        <v>2097.4783605517846</v>
      </c>
      <c r="J269" s="312">
        <v>2198.4614223797348</v>
      </c>
      <c r="K269" s="313">
        <v>839.11638278988653</v>
      </c>
      <c r="L269" s="310">
        <v>134546.34802927752</v>
      </c>
      <c r="M269" s="314">
        <v>509.55352957750631</v>
      </c>
      <c r="N269" s="319">
        <v>63969.292683195061</v>
      </c>
      <c r="O269" s="316">
        <v>1153570.8938306486</v>
      </c>
      <c r="P269" s="311">
        <v>1490.1574935820843</v>
      </c>
      <c r="Q269" s="314">
        <v>33812.122052272622</v>
      </c>
      <c r="R269" s="317">
        <v>56213.095258551977</v>
      </c>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c r="BE269" s="172"/>
      <c r="BF269" s="172"/>
      <c r="BG269" s="172"/>
      <c r="BH269" s="172"/>
      <c r="BI269" s="172"/>
      <c r="BJ269" s="172"/>
      <c r="BK269" s="172"/>
      <c r="BL269" s="172"/>
      <c r="BM269" s="172"/>
      <c r="BN269" s="172"/>
      <c r="BO269" s="172"/>
      <c r="BP269" s="172"/>
      <c r="BQ269" s="172"/>
      <c r="BR269" s="172"/>
      <c r="BS269" s="172"/>
      <c r="BT269" s="172"/>
      <c r="BU269" s="172"/>
      <c r="BV269" s="172"/>
      <c r="BW269" s="172"/>
      <c r="BX269" s="172"/>
    </row>
    <row r="270" spans="1:76" s="320" customFormat="1" ht="19.5" hidden="1" customHeight="1" thickBot="1" x14ac:dyDescent="0.3">
      <c r="A270" s="220">
        <v>42008</v>
      </c>
      <c r="B270" s="238">
        <v>127645.30734060165</v>
      </c>
      <c r="C270" s="237">
        <v>47351.126405177274</v>
      </c>
      <c r="D270" s="237">
        <v>176239.56368070908</v>
      </c>
      <c r="E270" s="310">
        <v>78266.821259785764</v>
      </c>
      <c r="F270" s="237">
        <v>540646.8871559723</v>
      </c>
      <c r="G270" s="238">
        <v>842504.39850164438</v>
      </c>
      <c r="H270" s="311">
        <v>4009.9413983153931</v>
      </c>
      <c r="I270" s="311">
        <v>4641.9907244015658</v>
      </c>
      <c r="J270" s="312">
        <v>2182.86228849079</v>
      </c>
      <c r="K270" s="313">
        <v>580.27377691215861</v>
      </c>
      <c r="L270" s="310">
        <v>131004.90432044526</v>
      </c>
      <c r="M270" s="314">
        <v>425.61430551716904</v>
      </c>
      <c r="N270" s="319">
        <v>62677.126495255528</v>
      </c>
      <c r="O270" s="316">
        <v>1175672.4191515839</v>
      </c>
      <c r="P270" s="311">
        <v>1158.1628287425617</v>
      </c>
      <c r="Q270" s="314">
        <v>29649.144511661907</v>
      </c>
      <c r="R270" s="317">
        <v>55318.342335891095</v>
      </c>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row>
    <row r="271" spans="1:76" s="320" customFormat="1" ht="19.5" hidden="1" customHeight="1" thickBot="1" x14ac:dyDescent="0.3">
      <c r="A271" s="220">
        <v>42039</v>
      </c>
      <c r="B271" s="238">
        <v>128847.54300218134</v>
      </c>
      <c r="C271" s="237">
        <v>47819.751632037376</v>
      </c>
      <c r="D271" s="237">
        <v>177648.00877157555</v>
      </c>
      <c r="E271" s="310">
        <v>77928.788077418809</v>
      </c>
      <c r="F271" s="237">
        <v>534825.80294430908</v>
      </c>
      <c r="G271" s="238">
        <v>838222.35142534086</v>
      </c>
      <c r="H271" s="311">
        <v>3729.9816100043026</v>
      </c>
      <c r="I271" s="311">
        <v>7922.6073400570212</v>
      </c>
      <c r="J271" s="312">
        <v>2345.0226799353754</v>
      </c>
      <c r="K271" s="313">
        <v>872.9724093623073</v>
      </c>
      <c r="L271" s="310">
        <v>129025.61962921117</v>
      </c>
      <c r="M271" s="314">
        <v>413.54102705480506</v>
      </c>
      <c r="N271" s="319">
        <v>65074.532384964274</v>
      </c>
      <c r="O271" s="316">
        <v>1176454.1715081115</v>
      </c>
      <c r="P271" s="311">
        <v>1026.3078439730621</v>
      </c>
      <c r="Q271" s="314">
        <v>30256.803068649446</v>
      </c>
      <c r="R271" s="317">
        <v>53415.912386446296</v>
      </c>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row>
    <row r="272" spans="1:76" s="320" customFormat="1" ht="19.5" hidden="1" customHeight="1" thickBot="1" x14ac:dyDescent="0.3">
      <c r="A272" s="220">
        <v>42067</v>
      </c>
      <c r="B272" s="238">
        <v>135499.22961837839</v>
      </c>
      <c r="C272" s="237">
        <v>48590.668011745292</v>
      </c>
      <c r="D272" s="237">
        <v>178301.20124942632</v>
      </c>
      <c r="E272" s="310">
        <v>78749.222097682126</v>
      </c>
      <c r="F272" s="237">
        <v>604159.09526293341</v>
      </c>
      <c r="G272" s="238">
        <v>909800.18662178703</v>
      </c>
      <c r="H272" s="311">
        <v>3613.8399310886516</v>
      </c>
      <c r="I272" s="311">
        <v>5962.1934425479458</v>
      </c>
      <c r="J272" s="312">
        <v>2357.74045874888</v>
      </c>
      <c r="K272" s="313">
        <v>446.31664053955757</v>
      </c>
      <c r="L272" s="310">
        <v>132389.42111058149</v>
      </c>
      <c r="M272" s="314">
        <v>382.33718645558133</v>
      </c>
      <c r="N272" s="319">
        <v>71769.939116864043</v>
      </c>
      <c r="O272" s="316">
        <v>1262221.2041269916</v>
      </c>
      <c r="P272" s="311">
        <v>969.75368747737707</v>
      </c>
      <c r="Q272" s="314">
        <v>30651.529776198426</v>
      </c>
      <c r="R272" s="317">
        <v>56978.622954127211</v>
      </c>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row>
    <row r="273" spans="1:76" s="320" customFormat="1" ht="19.5" customHeight="1" thickBot="1" x14ac:dyDescent="0.3">
      <c r="A273" s="220">
        <v>42098</v>
      </c>
      <c r="B273" s="238">
        <v>134214.43327859195</v>
      </c>
      <c r="C273" s="237">
        <v>50646.634264298162</v>
      </c>
      <c r="D273" s="237">
        <v>179162.32469851492</v>
      </c>
      <c r="E273" s="310">
        <v>77273.041668010614</v>
      </c>
      <c r="F273" s="237">
        <v>600224.7147875767</v>
      </c>
      <c r="G273" s="238">
        <v>907306.71541840048</v>
      </c>
      <c r="H273" s="311">
        <v>3297.0824717770688</v>
      </c>
      <c r="I273" s="311">
        <v>5408.0750024263225</v>
      </c>
      <c r="J273" s="312">
        <v>2545.8024764985962</v>
      </c>
      <c r="K273" s="313">
        <v>461.25765213619729</v>
      </c>
      <c r="L273" s="310">
        <v>123931.73349580404</v>
      </c>
      <c r="M273" s="314">
        <v>350.81629298799999</v>
      </c>
      <c r="N273" s="319">
        <v>72741.528599209516</v>
      </c>
      <c r="O273" s="316">
        <v>1250257.4446878321</v>
      </c>
      <c r="P273" s="311">
        <v>2039.1611026795129</v>
      </c>
      <c r="Q273" s="314">
        <v>26699.265396062201</v>
      </c>
      <c r="R273" s="317">
        <v>53411.685859906793</v>
      </c>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c r="BE273" s="172"/>
      <c r="BF273" s="172"/>
      <c r="BG273" s="172"/>
      <c r="BH273" s="172"/>
      <c r="BI273" s="172"/>
      <c r="BJ273" s="172"/>
      <c r="BK273" s="172"/>
      <c r="BL273" s="172"/>
      <c r="BM273" s="172"/>
      <c r="BN273" s="172"/>
      <c r="BO273" s="172"/>
      <c r="BP273" s="172"/>
      <c r="BQ273" s="172"/>
      <c r="BR273" s="172"/>
      <c r="BS273" s="172"/>
      <c r="BT273" s="172"/>
      <c r="BU273" s="172"/>
      <c r="BV273" s="172"/>
      <c r="BW273" s="172"/>
      <c r="BX273" s="172"/>
    </row>
    <row r="274" spans="1:76" s="320" customFormat="1" ht="19.5" customHeight="1" thickTop="1" thickBot="1" x14ac:dyDescent="0.3">
      <c r="A274" s="220">
        <v>42128</v>
      </c>
      <c r="B274" s="238">
        <v>134205.50630445633</v>
      </c>
      <c r="C274" s="237">
        <v>52090.897021283032</v>
      </c>
      <c r="D274" s="237">
        <v>180555.40700264319</v>
      </c>
      <c r="E274" s="310">
        <v>76659.454139142981</v>
      </c>
      <c r="F274" s="237">
        <v>562099.09125052555</v>
      </c>
      <c r="G274" s="238">
        <v>871404.84941359481</v>
      </c>
      <c r="H274" s="311">
        <v>4162.000721648199</v>
      </c>
      <c r="I274" s="311">
        <v>4209.9374445678195</v>
      </c>
      <c r="J274" s="312">
        <v>1971.1782738236409</v>
      </c>
      <c r="K274" s="313">
        <v>676.00819860629986</v>
      </c>
      <c r="L274" s="310">
        <v>113888.00560996226</v>
      </c>
      <c r="M274" s="314">
        <v>357.890523996502</v>
      </c>
      <c r="N274" s="319">
        <v>65481.11278442786</v>
      </c>
      <c r="O274" s="316">
        <v>1196356.4892750836</v>
      </c>
      <c r="P274" s="311">
        <v>2138.6981776577295</v>
      </c>
      <c r="Q274" s="314">
        <v>28447.797962139291</v>
      </c>
      <c r="R274" s="317">
        <v>51540.384329088498</v>
      </c>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c r="BE274" s="172"/>
      <c r="BF274" s="172"/>
      <c r="BG274" s="172"/>
      <c r="BH274" s="172"/>
      <c r="BI274" s="172"/>
      <c r="BJ274" s="172"/>
      <c r="BK274" s="172"/>
      <c r="BL274" s="172"/>
      <c r="BM274" s="172"/>
      <c r="BN274" s="172"/>
      <c r="BO274" s="172"/>
      <c r="BP274" s="172"/>
      <c r="BQ274" s="172"/>
      <c r="BR274" s="172"/>
      <c r="BS274" s="172"/>
      <c r="BT274" s="172"/>
      <c r="BU274" s="172"/>
      <c r="BV274" s="172"/>
      <c r="BW274" s="172"/>
      <c r="BX274" s="172"/>
    </row>
    <row r="275" spans="1:76" s="320" customFormat="1" ht="19.5" customHeight="1" thickTop="1" thickBot="1" x14ac:dyDescent="0.3">
      <c r="A275" s="220">
        <v>42159</v>
      </c>
      <c r="B275" s="238">
        <v>132983.80177525079</v>
      </c>
      <c r="C275" s="237">
        <v>50716.988179733671</v>
      </c>
      <c r="D275" s="237">
        <v>184362.47661944898</v>
      </c>
      <c r="E275" s="310">
        <v>79457.19749384906</v>
      </c>
      <c r="F275" s="237">
        <v>549965.20504952502</v>
      </c>
      <c r="G275" s="238">
        <v>864501.86734255683</v>
      </c>
      <c r="H275" s="311">
        <v>4959.2708700171343</v>
      </c>
      <c r="I275" s="311">
        <v>3624.6262777726456</v>
      </c>
      <c r="J275" s="312">
        <v>1858.6836049278797</v>
      </c>
      <c r="K275" s="313">
        <v>830.14805602788317</v>
      </c>
      <c r="L275" s="310">
        <v>108317.99585388719</v>
      </c>
      <c r="M275" s="314">
        <v>298.92897366307699</v>
      </c>
      <c r="N275" s="319">
        <v>65947.511880855047</v>
      </c>
      <c r="O275" s="316">
        <v>1183322.8346349585</v>
      </c>
      <c r="P275" s="311">
        <v>2456.9220942787738</v>
      </c>
      <c r="Q275" s="314">
        <v>27628.432260976897</v>
      </c>
      <c r="R275" s="317">
        <v>49250.028783547561</v>
      </c>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c r="BE275" s="172"/>
      <c r="BF275" s="172"/>
      <c r="BG275" s="172"/>
      <c r="BH275" s="172"/>
      <c r="BI275" s="172"/>
      <c r="BJ275" s="172"/>
      <c r="BK275" s="172"/>
      <c r="BL275" s="172"/>
      <c r="BM275" s="172"/>
      <c r="BN275" s="172"/>
      <c r="BO275" s="172"/>
      <c r="BP275" s="172"/>
      <c r="BQ275" s="172"/>
      <c r="BR275" s="172"/>
      <c r="BS275" s="172"/>
      <c r="BT275" s="172"/>
      <c r="BU275" s="172"/>
      <c r="BV275" s="172"/>
      <c r="BW275" s="172"/>
      <c r="BX275" s="172"/>
    </row>
    <row r="276" spans="1:76" s="320" customFormat="1" ht="19.5" customHeight="1" thickTop="1" thickBot="1" x14ac:dyDescent="0.3">
      <c r="A276" s="220">
        <v>42189</v>
      </c>
      <c r="B276" s="238">
        <v>139056.05532821664</v>
      </c>
      <c r="C276" s="237">
        <v>51451.958854064891</v>
      </c>
      <c r="D276" s="237">
        <v>184883.80490897299</v>
      </c>
      <c r="E276" s="310">
        <v>78205.187198657455</v>
      </c>
      <c r="F276" s="237">
        <v>546930.68089875032</v>
      </c>
      <c r="G276" s="238">
        <v>861471.63186044572</v>
      </c>
      <c r="H276" s="311">
        <v>4520.0671415117222</v>
      </c>
      <c r="I276" s="311">
        <v>6222.2417629030215</v>
      </c>
      <c r="J276" s="312">
        <v>1559.3517106252102</v>
      </c>
      <c r="K276" s="313">
        <v>971.28446768656659</v>
      </c>
      <c r="L276" s="310">
        <v>115307.39447173069</v>
      </c>
      <c r="M276" s="314">
        <v>371.34863481444319</v>
      </c>
      <c r="N276" s="319">
        <v>60602.706541976098</v>
      </c>
      <c r="O276" s="316">
        <v>1190082.0819199102</v>
      </c>
      <c r="P276" s="311">
        <v>2642.1275400379077</v>
      </c>
      <c r="Q276" s="314">
        <v>30494.69011558947</v>
      </c>
      <c r="R276" s="317">
        <v>48005.20443822087</v>
      </c>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c r="BM276" s="172"/>
      <c r="BN276" s="172"/>
      <c r="BO276" s="172"/>
      <c r="BP276" s="172"/>
      <c r="BQ276" s="172"/>
      <c r="BR276" s="172"/>
      <c r="BS276" s="172"/>
      <c r="BT276" s="172"/>
      <c r="BU276" s="172"/>
      <c r="BV276" s="172"/>
      <c r="BW276" s="172"/>
      <c r="BX276" s="172"/>
    </row>
    <row r="277" spans="1:76" s="320" customFormat="1" ht="19.5" customHeight="1" thickTop="1" thickBot="1" x14ac:dyDescent="0.3">
      <c r="A277" s="220">
        <v>42220</v>
      </c>
      <c r="B277" s="238">
        <v>138148.06466070193</v>
      </c>
      <c r="C277" s="237">
        <v>51690.176937997516</v>
      </c>
      <c r="D277" s="237">
        <v>185545.81281537967</v>
      </c>
      <c r="E277" s="310">
        <v>77836.861468843636</v>
      </c>
      <c r="F277" s="237">
        <v>536933.91891215323</v>
      </c>
      <c r="G277" s="238">
        <v>852006.77013437403</v>
      </c>
      <c r="H277" s="311">
        <v>4352.2334682788014</v>
      </c>
      <c r="I277" s="311">
        <v>7253.4482317607399</v>
      </c>
      <c r="J277" s="312">
        <v>1180.6328559096355</v>
      </c>
      <c r="K277" s="313">
        <v>873.4874935142501</v>
      </c>
      <c r="L277" s="310">
        <v>104541.5803144668</v>
      </c>
      <c r="M277" s="314">
        <v>535.92362562297001</v>
      </c>
      <c r="N277" s="319">
        <v>63892.041418793582</v>
      </c>
      <c r="O277" s="316">
        <v>1172784.1822034225</v>
      </c>
      <c r="P277" s="311">
        <v>2463.2895213167812</v>
      </c>
      <c r="Q277" s="314">
        <v>28764.529123295615</v>
      </c>
      <c r="R277" s="317">
        <v>48354.577676943547</v>
      </c>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c r="BM277" s="172"/>
      <c r="BN277" s="172"/>
      <c r="BO277" s="172"/>
      <c r="BP277" s="172"/>
      <c r="BQ277" s="172"/>
      <c r="BR277" s="172"/>
      <c r="BS277" s="172"/>
      <c r="BT277" s="172"/>
      <c r="BU277" s="172"/>
      <c r="BV277" s="172"/>
      <c r="BW277" s="172"/>
      <c r="BX277" s="172"/>
    </row>
    <row r="278" spans="1:76" s="320" customFormat="1" ht="19.5" customHeight="1" thickTop="1" thickBot="1" x14ac:dyDescent="0.3">
      <c r="A278" s="220">
        <v>42251</v>
      </c>
      <c r="B278" s="238">
        <v>135193.15114704854</v>
      </c>
      <c r="C278" s="237">
        <v>51981.63251697259</v>
      </c>
      <c r="D278" s="237">
        <v>186267.12966564909</v>
      </c>
      <c r="E278" s="310">
        <v>77162.994830352749</v>
      </c>
      <c r="F278" s="237">
        <v>538463.22097309027</v>
      </c>
      <c r="G278" s="238">
        <v>853874.97798606474</v>
      </c>
      <c r="H278" s="311">
        <v>4005.4249799659246</v>
      </c>
      <c r="I278" s="311">
        <v>1952.074790393571</v>
      </c>
      <c r="J278" s="312">
        <v>1073.3580389942456</v>
      </c>
      <c r="K278" s="313">
        <v>1055.6550760092648</v>
      </c>
      <c r="L278" s="310">
        <v>101786.16831003594</v>
      </c>
      <c r="M278" s="314">
        <v>364.93457533874817</v>
      </c>
      <c r="N278" s="319">
        <v>68488.163998974196</v>
      </c>
      <c r="O278" s="316">
        <v>1167793.9089028253</v>
      </c>
      <c r="P278" s="311">
        <v>2458.4467606151265</v>
      </c>
      <c r="Q278" s="314">
        <v>31414.332722162897</v>
      </c>
      <c r="R278" s="317">
        <v>49915.141584845223</v>
      </c>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c r="BM278" s="172"/>
      <c r="BN278" s="172"/>
      <c r="BO278" s="172"/>
      <c r="BP278" s="172"/>
      <c r="BQ278" s="172"/>
      <c r="BR278" s="172"/>
      <c r="BS278" s="172"/>
      <c r="BT278" s="172"/>
      <c r="BU278" s="172"/>
      <c r="BV278" s="172"/>
      <c r="BW278" s="172"/>
      <c r="BX278" s="172"/>
    </row>
    <row r="279" spans="1:76" s="320" customFormat="1" ht="19.5" customHeight="1" thickTop="1" thickBot="1" x14ac:dyDescent="0.3">
      <c r="A279" s="220">
        <v>42281</v>
      </c>
      <c r="B279" s="238">
        <v>136539.00666142139</v>
      </c>
      <c r="C279" s="237">
        <v>49620.503405051088</v>
      </c>
      <c r="D279" s="237">
        <v>188364.80066237366</v>
      </c>
      <c r="E279" s="310">
        <v>78522.094666747493</v>
      </c>
      <c r="F279" s="237">
        <v>555818.91726292158</v>
      </c>
      <c r="G279" s="238">
        <v>872326.3159970938</v>
      </c>
      <c r="H279" s="311">
        <v>4380.0845591132238</v>
      </c>
      <c r="I279" s="311">
        <v>3315.1162388210737</v>
      </c>
      <c r="J279" s="312">
        <v>1061.7772823403454</v>
      </c>
      <c r="K279" s="313">
        <v>1836.6563210595</v>
      </c>
      <c r="L279" s="310">
        <v>97806.229960201817</v>
      </c>
      <c r="M279" s="314">
        <v>370.50784303249503</v>
      </c>
      <c r="N279" s="319">
        <v>69591.021055202058</v>
      </c>
      <c r="O279" s="316">
        <v>1187226.7159182855</v>
      </c>
      <c r="P279" s="311">
        <v>2625.8974160428579</v>
      </c>
      <c r="Q279" s="314">
        <v>28161.536628319343</v>
      </c>
      <c r="R279" s="317">
        <v>49943.102987981198</v>
      </c>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c r="BE279" s="172"/>
      <c r="BF279" s="172"/>
      <c r="BG279" s="172"/>
      <c r="BH279" s="172"/>
      <c r="BI279" s="172"/>
      <c r="BJ279" s="172"/>
      <c r="BK279" s="172"/>
      <c r="BL279" s="172"/>
      <c r="BM279" s="172"/>
      <c r="BN279" s="172"/>
      <c r="BO279" s="172"/>
      <c r="BP279" s="172"/>
      <c r="BQ279" s="172"/>
      <c r="BR279" s="172"/>
      <c r="BS279" s="172"/>
      <c r="BT279" s="172"/>
      <c r="BU279" s="172"/>
      <c r="BV279" s="172"/>
      <c r="BW279" s="172"/>
      <c r="BX279" s="172"/>
    </row>
    <row r="280" spans="1:76" s="320" customFormat="1" ht="19.5" customHeight="1" thickTop="1" thickBot="1" x14ac:dyDescent="0.3">
      <c r="A280" s="220">
        <v>42312</v>
      </c>
      <c r="B280" s="238">
        <v>137024.87894015579</v>
      </c>
      <c r="C280" s="237">
        <v>49471.058172083503</v>
      </c>
      <c r="D280" s="237">
        <v>189801.91877301841</v>
      </c>
      <c r="E280" s="310">
        <v>77975.788384279396</v>
      </c>
      <c r="F280" s="237">
        <v>547454.0217685313</v>
      </c>
      <c r="G280" s="238">
        <v>864702.78709791251</v>
      </c>
      <c r="H280" s="311">
        <v>4295.2622513492752</v>
      </c>
      <c r="I280" s="311">
        <v>3076.6257017632165</v>
      </c>
      <c r="J280" s="312">
        <v>1030.8009859346955</v>
      </c>
      <c r="K280" s="313">
        <v>1397.06628897155</v>
      </c>
      <c r="L280" s="310">
        <v>102006.16364582309</v>
      </c>
      <c r="M280" s="314">
        <v>399.89687193349448</v>
      </c>
      <c r="N280" s="319">
        <v>74384.239213654597</v>
      </c>
      <c r="O280" s="316">
        <v>1188317.7209974981</v>
      </c>
      <c r="P280" s="311">
        <v>3215.4587590571764</v>
      </c>
      <c r="Q280" s="314">
        <v>25462.902694921617</v>
      </c>
      <c r="R280" s="317">
        <v>48962.387074426064</v>
      </c>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c r="BE280" s="172"/>
      <c r="BF280" s="172"/>
      <c r="BG280" s="172"/>
      <c r="BH280" s="172"/>
      <c r="BI280" s="172"/>
      <c r="BJ280" s="172"/>
      <c r="BK280" s="172"/>
      <c r="BL280" s="172"/>
      <c r="BM280" s="172"/>
      <c r="BN280" s="172"/>
      <c r="BO280" s="172"/>
      <c r="BP280" s="172"/>
      <c r="BQ280" s="172"/>
      <c r="BR280" s="172"/>
      <c r="BS280" s="172"/>
      <c r="BT280" s="172"/>
      <c r="BU280" s="172"/>
      <c r="BV280" s="172"/>
      <c r="BW280" s="172"/>
      <c r="BX280" s="172"/>
    </row>
    <row r="281" spans="1:76" s="320" customFormat="1" ht="19.5" customHeight="1" thickTop="1" thickBot="1" x14ac:dyDescent="0.3">
      <c r="A281" s="220">
        <v>42342</v>
      </c>
      <c r="B281" s="238">
        <v>135082.11399182669</v>
      </c>
      <c r="C281" s="237">
        <v>52003.439695398636</v>
      </c>
      <c r="D281" s="237">
        <v>194488.40488702475</v>
      </c>
      <c r="E281" s="310">
        <v>77297.62713001376</v>
      </c>
      <c r="F281" s="237">
        <v>562779.8432524564</v>
      </c>
      <c r="G281" s="238">
        <v>886569.31496489351</v>
      </c>
      <c r="H281" s="311">
        <v>4304.2220644000708</v>
      </c>
      <c r="I281" s="311">
        <v>3299.6551264603031</v>
      </c>
      <c r="J281" s="312">
        <v>976.87486726457496</v>
      </c>
      <c r="K281" s="313">
        <v>1102.7842156301003</v>
      </c>
      <c r="L281" s="310">
        <v>95588.478637919499</v>
      </c>
      <c r="M281" s="314">
        <v>266.61216015563281</v>
      </c>
      <c r="N281" s="319">
        <v>64544.233095860771</v>
      </c>
      <c r="O281" s="316">
        <v>1191734.2891244111</v>
      </c>
      <c r="P281" s="311">
        <v>2833.4629270060886</v>
      </c>
      <c r="Q281" s="314">
        <v>24778.97813943803</v>
      </c>
      <c r="R281" s="317">
        <v>45132.28212451961</v>
      </c>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c r="BE281" s="172"/>
      <c r="BF281" s="172"/>
      <c r="BG281" s="172"/>
      <c r="BH281" s="172"/>
      <c r="BI281" s="172"/>
      <c r="BJ281" s="172"/>
      <c r="BK281" s="172"/>
      <c r="BL281" s="172"/>
      <c r="BM281" s="172"/>
      <c r="BN281" s="172"/>
      <c r="BO281" s="172"/>
      <c r="BP281" s="172"/>
      <c r="BQ281" s="172"/>
      <c r="BR281" s="172"/>
      <c r="BS281" s="172"/>
      <c r="BT281" s="172"/>
      <c r="BU281" s="172"/>
      <c r="BV281" s="172"/>
      <c r="BW281" s="172"/>
      <c r="BX281" s="172"/>
    </row>
    <row r="282" spans="1:76" s="320" customFormat="1" ht="19.5" customHeight="1" thickTop="1" thickBot="1" x14ac:dyDescent="0.3">
      <c r="A282" s="220">
        <v>42373</v>
      </c>
      <c r="B282" s="238">
        <v>143041.4720802051</v>
      </c>
      <c r="C282" s="237">
        <v>51121.202095861787</v>
      </c>
      <c r="D282" s="237">
        <v>197574.48062987096</v>
      </c>
      <c r="E282" s="310">
        <v>78338.765346504893</v>
      </c>
      <c r="F282" s="237">
        <v>553825.70445822552</v>
      </c>
      <c r="G282" s="238">
        <v>880860.15253046318</v>
      </c>
      <c r="H282" s="311">
        <v>4023.2367156874848</v>
      </c>
      <c r="I282" s="311">
        <v>3246.3184744389796</v>
      </c>
      <c r="J282" s="312">
        <v>975.94196260540514</v>
      </c>
      <c r="K282" s="313">
        <v>656.76619766780004</v>
      </c>
      <c r="L282" s="310">
        <v>110928.53311375075</v>
      </c>
      <c r="M282" s="314">
        <v>348.05362186235601</v>
      </c>
      <c r="N282" s="319">
        <v>71510.902022092225</v>
      </c>
      <c r="O282" s="316">
        <v>1215591.3767187733</v>
      </c>
      <c r="P282" s="311">
        <v>2808.6620223252808</v>
      </c>
      <c r="Q282" s="314">
        <v>21952.900188108277</v>
      </c>
      <c r="R282" s="317">
        <v>43476.209638292879</v>
      </c>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c r="BE282" s="172"/>
      <c r="BF282" s="172"/>
      <c r="BG282" s="172"/>
      <c r="BH282" s="172"/>
      <c r="BI282" s="172"/>
      <c r="BJ282" s="172"/>
      <c r="BK282" s="172"/>
      <c r="BL282" s="172"/>
      <c r="BM282" s="172"/>
      <c r="BN282" s="172"/>
      <c r="BO282" s="172"/>
      <c r="BP282" s="172"/>
      <c r="BQ282" s="172"/>
      <c r="BR282" s="172"/>
      <c r="BS282" s="172"/>
      <c r="BT282" s="172"/>
      <c r="BU282" s="172"/>
      <c r="BV282" s="172"/>
      <c r="BW282" s="172"/>
      <c r="BX282" s="172"/>
    </row>
    <row r="283" spans="1:76" s="320" customFormat="1" ht="19.5" customHeight="1" thickTop="1" thickBot="1" x14ac:dyDescent="0.3">
      <c r="A283" s="220">
        <v>42404</v>
      </c>
      <c r="B283" s="238">
        <v>142995.33939733374</v>
      </c>
      <c r="C283" s="237">
        <v>51999.195091325244</v>
      </c>
      <c r="D283" s="237">
        <v>198626.08128835866</v>
      </c>
      <c r="E283" s="310">
        <v>76576.860114008246</v>
      </c>
      <c r="F283" s="237">
        <v>557586.66641583038</v>
      </c>
      <c r="G283" s="238">
        <v>884788.80290952255</v>
      </c>
      <c r="H283" s="311">
        <v>4219.9034259456448</v>
      </c>
      <c r="I283" s="311">
        <v>4116.1312237937464</v>
      </c>
      <c r="J283" s="312">
        <v>971.60755632881001</v>
      </c>
      <c r="K283" s="313">
        <v>745.43823246856675</v>
      </c>
      <c r="L283" s="310">
        <v>121359.58587236752</v>
      </c>
      <c r="M283" s="314">
        <v>429.43173843136196</v>
      </c>
      <c r="N283" s="319">
        <v>63369.784952722359</v>
      </c>
      <c r="O283" s="316">
        <v>1222996.0253089142</v>
      </c>
      <c r="P283" s="311">
        <v>2219.0795024203558</v>
      </c>
      <c r="Q283" s="314">
        <v>21726.479352301685</v>
      </c>
      <c r="R283" s="317">
        <v>42276.194181676306</v>
      </c>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c r="BE283" s="172"/>
      <c r="BF283" s="172"/>
      <c r="BG283" s="172"/>
      <c r="BH283" s="172"/>
      <c r="BI283" s="172"/>
      <c r="BJ283" s="172"/>
      <c r="BK283" s="172"/>
      <c r="BL283" s="172"/>
      <c r="BM283" s="172"/>
      <c r="BN283" s="172"/>
      <c r="BO283" s="172"/>
      <c r="BP283" s="172"/>
      <c r="BQ283" s="172"/>
      <c r="BR283" s="172"/>
      <c r="BS283" s="172"/>
      <c r="BT283" s="172"/>
      <c r="BU283" s="172"/>
      <c r="BV283" s="172"/>
      <c r="BW283" s="172"/>
      <c r="BX283" s="172"/>
    </row>
    <row r="284" spans="1:76" s="320" customFormat="1" ht="19.5" customHeight="1" thickTop="1" thickBot="1" x14ac:dyDescent="0.3">
      <c r="A284" s="220">
        <v>42433</v>
      </c>
      <c r="B284" s="238">
        <v>134653.7796542432</v>
      </c>
      <c r="C284" s="237">
        <v>51975.33760343364</v>
      </c>
      <c r="D284" s="237">
        <v>199765.57138721063</v>
      </c>
      <c r="E284" s="310">
        <v>75621.348095476016</v>
      </c>
      <c r="F284" s="237">
        <v>524336.16224354296</v>
      </c>
      <c r="G284" s="238">
        <v>851698.41932966327</v>
      </c>
      <c r="H284" s="311">
        <v>4306.8073575751523</v>
      </c>
      <c r="I284" s="311">
        <v>2820.9341506605529</v>
      </c>
      <c r="J284" s="312">
        <v>991.61138667551006</v>
      </c>
      <c r="K284" s="313">
        <v>1068.5096903294834</v>
      </c>
      <c r="L284" s="310">
        <v>117837.33724226695</v>
      </c>
      <c r="M284" s="314">
        <v>438.83101535353131</v>
      </c>
      <c r="N284" s="319">
        <v>69129.152973012649</v>
      </c>
      <c r="O284" s="316">
        <v>1182945.3827997805</v>
      </c>
      <c r="P284" s="311">
        <v>2205.4295015355242</v>
      </c>
      <c r="Q284" s="314">
        <v>16647.555407051797</v>
      </c>
      <c r="R284" s="317">
        <v>42817.829665999525</v>
      </c>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c r="BE284" s="172"/>
      <c r="BF284" s="172"/>
      <c r="BG284" s="172"/>
      <c r="BH284" s="172"/>
      <c r="BI284" s="172"/>
      <c r="BJ284" s="172"/>
      <c r="BK284" s="172"/>
      <c r="BL284" s="172"/>
      <c r="BM284" s="172"/>
      <c r="BN284" s="172"/>
      <c r="BO284" s="172"/>
      <c r="BP284" s="172"/>
      <c r="BQ284" s="172"/>
      <c r="BR284" s="172"/>
      <c r="BS284" s="172"/>
      <c r="BT284" s="172"/>
      <c r="BU284" s="172"/>
      <c r="BV284" s="172"/>
      <c r="BW284" s="172"/>
      <c r="BX284" s="172"/>
    </row>
    <row r="285" spans="1:76" s="320" customFormat="1" ht="19.5" customHeight="1" thickTop="1" thickBot="1" x14ac:dyDescent="0.3">
      <c r="A285" s="220">
        <v>42464</v>
      </c>
      <c r="B285" s="238">
        <v>135598.56325838889</v>
      </c>
      <c r="C285" s="237">
        <v>51802.912183937537</v>
      </c>
      <c r="D285" s="237">
        <v>200752.27041905615</v>
      </c>
      <c r="E285" s="310">
        <v>75932.335261034954</v>
      </c>
      <c r="F285" s="237">
        <v>540353.93124853389</v>
      </c>
      <c r="G285" s="238">
        <v>868841.44911256246</v>
      </c>
      <c r="H285" s="311">
        <v>5007.5143288190602</v>
      </c>
      <c r="I285" s="311">
        <v>4746.5736024117814</v>
      </c>
      <c r="J285" s="312">
        <v>992.76635207288996</v>
      </c>
      <c r="K285" s="313">
        <v>621.41938825600005</v>
      </c>
      <c r="L285" s="310">
        <v>107256.50870807673</v>
      </c>
      <c r="M285" s="314">
        <v>398.80938947089709</v>
      </c>
      <c r="N285" s="319">
        <v>69799.517975559123</v>
      </c>
      <c r="O285" s="316">
        <v>1193263.1221156179</v>
      </c>
      <c r="P285" s="311">
        <v>2351.0171303426582</v>
      </c>
      <c r="Q285" s="314">
        <v>17902.026260379425</v>
      </c>
      <c r="R285" s="317">
        <v>43314.486308898988</v>
      </c>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c r="BE285" s="172"/>
      <c r="BF285" s="172"/>
      <c r="BG285" s="172"/>
      <c r="BH285" s="172"/>
      <c r="BI285" s="172"/>
      <c r="BJ285" s="172"/>
      <c r="BK285" s="172"/>
      <c r="BL285" s="172"/>
      <c r="BM285" s="172"/>
      <c r="BN285" s="172"/>
      <c r="BO285" s="172"/>
      <c r="BP285" s="172"/>
      <c r="BQ285" s="172"/>
      <c r="BR285" s="172"/>
      <c r="BS285" s="172"/>
      <c r="BT285" s="172"/>
      <c r="BU285" s="172"/>
      <c r="BV285" s="172"/>
      <c r="BW285" s="172"/>
      <c r="BX285" s="172"/>
    </row>
    <row r="286" spans="1:76" s="320" customFormat="1" ht="6" customHeight="1" thickTop="1" thickBot="1" x14ac:dyDescent="0.3">
      <c r="A286" s="321"/>
      <c r="B286" s="322"/>
      <c r="C286" s="323"/>
      <c r="D286" s="323"/>
      <c r="E286" s="324"/>
      <c r="F286" s="323"/>
      <c r="G286" s="322"/>
      <c r="H286" s="325"/>
      <c r="I286" s="325"/>
      <c r="J286" s="326"/>
      <c r="K286" s="327"/>
      <c r="L286" s="324"/>
      <c r="M286" s="328"/>
      <c r="N286" s="329"/>
      <c r="O286" s="330"/>
      <c r="P286" s="325"/>
      <c r="Q286" s="328"/>
      <c r="R286" s="331"/>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2"/>
      <c r="BP286" s="172"/>
      <c r="BQ286" s="172"/>
      <c r="BR286" s="172"/>
      <c r="BS286" s="172"/>
      <c r="BT286" s="172"/>
      <c r="BU286" s="172"/>
      <c r="BV286" s="172"/>
      <c r="BW286" s="172"/>
      <c r="BX286" s="172"/>
    </row>
    <row r="287" spans="1:76" ht="18.75" thickTop="1" x14ac:dyDescent="0.25">
      <c r="A287" s="255" t="s">
        <v>258</v>
      </c>
      <c r="B287" s="260"/>
      <c r="C287" s="260"/>
      <c r="D287" s="260"/>
      <c r="E287" s="260"/>
      <c r="F287" s="260"/>
      <c r="G287" s="219"/>
      <c r="K287" s="260" t="s">
        <v>239</v>
      </c>
      <c r="Q287" s="219"/>
      <c r="R287" s="261"/>
    </row>
    <row r="288" spans="1:76" ht="18" x14ac:dyDescent="0.25">
      <c r="A288" s="255" t="s">
        <v>259</v>
      </c>
      <c r="B288" s="260"/>
      <c r="C288" s="260"/>
      <c r="D288" s="260"/>
      <c r="E288" s="260"/>
      <c r="F288" s="260"/>
      <c r="G288" s="261"/>
      <c r="H288" s="260"/>
      <c r="K288" s="332" t="s">
        <v>260</v>
      </c>
      <c r="L288" s="260"/>
      <c r="M288" s="260"/>
      <c r="N288" s="333"/>
      <c r="O288" s="261"/>
      <c r="P288" s="260"/>
      <c r="Q288" s="261"/>
      <c r="R288" s="261"/>
    </row>
    <row r="289" spans="1:18" ht="18" x14ac:dyDescent="0.25">
      <c r="A289" s="255" t="s">
        <v>238</v>
      </c>
      <c r="B289" s="260"/>
      <c r="C289" s="260"/>
      <c r="D289" s="260"/>
      <c r="E289" s="261"/>
      <c r="F289" s="260"/>
      <c r="G289" s="261"/>
      <c r="H289" s="219"/>
      <c r="I289" s="260"/>
      <c r="J289" s="260"/>
      <c r="K289" s="260"/>
      <c r="L289" s="260"/>
      <c r="M289" s="260"/>
      <c r="N289" s="334"/>
      <c r="O289" s="335"/>
      <c r="P289" s="261"/>
      <c r="Q289" s="260"/>
      <c r="R289" s="260"/>
    </row>
    <row r="290" spans="1:18" x14ac:dyDescent="0.25">
      <c r="A290" s="260" t="s">
        <v>179</v>
      </c>
      <c r="B290" s="260"/>
      <c r="C290" s="260"/>
      <c r="D290" s="260"/>
      <c r="E290" s="260"/>
      <c r="F290" s="260"/>
      <c r="G290" s="261"/>
      <c r="H290" s="260"/>
      <c r="I290" s="260"/>
      <c r="J290" s="336"/>
      <c r="K290" s="260"/>
      <c r="L290" s="260"/>
      <c r="M290" s="337"/>
      <c r="N290" s="261"/>
      <c r="O290" s="260"/>
      <c r="P290" s="260"/>
      <c r="Q290" s="260"/>
      <c r="R290" s="260"/>
    </row>
  </sheetData>
  <mergeCells count="3">
    <mergeCell ref="A1:Y1"/>
    <mergeCell ref="A147:R147"/>
    <mergeCell ref="K149:L149"/>
  </mergeCells>
  <printOptions horizontalCentered="1" verticalCentered="1"/>
  <pageMargins left="0" right="0" top="0.23622047244094491" bottom="0" header="0" footer="0"/>
  <pageSetup paperSize="9" scale="4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85"/>
  <sheetViews>
    <sheetView topLeftCell="A74" zoomScaleNormal="100" workbookViewId="0">
      <selection activeCell="G82" sqref="G82"/>
    </sheetView>
  </sheetViews>
  <sheetFormatPr defaultRowHeight="15" x14ac:dyDescent="0.25"/>
  <cols>
    <col min="1" max="1" width="12.140625" style="2374" customWidth="1"/>
    <col min="2" max="2" width="14.140625" style="2374" customWidth="1"/>
    <col min="3" max="3" width="13.7109375" style="2374" customWidth="1"/>
    <col min="4" max="5" width="13.85546875" style="2374" customWidth="1"/>
    <col min="6" max="6" width="13.42578125" style="2374" customWidth="1"/>
    <col min="7" max="16384" width="9.140625" style="2374"/>
  </cols>
  <sheetData>
    <row r="1" spans="1:7" s="2410" customFormat="1" ht="14.25" customHeight="1" x14ac:dyDescent="0.25">
      <c r="A1" s="2408" t="s">
        <v>4042</v>
      </c>
      <c r="B1" s="1227"/>
      <c r="C1" s="1227"/>
      <c r="D1" s="1227"/>
      <c r="E1" s="1227"/>
      <c r="F1" s="1227"/>
      <c r="G1" s="2409"/>
    </row>
    <row r="2" spans="1:7" ht="14.25" customHeight="1" thickBot="1" x14ac:dyDescent="0.3">
      <c r="A2" s="2408" t="s">
        <v>4043</v>
      </c>
      <c r="B2" s="2411"/>
      <c r="C2" s="1227"/>
      <c r="D2" s="1227"/>
      <c r="E2" s="1227"/>
      <c r="F2" s="1227"/>
      <c r="G2" s="2159"/>
    </row>
    <row r="3" spans="1:7" ht="16.5" thickTop="1" thickBot="1" x14ac:dyDescent="0.3">
      <c r="A3" s="2412"/>
      <c r="B3" s="2413"/>
      <c r="C3" s="2414"/>
      <c r="D3" s="2414"/>
      <c r="E3" s="3523" t="s">
        <v>1388</v>
      </c>
      <c r="F3" s="3524"/>
      <c r="G3" s="2415"/>
    </row>
    <row r="4" spans="1:7" ht="48" thickBot="1" x14ac:dyDescent="0.3">
      <c r="A4" s="2416"/>
      <c r="B4" s="2417" t="s">
        <v>4038</v>
      </c>
      <c r="C4" s="2418" t="s">
        <v>4044</v>
      </c>
      <c r="D4" s="2418" t="s">
        <v>4045</v>
      </c>
      <c r="E4" s="2418" t="s">
        <v>4038</v>
      </c>
      <c r="F4" s="2419" t="s">
        <v>4044</v>
      </c>
      <c r="G4" s="2420"/>
    </row>
    <row r="5" spans="1:7" ht="16.5" hidden="1" customHeight="1" thickTop="1" x14ac:dyDescent="0.25">
      <c r="A5" s="2421">
        <v>40179</v>
      </c>
      <c r="B5" s="2422">
        <v>23220</v>
      </c>
      <c r="C5" s="2423">
        <v>146156</v>
      </c>
      <c r="D5" s="2423">
        <v>20</v>
      </c>
      <c r="E5" s="2423">
        <v>1661</v>
      </c>
      <c r="F5" s="2424">
        <v>6643</v>
      </c>
    </row>
    <row r="6" spans="1:7" ht="16.5" hidden="1" customHeight="1" thickTop="1" x14ac:dyDescent="0.25">
      <c r="A6" s="2421">
        <v>40210</v>
      </c>
      <c r="B6" s="2422">
        <v>23636</v>
      </c>
      <c r="C6" s="2423">
        <v>122529</v>
      </c>
      <c r="D6" s="2423">
        <v>18</v>
      </c>
      <c r="E6" s="2423">
        <v>1313</v>
      </c>
      <c r="F6" s="2424">
        <v>6807</v>
      </c>
    </row>
    <row r="7" spans="1:7" ht="16.5" hidden="1" customHeight="1" thickTop="1" x14ac:dyDescent="0.25">
      <c r="A7" s="2421">
        <v>40238</v>
      </c>
      <c r="B7" s="2422">
        <v>31374</v>
      </c>
      <c r="C7" s="2423">
        <v>147960</v>
      </c>
      <c r="D7" s="2423">
        <v>21</v>
      </c>
      <c r="E7" s="2423">
        <v>1494</v>
      </c>
      <c r="F7" s="2424">
        <v>7046</v>
      </c>
    </row>
    <row r="8" spans="1:7" ht="16.5" hidden="1" customHeight="1" thickTop="1" x14ac:dyDescent="0.25">
      <c r="A8" s="2421">
        <v>40269</v>
      </c>
      <c r="B8" s="2422">
        <v>28196</v>
      </c>
      <c r="C8" s="2423">
        <v>155766</v>
      </c>
      <c r="D8" s="2423">
        <v>22</v>
      </c>
      <c r="E8" s="2423">
        <v>1282</v>
      </c>
      <c r="F8" s="2424">
        <v>7080</v>
      </c>
    </row>
    <row r="9" spans="1:7" ht="16.5" hidden="1" customHeight="1" thickTop="1" x14ac:dyDescent="0.25">
      <c r="A9" s="2421">
        <v>40299</v>
      </c>
      <c r="B9" s="2422">
        <v>26950</v>
      </c>
      <c r="C9" s="2423">
        <v>128348</v>
      </c>
      <c r="D9" s="2423">
        <v>20</v>
      </c>
      <c r="E9" s="2423">
        <v>1348</v>
      </c>
      <c r="F9" s="2424">
        <v>6417</v>
      </c>
    </row>
    <row r="10" spans="1:7" ht="16.5" hidden="1" customHeight="1" thickTop="1" x14ac:dyDescent="0.25">
      <c r="A10" s="2421">
        <v>40330</v>
      </c>
      <c r="B10" s="2422">
        <v>32021</v>
      </c>
      <c r="C10" s="2423">
        <v>157459</v>
      </c>
      <c r="D10" s="2423">
        <v>22</v>
      </c>
      <c r="E10" s="2423">
        <v>1456</v>
      </c>
      <c r="F10" s="2424">
        <v>7157</v>
      </c>
    </row>
    <row r="11" spans="1:7" ht="16.5" hidden="1" customHeight="1" thickTop="1" x14ac:dyDescent="0.25">
      <c r="A11" s="2421">
        <v>40360</v>
      </c>
      <c r="B11" s="2422">
        <v>29038</v>
      </c>
      <c r="C11" s="2423">
        <v>131775</v>
      </c>
      <c r="D11" s="2423">
        <v>22</v>
      </c>
      <c r="E11" s="2423">
        <v>1320</v>
      </c>
      <c r="F11" s="2424">
        <v>5990</v>
      </c>
    </row>
    <row r="12" spans="1:7" ht="16.5" hidden="1" customHeight="1" thickTop="1" x14ac:dyDescent="0.25">
      <c r="A12" s="2421">
        <v>40391</v>
      </c>
      <c r="B12" s="2425">
        <v>30325</v>
      </c>
      <c r="C12" s="2423">
        <v>128293</v>
      </c>
      <c r="D12" s="2423">
        <v>22</v>
      </c>
      <c r="E12" s="2423">
        <v>1378</v>
      </c>
      <c r="F12" s="2426">
        <v>5831</v>
      </c>
    </row>
    <row r="13" spans="1:7" ht="16.5" hidden="1" customHeight="1" thickTop="1" x14ac:dyDescent="0.25">
      <c r="A13" s="2421">
        <v>40422</v>
      </c>
      <c r="B13" s="2425">
        <v>31858</v>
      </c>
      <c r="C13" s="2423">
        <v>148964</v>
      </c>
      <c r="D13" s="2423">
        <v>21</v>
      </c>
      <c r="E13" s="2423">
        <v>1517</v>
      </c>
      <c r="F13" s="2426">
        <v>7094</v>
      </c>
    </row>
    <row r="14" spans="1:7" ht="16.5" hidden="1" customHeight="1" thickTop="1" x14ac:dyDescent="0.25">
      <c r="A14" s="2421">
        <v>40452</v>
      </c>
      <c r="B14" s="2425">
        <v>29896</v>
      </c>
      <c r="C14" s="2423">
        <v>147274</v>
      </c>
      <c r="D14" s="2423">
        <v>21</v>
      </c>
      <c r="E14" s="2423">
        <v>1424</v>
      </c>
      <c r="F14" s="2426">
        <v>7013</v>
      </c>
    </row>
    <row r="15" spans="1:7" ht="16.5" hidden="1" customHeight="1" thickTop="1" x14ac:dyDescent="0.25">
      <c r="A15" s="2421">
        <v>40483</v>
      </c>
      <c r="B15" s="2425">
        <v>34491</v>
      </c>
      <c r="C15" s="2423">
        <v>152572.0152884</v>
      </c>
      <c r="D15" s="2423">
        <v>20</v>
      </c>
      <c r="E15" s="2423">
        <v>1724.55</v>
      </c>
      <c r="F15" s="2426">
        <v>7628.6007644199999</v>
      </c>
    </row>
    <row r="16" spans="1:7" ht="16.5" hidden="1" customHeight="1" thickTop="1" x14ac:dyDescent="0.25">
      <c r="A16" s="2421">
        <v>40522</v>
      </c>
      <c r="B16" s="2425">
        <v>45307</v>
      </c>
      <c r="C16" s="2423">
        <v>220826</v>
      </c>
      <c r="D16" s="2423">
        <v>23</v>
      </c>
      <c r="E16" s="2423">
        <v>1970</v>
      </c>
      <c r="F16" s="2424">
        <v>9601</v>
      </c>
    </row>
    <row r="17" spans="1:6" ht="16.5" hidden="1" customHeight="1" thickTop="1" x14ac:dyDescent="0.25">
      <c r="A17" s="2421">
        <v>40553</v>
      </c>
      <c r="B17" s="2425">
        <v>30565</v>
      </c>
      <c r="C17" s="2423">
        <v>153705.071</v>
      </c>
      <c r="D17" s="2423">
        <v>19</v>
      </c>
      <c r="E17" s="2423">
        <v>1609</v>
      </c>
      <c r="F17" s="2424">
        <v>8090</v>
      </c>
    </row>
    <row r="18" spans="1:6" ht="16.5" hidden="1" customHeight="1" thickTop="1" x14ac:dyDescent="0.25">
      <c r="A18" s="2421">
        <v>40584</v>
      </c>
      <c r="B18" s="2425">
        <v>30735</v>
      </c>
      <c r="C18" s="2423">
        <v>142370</v>
      </c>
      <c r="D18" s="2423">
        <v>18</v>
      </c>
      <c r="E18" s="2423">
        <v>1708</v>
      </c>
      <c r="F18" s="2424">
        <v>7909</v>
      </c>
    </row>
    <row r="19" spans="1:6" ht="16.5" hidden="1" customHeight="1" thickTop="1" x14ac:dyDescent="0.25">
      <c r="A19" s="2421">
        <v>40612</v>
      </c>
      <c r="B19" s="2425">
        <v>38636</v>
      </c>
      <c r="C19" s="2423">
        <v>168058</v>
      </c>
      <c r="D19" s="2423">
        <v>22</v>
      </c>
      <c r="E19" s="2423">
        <v>1756</v>
      </c>
      <c r="F19" s="2424">
        <v>7639</v>
      </c>
    </row>
    <row r="20" spans="1:6" ht="16.5" hidden="1" customHeight="1" thickTop="1" x14ac:dyDescent="0.25">
      <c r="A20" s="2421">
        <v>40643</v>
      </c>
      <c r="B20" s="2425">
        <v>33065</v>
      </c>
      <c r="C20" s="2423">
        <v>187887</v>
      </c>
      <c r="D20" s="2423">
        <v>20</v>
      </c>
      <c r="E20" s="2423">
        <v>1653</v>
      </c>
      <c r="F20" s="2424">
        <v>9394</v>
      </c>
    </row>
    <row r="21" spans="1:6" ht="16.5" hidden="1" customHeight="1" thickTop="1" x14ac:dyDescent="0.25">
      <c r="A21" s="2421">
        <v>40673</v>
      </c>
      <c r="B21" s="2425">
        <v>38149</v>
      </c>
      <c r="C21" s="2423">
        <v>169093</v>
      </c>
      <c r="D21" s="2423">
        <v>22</v>
      </c>
      <c r="E21" s="2423">
        <v>1734</v>
      </c>
      <c r="F21" s="2424">
        <v>7686</v>
      </c>
    </row>
    <row r="22" spans="1:6" ht="16.5" hidden="1" customHeight="1" thickTop="1" x14ac:dyDescent="0.25">
      <c r="A22" s="2421">
        <v>40704</v>
      </c>
      <c r="B22" s="2425">
        <v>39231</v>
      </c>
      <c r="C22" s="2423">
        <v>158713</v>
      </c>
      <c r="D22" s="2423">
        <v>22</v>
      </c>
      <c r="E22" s="2423">
        <v>1783</v>
      </c>
      <c r="F22" s="2424">
        <v>7214</v>
      </c>
    </row>
    <row r="23" spans="1:6" ht="16.5" hidden="1" customHeight="1" thickTop="1" x14ac:dyDescent="0.25">
      <c r="A23" s="2421">
        <v>40734</v>
      </c>
      <c r="B23" s="2425">
        <v>35465</v>
      </c>
      <c r="C23" s="2423">
        <v>156666</v>
      </c>
      <c r="D23" s="2423">
        <v>21</v>
      </c>
      <c r="E23" s="2423">
        <v>1689</v>
      </c>
      <c r="F23" s="2424">
        <v>7460</v>
      </c>
    </row>
    <row r="24" spans="1:6" ht="16.5" hidden="1" customHeight="1" thickTop="1" x14ac:dyDescent="0.25">
      <c r="A24" s="2421">
        <v>40756</v>
      </c>
      <c r="B24" s="2425">
        <v>37355</v>
      </c>
      <c r="C24" s="2423">
        <v>195303</v>
      </c>
      <c r="D24" s="2423">
        <v>22</v>
      </c>
      <c r="E24" s="2423">
        <v>1698</v>
      </c>
      <c r="F24" s="2424">
        <v>8877</v>
      </c>
    </row>
    <row r="25" spans="1:6" ht="16.5" hidden="1" customHeight="1" thickTop="1" x14ac:dyDescent="0.25">
      <c r="A25" s="2421">
        <v>40796</v>
      </c>
      <c r="B25" s="2425">
        <v>37949</v>
      </c>
      <c r="C25" s="2423">
        <v>168911</v>
      </c>
      <c r="D25" s="2423">
        <v>21</v>
      </c>
      <c r="E25" s="2423">
        <v>1807</v>
      </c>
      <c r="F25" s="2424">
        <v>8043</v>
      </c>
    </row>
    <row r="26" spans="1:6" ht="16.5" hidden="1" customHeight="1" thickTop="1" x14ac:dyDescent="0.25">
      <c r="A26" s="2421">
        <v>40826</v>
      </c>
      <c r="B26" s="2425">
        <v>35347</v>
      </c>
      <c r="C26" s="2423">
        <v>173163</v>
      </c>
      <c r="D26" s="2423">
        <v>20</v>
      </c>
      <c r="E26" s="2423">
        <v>1767</v>
      </c>
      <c r="F26" s="2424">
        <v>8658</v>
      </c>
    </row>
    <row r="27" spans="1:6" ht="16.5" hidden="1" customHeight="1" thickTop="1" x14ac:dyDescent="0.25">
      <c r="A27" s="2421">
        <v>40857</v>
      </c>
      <c r="B27" s="2425">
        <v>35318</v>
      </c>
      <c r="C27" s="2423">
        <v>189167</v>
      </c>
      <c r="D27" s="2423">
        <v>20</v>
      </c>
      <c r="E27" s="2423">
        <v>1766</v>
      </c>
      <c r="F27" s="2424">
        <v>9458</v>
      </c>
    </row>
    <row r="28" spans="1:6" ht="16.5" hidden="1" customHeight="1" thickTop="1" x14ac:dyDescent="0.25">
      <c r="A28" s="2421">
        <v>40887</v>
      </c>
      <c r="B28" s="2425">
        <v>47397</v>
      </c>
      <c r="C28" s="2423">
        <v>245244</v>
      </c>
      <c r="D28" s="2423">
        <v>22</v>
      </c>
      <c r="E28" s="2423">
        <v>2154</v>
      </c>
      <c r="F28" s="2424">
        <v>11147</v>
      </c>
    </row>
    <row r="29" spans="1:6" ht="16.5" hidden="1" thickTop="1" x14ac:dyDescent="0.25">
      <c r="A29" s="2427">
        <v>40918</v>
      </c>
      <c r="B29" s="2425">
        <v>28635</v>
      </c>
      <c r="C29" s="2423">
        <v>129253</v>
      </c>
      <c r="D29" s="2423">
        <v>20</v>
      </c>
      <c r="E29" s="2423">
        <v>1432</v>
      </c>
      <c r="F29" s="2424">
        <v>6463</v>
      </c>
    </row>
    <row r="30" spans="1:6" ht="16.5" hidden="1" thickTop="1" x14ac:dyDescent="0.25">
      <c r="A30" s="2427">
        <v>40949</v>
      </c>
      <c r="B30" s="2425">
        <v>35146</v>
      </c>
      <c r="C30" s="2423">
        <v>156697</v>
      </c>
      <c r="D30" s="2423">
        <v>18</v>
      </c>
      <c r="E30" s="2423">
        <v>1953</v>
      </c>
      <c r="F30" s="2424">
        <v>8705</v>
      </c>
    </row>
    <row r="31" spans="1:6" ht="16.5" hidden="1" thickTop="1" x14ac:dyDescent="0.25">
      <c r="A31" s="2427">
        <v>40978</v>
      </c>
      <c r="B31" s="2425">
        <v>38191</v>
      </c>
      <c r="C31" s="2423">
        <v>141038</v>
      </c>
      <c r="D31" s="2423">
        <v>20</v>
      </c>
      <c r="E31" s="2423">
        <v>1910</v>
      </c>
      <c r="F31" s="2424">
        <v>7052</v>
      </c>
    </row>
    <row r="32" spans="1:6" ht="16.5" hidden="1" thickTop="1" x14ac:dyDescent="0.25">
      <c r="A32" s="2427">
        <v>41009</v>
      </c>
      <c r="B32" s="2425">
        <v>40768</v>
      </c>
      <c r="C32" s="2423">
        <v>167377</v>
      </c>
      <c r="D32" s="2423">
        <v>21</v>
      </c>
      <c r="E32" s="2423">
        <v>1941</v>
      </c>
      <c r="F32" s="2424">
        <v>7970</v>
      </c>
    </row>
    <row r="33" spans="1:7" ht="16.5" hidden="1" thickTop="1" x14ac:dyDescent="0.25">
      <c r="A33" s="2427">
        <v>41030</v>
      </c>
      <c r="B33" s="2425">
        <v>39880</v>
      </c>
      <c r="C33" s="2423">
        <v>154833</v>
      </c>
      <c r="D33" s="2423">
        <v>22</v>
      </c>
      <c r="E33" s="2423">
        <v>1813</v>
      </c>
      <c r="F33" s="2424">
        <v>7038</v>
      </c>
    </row>
    <row r="34" spans="1:7" ht="16.5" hidden="1" thickTop="1" x14ac:dyDescent="0.25">
      <c r="A34" s="2427">
        <v>41061</v>
      </c>
      <c r="B34" s="2425">
        <v>38969</v>
      </c>
      <c r="C34" s="2423">
        <v>198870</v>
      </c>
      <c r="D34" s="2423">
        <v>21</v>
      </c>
      <c r="E34" s="2423">
        <v>1856</v>
      </c>
      <c r="F34" s="2424">
        <v>9470</v>
      </c>
    </row>
    <row r="35" spans="1:7" ht="16.5" hidden="1" thickTop="1" x14ac:dyDescent="0.25">
      <c r="A35" s="2427">
        <v>41091</v>
      </c>
      <c r="B35" s="2425">
        <v>44750</v>
      </c>
      <c r="C35" s="2423">
        <v>170474</v>
      </c>
      <c r="D35" s="2423">
        <v>22</v>
      </c>
      <c r="E35" s="2423">
        <v>2034</v>
      </c>
      <c r="F35" s="2424">
        <v>7749</v>
      </c>
    </row>
    <row r="36" spans="1:7" ht="16.5" hidden="1" thickTop="1" x14ac:dyDescent="0.25">
      <c r="A36" s="2427">
        <v>41122</v>
      </c>
      <c r="B36" s="2422">
        <v>37355</v>
      </c>
      <c r="C36" s="2423">
        <v>195303</v>
      </c>
      <c r="D36" s="2423">
        <v>21</v>
      </c>
      <c r="E36" s="2423">
        <v>1779</v>
      </c>
      <c r="F36" s="2426">
        <v>9300</v>
      </c>
    </row>
    <row r="37" spans="1:7" ht="16.5" hidden="1" thickTop="1" x14ac:dyDescent="0.25">
      <c r="A37" s="2427">
        <v>41153</v>
      </c>
      <c r="B37" s="2428">
        <v>35953</v>
      </c>
      <c r="C37" s="2423">
        <v>141745</v>
      </c>
      <c r="D37" s="2423">
        <v>19</v>
      </c>
      <c r="E37" s="2423">
        <v>1892</v>
      </c>
      <c r="F37" s="2426">
        <v>7460</v>
      </c>
    </row>
    <row r="38" spans="1:7" ht="16.5" hidden="1" thickTop="1" x14ac:dyDescent="0.25">
      <c r="A38" s="2427">
        <v>41183</v>
      </c>
      <c r="B38" s="2428">
        <v>46809</v>
      </c>
      <c r="C38" s="2423">
        <v>163355</v>
      </c>
      <c r="D38" s="2423">
        <v>23</v>
      </c>
      <c r="E38" s="2423">
        <v>2035</v>
      </c>
      <c r="F38" s="2426">
        <v>7102</v>
      </c>
    </row>
    <row r="39" spans="1:7" ht="16.5" hidden="1" thickTop="1" x14ac:dyDescent="0.25">
      <c r="A39" s="2427">
        <v>41214</v>
      </c>
      <c r="B39" s="2428">
        <v>40944</v>
      </c>
      <c r="C39" s="2423">
        <v>195912</v>
      </c>
      <c r="D39" s="2423">
        <v>20</v>
      </c>
      <c r="E39" s="2423">
        <v>2047</v>
      </c>
      <c r="F39" s="2426">
        <v>9796</v>
      </c>
    </row>
    <row r="40" spans="1:7" ht="16.5" hidden="1" thickTop="1" x14ac:dyDescent="0.25">
      <c r="A40" s="2427">
        <v>41244</v>
      </c>
      <c r="B40" s="2428">
        <v>51809</v>
      </c>
      <c r="C40" s="2423">
        <v>236716</v>
      </c>
      <c r="D40" s="2423">
        <v>20</v>
      </c>
      <c r="E40" s="2423">
        <v>2590</v>
      </c>
      <c r="F40" s="2426">
        <v>11836</v>
      </c>
    </row>
    <row r="41" spans="1:7" ht="16.5" thickTop="1" x14ac:dyDescent="0.25">
      <c r="A41" s="2427">
        <v>41275</v>
      </c>
      <c r="B41" s="2428">
        <v>41346</v>
      </c>
      <c r="C41" s="2423">
        <v>188703</v>
      </c>
      <c r="D41" s="2423">
        <v>21</v>
      </c>
      <c r="E41" s="2423">
        <v>1969</v>
      </c>
      <c r="F41" s="2426">
        <v>8986</v>
      </c>
    </row>
    <row r="42" spans="1:7" ht="15.75" x14ac:dyDescent="0.25">
      <c r="A42" s="2427">
        <v>41306</v>
      </c>
      <c r="B42" s="2428">
        <v>38760</v>
      </c>
      <c r="C42" s="2423">
        <v>157540</v>
      </c>
      <c r="D42" s="2423">
        <v>19</v>
      </c>
      <c r="E42" s="2423">
        <v>2040</v>
      </c>
      <c r="F42" s="2426">
        <v>8292</v>
      </c>
    </row>
    <row r="43" spans="1:7" ht="15.75" x14ac:dyDescent="0.25">
      <c r="A43" s="2427">
        <v>41334</v>
      </c>
      <c r="B43" s="2423">
        <v>41981</v>
      </c>
      <c r="C43" s="2423">
        <v>182730</v>
      </c>
      <c r="D43" s="2423">
        <v>20</v>
      </c>
      <c r="E43" s="2423">
        <v>2099</v>
      </c>
      <c r="F43" s="2426">
        <v>9136</v>
      </c>
    </row>
    <row r="44" spans="1:7" ht="15.75" x14ac:dyDescent="0.25">
      <c r="A44" s="2427">
        <v>41365</v>
      </c>
      <c r="B44" s="2425">
        <v>46054</v>
      </c>
      <c r="C44" s="2423">
        <v>187865</v>
      </c>
      <c r="D44" s="2423">
        <v>20</v>
      </c>
      <c r="E44" s="2423">
        <v>2303</v>
      </c>
      <c r="F44" s="2426">
        <v>9393</v>
      </c>
    </row>
    <row r="45" spans="1:7" ht="15.75" x14ac:dyDescent="0.25">
      <c r="A45" s="2427">
        <v>41395</v>
      </c>
      <c r="B45" s="2425">
        <v>43996</v>
      </c>
      <c r="C45" s="2423">
        <v>189972</v>
      </c>
      <c r="D45" s="2423">
        <v>22</v>
      </c>
      <c r="E45" s="2423">
        <v>2000</v>
      </c>
      <c r="F45" s="2426">
        <v>8635</v>
      </c>
    </row>
    <row r="46" spans="1:7" ht="15.75" x14ac:dyDescent="0.25">
      <c r="A46" s="2427">
        <v>41426</v>
      </c>
      <c r="B46" s="2425">
        <v>41101</v>
      </c>
      <c r="C46" s="2423">
        <v>185678</v>
      </c>
      <c r="D46" s="2423">
        <v>20</v>
      </c>
      <c r="E46" s="2423">
        <v>2055</v>
      </c>
      <c r="F46" s="2426">
        <v>9284</v>
      </c>
      <c r="G46" s="2159"/>
    </row>
    <row r="47" spans="1:7" ht="15.75" x14ac:dyDescent="0.25">
      <c r="A47" s="2427">
        <v>41456</v>
      </c>
      <c r="B47" s="2425">
        <v>51673</v>
      </c>
      <c r="C47" s="2423">
        <v>191077</v>
      </c>
      <c r="D47" s="2423">
        <v>23</v>
      </c>
      <c r="E47" s="2423">
        <v>2247</v>
      </c>
      <c r="F47" s="2426">
        <v>8308</v>
      </c>
      <c r="G47" s="2159"/>
    </row>
    <row r="48" spans="1:7" ht="15.75" x14ac:dyDescent="0.25">
      <c r="A48" s="2427">
        <v>41487</v>
      </c>
      <c r="B48" s="2425">
        <v>43000</v>
      </c>
      <c r="C48" s="2423">
        <v>180041</v>
      </c>
      <c r="D48" s="2423">
        <v>21</v>
      </c>
      <c r="E48" s="2423">
        <v>2048</v>
      </c>
      <c r="F48" s="2426">
        <v>8573</v>
      </c>
      <c r="G48" s="2159"/>
    </row>
    <row r="49" spans="1:7" ht="15.75" x14ac:dyDescent="0.25">
      <c r="A49" s="2427">
        <v>41518</v>
      </c>
      <c r="B49" s="2425">
        <v>46634</v>
      </c>
      <c r="C49" s="2423">
        <v>181738</v>
      </c>
      <c r="D49" s="2423">
        <v>20</v>
      </c>
      <c r="E49" s="2423">
        <v>2332</v>
      </c>
      <c r="F49" s="2426">
        <v>9087</v>
      </c>
      <c r="G49" s="2159"/>
    </row>
    <row r="50" spans="1:7" ht="15.75" x14ac:dyDescent="0.25">
      <c r="A50" s="2429">
        <v>41548</v>
      </c>
      <c r="B50" s="2422">
        <v>50066</v>
      </c>
      <c r="C50" s="2423">
        <v>251847</v>
      </c>
      <c r="D50" s="2428">
        <v>23</v>
      </c>
      <c r="E50" s="2423">
        <v>2177</v>
      </c>
      <c r="F50" s="2424">
        <v>10950</v>
      </c>
      <c r="G50" s="2159"/>
    </row>
    <row r="51" spans="1:7" ht="15.75" x14ac:dyDescent="0.25">
      <c r="A51" s="2427">
        <v>41579</v>
      </c>
      <c r="B51" s="2425">
        <v>43504</v>
      </c>
      <c r="C51" s="2423">
        <v>201655</v>
      </c>
      <c r="D51" s="2423">
        <v>20</v>
      </c>
      <c r="E51" s="2423">
        <v>2175</v>
      </c>
      <c r="F51" s="2426">
        <v>10083</v>
      </c>
      <c r="G51" s="2159"/>
    </row>
    <row r="52" spans="1:7" ht="15.75" x14ac:dyDescent="0.25">
      <c r="A52" s="2427">
        <v>41609</v>
      </c>
      <c r="B52" s="2425">
        <v>61375</v>
      </c>
      <c r="C52" s="2423">
        <v>278115</v>
      </c>
      <c r="D52" s="2423">
        <v>21</v>
      </c>
      <c r="E52" s="2423">
        <v>2923</v>
      </c>
      <c r="F52" s="2426">
        <v>13244</v>
      </c>
      <c r="G52" s="2159"/>
    </row>
    <row r="53" spans="1:7" ht="15.75" x14ac:dyDescent="0.25">
      <c r="A53" s="2427">
        <v>41640</v>
      </c>
      <c r="B53" s="2425">
        <v>42403</v>
      </c>
      <c r="C53" s="2423">
        <v>180340</v>
      </c>
      <c r="D53" s="2423">
        <v>19</v>
      </c>
      <c r="E53" s="2423">
        <v>2232</v>
      </c>
      <c r="F53" s="2426">
        <v>9492</v>
      </c>
      <c r="G53" s="2159"/>
    </row>
    <row r="54" spans="1:7" ht="15.75" x14ac:dyDescent="0.25">
      <c r="A54" s="2427">
        <v>41671</v>
      </c>
      <c r="B54" s="2425">
        <v>46387</v>
      </c>
      <c r="C54" s="2423">
        <v>180036</v>
      </c>
      <c r="D54" s="2423">
        <v>18</v>
      </c>
      <c r="E54" s="2423">
        <v>2577</v>
      </c>
      <c r="F54" s="2426">
        <v>10002</v>
      </c>
      <c r="G54" s="2159"/>
    </row>
    <row r="55" spans="1:7" ht="15.75" x14ac:dyDescent="0.25">
      <c r="A55" s="2427">
        <v>41699</v>
      </c>
      <c r="B55" s="2425">
        <v>44655</v>
      </c>
      <c r="C55" s="2423">
        <v>152932</v>
      </c>
      <c r="D55" s="2423">
        <v>19</v>
      </c>
      <c r="E55" s="2423">
        <v>2350</v>
      </c>
      <c r="F55" s="2426">
        <v>8049</v>
      </c>
      <c r="G55" s="2159"/>
    </row>
    <row r="56" spans="1:7" ht="15.75" x14ac:dyDescent="0.25">
      <c r="A56" s="2427">
        <v>41730</v>
      </c>
      <c r="B56" s="2425">
        <v>55001</v>
      </c>
      <c r="C56" s="2423">
        <v>183452</v>
      </c>
      <c r="D56" s="2423">
        <v>22</v>
      </c>
      <c r="E56" s="2423">
        <v>2500</v>
      </c>
      <c r="F56" s="2426">
        <v>8339</v>
      </c>
      <c r="G56" s="2159"/>
    </row>
    <row r="57" spans="1:7" ht="15.75" x14ac:dyDescent="0.25">
      <c r="A57" s="2427">
        <v>41760</v>
      </c>
      <c r="B57" s="2425">
        <v>48119</v>
      </c>
      <c r="C57" s="2423">
        <v>197452</v>
      </c>
      <c r="D57" s="2423">
        <v>21</v>
      </c>
      <c r="E57" s="2423">
        <v>2291</v>
      </c>
      <c r="F57" s="2426">
        <v>9402</v>
      </c>
      <c r="G57" s="2159"/>
    </row>
    <row r="58" spans="1:7" ht="15.75" x14ac:dyDescent="0.25">
      <c r="A58" s="2427">
        <v>41791</v>
      </c>
      <c r="B58" s="2425">
        <v>53390</v>
      </c>
      <c r="C58" s="2423">
        <v>200862</v>
      </c>
      <c r="D58" s="2423">
        <v>21</v>
      </c>
      <c r="E58" s="2423">
        <v>2542</v>
      </c>
      <c r="F58" s="2426">
        <v>9565</v>
      </c>
      <c r="G58" s="2159"/>
    </row>
    <row r="59" spans="1:7" ht="15.75" x14ac:dyDescent="0.25">
      <c r="A59" s="2427">
        <v>41821</v>
      </c>
      <c r="B59" s="2425">
        <v>53313</v>
      </c>
      <c r="C59" s="2423">
        <v>183321</v>
      </c>
      <c r="D59" s="2423">
        <v>22</v>
      </c>
      <c r="E59" s="2423">
        <v>2423</v>
      </c>
      <c r="F59" s="2426">
        <v>8333</v>
      </c>
      <c r="G59" s="2159"/>
    </row>
    <row r="60" spans="1:7" ht="15.75" x14ac:dyDescent="0.25">
      <c r="A60" s="2427">
        <v>41852</v>
      </c>
      <c r="B60" s="2425">
        <v>46756</v>
      </c>
      <c r="C60" s="2423">
        <v>216798</v>
      </c>
      <c r="D60" s="2423">
        <v>20</v>
      </c>
      <c r="E60" s="2423">
        <v>2338</v>
      </c>
      <c r="F60" s="2426">
        <v>10840</v>
      </c>
      <c r="G60" s="2159"/>
    </row>
    <row r="61" spans="1:7" ht="15.75" x14ac:dyDescent="0.25">
      <c r="A61" s="2427">
        <v>41883</v>
      </c>
      <c r="B61" s="2425">
        <v>55791</v>
      </c>
      <c r="C61" s="2423">
        <v>250739</v>
      </c>
      <c r="D61" s="2423">
        <v>22</v>
      </c>
      <c r="E61" s="2423">
        <v>2536</v>
      </c>
      <c r="F61" s="2426">
        <v>11397</v>
      </c>
      <c r="G61" s="2159"/>
    </row>
    <row r="62" spans="1:7" ht="15.75" x14ac:dyDescent="0.25">
      <c r="A62" s="2427">
        <v>41913</v>
      </c>
      <c r="B62" s="2425">
        <v>56053</v>
      </c>
      <c r="C62" s="2423">
        <v>243022</v>
      </c>
      <c r="D62" s="2423">
        <v>22</v>
      </c>
      <c r="E62" s="2423">
        <v>2548</v>
      </c>
      <c r="F62" s="2426">
        <v>11046</v>
      </c>
      <c r="G62" s="2159"/>
    </row>
    <row r="63" spans="1:7" ht="15.75" x14ac:dyDescent="0.25">
      <c r="A63" s="2427">
        <v>41944</v>
      </c>
      <c r="B63" s="2425">
        <v>47833</v>
      </c>
      <c r="C63" s="2423">
        <v>205673</v>
      </c>
      <c r="D63" s="2423">
        <v>20</v>
      </c>
      <c r="E63" s="2423">
        <v>2392</v>
      </c>
      <c r="F63" s="2426">
        <v>10284</v>
      </c>
      <c r="G63" s="2159"/>
    </row>
    <row r="64" spans="1:7" ht="15.75" x14ac:dyDescent="0.25">
      <c r="A64" s="2427">
        <v>41974</v>
      </c>
      <c r="B64" s="2425">
        <v>72510</v>
      </c>
      <c r="C64" s="2423">
        <v>289473</v>
      </c>
      <c r="D64" s="2423">
        <v>21</v>
      </c>
      <c r="E64" s="2423">
        <v>3453</v>
      </c>
      <c r="F64" s="2426">
        <v>13784</v>
      </c>
      <c r="G64" s="2159"/>
    </row>
    <row r="65" spans="1:7" ht="15.75" x14ac:dyDescent="0.25">
      <c r="A65" s="2427">
        <v>42005</v>
      </c>
      <c r="B65" s="2425">
        <v>48380</v>
      </c>
      <c r="C65" s="2423">
        <v>173092</v>
      </c>
      <c r="D65" s="2423">
        <v>20</v>
      </c>
      <c r="E65" s="2423">
        <v>2419</v>
      </c>
      <c r="F65" s="2426">
        <v>8655</v>
      </c>
      <c r="G65" s="2159"/>
    </row>
    <row r="66" spans="1:7" ht="15.75" x14ac:dyDescent="0.25">
      <c r="A66" s="2427">
        <v>42036</v>
      </c>
      <c r="B66" s="2425">
        <v>51454</v>
      </c>
      <c r="C66" s="2423">
        <v>187546</v>
      </c>
      <c r="D66" s="2423">
        <v>17</v>
      </c>
      <c r="E66" s="2423">
        <v>3027</v>
      </c>
      <c r="F66" s="2426">
        <v>11032</v>
      </c>
      <c r="G66" s="2159"/>
    </row>
    <row r="67" spans="1:7" ht="15.75" x14ac:dyDescent="0.25">
      <c r="A67" s="2427">
        <v>42064</v>
      </c>
      <c r="B67" s="2425">
        <v>58553</v>
      </c>
      <c r="C67" s="2423">
        <v>268463</v>
      </c>
      <c r="D67" s="2423">
        <v>21</v>
      </c>
      <c r="E67" s="2423">
        <v>2788</v>
      </c>
      <c r="F67" s="2426">
        <v>12784</v>
      </c>
      <c r="G67" s="2159"/>
    </row>
    <row r="68" spans="1:7" ht="15.75" x14ac:dyDescent="0.25">
      <c r="A68" s="2427">
        <v>42095</v>
      </c>
      <c r="B68" s="2425">
        <v>57856</v>
      </c>
      <c r="C68" s="2423">
        <v>203457</v>
      </c>
      <c r="D68" s="2423">
        <v>22</v>
      </c>
      <c r="E68" s="2423">
        <v>2630</v>
      </c>
      <c r="F68" s="2426">
        <v>9248</v>
      </c>
      <c r="G68" s="2159"/>
    </row>
    <row r="69" spans="1:7" ht="15.75" x14ac:dyDescent="0.25">
      <c r="A69" s="2427">
        <v>42125</v>
      </c>
      <c r="B69" s="2425">
        <v>52109</v>
      </c>
      <c r="C69" s="2423">
        <v>206401</v>
      </c>
      <c r="D69" s="2423">
        <v>20</v>
      </c>
      <c r="E69" s="2423">
        <v>2605</v>
      </c>
      <c r="F69" s="2426">
        <v>10320</v>
      </c>
      <c r="G69" s="2159"/>
    </row>
    <row r="70" spans="1:7" ht="15.75" x14ac:dyDescent="0.25">
      <c r="A70" s="2427">
        <v>42156</v>
      </c>
      <c r="B70" s="2425">
        <v>63741</v>
      </c>
      <c r="C70" s="2423">
        <v>252415</v>
      </c>
      <c r="D70" s="2423">
        <v>22</v>
      </c>
      <c r="E70" s="2423">
        <v>2897</v>
      </c>
      <c r="F70" s="2426">
        <v>11473</v>
      </c>
      <c r="G70" s="2159"/>
    </row>
    <row r="71" spans="1:7" ht="15.75" x14ac:dyDescent="0.25">
      <c r="A71" s="2427">
        <v>42186</v>
      </c>
      <c r="B71" s="2425">
        <v>60872</v>
      </c>
      <c r="C71" s="2423">
        <v>165725</v>
      </c>
      <c r="D71" s="2423">
        <v>23</v>
      </c>
      <c r="E71" s="2423">
        <v>2647</v>
      </c>
      <c r="F71" s="2426">
        <v>7205</v>
      </c>
      <c r="G71" s="2159"/>
    </row>
    <row r="72" spans="1:7" ht="15.75" x14ac:dyDescent="0.25">
      <c r="A72" s="2427">
        <v>42217</v>
      </c>
      <c r="B72" s="2425">
        <v>55863</v>
      </c>
      <c r="C72" s="2423">
        <v>157986</v>
      </c>
      <c r="D72" s="2423">
        <v>21</v>
      </c>
      <c r="E72" s="2423">
        <v>2660</v>
      </c>
      <c r="F72" s="2426">
        <v>7523</v>
      </c>
      <c r="G72" s="2159"/>
    </row>
    <row r="73" spans="1:7" ht="15.75" x14ac:dyDescent="0.25">
      <c r="A73" s="2427">
        <v>42248</v>
      </c>
      <c r="B73" s="2425">
        <v>57801</v>
      </c>
      <c r="C73" s="2423">
        <v>162159</v>
      </c>
      <c r="D73" s="2423">
        <v>21</v>
      </c>
      <c r="E73" s="2423">
        <v>2752</v>
      </c>
      <c r="F73" s="2426">
        <v>7722</v>
      </c>
      <c r="G73" s="2159"/>
    </row>
    <row r="74" spans="1:7" ht="15.75" x14ac:dyDescent="0.25">
      <c r="A74" s="2427">
        <v>42278</v>
      </c>
      <c r="B74" s="2425">
        <v>59189</v>
      </c>
      <c r="C74" s="2423">
        <v>199123</v>
      </c>
      <c r="D74" s="2423">
        <v>22</v>
      </c>
      <c r="E74" s="2423">
        <v>2690</v>
      </c>
      <c r="F74" s="2426">
        <v>9051</v>
      </c>
      <c r="G74" s="2159"/>
    </row>
    <row r="75" spans="1:7" ht="15.75" x14ac:dyDescent="0.25">
      <c r="A75" s="2427">
        <v>42309</v>
      </c>
      <c r="B75" s="2425">
        <v>60462</v>
      </c>
      <c r="C75" s="2423">
        <v>177585</v>
      </c>
      <c r="D75" s="2423">
        <v>19</v>
      </c>
      <c r="E75" s="2423">
        <v>3182</v>
      </c>
      <c r="F75" s="2426">
        <v>9347</v>
      </c>
      <c r="G75" s="2159"/>
    </row>
    <row r="76" spans="1:7" ht="15.75" x14ac:dyDescent="0.25">
      <c r="A76" s="2427">
        <v>42339</v>
      </c>
      <c r="B76" s="2425">
        <v>76922</v>
      </c>
      <c r="C76" s="2423">
        <v>253578</v>
      </c>
      <c r="D76" s="2423">
        <v>22</v>
      </c>
      <c r="E76" s="2423">
        <v>3496</v>
      </c>
      <c r="F76" s="2426">
        <v>11526</v>
      </c>
      <c r="G76" s="2159"/>
    </row>
    <row r="77" spans="1:7" ht="15.75" x14ac:dyDescent="0.25">
      <c r="A77" s="2427">
        <v>42370</v>
      </c>
      <c r="B77" s="2425">
        <v>52011</v>
      </c>
      <c r="C77" s="2423">
        <v>253516</v>
      </c>
      <c r="D77" s="2423">
        <v>20</v>
      </c>
      <c r="E77" s="2423">
        <v>2601</v>
      </c>
      <c r="F77" s="2426">
        <v>12676</v>
      </c>
      <c r="G77" s="2159"/>
    </row>
    <row r="78" spans="1:7" ht="15.75" x14ac:dyDescent="0.25">
      <c r="A78" s="2427">
        <v>42401</v>
      </c>
      <c r="B78" s="2425">
        <v>62518</v>
      </c>
      <c r="C78" s="2423">
        <v>211597</v>
      </c>
      <c r="D78" s="2423">
        <v>19</v>
      </c>
      <c r="E78" s="2423">
        <v>3290</v>
      </c>
      <c r="F78" s="2426">
        <v>11137</v>
      </c>
      <c r="G78" s="2159"/>
    </row>
    <row r="79" spans="1:7" ht="15.75" x14ac:dyDescent="0.25">
      <c r="A79" s="2427">
        <v>42430</v>
      </c>
      <c r="B79" s="2425">
        <v>64922</v>
      </c>
      <c r="C79" s="2423">
        <v>223848</v>
      </c>
      <c r="D79" s="2423">
        <v>22</v>
      </c>
      <c r="E79" s="2423">
        <v>2951</v>
      </c>
      <c r="F79" s="2426">
        <v>10175</v>
      </c>
      <c r="G79" s="2159"/>
    </row>
    <row r="80" spans="1:7" ht="15.75" x14ac:dyDescent="0.25">
      <c r="A80" s="2427">
        <v>42461</v>
      </c>
      <c r="B80" s="2425">
        <v>57129</v>
      </c>
      <c r="C80" s="2423">
        <v>215673</v>
      </c>
      <c r="D80" s="2423">
        <v>20</v>
      </c>
      <c r="E80" s="2423">
        <v>2856</v>
      </c>
      <c r="F80" s="2426">
        <v>10784</v>
      </c>
      <c r="G80" s="2159"/>
    </row>
    <row r="81" spans="1:7" ht="21.75" customHeight="1" thickBot="1" x14ac:dyDescent="0.3">
      <c r="A81" s="2430">
        <v>42491</v>
      </c>
      <c r="B81" s="2431">
        <v>69200</v>
      </c>
      <c r="C81" s="2432">
        <v>219755</v>
      </c>
      <c r="D81" s="2432">
        <v>22</v>
      </c>
      <c r="E81" s="2432">
        <v>3145</v>
      </c>
      <c r="F81" s="2433">
        <v>9989</v>
      </c>
      <c r="G81" s="2159"/>
    </row>
    <row r="82" spans="1:7" ht="54" customHeight="1" thickTop="1" x14ac:dyDescent="0.25">
      <c r="A82" s="3525" t="s">
        <v>4046</v>
      </c>
      <c r="B82" s="3525"/>
      <c r="C82" s="3525"/>
      <c r="D82" s="3525"/>
      <c r="E82" s="3525"/>
      <c r="F82" s="3525"/>
      <c r="G82" s="2434"/>
    </row>
    <row r="83" spans="1:7" x14ac:dyDescent="0.25">
      <c r="A83" s="867" t="s">
        <v>4047</v>
      </c>
      <c r="B83" s="702"/>
      <c r="C83" s="702"/>
      <c r="D83" s="702"/>
      <c r="E83" s="702"/>
      <c r="F83" s="702"/>
      <c r="G83" s="2159"/>
    </row>
    <row r="84" spans="1:7" x14ac:dyDescent="0.25">
      <c r="A84" s="867" t="s">
        <v>1394</v>
      </c>
      <c r="B84" s="702"/>
      <c r="C84" s="702"/>
      <c r="D84" s="702"/>
      <c r="E84" s="702"/>
      <c r="F84" s="702"/>
      <c r="G84" s="2159"/>
    </row>
    <row r="85" spans="1:7" x14ac:dyDescent="0.25">
      <c r="A85" s="2435"/>
      <c r="B85" s="2435"/>
      <c r="C85" s="2435"/>
      <c r="D85" s="2435"/>
      <c r="E85" s="2435"/>
      <c r="F85" s="2435"/>
    </row>
  </sheetData>
  <mergeCells count="2">
    <mergeCell ref="E3:F3"/>
    <mergeCell ref="A82:F82"/>
  </mergeCells>
  <pageMargins left="0.7" right="0.7" top="0.75" bottom="0.75" header="0.3" footer="0.3"/>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85"/>
  <sheetViews>
    <sheetView zoomScaleNormal="100" workbookViewId="0">
      <selection activeCell="M47" sqref="M47"/>
    </sheetView>
  </sheetViews>
  <sheetFormatPr defaultRowHeight="15" x14ac:dyDescent="0.2"/>
  <cols>
    <col min="1" max="1" width="9.140625" style="2438"/>
    <col min="2" max="2" width="14.140625" style="2438" customWidth="1"/>
    <col min="3" max="3" width="14.85546875" style="2438" customWidth="1"/>
    <col min="4" max="4" width="16" style="2438" customWidth="1"/>
    <col min="5" max="5" width="13.5703125" style="2438" customWidth="1"/>
    <col min="6" max="6" width="18.7109375" style="2438" customWidth="1"/>
    <col min="7" max="7" width="9.140625" style="2438"/>
    <col min="8" max="257" width="9.140625" style="2439"/>
    <col min="258" max="258" width="14.140625" style="2439" customWidth="1"/>
    <col min="259" max="259" width="14.85546875" style="2439" customWidth="1"/>
    <col min="260" max="260" width="16" style="2439" customWidth="1"/>
    <col min="261" max="261" width="13.5703125" style="2439" customWidth="1"/>
    <col min="262" max="262" width="18.7109375" style="2439" customWidth="1"/>
    <col min="263" max="513" width="9.140625" style="2439"/>
    <col min="514" max="514" width="14.140625" style="2439" customWidth="1"/>
    <col min="515" max="515" width="14.85546875" style="2439" customWidth="1"/>
    <col min="516" max="516" width="16" style="2439" customWidth="1"/>
    <col min="517" max="517" width="13.5703125" style="2439" customWidth="1"/>
    <col min="518" max="518" width="18.7109375" style="2439" customWidth="1"/>
    <col min="519" max="769" width="9.140625" style="2439"/>
    <col min="770" max="770" width="14.140625" style="2439" customWidth="1"/>
    <col min="771" max="771" width="14.85546875" style="2439" customWidth="1"/>
    <col min="772" max="772" width="16" style="2439" customWidth="1"/>
    <col min="773" max="773" width="13.5703125" style="2439" customWidth="1"/>
    <col min="774" max="774" width="18.7109375" style="2439" customWidth="1"/>
    <col min="775" max="1025" width="9.140625" style="2439"/>
    <col min="1026" max="1026" width="14.140625" style="2439" customWidth="1"/>
    <col min="1027" max="1027" width="14.85546875" style="2439" customWidth="1"/>
    <col min="1028" max="1028" width="16" style="2439" customWidth="1"/>
    <col min="1029" max="1029" width="13.5703125" style="2439" customWidth="1"/>
    <col min="1030" max="1030" width="18.7109375" style="2439" customWidth="1"/>
    <col min="1031" max="1281" width="9.140625" style="2439"/>
    <col min="1282" max="1282" width="14.140625" style="2439" customWidth="1"/>
    <col min="1283" max="1283" width="14.85546875" style="2439" customWidth="1"/>
    <col min="1284" max="1284" width="16" style="2439" customWidth="1"/>
    <col min="1285" max="1285" width="13.5703125" style="2439" customWidth="1"/>
    <col min="1286" max="1286" width="18.7109375" style="2439" customWidth="1"/>
    <col min="1287" max="1537" width="9.140625" style="2439"/>
    <col min="1538" max="1538" width="14.140625" style="2439" customWidth="1"/>
    <col min="1539" max="1539" width="14.85546875" style="2439" customWidth="1"/>
    <col min="1540" max="1540" width="16" style="2439" customWidth="1"/>
    <col min="1541" max="1541" width="13.5703125" style="2439" customWidth="1"/>
    <col min="1542" max="1542" width="18.7109375" style="2439" customWidth="1"/>
    <col min="1543" max="1793" width="9.140625" style="2439"/>
    <col min="1794" max="1794" width="14.140625" style="2439" customWidth="1"/>
    <col min="1795" max="1795" width="14.85546875" style="2439" customWidth="1"/>
    <col min="1796" max="1796" width="16" style="2439" customWidth="1"/>
    <col min="1797" max="1797" width="13.5703125" style="2439" customWidth="1"/>
    <col min="1798" max="1798" width="18.7109375" style="2439" customWidth="1"/>
    <col min="1799" max="2049" width="9.140625" style="2439"/>
    <col min="2050" max="2050" width="14.140625" style="2439" customWidth="1"/>
    <col min="2051" max="2051" width="14.85546875" style="2439" customWidth="1"/>
    <col min="2052" max="2052" width="16" style="2439" customWidth="1"/>
    <col min="2053" max="2053" width="13.5703125" style="2439" customWidth="1"/>
    <col min="2054" max="2054" width="18.7109375" style="2439" customWidth="1"/>
    <col min="2055" max="2305" width="9.140625" style="2439"/>
    <col min="2306" max="2306" width="14.140625" style="2439" customWidth="1"/>
    <col min="2307" max="2307" width="14.85546875" style="2439" customWidth="1"/>
    <col min="2308" max="2308" width="16" style="2439" customWidth="1"/>
    <col min="2309" max="2309" width="13.5703125" style="2439" customWidth="1"/>
    <col min="2310" max="2310" width="18.7109375" style="2439" customWidth="1"/>
    <col min="2311" max="2561" width="9.140625" style="2439"/>
    <col min="2562" max="2562" width="14.140625" style="2439" customWidth="1"/>
    <col min="2563" max="2563" width="14.85546875" style="2439" customWidth="1"/>
    <col min="2564" max="2564" width="16" style="2439" customWidth="1"/>
    <col min="2565" max="2565" width="13.5703125" style="2439" customWidth="1"/>
    <col min="2566" max="2566" width="18.7109375" style="2439" customWidth="1"/>
    <col min="2567" max="2817" width="9.140625" style="2439"/>
    <col min="2818" max="2818" width="14.140625" style="2439" customWidth="1"/>
    <col min="2819" max="2819" width="14.85546875" style="2439" customWidth="1"/>
    <col min="2820" max="2820" width="16" style="2439" customWidth="1"/>
    <col min="2821" max="2821" width="13.5703125" style="2439" customWidth="1"/>
    <col min="2822" max="2822" width="18.7109375" style="2439" customWidth="1"/>
    <col min="2823" max="3073" width="9.140625" style="2439"/>
    <col min="3074" max="3074" width="14.140625" style="2439" customWidth="1"/>
    <col min="3075" max="3075" width="14.85546875" style="2439" customWidth="1"/>
    <col min="3076" max="3076" width="16" style="2439" customWidth="1"/>
    <col min="3077" max="3077" width="13.5703125" style="2439" customWidth="1"/>
    <col min="3078" max="3078" width="18.7109375" style="2439" customWidth="1"/>
    <col min="3079" max="3329" width="9.140625" style="2439"/>
    <col min="3330" max="3330" width="14.140625" style="2439" customWidth="1"/>
    <col min="3331" max="3331" width="14.85546875" style="2439" customWidth="1"/>
    <col min="3332" max="3332" width="16" style="2439" customWidth="1"/>
    <col min="3333" max="3333" width="13.5703125" style="2439" customWidth="1"/>
    <col min="3334" max="3334" width="18.7109375" style="2439" customWidth="1"/>
    <col min="3335" max="3585" width="9.140625" style="2439"/>
    <col min="3586" max="3586" width="14.140625" style="2439" customWidth="1"/>
    <col min="3587" max="3587" width="14.85546875" style="2439" customWidth="1"/>
    <col min="3588" max="3588" width="16" style="2439" customWidth="1"/>
    <col min="3589" max="3589" width="13.5703125" style="2439" customWidth="1"/>
    <col min="3590" max="3590" width="18.7109375" style="2439" customWidth="1"/>
    <col min="3591" max="3841" width="9.140625" style="2439"/>
    <col min="3842" max="3842" width="14.140625" style="2439" customWidth="1"/>
    <col min="3843" max="3843" width="14.85546875" style="2439" customWidth="1"/>
    <col min="3844" max="3844" width="16" style="2439" customWidth="1"/>
    <col min="3845" max="3845" width="13.5703125" style="2439" customWidth="1"/>
    <col min="3846" max="3846" width="18.7109375" style="2439" customWidth="1"/>
    <col min="3847" max="4097" width="9.140625" style="2439"/>
    <col min="4098" max="4098" width="14.140625" style="2439" customWidth="1"/>
    <col min="4099" max="4099" width="14.85546875" style="2439" customWidth="1"/>
    <col min="4100" max="4100" width="16" style="2439" customWidth="1"/>
    <col min="4101" max="4101" width="13.5703125" style="2439" customWidth="1"/>
    <col min="4102" max="4102" width="18.7109375" style="2439" customWidth="1"/>
    <col min="4103" max="4353" width="9.140625" style="2439"/>
    <col min="4354" max="4354" width="14.140625" style="2439" customWidth="1"/>
    <col min="4355" max="4355" width="14.85546875" style="2439" customWidth="1"/>
    <col min="4356" max="4356" width="16" style="2439" customWidth="1"/>
    <col min="4357" max="4357" width="13.5703125" style="2439" customWidth="1"/>
    <col min="4358" max="4358" width="18.7109375" style="2439" customWidth="1"/>
    <col min="4359" max="4609" width="9.140625" style="2439"/>
    <col min="4610" max="4610" width="14.140625" style="2439" customWidth="1"/>
    <col min="4611" max="4611" width="14.85546875" style="2439" customWidth="1"/>
    <col min="4612" max="4612" width="16" style="2439" customWidth="1"/>
    <col min="4613" max="4613" width="13.5703125" style="2439" customWidth="1"/>
    <col min="4614" max="4614" width="18.7109375" style="2439" customWidth="1"/>
    <col min="4615" max="4865" width="9.140625" style="2439"/>
    <col min="4866" max="4866" width="14.140625" style="2439" customWidth="1"/>
    <col min="4867" max="4867" width="14.85546875" style="2439" customWidth="1"/>
    <col min="4868" max="4868" width="16" style="2439" customWidth="1"/>
    <col min="4869" max="4869" width="13.5703125" style="2439" customWidth="1"/>
    <col min="4870" max="4870" width="18.7109375" style="2439" customWidth="1"/>
    <col min="4871" max="5121" width="9.140625" style="2439"/>
    <col min="5122" max="5122" width="14.140625" style="2439" customWidth="1"/>
    <col min="5123" max="5123" width="14.85546875" style="2439" customWidth="1"/>
    <col min="5124" max="5124" width="16" style="2439" customWidth="1"/>
    <col min="5125" max="5125" width="13.5703125" style="2439" customWidth="1"/>
    <col min="5126" max="5126" width="18.7109375" style="2439" customWidth="1"/>
    <col min="5127" max="5377" width="9.140625" style="2439"/>
    <col min="5378" max="5378" width="14.140625" style="2439" customWidth="1"/>
    <col min="5379" max="5379" width="14.85546875" style="2439" customWidth="1"/>
    <col min="5380" max="5380" width="16" style="2439" customWidth="1"/>
    <col min="5381" max="5381" width="13.5703125" style="2439" customWidth="1"/>
    <col min="5382" max="5382" width="18.7109375" style="2439" customWidth="1"/>
    <col min="5383" max="5633" width="9.140625" style="2439"/>
    <col min="5634" max="5634" width="14.140625" style="2439" customWidth="1"/>
    <col min="5635" max="5635" width="14.85546875" style="2439" customWidth="1"/>
    <col min="5636" max="5636" width="16" style="2439" customWidth="1"/>
    <col min="5637" max="5637" width="13.5703125" style="2439" customWidth="1"/>
    <col min="5638" max="5638" width="18.7109375" style="2439" customWidth="1"/>
    <col min="5639" max="5889" width="9.140625" style="2439"/>
    <col min="5890" max="5890" width="14.140625" style="2439" customWidth="1"/>
    <col min="5891" max="5891" width="14.85546875" style="2439" customWidth="1"/>
    <col min="5892" max="5892" width="16" style="2439" customWidth="1"/>
    <col min="5893" max="5893" width="13.5703125" style="2439" customWidth="1"/>
    <col min="5894" max="5894" width="18.7109375" style="2439" customWidth="1"/>
    <col min="5895" max="6145" width="9.140625" style="2439"/>
    <col min="6146" max="6146" width="14.140625" style="2439" customWidth="1"/>
    <col min="6147" max="6147" width="14.85546875" style="2439" customWidth="1"/>
    <col min="6148" max="6148" width="16" style="2439" customWidth="1"/>
    <col min="6149" max="6149" width="13.5703125" style="2439" customWidth="1"/>
    <col min="6150" max="6150" width="18.7109375" style="2439" customWidth="1"/>
    <col min="6151" max="6401" width="9.140625" style="2439"/>
    <col min="6402" max="6402" width="14.140625" style="2439" customWidth="1"/>
    <col min="6403" max="6403" width="14.85546875" style="2439" customWidth="1"/>
    <col min="6404" max="6404" width="16" style="2439" customWidth="1"/>
    <col min="6405" max="6405" width="13.5703125" style="2439" customWidth="1"/>
    <col min="6406" max="6406" width="18.7109375" style="2439" customWidth="1"/>
    <col min="6407" max="6657" width="9.140625" style="2439"/>
    <col min="6658" max="6658" width="14.140625" style="2439" customWidth="1"/>
    <col min="6659" max="6659" width="14.85546875" style="2439" customWidth="1"/>
    <col min="6660" max="6660" width="16" style="2439" customWidth="1"/>
    <col min="6661" max="6661" width="13.5703125" style="2439" customWidth="1"/>
    <col min="6662" max="6662" width="18.7109375" style="2439" customWidth="1"/>
    <col min="6663" max="6913" width="9.140625" style="2439"/>
    <col min="6914" max="6914" width="14.140625" style="2439" customWidth="1"/>
    <col min="6915" max="6915" width="14.85546875" style="2439" customWidth="1"/>
    <col min="6916" max="6916" width="16" style="2439" customWidth="1"/>
    <col min="6917" max="6917" width="13.5703125" style="2439" customWidth="1"/>
    <col min="6918" max="6918" width="18.7109375" style="2439" customWidth="1"/>
    <col min="6919" max="7169" width="9.140625" style="2439"/>
    <col min="7170" max="7170" width="14.140625" style="2439" customWidth="1"/>
    <col min="7171" max="7171" width="14.85546875" style="2439" customWidth="1"/>
    <col min="7172" max="7172" width="16" style="2439" customWidth="1"/>
    <col min="7173" max="7173" width="13.5703125" style="2439" customWidth="1"/>
    <col min="7174" max="7174" width="18.7109375" style="2439" customWidth="1"/>
    <col min="7175" max="7425" width="9.140625" style="2439"/>
    <col min="7426" max="7426" width="14.140625" style="2439" customWidth="1"/>
    <col min="7427" max="7427" width="14.85546875" style="2439" customWidth="1"/>
    <col min="7428" max="7428" width="16" style="2439" customWidth="1"/>
    <col min="7429" max="7429" width="13.5703125" style="2439" customWidth="1"/>
    <col min="7430" max="7430" width="18.7109375" style="2439" customWidth="1"/>
    <col min="7431" max="7681" width="9.140625" style="2439"/>
    <col min="7682" max="7682" width="14.140625" style="2439" customWidth="1"/>
    <col min="7683" max="7683" width="14.85546875" style="2439" customWidth="1"/>
    <col min="7684" max="7684" width="16" style="2439" customWidth="1"/>
    <col min="7685" max="7685" width="13.5703125" style="2439" customWidth="1"/>
    <col min="7686" max="7686" width="18.7109375" style="2439" customWidth="1"/>
    <col min="7687" max="7937" width="9.140625" style="2439"/>
    <col min="7938" max="7938" width="14.140625" style="2439" customWidth="1"/>
    <col min="7939" max="7939" width="14.85546875" style="2439" customWidth="1"/>
    <col min="7940" max="7940" width="16" style="2439" customWidth="1"/>
    <col min="7941" max="7941" width="13.5703125" style="2439" customWidth="1"/>
    <col min="7942" max="7942" width="18.7109375" style="2439" customWidth="1"/>
    <col min="7943" max="8193" width="9.140625" style="2439"/>
    <col min="8194" max="8194" width="14.140625" style="2439" customWidth="1"/>
    <col min="8195" max="8195" width="14.85546875" style="2439" customWidth="1"/>
    <col min="8196" max="8196" width="16" style="2439" customWidth="1"/>
    <col min="8197" max="8197" width="13.5703125" style="2439" customWidth="1"/>
    <col min="8198" max="8198" width="18.7109375" style="2439" customWidth="1"/>
    <col min="8199" max="8449" width="9.140625" style="2439"/>
    <col min="8450" max="8450" width="14.140625" style="2439" customWidth="1"/>
    <col min="8451" max="8451" width="14.85546875" style="2439" customWidth="1"/>
    <col min="8452" max="8452" width="16" style="2439" customWidth="1"/>
    <col min="8453" max="8453" width="13.5703125" style="2439" customWidth="1"/>
    <col min="8454" max="8454" width="18.7109375" style="2439" customWidth="1"/>
    <col min="8455" max="8705" width="9.140625" style="2439"/>
    <col min="8706" max="8706" width="14.140625" style="2439" customWidth="1"/>
    <col min="8707" max="8707" width="14.85546875" style="2439" customWidth="1"/>
    <col min="8708" max="8708" width="16" style="2439" customWidth="1"/>
    <col min="8709" max="8709" width="13.5703125" style="2439" customWidth="1"/>
    <col min="8710" max="8710" width="18.7109375" style="2439" customWidth="1"/>
    <col min="8711" max="8961" width="9.140625" style="2439"/>
    <col min="8962" max="8962" width="14.140625" style="2439" customWidth="1"/>
    <col min="8963" max="8963" width="14.85546875" style="2439" customWidth="1"/>
    <col min="8964" max="8964" width="16" style="2439" customWidth="1"/>
    <col min="8965" max="8965" width="13.5703125" style="2439" customWidth="1"/>
    <col min="8966" max="8966" width="18.7109375" style="2439" customWidth="1"/>
    <col min="8967" max="9217" width="9.140625" style="2439"/>
    <col min="9218" max="9218" width="14.140625" style="2439" customWidth="1"/>
    <col min="9219" max="9219" width="14.85546875" style="2439" customWidth="1"/>
    <col min="9220" max="9220" width="16" style="2439" customWidth="1"/>
    <col min="9221" max="9221" width="13.5703125" style="2439" customWidth="1"/>
    <col min="9222" max="9222" width="18.7109375" style="2439" customWidth="1"/>
    <col min="9223" max="9473" width="9.140625" style="2439"/>
    <col min="9474" max="9474" width="14.140625" style="2439" customWidth="1"/>
    <col min="9475" max="9475" width="14.85546875" style="2439" customWidth="1"/>
    <col min="9476" max="9476" width="16" style="2439" customWidth="1"/>
    <col min="9477" max="9477" width="13.5703125" style="2439" customWidth="1"/>
    <col min="9478" max="9478" width="18.7109375" style="2439" customWidth="1"/>
    <col min="9479" max="9729" width="9.140625" style="2439"/>
    <col min="9730" max="9730" width="14.140625" style="2439" customWidth="1"/>
    <col min="9731" max="9731" width="14.85546875" style="2439" customWidth="1"/>
    <col min="9732" max="9732" width="16" style="2439" customWidth="1"/>
    <col min="9733" max="9733" width="13.5703125" style="2439" customWidth="1"/>
    <col min="9734" max="9734" width="18.7109375" style="2439" customWidth="1"/>
    <col min="9735" max="9985" width="9.140625" style="2439"/>
    <col min="9986" max="9986" width="14.140625" style="2439" customWidth="1"/>
    <col min="9987" max="9987" width="14.85546875" style="2439" customWidth="1"/>
    <col min="9988" max="9988" width="16" style="2439" customWidth="1"/>
    <col min="9989" max="9989" width="13.5703125" style="2439" customWidth="1"/>
    <col min="9990" max="9990" width="18.7109375" style="2439" customWidth="1"/>
    <col min="9991" max="10241" width="9.140625" style="2439"/>
    <col min="10242" max="10242" width="14.140625" style="2439" customWidth="1"/>
    <col min="10243" max="10243" width="14.85546875" style="2439" customWidth="1"/>
    <col min="10244" max="10244" width="16" style="2439" customWidth="1"/>
    <col min="10245" max="10245" width="13.5703125" style="2439" customWidth="1"/>
    <col min="10246" max="10246" width="18.7109375" style="2439" customWidth="1"/>
    <col min="10247" max="10497" width="9.140625" style="2439"/>
    <col min="10498" max="10498" width="14.140625" style="2439" customWidth="1"/>
    <col min="10499" max="10499" width="14.85546875" style="2439" customWidth="1"/>
    <col min="10500" max="10500" width="16" style="2439" customWidth="1"/>
    <col min="10501" max="10501" width="13.5703125" style="2439" customWidth="1"/>
    <col min="10502" max="10502" width="18.7109375" style="2439" customWidth="1"/>
    <col min="10503" max="10753" width="9.140625" style="2439"/>
    <col min="10754" max="10754" width="14.140625" style="2439" customWidth="1"/>
    <col min="10755" max="10755" width="14.85546875" style="2439" customWidth="1"/>
    <col min="10756" max="10756" width="16" style="2439" customWidth="1"/>
    <col min="10757" max="10757" width="13.5703125" style="2439" customWidth="1"/>
    <col min="10758" max="10758" width="18.7109375" style="2439" customWidth="1"/>
    <col min="10759" max="11009" width="9.140625" style="2439"/>
    <col min="11010" max="11010" width="14.140625" style="2439" customWidth="1"/>
    <col min="11011" max="11011" width="14.85546875" style="2439" customWidth="1"/>
    <col min="11012" max="11012" width="16" style="2439" customWidth="1"/>
    <col min="11013" max="11013" width="13.5703125" style="2439" customWidth="1"/>
    <col min="11014" max="11014" width="18.7109375" style="2439" customWidth="1"/>
    <col min="11015" max="11265" width="9.140625" style="2439"/>
    <col min="11266" max="11266" width="14.140625" style="2439" customWidth="1"/>
    <col min="11267" max="11267" width="14.85546875" style="2439" customWidth="1"/>
    <col min="11268" max="11268" width="16" style="2439" customWidth="1"/>
    <col min="11269" max="11269" width="13.5703125" style="2439" customWidth="1"/>
    <col min="11270" max="11270" width="18.7109375" style="2439" customWidth="1"/>
    <col min="11271" max="11521" width="9.140625" style="2439"/>
    <col min="11522" max="11522" width="14.140625" style="2439" customWidth="1"/>
    <col min="11523" max="11523" width="14.85546875" style="2439" customWidth="1"/>
    <col min="11524" max="11524" width="16" style="2439" customWidth="1"/>
    <col min="11525" max="11525" width="13.5703125" style="2439" customWidth="1"/>
    <col min="11526" max="11526" width="18.7109375" style="2439" customWidth="1"/>
    <col min="11527" max="11777" width="9.140625" style="2439"/>
    <col min="11778" max="11778" width="14.140625" style="2439" customWidth="1"/>
    <col min="11779" max="11779" width="14.85546875" style="2439" customWidth="1"/>
    <col min="11780" max="11780" width="16" style="2439" customWidth="1"/>
    <col min="11781" max="11781" width="13.5703125" style="2439" customWidth="1"/>
    <col min="11782" max="11782" width="18.7109375" style="2439" customWidth="1"/>
    <col min="11783" max="12033" width="9.140625" style="2439"/>
    <col min="12034" max="12034" width="14.140625" style="2439" customWidth="1"/>
    <col min="12035" max="12035" width="14.85546875" style="2439" customWidth="1"/>
    <col min="12036" max="12036" width="16" style="2439" customWidth="1"/>
    <col min="12037" max="12037" width="13.5703125" style="2439" customWidth="1"/>
    <col min="12038" max="12038" width="18.7109375" style="2439" customWidth="1"/>
    <col min="12039" max="12289" width="9.140625" style="2439"/>
    <col min="12290" max="12290" width="14.140625" style="2439" customWidth="1"/>
    <col min="12291" max="12291" width="14.85546875" style="2439" customWidth="1"/>
    <col min="12292" max="12292" width="16" style="2439" customWidth="1"/>
    <col min="12293" max="12293" width="13.5703125" style="2439" customWidth="1"/>
    <col min="12294" max="12294" width="18.7109375" style="2439" customWidth="1"/>
    <col min="12295" max="12545" width="9.140625" style="2439"/>
    <col min="12546" max="12546" width="14.140625" style="2439" customWidth="1"/>
    <col min="12547" max="12547" width="14.85546875" style="2439" customWidth="1"/>
    <col min="12548" max="12548" width="16" style="2439" customWidth="1"/>
    <col min="12549" max="12549" width="13.5703125" style="2439" customWidth="1"/>
    <col min="12550" max="12550" width="18.7109375" style="2439" customWidth="1"/>
    <col min="12551" max="12801" width="9.140625" style="2439"/>
    <col min="12802" max="12802" width="14.140625" style="2439" customWidth="1"/>
    <col min="12803" max="12803" width="14.85546875" style="2439" customWidth="1"/>
    <col min="12804" max="12804" width="16" style="2439" customWidth="1"/>
    <col min="12805" max="12805" width="13.5703125" style="2439" customWidth="1"/>
    <col min="12806" max="12806" width="18.7109375" style="2439" customWidth="1"/>
    <col min="12807" max="13057" width="9.140625" style="2439"/>
    <col min="13058" max="13058" width="14.140625" style="2439" customWidth="1"/>
    <col min="13059" max="13059" width="14.85546875" style="2439" customWidth="1"/>
    <col min="13060" max="13060" width="16" style="2439" customWidth="1"/>
    <col min="13061" max="13061" width="13.5703125" style="2439" customWidth="1"/>
    <col min="13062" max="13062" width="18.7109375" style="2439" customWidth="1"/>
    <col min="13063" max="13313" width="9.140625" style="2439"/>
    <col min="13314" max="13314" width="14.140625" style="2439" customWidth="1"/>
    <col min="13315" max="13315" width="14.85546875" style="2439" customWidth="1"/>
    <col min="13316" max="13316" width="16" style="2439" customWidth="1"/>
    <col min="13317" max="13317" width="13.5703125" style="2439" customWidth="1"/>
    <col min="13318" max="13318" width="18.7109375" style="2439" customWidth="1"/>
    <col min="13319" max="13569" width="9.140625" style="2439"/>
    <col min="13570" max="13570" width="14.140625" style="2439" customWidth="1"/>
    <col min="13571" max="13571" width="14.85546875" style="2439" customWidth="1"/>
    <col min="13572" max="13572" width="16" style="2439" customWidth="1"/>
    <col min="13573" max="13573" width="13.5703125" style="2439" customWidth="1"/>
    <col min="13574" max="13574" width="18.7109375" style="2439" customWidth="1"/>
    <col min="13575" max="13825" width="9.140625" style="2439"/>
    <col min="13826" max="13826" width="14.140625" style="2439" customWidth="1"/>
    <col min="13827" max="13827" width="14.85546875" style="2439" customWidth="1"/>
    <col min="13828" max="13828" width="16" style="2439" customWidth="1"/>
    <col min="13829" max="13829" width="13.5703125" style="2439" customWidth="1"/>
    <col min="13830" max="13830" width="18.7109375" style="2439" customWidth="1"/>
    <col min="13831" max="14081" width="9.140625" style="2439"/>
    <col min="14082" max="14082" width="14.140625" style="2439" customWidth="1"/>
    <col min="14083" max="14083" width="14.85546875" style="2439" customWidth="1"/>
    <col min="14084" max="14084" width="16" style="2439" customWidth="1"/>
    <col min="14085" max="14085" width="13.5703125" style="2439" customWidth="1"/>
    <col min="14086" max="14086" width="18.7109375" style="2439" customWidth="1"/>
    <col min="14087" max="14337" width="9.140625" style="2439"/>
    <col min="14338" max="14338" width="14.140625" style="2439" customWidth="1"/>
    <col min="14339" max="14339" width="14.85546875" style="2439" customWidth="1"/>
    <col min="14340" max="14340" width="16" style="2439" customWidth="1"/>
    <col min="14341" max="14341" width="13.5703125" style="2439" customWidth="1"/>
    <col min="14342" max="14342" width="18.7109375" style="2439" customWidth="1"/>
    <col min="14343" max="14593" width="9.140625" style="2439"/>
    <col min="14594" max="14594" width="14.140625" style="2439" customWidth="1"/>
    <col min="14595" max="14595" width="14.85546875" style="2439" customWidth="1"/>
    <col min="14596" max="14596" width="16" style="2439" customWidth="1"/>
    <col min="14597" max="14597" width="13.5703125" style="2439" customWidth="1"/>
    <col min="14598" max="14598" width="18.7109375" style="2439" customWidth="1"/>
    <col min="14599" max="14849" width="9.140625" style="2439"/>
    <col min="14850" max="14850" width="14.140625" style="2439" customWidth="1"/>
    <col min="14851" max="14851" width="14.85546875" style="2439" customWidth="1"/>
    <col min="14852" max="14852" width="16" style="2439" customWidth="1"/>
    <col min="14853" max="14853" width="13.5703125" style="2439" customWidth="1"/>
    <col min="14854" max="14854" width="18.7109375" style="2439" customWidth="1"/>
    <col min="14855" max="15105" width="9.140625" style="2439"/>
    <col min="15106" max="15106" width="14.140625" style="2439" customWidth="1"/>
    <col min="15107" max="15107" width="14.85546875" style="2439" customWidth="1"/>
    <col min="15108" max="15108" width="16" style="2439" customWidth="1"/>
    <col min="15109" max="15109" width="13.5703125" style="2439" customWidth="1"/>
    <col min="15110" max="15110" width="18.7109375" style="2439" customWidth="1"/>
    <col min="15111" max="15361" width="9.140625" style="2439"/>
    <col min="15362" max="15362" width="14.140625" style="2439" customWidth="1"/>
    <col min="15363" max="15363" width="14.85546875" style="2439" customWidth="1"/>
    <col min="15364" max="15364" width="16" style="2439" customWidth="1"/>
    <col min="15365" max="15365" width="13.5703125" style="2439" customWidth="1"/>
    <col min="15366" max="15366" width="18.7109375" style="2439" customWidth="1"/>
    <col min="15367" max="15617" width="9.140625" style="2439"/>
    <col min="15618" max="15618" width="14.140625" style="2439" customWidth="1"/>
    <col min="15619" max="15619" width="14.85546875" style="2439" customWidth="1"/>
    <col min="15620" max="15620" width="16" style="2439" customWidth="1"/>
    <col min="15621" max="15621" width="13.5703125" style="2439" customWidth="1"/>
    <col min="15622" max="15622" width="18.7109375" style="2439" customWidth="1"/>
    <col min="15623" max="15873" width="9.140625" style="2439"/>
    <col min="15874" max="15874" width="14.140625" style="2439" customWidth="1"/>
    <col min="15875" max="15875" width="14.85546875" style="2439" customWidth="1"/>
    <col min="15876" max="15876" width="16" style="2439" customWidth="1"/>
    <col min="15877" max="15877" width="13.5703125" style="2439" customWidth="1"/>
    <col min="15878" max="15878" width="18.7109375" style="2439" customWidth="1"/>
    <col min="15879" max="16129" width="9.140625" style="2439"/>
    <col min="16130" max="16130" width="14.140625" style="2439" customWidth="1"/>
    <col min="16131" max="16131" width="14.85546875" style="2439" customWidth="1"/>
    <col min="16132" max="16132" width="16" style="2439" customWidth="1"/>
    <col min="16133" max="16133" width="13.5703125" style="2439" customWidth="1"/>
    <col min="16134" max="16134" width="18.7109375" style="2439" customWidth="1"/>
    <col min="16135" max="16384" width="9.140625" style="2439"/>
  </cols>
  <sheetData>
    <row r="1" spans="1:7" ht="14.25" customHeight="1" x14ac:dyDescent="0.2">
      <c r="A1" s="2436" t="s">
        <v>4048</v>
      </c>
      <c r="B1" s="2437"/>
      <c r="C1" s="2437"/>
      <c r="D1" s="2437"/>
      <c r="E1" s="2437"/>
      <c r="F1" s="2437"/>
    </row>
    <row r="2" spans="1:7" ht="14.25" customHeight="1" thickBot="1" x14ac:dyDescent="0.25">
      <c r="A2" s="2436" t="s">
        <v>4049</v>
      </c>
      <c r="B2" s="2437"/>
      <c r="C2" s="2437"/>
      <c r="D2" s="2437"/>
      <c r="E2" s="2437"/>
      <c r="F2" s="2437"/>
    </row>
    <row r="3" spans="1:7" s="2446" customFormat="1" ht="29.25" customHeight="1" thickTop="1" x14ac:dyDescent="0.2">
      <c r="A3" s="2440"/>
      <c r="B3" s="2441" t="s">
        <v>4050</v>
      </c>
      <c r="C3" s="2442" t="s">
        <v>4051</v>
      </c>
      <c r="D3" s="2443" t="s">
        <v>3558</v>
      </c>
      <c r="E3" s="2442" t="s">
        <v>4052</v>
      </c>
      <c r="F3" s="2444" t="s">
        <v>4053</v>
      </c>
      <c r="G3" s="2445"/>
    </row>
    <row r="4" spans="1:7" s="2446" customFormat="1" ht="15" hidden="1" customHeight="1" x14ac:dyDescent="0.2">
      <c r="A4" s="2447">
        <v>40179</v>
      </c>
      <c r="B4" s="2448">
        <v>5914</v>
      </c>
      <c r="C4" s="2448" t="s">
        <v>664</v>
      </c>
      <c r="D4" s="2449">
        <v>1734</v>
      </c>
      <c r="E4" s="2448" t="s">
        <v>664</v>
      </c>
      <c r="F4" s="2450" t="s">
        <v>664</v>
      </c>
      <c r="G4" s="2445"/>
    </row>
    <row r="5" spans="1:7" ht="15" hidden="1" customHeight="1" x14ac:dyDescent="0.2">
      <c r="A5" s="2451">
        <v>40210</v>
      </c>
      <c r="B5" s="2452">
        <v>36283</v>
      </c>
      <c r="C5" s="2452" t="s">
        <v>664</v>
      </c>
      <c r="D5" s="2453" t="s">
        <v>664</v>
      </c>
      <c r="E5" s="2452" t="s">
        <v>664</v>
      </c>
      <c r="F5" s="2454" t="s">
        <v>664</v>
      </c>
      <c r="G5" s="2445"/>
    </row>
    <row r="6" spans="1:7" ht="15" hidden="1" customHeight="1" x14ac:dyDescent="0.2">
      <c r="A6" s="2451">
        <v>40238</v>
      </c>
      <c r="B6" s="2452">
        <v>5631262</v>
      </c>
      <c r="C6" s="2452">
        <v>2527</v>
      </c>
      <c r="D6" s="2453">
        <v>25135</v>
      </c>
      <c r="E6" s="2452" t="s">
        <v>664</v>
      </c>
      <c r="F6" s="2454" t="s">
        <v>664</v>
      </c>
      <c r="G6" s="2445"/>
    </row>
    <row r="7" spans="1:7" ht="15" hidden="1" customHeight="1" x14ac:dyDescent="0.2">
      <c r="A7" s="2451">
        <v>40269</v>
      </c>
      <c r="B7" s="2452">
        <v>261209</v>
      </c>
      <c r="C7" s="2452">
        <v>141027</v>
      </c>
      <c r="D7" s="2453">
        <v>285999</v>
      </c>
      <c r="E7" s="2452" t="s">
        <v>664</v>
      </c>
      <c r="F7" s="2454" t="s">
        <v>664</v>
      </c>
      <c r="G7" s="2445"/>
    </row>
    <row r="8" spans="1:7" ht="15" hidden="1" customHeight="1" x14ac:dyDescent="0.2">
      <c r="A8" s="2451">
        <v>40299</v>
      </c>
      <c r="B8" s="2452">
        <v>317114</v>
      </c>
      <c r="C8" s="2452">
        <v>1834</v>
      </c>
      <c r="D8" s="2453">
        <v>680</v>
      </c>
      <c r="E8" s="2452" t="s">
        <v>664</v>
      </c>
      <c r="F8" s="2454" t="s">
        <v>664</v>
      </c>
      <c r="G8" s="2445"/>
    </row>
    <row r="9" spans="1:7" ht="15" hidden="1" customHeight="1" x14ac:dyDescent="0.2">
      <c r="A9" s="2451">
        <v>40330</v>
      </c>
      <c r="B9" s="2452">
        <v>17493394</v>
      </c>
      <c r="C9" s="2452">
        <v>109726</v>
      </c>
      <c r="D9" s="2453">
        <v>737439</v>
      </c>
      <c r="E9" s="2452" t="s">
        <v>664</v>
      </c>
      <c r="F9" s="2454" t="s">
        <v>664</v>
      </c>
      <c r="G9" s="2445"/>
    </row>
    <row r="10" spans="1:7" ht="15" hidden="1" customHeight="1" x14ac:dyDescent="0.2">
      <c r="A10" s="2451">
        <v>40360</v>
      </c>
      <c r="B10" s="2452">
        <v>2123979</v>
      </c>
      <c r="C10" s="2452">
        <v>866</v>
      </c>
      <c r="D10" s="2453">
        <v>953488</v>
      </c>
      <c r="E10" s="2452" t="s">
        <v>664</v>
      </c>
      <c r="F10" s="2454" t="s">
        <v>664</v>
      </c>
      <c r="G10" s="2445"/>
    </row>
    <row r="11" spans="1:7" ht="15" hidden="1" customHeight="1" x14ac:dyDescent="0.2">
      <c r="A11" s="2451">
        <v>40391</v>
      </c>
      <c r="B11" s="2452">
        <v>595552</v>
      </c>
      <c r="C11" s="2452" t="s">
        <v>664</v>
      </c>
      <c r="D11" s="2453">
        <v>9358</v>
      </c>
      <c r="E11" s="2452" t="s">
        <v>664</v>
      </c>
      <c r="F11" s="2454" t="s">
        <v>664</v>
      </c>
      <c r="G11" s="2445"/>
    </row>
    <row r="12" spans="1:7" ht="15" hidden="1" customHeight="1" x14ac:dyDescent="0.2">
      <c r="A12" s="2451">
        <v>40422</v>
      </c>
      <c r="B12" s="2452">
        <v>11209868</v>
      </c>
      <c r="C12" s="2452">
        <v>132114</v>
      </c>
      <c r="D12" s="2453">
        <v>402628</v>
      </c>
      <c r="E12" s="2452" t="s">
        <v>664</v>
      </c>
      <c r="F12" s="2454" t="s">
        <v>664</v>
      </c>
      <c r="G12" s="2445"/>
    </row>
    <row r="13" spans="1:7" ht="15" hidden="1" customHeight="1" x14ac:dyDescent="0.2">
      <c r="A13" s="2451">
        <v>40452</v>
      </c>
      <c r="B13" s="2452">
        <v>1114121</v>
      </c>
      <c r="C13" s="2452">
        <v>159410</v>
      </c>
      <c r="D13" s="2453">
        <v>4540</v>
      </c>
      <c r="E13" s="2452" t="s">
        <v>664</v>
      </c>
      <c r="F13" s="2454" t="s">
        <v>664</v>
      </c>
      <c r="G13" s="2445"/>
    </row>
    <row r="14" spans="1:7" ht="15" hidden="1" customHeight="1" x14ac:dyDescent="0.2">
      <c r="A14" s="2451">
        <v>40483</v>
      </c>
      <c r="B14" s="2452">
        <v>798847</v>
      </c>
      <c r="C14" s="2452">
        <v>105</v>
      </c>
      <c r="D14" s="2453">
        <v>43355</v>
      </c>
      <c r="E14" s="2452" t="s">
        <v>664</v>
      </c>
      <c r="F14" s="2454" t="s">
        <v>664</v>
      </c>
      <c r="G14" s="2445"/>
    </row>
    <row r="15" spans="1:7" ht="15" hidden="1" customHeight="1" x14ac:dyDescent="0.2">
      <c r="A15" s="2451">
        <v>40522</v>
      </c>
      <c r="B15" s="2452">
        <v>12250666</v>
      </c>
      <c r="C15" s="2452">
        <v>228749</v>
      </c>
      <c r="D15" s="2453">
        <v>442063</v>
      </c>
      <c r="E15" s="2452" t="s">
        <v>664</v>
      </c>
      <c r="F15" s="2454" t="s">
        <v>664</v>
      </c>
      <c r="G15" s="2445"/>
    </row>
    <row r="16" spans="1:7" ht="15" hidden="1" customHeight="1" x14ac:dyDescent="0.2">
      <c r="A16" s="2451" t="s">
        <v>4054</v>
      </c>
      <c r="B16" s="2452">
        <v>42710761.229999997</v>
      </c>
      <c r="C16" s="2452">
        <v>20051764.09</v>
      </c>
      <c r="D16" s="2453">
        <v>85130197.120000005</v>
      </c>
      <c r="E16" s="2452" t="s">
        <v>664</v>
      </c>
      <c r="F16" s="2454" t="s">
        <v>664</v>
      </c>
      <c r="G16" s="2445"/>
    </row>
    <row r="17" spans="1:9" ht="15" hidden="1" customHeight="1" x14ac:dyDescent="0.2">
      <c r="A17" s="2451">
        <v>40575</v>
      </c>
      <c r="B17" s="2452">
        <v>123920650</v>
      </c>
      <c r="C17" s="2452">
        <v>32240708</v>
      </c>
      <c r="D17" s="2453">
        <v>123847523</v>
      </c>
      <c r="E17" s="2452" t="s">
        <v>664</v>
      </c>
      <c r="F17" s="2454" t="s">
        <v>664</v>
      </c>
      <c r="G17" s="2445"/>
    </row>
    <row r="18" spans="1:9" ht="15" hidden="1" customHeight="1" x14ac:dyDescent="0.2">
      <c r="A18" s="2451">
        <v>40603</v>
      </c>
      <c r="B18" s="2452">
        <v>99294349</v>
      </c>
      <c r="C18" s="2452">
        <v>25082461</v>
      </c>
      <c r="D18" s="2453">
        <v>222570228</v>
      </c>
      <c r="E18" s="2452" t="s">
        <v>664</v>
      </c>
      <c r="F18" s="2454" t="s">
        <v>664</v>
      </c>
      <c r="G18" s="2445"/>
    </row>
    <row r="19" spans="1:9" ht="15" hidden="1" customHeight="1" x14ac:dyDescent="0.2">
      <c r="A19" s="2455">
        <v>40634</v>
      </c>
      <c r="B19" s="2456">
        <v>29858403</v>
      </c>
      <c r="C19" s="2456">
        <v>3530757</v>
      </c>
      <c r="D19" s="2457">
        <v>88100029</v>
      </c>
      <c r="E19" s="2452" t="s">
        <v>664</v>
      </c>
      <c r="F19" s="2454" t="s">
        <v>664</v>
      </c>
      <c r="G19" s="2445"/>
    </row>
    <row r="20" spans="1:9" ht="15" hidden="1" customHeight="1" x14ac:dyDescent="0.2">
      <c r="A20" s="2451">
        <v>40664</v>
      </c>
      <c r="B20" s="2452">
        <v>97627671</v>
      </c>
      <c r="C20" s="2452">
        <v>7238224</v>
      </c>
      <c r="D20" s="2453">
        <v>63187907</v>
      </c>
      <c r="E20" s="2452" t="s">
        <v>664</v>
      </c>
      <c r="F20" s="2454" t="s">
        <v>664</v>
      </c>
      <c r="G20" s="2445"/>
    </row>
    <row r="21" spans="1:9" ht="15" hidden="1" customHeight="1" x14ac:dyDescent="0.2">
      <c r="A21" s="2458">
        <v>40695</v>
      </c>
      <c r="B21" s="2456">
        <v>243294149</v>
      </c>
      <c r="C21" s="2456">
        <v>6541718</v>
      </c>
      <c r="D21" s="2457">
        <v>175521436</v>
      </c>
      <c r="E21" s="2452" t="s">
        <v>664</v>
      </c>
      <c r="F21" s="2454" t="s">
        <v>664</v>
      </c>
      <c r="G21" s="2445"/>
    </row>
    <row r="22" spans="1:9" ht="15" hidden="1" customHeight="1" x14ac:dyDescent="0.2">
      <c r="A22" s="2458">
        <v>40725</v>
      </c>
      <c r="B22" s="2459">
        <v>95678196</v>
      </c>
      <c r="C22" s="2459">
        <v>41123886</v>
      </c>
      <c r="D22" s="2460">
        <v>87007348</v>
      </c>
      <c r="E22" s="2452" t="s">
        <v>664</v>
      </c>
      <c r="F22" s="2454" t="s">
        <v>664</v>
      </c>
      <c r="G22" s="2445"/>
    </row>
    <row r="23" spans="1:9" ht="15" hidden="1" customHeight="1" x14ac:dyDescent="0.2">
      <c r="A23" s="2458">
        <v>40756</v>
      </c>
      <c r="B23" s="2452">
        <v>56293259</v>
      </c>
      <c r="C23" s="2452">
        <v>10259906</v>
      </c>
      <c r="D23" s="2453">
        <v>5818117</v>
      </c>
      <c r="E23" s="2452" t="s">
        <v>664</v>
      </c>
      <c r="F23" s="2454" t="s">
        <v>664</v>
      </c>
      <c r="G23" s="2445"/>
    </row>
    <row r="24" spans="1:9" ht="15" hidden="1" customHeight="1" x14ac:dyDescent="0.2">
      <c r="A24" s="2451">
        <v>40787</v>
      </c>
      <c r="B24" s="2452">
        <v>154997328</v>
      </c>
      <c r="C24" s="2452">
        <v>49993959</v>
      </c>
      <c r="D24" s="2453">
        <v>65697275</v>
      </c>
      <c r="E24" s="2452" t="s">
        <v>664</v>
      </c>
      <c r="F24" s="2454" t="s">
        <v>664</v>
      </c>
      <c r="G24" s="2445"/>
    </row>
    <row r="25" spans="1:9" ht="15" hidden="1" customHeight="1" x14ac:dyDescent="0.2">
      <c r="A25" s="2455">
        <v>40817</v>
      </c>
      <c r="B25" s="2456">
        <v>118639609</v>
      </c>
      <c r="C25" s="2456">
        <v>147606114</v>
      </c>
      <c r="D25" s="2457">
        <v>12133244</v>
      </c>
      <c r="E25" s="2452" t="s">
        <v>664</v>
      </c>
      <c r="F25" s="2454" t="s">
        <v>664</v>
      </c>
      <c r="G25" s="2445"/>
    </row>
    <row r="26" spans="1:9" ht="15" hidden="1" customHeight="1" x14ac:dyDescent="0.2">
      <c r="A26" s="2458">
        <v>40848</v>
      </c>
      <c r="B26" s="2459">
        <v>110148458</v>
      </c>
      <c r="C26" s="2459">
        <v>118824093</v>
      </c>
      <c r="D26" s="2460">
        <v>54402021</v>
      </c>
      <c r="E26" s="2452" t="s">
        <v>664</v>
      </c>
      <c r="F26" s="2454" t="s">
        <v>664</v>
      </c>
      <c r="G26" s="2445"/>
    </row>
    <row r="27" spans="1:9" ht="15" hidden="1" customHeight="1" x14ac:dyDescent="0.2">
      <c r="A27" s="2458">
        <v>40878</v>
      </c>
      <c r="B27" s="2459">
        <v>218896482.87</v>
      </c>
      <c r="C27" s="2459">
        <v>109118764.59</v>
      </c>
      <c r="D27" s="2460">
        <v>101581718.31</v>
      </c>
      <c r="E27" s="2452" t="s">
        <v>664</v>
      </c>
      <c r="F27" s="2454" t="s">
        <v>664</v>
      </c>
      <c r="G27" s="2445"/>
    </row>
    <row r="28" spans="1:9" ht="18.600000000000001" hidden="1" customHeight="1" x14ac:dyDescent="0.2">
      <c r="A28" s="2427">
        <v>40909</v>
      </c>
      <c r="B28" s="2425">
        <v>67205197</v>
      </c>
      <c r="C28" s="2423">
        <v>86124266</v>
      </c>
      <c r="D28" s="2423">
        <v>130921956</v>
      </c>
      <c r="E28" s="2423" t="s">
        <v>664</v>
      </c>
      <c r="F28" s="2424" t="s">
        <v>664</v>
      </c>
      <c r="G28" s="2445"/>
    </row>
    <row r="29" spans="1:9" ht="18.600000000000001" hidden="1" customHeight="1" x14ac:dyDescent="0.2">
      <c r="A29" s="2427">
        <v>40940</v>
      </c>
      <c r="B29" s="2425">
        <v>63186761</v>
      </c>
      <c r="C29" s="2423">
        <v>18290075</v>
      </c>
      <c r="D29" s="2423">
        <v>156104652</v>
      </c>
      <c r="E29" s="2423" t="s">
        <v>664</v>
      </c>
      <c r="F29" s="2424" t="s">
        <v>664</v>
      </c>
      <c r="G29" s="2445"/>
    </row>
    <row r="30" spans="1:9" ht="18.600000000000001" hidden="1" customHeight="1" x14ac:dyDescent="0.2">
      <c r="A30" s="2427" t="s">
        <v>4055</v>
      </c>
      <c r="B30" s="2425">
        <v>77590526</v>
      </c>
      <c r="C30" s="2423">
        <v>4777455</v>
      </c>
      <c r="D30" s="2423">
        <v>193807221</v>
      </c>
      <c r="E30" s="2423">
        <v>202000</v>
      </c>
      <c r="F30" s="2424">
        <v>102000</v>
      </c>
      <c r="G30" s="2445"/>
    </row>
    <row r="31" spans="1:9" ht="18.600000000000001" hidden="1" customHeight="1" x14ac:dyDescent="0.2">
      <c r="A31" s="2427">
        <v>41000</v>
      </c>
      <c r="B31" s="2425">
        <v>89966108</v>
      </c>
      <c r="C31" s="2423">
        <v>4694300</v>
      </c>
      <c r="D31" s="2423">
        <v>22166126</v>
      </c>
      <c r="E31" s="2423" t="s">
        <v>664</v>
      </c>
      <c r="F31" s="2424">
        <v>20000</v>
      </c>
      <c r="G31" s="2445"/>
    </row>
    <row r="32" spans="1:9" ht="18.600000000000001" hidden="1" customHeight="1" x14ac:dyDescent="0.2">
      <c r="A32" s="2427">
        <v>41030</v>
      </c>
      <c r="B32" s="2425">
        <v>57865612</v>
      </c>
      <c r="C32" s="2423">
        <v>4537372</v>
      </c>
      <c r="D32" s="2423">
        <v>32092133</v>
      </c>
      <c r="E32" s="2423" t="s">
        <v>664</v>
      </c>
      <c r="F32" s="2424" t="s">
        <v>664</v>
      </c>
      <c r="G32" s="2445"/>
      <c r="I32" s="2461"/>
    </row>
    <row r="33" spans="1:11" ht="18.600000000000001" hidden="1" customHeight="1" x14ac:dyDescent="0.2">
      <c r="A33" s="2427">
        <v>41061</v>
      </c>
      <c r="B33" s="2425">
        <v>229005570</v>
      </c>
      <c r="C33" s="2423">
        <v>98201094</v>
      </c>
      <c r="D33" s="2423">
        <v>95352323</v>
      </c>
      <c r="E33" s="2423">
        <v>20000</v>
      </c>
      <c r="F33" s="2424">
        <v>200000</v>
      </c>
      <c r="G33" s="2445"/>
    </row>
    <row r="34" spans="1:11" ht="18.600000000000001" hidden="1" customHeight="1" x14ac:dyDescent="0.2">
      <c r="A34" s="2427">
        <v>41091</v>
      </c>
      <c r="B34" s="2425">
        <v>179729112</v>
      </c>
      <c r="C34" s="2423">
        <v>130501823</v>
      </c>
      <c r="D34" s="2423">
        <v>136179553</v>
      </c>
      <c r="E34" s="2423">
        <v>10000</v>
      </c>
      <c r="F34" s="2424">
        <v>50000</v>
      </c>
      <c r="G34" s="2445"/>
      <c r="K34" s="2461"/>
    </row>
    <row r="35" spans="1:11" ht="18.600000000000001" hidden="1" customHeight="1" x14ac:dyDescent="0.2">
      <c r="A35" s="2427">
        <v>41122</v>
      </c>
      <c r="B35" s="2422">
        <v>56293259</v>
      </c>
      <c r="C35" s="2423">
        <v>10259906</v>
      </c>
      <c r="D35" s="2423">
        <v>5818117</v>
      </c>
      <c r="E35" s="2423"/>
      <c r="F35" s="2426"/>
      <c r="G35" s="2445"/>
    </row>
    <row r="36" spans="1:11" ht="18.600000000000001" hidden="1" customHeight="1" x14ac:dyDescent="0.2">
      <c r="A36" s="2427">
        <v>41153</v>
      </c>
      <c r="B36" s="2428">
        <v>86502356</v>
      </c>
      <c r="C36" s="2423">
        <v>9571051</v>
      </c>
      <c r="D36" s="2423">
        <v>165668582</v>
      </c>
      <c r="E36" s="2423">
        <v>637161</v>
      </c>
      <c r="F36" s="2426">
        <v>18571203</v>
      </c>
      <c r="G36" s="2445"/>
    </row>
    <row r="37" spans="1:11" ht="18.600000000000001" hidden="1" customHeight="1" x14ac:dyDescent="0.2">
      <c r="A37" s="2427">
        <v>41183</v>
      </c>
      <c r="B37" s="2428">
        <v>159774119</v>
      </c>
      <c r="C37" s="2423">
        <v>18762159</v>
      </c>
      <c r="D37" s="2423">
        <v>9251408</v>
      </c>
      <c r="E37" s="2423">
        <v>2809135</v>
      </c>
      <c r="F37" s="2426">
        <v>15861760</v>
      </c>
      <c r="G37" s="2445"/>
    </row>
    <row r="38" spans="1:11" ht="18.600000000000001" hidden="1" customHeight="1" x14ac:dyDescent="0.2">
      <c r="A38" s="2427">
        <v>41214</v>
      </c>
      <c r="B38" s="2428">
        <v>177652454</v>
      </c>
      <c r="C38" s="2423">
        <v>5602096</v>
      </c>
      <c r="D38" s="2423">
        <v>139653634</v>
      </c>
      <c r="E38" s="2423">
        <v>416711</v>
      </c>
      <c r="F38" s="2426">
        <v>7245472</v>
      </c>
      <c r="G38" s="2445"/>
    </row>
    <row r="39" spans="1:11" ht="18.600000000000001" hidden="1" customHeight="1" x14ac:dyDescent="0.2">
      <c r="A39" s="2427">
        <v>41244</v>
      </c>
      <c r="B39" s="2428">
        <v>208473917</v>
      </c>
      <c r="C39" s="2423">
        <v>10945983</v>
      </c>
      <c r="D39" s="2423">
        <v>308800446</v>
      </c>
      <c r="E39" s="2423">
        <v>424096</v>
      </c>
      <c r="F39" s="2426">
        <v>53286689</v>
      </c>
      <c r="G39" s="2445"/>
    </row>
    <row r="40" spans="1:11" ht="18.600000000000001" customHeight="1" x14ac:dyDescent="0.2">
      <c r="A40" s="2427">
        <v>41275</v>
      </c>
      <c r="B40" s="2428">
        <v>187320502</v>
      </c>
      <c r="C40" s="2423">
        <v>14894644</v>
      </c>
      <c r="D40" s="2423">
        <v>181670798</v>
      </c>
      <c r="E40" s="2423">
        <v>402209</v>
      </c>
      <c r="F40" s="2426">
        <v>26155257</v>
      </c>
      <c r="G40" s="2445"/>
    </row>
    <row r="41" spans="1:11" ht="18.600000000000001" customHeight="1" x14ac:dyDescent="0.2">
      <c r="A41" s="2427">
        <v>41306</v>
      </c>
      <c r="B41" s="2428">
        <v>89250999</v>
      </c>
      <c r="C41" s="2423">
        <v>4249208</v>
      </c>
      <c r="D41" s="2423">
        <v>317103778</v>
      </c>
      <c r="E41" s="2423">
        <v>2400000</v>
      </c>
      <c r="F41" s="2426">
        <v>2865133</v>
      </c>
      <c r="G41" s="2445"/>
    </row>
    <row r="42" spans="1:11" ht="18.600000000000001" customHeight="1" x14ac:dyDescent="0.2">
      <c r="A42" s="2427">
        <v>41334</v>
      </c>
      <c r="B42" s="2423">
        <v>79364775</v>
      </c>
      <c r="C42" s="2423">
        <v>6184299</v>
      </c>
      <c r="D42" s="2423">
        <v>88541706</v>
      </c>
      <c r="E42" s="2423">
        <v>402000</v>
      </c>
      <c r="F42" s="2426">
        <v>11595668</v>
      </c>
      <c r="G42" s="2445"/>
    </row>
    <row r="43" spans="1:11" ht="18.600000000000001" customHeight="1" x14ac:dyDescent="0.2">
      <c r="A43" s="2427">
        <v>41365</v>
      </c>
      <c r="B43" s="2425">
        <v>213829538</v>
      </c>
      <c r="C43" s="2423">
        <v>5313120</v>
      </c>
      <c r="D43" s="2423">
        <v>107384937</v>
      </c>
      <c r="E43" s="2423">
        <v>421732</v>
      </c>
      <c r="F43" s="2426">
        <v>4660575</v>
      </c>
      <c r="G43" s="2445"/>
    </row>
    <row r="44" spans="1:11" ht="18.600000000000001" customHeight="1" x14ac:dyDescent="0.2">
      <c r="A44" s="2427">
        <v>41395</v>
      </c>
      <c r="B44" s="2425">
        <v>467253081</v>
      </c>
      <c r="C44" s="2423">
        <v>7400948</v>
      </c>
      <c r="D44" s="2423">
        <v>246091204</v>
      </c>
      <c r="E44" s="2423">
        <v>405142</v>
      </c>
      <c r="F44" s="2426">
        <v>6057182</v>
      </c>
      <c r="G44" s="2445"/>
    </row>
    <row r="45" spans="1:11" ht="18.600000000000001" customHeight="1" x14ac:dyDescent="0.2">
      <c r="A45" s="2427">
        <v>41426</v>
      </c>
      <c r="B45" s="2425">
        <v>209094945</v>
      </c>
      <c r="C45" s="2423">
        <v>7284420</v>
      </c>
      <c r="D45" s="2423">
        <v>138307816</v>
      </c>
      <c r="E45" s="2423">
        <v>2610095</v>
      </c>
      <c r="F45" s="2426">
        <v>18286302</v>
      </c>
      <c r="G45" s="2445"/>
    </row>
    <row r="46" spans="1:11" ht="18.600000000000001" customHeight="1" x14ac:dyDescent="0.2">
      <c r="A46" s="2427">
        <v>41456</v>
      </c>
      <c r="B46" s="2425">
        <v>773600367</v>
      </c>
      <c r="C46" s="2423">
        <v>49776804</v>
      </c>
      <c r="D46" s="2423">
        <v>340361721</v>
      </c>
      <c r="E46" s="2423">
        <v>3189927</v>
      </c>
      <c r="F46" s="2426">
        <v>10727872</v>
      </c>
      <c r="G46" s="2445"/>
    </row>
    <row r="47" spans="1:11" ht="18.600000000000001" customHeight="1" x14ac:dyDescent="0.2">
      <c r="A47" s="2427">
        <v>41487</v>
      </c>
      <c r="B47" s="2425">
        <v>92768349</v>
      </c>
      <c r="C47" s="2423">
        <v>14132965</v>
      </c>
      <c r="D47" s="2423">
        <v>34393677</v>
      </c>
      <c r="E47" s="2423">
        <v>4640560</v>
      </c>
      <c r="F47" s="2426">
        <v>8783081</v>
      </c>
      <c r="G47" s="2445"/>
    </row>
    <row r="48" spans="1:11" ht="18.600000000000001" customHeight="1" x14ac:dyDescent="0.2">
      <c r="A48" s="2427">
        <v>41518</v>
      </c>
      <c r="B48" s="2425">
        <v>163124527</v>
      </c>
      <c r="C48" s="2423">
        <v>10164981</v>
      </c>
      <c r="D48" s="2423">
        <v>86374122</v>
      </c>
      <c r="E48" s="2423">
        <v>4369129</v>
      </c>
      <c r="F48" s="2426">
        <v>10320463</v>
      </c>
      <c r="G48" s="2445"/>
    </row>
    <row r="49" spans="1:7" ht="18.600000000000001" customHeight="1" x14ac:dyDescent="0.2">
      <c r="A49" s="2429">
        <v>41548</v>
      </c>
      <c r="B49" s="2422">
        <v>96938430</v>
      </c>
      <c r="C49" s="2423">
        <v>4773380</v>
      </c>
      <c r="D49" s="2428">
        <v>9620516</v>
      </c>
      <c r="E49" s="2423">
        <v>205099</v>
      </c>
      <c r="F49" s="2424">
        <v>1976160</v>
      </c>
      <c r="G49" s="2445"/>
    </row>
    <row r="50" spans="1:7" ht="18.600000000000001" customHeight="1" x14ac:dyDescent="0.2">
      <c r="A50" s="2427">
        <v>41579</v>
      </c>
      <c r="B50" s="2425">
        <v>122406723</v>
      </c>
      <c r="C50" s="2423">
        <v>20344755</v>
      </c>
      <c r="D50" s="2423">
        <v>71856798</v>
      </c>
      <c r="E50" s="2423">
        <v>301274</v>
      </c>
      <c r="F50" s="2426">
        <v>2735985</v>
      </c>
      <c r="G50" s="2445"/>
    </row>
    <row r="51" spans="1:7" ht="18.600000000000001" customHeight="1" x14ac:dyDescent="0.2">
      <c r="A51" s="2427">
        <v>41609</v>
      </c>
      <c r="B51" s="2425">
        <v>197454964</v>
      </c>
      <c r="C51" s="2423">
        <v>19022130</v>
      </c>
      <c r="D51" s="2423">
        <v>117843309</v>
      </c>
      <c r="E51" s="2423">
        <v>766965</v>
      </c>
      <c r="F51" s="2426">
        <v>13104246</v>
      </c>
      <c r="G51" s="2445"/>
    </row>
    <row r="52" spans="1:7" ht="18.600000000000001" customHeight="1" x14ac:dyDescent="0.2">
      <c r="A52" s="2427">
        <v>41640</v>
      </c>
      <c r="B52" s="2425">
        <v>42429002</v>
      </c>
      <c r="C52" s="2423">
        <v>359113</v>
      </c>
      <c r="D52" s="2423">
        <v>63003683</v>
      </c>
      <c r="E52" s="2423">
        <v>18319</v>
      </c>
      <c r="F52" s="2426">
        <v>455997</v>
      </c>
      <c r="G52" s="2445"/>
    </row>
    <row r="53" spans="1:7" ht="18.600000000000001" customHeight="1" x14ac:dyDescent="0.2">
      <c r="A53" s="2427">
        <v>41671</v>
      </c>
      <c r="B53" s="2425">
        <v>212162066</v>
      </c>
      <c r="C53" s="2423">
        <v>655537</v>
      </c>
      <c r="D53" s="2423">
        <v>33810009</v>
      </c>
      <c r="E53" s="2423" t="s">
        <v>664</v>
      </c>
      <c r="F53" s="2426">
        <v>1776907</v>
      </c>
      <c r="G53" s="2445"/>
    </row>
    <row r="54" spans="1:7" ht="18.600000000000001" customHeight="1" x14ac:dyDescent="0.2">
      <c r="A54" s="2427">
        <v>41699</v>
      </c>
      <c r="B54" s="2425">
        <v>89557336</v>
      </c>
      <c r="C54" s="2423">
        <v>48922059</v>
      </c>
      <c r="D54" s="2423">
        <v>25720678</v>
      </c>
      <c r="E54" s="2423">
        <v>19485</v>
      </c>
      <c r="F54" s="2426">
        <v>4669867</v>
      </c>
      <c r="G54" s="2445"/>
    </row>
    <row r="55" spans="1:7" ht="18.600000000000001" customHeight="1" x14ac:dyDescent="0.2">
      <c r="A55" s="2427">
        <v>41730</v>
      </c>
      <c r="B55" s="2425">
        <v>143133760</v>
      </c>
      <c r="C55" s="2423">
        <v>16686333</v>
      </c>
      <c r="D55" s="2423">
        <v>50286992</v>
      </c>
      <c r="E55" s="2423">
        <v>2214911</v>
      </c>
      <c r="F55" s="2426">
        <v>5903540</v>
      </c>
      <c r="G55" s="2445"/>
    </row>
    <row r="56" spans="1:7" ht="18.600000000000001" customHeight="1" x14ac:dyDescent="0.2">
      <c r="A56" s="2427">
        <v>41760</v>
      </c>
      <c r="B56" s="2425">
        <v>29430452</v>
      </c>
      <c r="C56" s="2423">
        <v>2158982</v>
      </c>
      <c r="D56" s="2423">
        <v>7260734</v>
      </c>
      <c r="E56" s="2423" t="s">
        <v>664</v>
      </c>
      <c r="F56" s="2426">
        <v>1630073</v>
      </c>
      <c r="G56" s="2445"/>
    </row>
    <row r="57" spans="1:7" ht="18.600000000000001" customHeight="1" x14ac:dyDescent="0.2">
      <c r="A57" s="2427">
        <v>41791</v>
      </c>
      <c r="B57" s="2425">
        <v>164953999</v>
      </c>
      <c r="C57" s="2423">
        <v>10080334</v>
      </c>
      <c r="D57" s="2423">
        <v>34713653</v>
      </c>
      <c r="E57" s="2423">
        <v>4146</v>
      </c>
      <c r="F57" s="2426">
        <v>12204585</v>
      </c>
      <c r="G57" s="2445"/>
    </row>
    <row r="58" spans="1:7" ht="18.600000000000001" customHeight="1" x14ac:dyDescent="0.2">
      <c r="A58" s="2427">
        <v>41821</v>
      </c>
      <c r="B58" s="2425">
        <v>112953390</v>
      </c>
      <c r="C58" s="2423">
        <v>3273468</v>
      </c>
      <c r="D58" s="2423">
        <v>26500771</v>
      </c>
      <c r="E58" s="2423">
        <v>15033</v>
      </c>
      <c r="F58" s="2426">
        <v>20267800</v>
      </c>
      <c r="G58" s="2445"/>
    </row>
    <row r="59" spans="1:7" ht="18.600000000000001" customHeight="1" x14ac:dyDescent="0.2">
      <c r="A59" s="2427">
        <v>41852</v>
      </c>
      <c r="B59" s="2425">
        <v>80015746</v>
      </c>
      <c r="C59" s="2423">
        <v>5443375</v>
      </c>
      <c r="D59" s="2423">
        <v>46418277</v>
      </c>
      <c r="E59" s="2423">
        <v>599268</v>
      </c>
      <c r="F59" s="2426">
        <v>2785137</v>
      </c>
      <c r="G59" s="2445"/>
    </row>
    <row r="60" spans="1:7" ht="18.600000000000001" customHeight="1" x14ac:dyDescent="0.2">
      <c r="A60" s="2427">
        <v>41883</v>
      </c>
      <c r="B60" s="2425">
        <v>246405564</v>
      </c>
      <c r="C60" s="2423">
        <v>11457692</v>
      </c>
      <c r="D60" s="2423">
        <v>19283464</v>
      </c>
      <c r="E60" s="2423">
        <v>335131</v>
      </c>
      <c r="F60" s="2426">
        <v>41571231</v>
      </c>
      <c r="G60" s="2445"/>
    </row>
    <row r="61" spans="1:7" ht="18.600000000000001" customHeight="1" x14ac:dyDescent="0.2">
      <c r="A61" s="2427">
        <v>41913</v>
      </c>
      <c r="B61" s="2425">
        <v>102047802</v>
      </c>
      <c r="C61" s="2423">
        <v>1757577</v>
      </c>
      <c r="D61" s="2423">
        <v>67003839</v>
      </c>
      <c r="E61" s="2423">
        <v>212891</v>
      </c>
      <c r="F61" s="2426">
        <v>2307064</v>
      </c>
      <c r="G61" s="2445"/>
    </row>
    <row r="62" spans="1:7" ht="18.600000000000001" customHeight="1" x14ac:dyDescent="0.2">
      <c r="A62" s="2427">
        <v>41944</v>
      </c>
      <c r="B62" s="2425">
        <v>98164090</v>
      </c>
      <c r="C62" s="2423">
        <v>2960701</v>
      </c>
      <c r="D62" s="2423">
        <v>16744927</v>
      </c>
      <c r="E62" s="2423">
        <v>302359</v>
      </c>
      <c r="F62" s="2426">
        <v>4165577</v>
      </c>
      <c r="G62" s="2445"/>
    </row>
    <row r="63" spans="1:7" ht="18.600000000000001" customHeight="1" x14ac:dyDescent="0.2">
      <c r="A63" s="2427">
        <v>41974</v>
      </c>
      <c r="B63" s="2425">
        <v>164781840</v>
      </c>
      <c r="C63" s="2423">
        <v>10189772</v>
      </c>
      <c r="D63" s="2423">
        <v>105170761</v>
      </c>
      <c r="E63" s="2423">
        <v>503993</v>
      </c>
      <c r="F63" s="2426">
        <v>10065276</v>
      </c>
      <c r="G63" s="2445"/>
    </row>
    <row r="64" spans="1:7" ht="18.600000000000001" customHeight="1" x14ac:dyDescent="0.2">
      <c r="A64" s="2427">
        <v>42005</v>
      </c>
      <c r="B64" s="2425">
        <v>43965291</v>
      </c>
      <c r="C64" s="2423">
        <v>9259452</v>
      </c>
      <c r="D64" s="2423">
        <v>10908494</v>
      </c>
      <c r="E64" s="2423">
        <v>1718</v>
      </c>
      <c r="F64" s="2426">
        <v>5009398</v>
      </c>
      <c r="G64" s="2445"/>
    </row>
    <row r="65" spans="1:7" ht="18.600000000000001" customHeight="1" x14ac:dyDescent="0.2">
      <c r="A65" s="2427">
        <v>42036</v>
      </c>
      <c r="B65" s="2425">
        <v>55482645</v>
      </c>
      <c r="C65" s="2423">
        <v>6516572</v>
      </c>
      <c r="D65" s="2423">
        <v>69702212</v>
      </c>
      <c r="E65" s="2423">
        <v>2000</v>
      </c>
      <c r="F65" s="2426">
        <v>891782</v>
      </c>
      <c r="G65" s="2445"/>
    </row>
    <row r="66" spans="1:7" ht="18.600000000000001" customHeight="1" x14ac:dyDescent="0.2">
      <c r="A66" s="2427">
        <v>42064</v>
      </c>
      <c r="B66" s="2425">
        <v>681783884</v>
      </c>
      <c r="C66" s="2423">
        <v>52389677</v>
      </c>
      <c r="D66" s="2423">
        <v>86235761</v>
      </c>
      <c r="E66" s="2423">
        <v>2630567</v>
      </c>
      <c r="F66" s="2426">
        <v>27887906</v>
      </c>
      <c r="G66" s="2445"/>
    </row>
    <row r="67" spans="1:7" ht="18.600000000000001" customHeight="1" x14ac:dyDescent="0.2">
      <c r="A67" s="2427">
        <v>42095</v>
      </c>
      <c r="B67" s="2425">
        <v>56695403</v>
      </c>
      <c r="C67" s="2423">
        <v>24361080</v>
      </c>
      <c r="D67" s="2423">
        <v>27538571</v>
      </c>
      <c r="E67" s="2423">
        <v>404764</v>
      </c>
      <c r="F67" s="2426">
        <v>710782</v>
      </c>
      <c r="G67" s="2445"/>
    </row>
    <row r="68" spans="1:7" ht="18.600000000000001" customHeight="1" x14ac:dyDescent="0.2">
      <c r="A68" s="2427">
        <v>42125</v>
      </c>
      <c r="B68" s="2425">
        <v>59362533</v>
      </c>
      <c r="C68" s="2423">
        <v>21463277</v>
      </c>
      <c r="D68" s="2423">
        <v>13871059</v>
      </c>
      <c r="E68" s="2423">
        <v>415489</v>
      </c>
      <c r="F68" s="2426">
        <v>6133321</v>
      </c>
      <c r="G68" s="2445"/>
    </row>
    <row r="69" spans="1:7" ht="18.600000000000001" customHeight="1" x14ac:dyDescent="0.2">
      <c r="A69" s="2427">
        <v>42156</v>
      </c>
      <c r="B69" s="2425">
        <v>340915995</v>
      </c>
      <c r="C69" s="2423">
        <v>9458134</v>
      </c>
      <c r="D69" s="2423">
        <v>78990387</v>
      </c>
      <c r="E69" s="2423">
        <v>404484</v>
      </c>
      <c r="F69" s="2426">
        <v>19210750</v>
      </c>
      <c r="G69" s="2445"/>
    </row>
    <row r="70" spans="1:7" ht="18.600000000000001" customHeight="1" x14ac:dyDescent="0.2">
      <c r="A70" s="2427">
        <v>42186</v>
      </c>
      <c r="B70" s="2425">
        <v>609776072</v>
      </c>
      <c r="C70" s="2423">
        <v>2801482</v>
      </c>
      <c r="D70" s="2423">
        <v>81747801</v>
      </c>
      <c r="E70" s="2423">
        <v>404769</v>
      </c>
      <c r="F70" s="2426">
        <v>2579895</v>
      </c>
      <c r="G70" s="2445"/>
    </row>
    <row r="71" spans="1:7" ht="18.600000000000001" customHeight="1" x14ac:dyDescent="0.2">
      <c r="A71" s="2427">
        <v>42217</v>
      </c>
      <c r="B71" s="2425">
        <v>136898870</v>
      </c>
      <c r="C71" s="2423">
        <v>5388175</v>
      </c>
      <c r="D71" s="2423">
        <v>9428930</v>
      </c>
      <c r="E71" s="2423">
        <v>408694</v>
      </c>
      <c r="F71" s="2426">
        <v>1257135</v>
      </c>
      <c r="G71" s="2445"/>
    </row>
    <row r="72" spans="1:7" ht="18.600000000000001" customHeight="1" x14ac:dyDescent="0.2">
      <c r="A72" s="2427">
        <v>42248</v>
      </c>
      <c r="B72" s="2425">
        <v>252217891</v>
      </c>
      <c r="C72" s="2423">
        <v>37127936</v>
      </c>
      <c r="D72" s="2423">
        <v>24523853</v>
      </c>
      <c r="E72" s="2423">
        <v>425062</v>
      </c>
      <c r="F72" s="2426">
        <v>51490311</v>
      </c>
      <c r="G72" s="2445"/>
    </row>
    <row r="73" spans="1:7" ht="18.600000000000001" customHeight="1" x14ac:dyDescent="0.2">
      <c r="A73" s="2427">
        <v>42278</v>
      </c>
      <c r="B73" s="2425">
        <v>68864369</v>
      </c>
      <c r="C73" s="2423">
        <v>5502996</v>
      </c>
      <c r="D73" s="2423">
        <v>7384218</v>
      </c>
      <c r="E73" s="2423">
        <v>715434</v>
      </c>
      <c r="F73" s="2426">
        <v>8174770</v>
      </c>
      <c r="G73" s="2445"/>
    </row>
    <row r="74" spans="1:7" ht="18.600000000000001" customHeight="1" x14ac:dyDescent="0.2">
      <c r="A74" s="2427">
        <v>42309</v>
      </c>
      <c r="B74" s="2425">
        <v>104955815</v>
      </c>
      <c r="C74" s="2423">
        <v>6983788</v>
      </c>
      <c r="D74" s="2423">
        <v>8428491</v>
      </c>
      <c r="E74" s="2423">
        <v>240076</v>
      </c>
      <c r="F74" s="2426">
        <v>2635640</v>
      </c>
      <c r="G74" s="2445"/>
    </row>
    <row r="75" spans="1:7" ht="18.600000000000001" customHeight="1" x14ac:dyDescent="0.2">
      <c r="A75" s="2427">
        <v>42339</v>
      </c>
      <c r="B75" s="2425">
        <v>226086488</v>
      </c>
      <c r="C75" s="2423">
        <v>6750636</v>
      </c>
      <c r="D75" s="2423">
        <v>64318486</v>
      </c>
      <c r="E75" s="2423">
        <v>497822</v>
      </c>
      <c r="F75" s="2426">
        <v>70731889</v>
      </c>
      <c r="G75" s="2445"/>
    </row>
    <row r="76" spans="1:7" ht="18.600000000000001" customHeight="1" x14ac:dyDescent="0.2">
      <c r="A76" s="2427">
        <v>42370</v>
      </c>
      <c r="B76" s="2425">
        <v>90431920</v>
      </c>
      <c r="C76" s="2423">
        <v>6689813</v>
      </c>
      <c r="D76" s="2423">
        <v>15640251</v>
      </c>
      <c r="E76" s="2423">
        <v>20</v>
      </c>
      <c r="F76" s="2426">
        <v>16520571</v>
      </c>
      <c r="G76" s="2445"/>
    </row>
    <row r="77" spans="1:7" ht="18.600000000000001" customHeight="1" x14ac:dyDescent="0.2">
      <c r="A77" s="2427">
        <v>42401</v>
      </c>
      <c r="B77" s="2425">
        <v>84577616</v>
      </c>
      <c r="C77" s="2423">
        <v>12510435</v>
      </c>
      <c r="D77" s="2423">
        <v>7158729</v>
      </c>
      <c r="E77" s="2423">
        <v>219977</v>
      </c>
      <c r="F77" s="2426">
        <v>3863514</v>
      </c>
      <c r="G77" s="2445"/>
    </row>
    <row r="78" spans="1:7" ht="18.600000000000001" customHeight="1" x14ac:dyDescent="0.2">
      <c r="A78" s="2427">
        <v>42430</v>
      </c>
      <c r="B78" s="2425">
        <v>118029189</v>
      </c>
      <c r="C78" s="2423">
        <v>14938010</v>
      </c>
      <c r="D78" s="2423">
        <v>340279334</v>
      </c>
      <c r="E78" s="2423">
        <v>479531</v>
      </c>
      <c r="F78" s="2426">
        <v>15006287</v>
      </c>
      <c r="G78" s="2445"/>
    </row>
    <row r="79" spans="1:7" ht="18.600000000000001" customHeight="1" x14ac:dyDescent="0.2">
      <c r="A79" s="2427">
        <v>42461</v>
      </c>
      <c r="B79" s="2425">
        <v>51058957</v>
      </c>
      <c r="C79" s="2423">
        <v>5676433</v>
      </c>
      <c r="D79" s="2423">
        <v>6823971</v>
      </c>
      <c r="E79" s="2423">
        <v>412383</v>
      </c>
      <c r="F79" s="2426">
        <v>12586705</v>
      </c>
      <c r="G79" s="2445"/>
    </row>
    <row r="80" spans="1:7" ht="18.600000000000001" customHeight="1" thickBot="1" x14ac:dyDescent="0.25">
      <c r="A80" s="2430">
        <v>42491</v>
      </c>
      <c r="B80" s="2431">
        <v>87171022</v>
      </c>
      <c r="C80" s="2432">
        <v>6574265</v>
      </c>
      <c r="D80" s="2432">
        <v>7603650</v>
      </c>
      <c r="E80" s="2432">
        <v>402110</v>
      </c>
      <c r="F80" s="2433">
        <v>4059033</v>
      </c>
      <c r="G80" s="2445"/>
    </row>
    <row r="81" spans="1:7" ht="17.25" customHeight="1" thickTop="1" x14ac:dyDescent="0.2">
      <c r="A81" s="2462" t="s">
        <v>1394</v>
      </c>
      <c r="B81" s="2439"/>
      <c r="C81" s="2439"/>
      <c r="D81" s="2439"/>
      <c r="E81" s="2439"/>
      <c r="F81" s="2439"/>
      <c r="G81" s="2439"/>
    </row>
    <row r="82" spans="1:7" ht="15.95" customHeight="1" x14ac:dyDescent="0.2">
      <c r="A82" s="2463" t="s">
        <v>4056</v>
      </c>
    </row>
    <row r="83" spans="1:7" ht="15.95" customHeight="1" x14ac:dyDescent="0.2">
      <c r="A83" s="2464"/>
    </row>
    <row r="85" spans="1:7" x14ac:dyDescent="0.2">
      <c r="G85" s="2465"/>
    </row>
  </sheetData>
  <printOptions horizontalCentered="1"/>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3095"/>
  <sheetViews>
    <sheetView zoomScale="130" zoomScaleNormal="130" zoomScaleSheetLayoutView="90" workbookViewId="0">
      <selection activeCell="H149" sqref="A1:H149"/>
    </sheetView>
  </sheetViews>
  <sheetFormatPr defaultRowHeight="12.75" x14ac:dyDescent="0.2"/>
  <cols>
    <col min="1" max="1" width="42.140625" style="339" customWidth="1"/>
    <col min="2" max="2" width="13.85546875" style="339" bestFit="1" customWidth="1"/>
    <col min="3" max="3" width="11.140625" style="339" bestFit="1" customWidth="1"/>
    <col min="4" max="4" width="14.85546875" style="339" customWidth="1"/>
    <col min="5" max="5" width="12.7109375" style="339" customWidth="1"/>
    <col min="6" max="6" width="10.42578125" style="339" customWidth="1"/>
    <col min="7" max="7" width="14.5703125" style="339" customWidth="1"/>
    <col min="8" max="8" width="10.5703125" style="339" customWidth="1"/>
    <col min="9" max="9" width="17" style="339" hidden="1" customWidth="1"/>
    <col min="10" max="10" width="0" style="339" hidden="1" customWidth="1"/>
    <col min="11" max="16384" width="9.140625" style="339"/>
  </cols>
  <sheetData>
    <row r="1" spans="1:13" s="494" customFormat="1" ht="15.75" x14ac:dyDescent="0.25">
      <c r="A1" s="3023" t="s">
        <v>261</v>
      </c>
      <c r="B1" s="528"/>
      <c r="C1" s="528"/>
      <c r="D1" s="528"/>
      <c r="E1" s="528"/>
      <c r="F1" s="528"/>
      <c r="G1" s="528"/>
      <c r="H1" s="528"/>
    </row>
    <row r="2" spans="1:13" ht="13.5" thickBot="1" x14ac:dyDescent="0.25">
      <c r="A2" s="338"/>
      <c r="B2" s="340"/>
      <c r="C2" s="340"/>
      <c r="D2" s="340"/>
      <c r="E2" s="340"/>
      <c r="F2" s="340"/>
      <c r="G2" s="340"/>
      <c r="H2" s="341" t="s">
        <v>73</v>
      </c>
    </row>
    <row r="3" spans="1:13" ht="13.5" customHeight="1" thickTop="1" x14ac:dyDescent="0.2">
      <c r="A3" s="342" t="s">
        <v>262</v>
      </c>
      <c r="B3" s="342" t="s">
        <v>263</v>
      </c>
      <c r="C3" s="342" t="s">
        <v>63</v>
      </c>
      <c r="D3" s="342" t="s">
        <v>264</v>
      </c>
      <c r="E3" s="342" t="s">
        <v>264</v>
      </c>
      <c r="F3" s="342" t="s">
        <v>265</v>
      </c>
      <c r="G3" s="342" t="s">
        <v>266</v>
      </c>
      <c r="H3" s="342" t="s">
        <v>246</v>
      </c>
    </row>
    <row r="4" spans="1:13" x14ac:dyDescent="0.2">
      <c r="A4" s="343"/>
      <c r="B4" s="343"/>
      <c r="C4" s="343"/>
      <c r="D4" s="343" t="s">
        <v>267</v>
      </c>
      <c r="E4" s="343" t="s">
        <v>268</v>
      </c>
      <c r="F4" s="343" t="s">
        <v>269</v>
      </c>
      <c r="G4" s="343" t="s">
        <v>270</v>
      </c>
      <c r="H4" s="343"/>
    </row>
    <row r="5" spans="1:13" ht="13.5" thickBot="1" x14ac:dyDescent="0.25">
      <c r="A5" s="344"/>
      <c r="B5" s="344"/>
      <c r="C5" s="344"/>
      <c r="D5" s="344" t="s">
        <v>271</v>
      </c>
      <c r="E5" s="344"/>
      <c r="F5" s="344" t="s">
        <v>63</v>
      </c>
      <c r="G5" s="344" t="s">
        <v>272</v>
      </c>
      <c r="H5" s="344"/>
    </row>
    <row r="6" spans="1:13" ht="13.5" thickTop="1" x14ac:dyDescent="0.2">
      <c r="A6" s="345"/>
      <c r="B6" s="346"/>
      <c r="C6" s="347"/>
      <c r="D6" s="347"/>
      <c r="E6" s="347"/>
      <c r="F6" s="347"/>
      <c r="G6" s="347"/>
      <c r="H6" s="348"/>
    </row>
    <row r="7" spans="1:13" x14ac:dyDescent="0.2">
      <c r="A7" s="349" t="s">
        <v>273</v>
      </c>
      <c r="B7" s="350">
        <v>3541.6496371940234</v>
      </c>
      <c r="C7" s="351">
        <v>13953.408412569057</v>
      </c>
      <c r="D7" s="351">
        <v>7.3104000000000002E-2</v>
      </c>
      <c r="E7" s="351">
        <v>58.495066000000001</v>
      </c>
      <c r="F7" s="351">
        <v>3491.0109071748884</v>
      </c>
      <c r="G7" s="351">
        <v>834.70886129999997</v>
      </c>
      <c r="H7" s="352">
        <v>21879.345988237968</v>
      </c>
      <c r="I7" s="353">
        <v>0</v>
      </c>
      <c r="J7" s="353">
        <v>-806.13680955738164</v>
      </c>
      <c r="K7" s="353"/>
      <c r="L7" s="353"/>
    </row>
    <row r="8" spans="1:13" x14ac:dyDescent="0.2">
      <c r="A8" s="354" t="s">
        <v>274</v>
      </c>
      <c r="B8" s="350"/>
      <c r="C8" s="351"/>
      <c r="D8" s="351"/>
      <c r="E8" s="351"/>
      <c r="F8" s="351"/>
      <c r="G8" s="351"/>
      <c r="H8" s="355"/>
      <c r="I8" s="353"/>
      <c r="J8" s="353"/>
      <c r="K8" s="353"/>
      <c r="L8" s="353"/>
    </row>
    <row r="9" spans="1:13" x14ac:dyDescent="0.2">
      <c r="A9" s="356" t="s">
        <v>275</v>
      </c>
      <c r="B9" s="357">
        <v>1445.52243843</v>
      </c>
      <c r="C9" s="358">
        <v>7948.2279140099999</v>
      </c>
      <c r="D9" s="358">
        <v>0</v>
      </c>
      <c r="E9" s="358">
        <v>0</v>
      </c>
      <c r="F9" s="358">
        <v>1338.19490748</v>
      </c>
      <c r="G9" s="358">
        <v>309.1160003</v>
      </c>
      <c r="H9" s="359">
        <v>11041.06126022</v>
      </c>
      <c r="I9" s="353">
        <v>0</v>
      </c>
      <c r="J9" s="353">
        <v>0</v>
      </c>
      <c r="K9" s="353"/>
      <c r="L9" s="353"/>
    </row>
    <row r="10" spans="1:13" x14ac:dyDescent="0.2">
      <c r="A10" s="356" t="s">
        <v>276</v>
      </c>
      <c r="B10" s="357">
        <v>614.63047432000008</v>
      </c>
      <c r="C10" s="358">
        <v>1327.0105034600001</v>
      </c>
      <c r="D10" s="358">
        <v>0</v>
      </c>
      <c r="E10" s="358">
        <v>0</v>
      </c>
      <c r="F10" s="358">
        <v>491.80134861930003</v>
      </c>
      <c r="G10" s="358">
        <v>500</v>
      </c>
      <c r="H10" s="359">
        <v>2933.4423263993003</v>
      </c>
      <c r="I10" s="353">
        <v>0</v>
      </c>
      <c r="J10" s="353">
        <v>0</v>
      </c>
      <c r="K10" s="353"/>
      <c r="L10" s="353"/>
      <c r="M10" s="353"/>
    </row>
    <row r="11" spans="1:13" x14ac:dyDescent="0.2">
      <c r="A11" s="356" t="s">
        <v>277</v>
      </c>
      <c r="B11" s="357">
        <v>7.157438</v>
      </c>
      <c r="C11" s="358">
        <v>3.1869614400000001</v>
      </c>
      <c r="D11" s="358">
        <v>0</v>
      </c>
      <c r="E11" s="358">
        <v>4.2545929999999998</v>
      </c>
      <c r="F11" s="358">
        <v>1.6723999999999999E-2</v>
      </c>
      <c r="G11" s="358">
        <v>0</v>
      </c>
      <c r="H11" s="359">
        <v>14.61571644</v>
      </c>
      <c r="I11" s="353">
        <v>0</v>
      </c>
      <c r="J11" s="353">
        <v>0</v>
      </c>
      <c r="K11" s="353"/>
      <c r="L11" s="353"/>
      <c r="M11" s="353"/>
    </row>
    <row r="12" spans="1:13" x14ac:dyDescent="0.2">
      <c r="A12" s="356" t="s">
        <v>278</v>
      </c>
      <c r="B12" s="357">
        <v>0</v>
      </c>
      <c r="C12" s="358">
        <v>0.17242745000000001</v>
      </c>
      <c r="D12" s="358">
        <v>0</v>
      </c>
      <c r="E12" s="358">
        <v>0</v>
      </c>
      <c r="F12" s="358">
        <v>0</v>
      </c>
      <c r="G12" s="358">
        <v>0</v>
      </c>
      <c r="H12" s="359">
        <v>0.17242745000000001</v>
      </c>
      <c r="I12" s="353">
        <v>0</v>
      </c>
      <c r="J12" s="353">
        <v>0</v>
      </c>
      <c r="K12" s="353"/>
      <c r="L12" s="353"/>
      <c r="M12" s="353"/>
    </row>
    <row r="13" spans="1:13" x14ac:dyDescent="0.2">
      <c r="A13" s="356" t="s">
        <v>279</v>
      </c>
      <c r="B13" s="357">
        <v>741.85452162477441</v>
      </c>
      <c r="C13" s="358">
        <v>1947.9993380737239</v>
      </c>
      <c r="D13" s="358">
        <v>0</v>
      </c>
      <c r="E13" s="358">
        <v>0</v>
      </c>
      <c r="F13" s="358">
        <v>217.72588915</v>
      </c>
      <c r="G13" s="358">
        <v>25.592860999999999</v>
      </c>
      <c r="H13" s="359">
        <v>2933.1726098484983</v>
      </c>
      <c r="I13" s="353">
        <v>0</v>
      </c>
      <c r="J13" s="353">
        <v>0</v>
      </c>
      <c r="K13" s="353"/>
      <c r="L13" s="353"/>
      <c r="M13" s="353"/>
    </row>
    <row r="14" spans="1:13" x14ac:dyDescent="0.2">
      <c r="A14" s="356" t="s">
        <v>280</v>
      </c>
      <c r="B14" s="357">
        <v>21.059260442771002</v>
      </c>
      <c r="C14" s="358">
        <v>83.894228375285508</v>
      </c>
      <c r="D14" s="358">
        <v>0</v>
      </c>
      <c r="E14" s="358">
        <v>5.0441700000000003</v>
      </c>
      <c r="F14" s="358">
        <v>6.4859999999999996E-3</v>
      </c>
      <c r="G14" s="358">
        <v>0</v>
      </c>
      <c r="H14" s="359">
        <v>110.0041448180565</v>
      </c>
      <c r="I14" s="353">
        <v>0</v>
      </c>
      <c r="J14" s="353">
        <v>0</v>
      </c>
      <c r="K14" s="353"/>
      <c r="L14" s="353"/>
      <c r="M14" s="353"/>
    </row>
    <row r="15" spans="1:13" x14ac:dyDescent="0.2">
      <c r="A15" s="356" t="s">
        <v>281</v>
      </c>
      <c r="B15" s="357">
        <v>223.61342281999998</v>
      </c>
      <c r="C15" s="358">
        <v>466.11562379000003</v>
      </c>
      <c r="D15" s="358">
        <v>7.3104000000000002E-2</v>
      </c>
      <c r="E15" s="358">
        <v>44.400725000000001</v>
      </c>
      <c r="F15" s="358">
        <v>64.370836999999995</v>
      </c>
      <c r="G15" s="358">
        <v>0</v>
      </c>
      <c r="H15" s="359">
        <v>798.57371261000003</v>
      </c>
      <c r="I15" s="353">
        <v>0</v>
      </c>
      <c r="J15" s="353">
        <v>0</v>
      </c>
      <c r="K15" s="353"/>
      <c r="L15" s="353"/>
      <c r="M15" s="353"/>
    </row>
    <row r="16" spans="1:13" x14ac:dyDescent="0.2">
      <c r="A16" s="356" t="s">
        <v>282</v>
      </c>
      <c r="B16" s="357">
        <v>96.514551170000018</v>
      </c>
      <c r="C16" s="358">
        <v>88.860574600000021</v>
      </c>
      <c r="D16" s="358">
        <v>0</v>
      </c>
      <c r="E16" s="358">
        <v>3.075704</v>
      </c>
      <c r="F16" s="358">
        <v>50.624849750000003</v>
      </c>
      <c r="G16" s="358">
        <v>0</v>
      </c>
      <c r="H16" s="359">
        <v>239.07567952000005</v>
      </c>
      <c r="I16" s="353">
        <v>0</v>
      </c>
      <c r="J16" s="353">
        <v>0</v>
      </c>
      <c r="K16" s="353"/>
      <c r="L16" s="353"/>
      <c r="M16" s="353"/>
    </row>
    <row r="17" spans="1:13" x14ac:dyDescent="0.2">
      <c r="A17" s="356" t="s">
        <v>283</v>
      </c>
      <c r="B17" s="357">
        <v>391.29753038647783</v>
      </c>
      <c r="C17" s="358">
        <v>2087.9408413700421</v>
      </c>
      <c r="D17" s="358">
        <v>0</v>
      </c>
      <c r="E17" s="358">
        <v>1.7198739999999999</v>
      </c>
      <c r="F17" s="358">
        <v>1328.2698651755884</v>
      </c>
      <c r="G17" s="358">
        <v>0</v>
      </c>
      <c r="H17" s="359">
        <v>3809.2281109321084</v>
      </c>
      <c r="I17" s="353">
        <v>0</v>
      </c>
      <c r="J17" s="353">
        <v>0</v>
      </c>
      <c r="K17" s="353"/>
      <c r="L17" s="353"/>
      <c r="M17" s="353"/>
    </row>
    <row r="18" spans="1:13" x14ac:dyDescent="0.2">
      <c r="A18" s="349"/>
      <c r="B18" s="350"/>
      <c r="C18" s="351"/>
      <c r="D18" s="351"/>
      <c r="E18" s="351"/>
      <c r="F18" s="351"/>
      <c r="G18" s="351"/>
      <c r="H18" s="352"/>
      <c r="I18" s="353"/>
      <c r="J18" s="353"/>
      <c r="K18" s="353"/>
      <c r="L18" s="353"/>
      <c r="M18" s="353"/>
    </row>
    <row r="19" spans="1:13" x14ac:dyDescent="0.2">
      <c r="A19" s="349" t="s">
        <v>284</v>
      </c>
      <c r="B19" s="350">
        <v>5377.1984002474555</v>
      </c>
      <c r="C19" s="351">
        <v>7407.9301109320213</v>
      </c>
      <c r="D19" s="351">
        <v>92.780293400000005</v>
      </c>
      <c r="E19" s="351">
        <v>1736.6778536500001</v>
      </c>
      <c r="F19" s="351">
        <v>6785.4523862442356</v>
      </c>
      <c r="G19" s="351">
        <v>245.16716299999999</v>
      </c>
      <c r="H19" s="352">
        <v>21645.206207473711</v>
      </c>
      <c r="I19" s="353">
        <v>0</v>
      </c>
      <c r="J19" s="353">
        <v>-427.14512719435885</v>
      </c>
      <c r="K19" s="353"/>
      <c r="L19" s="353"/>
      <c r="M19" s="353"/>
    </row>
    <row r="20" spans="1:13" x14ac:dyDescent="0.2">
      <c r="A20" s="354" t="s">
        <v>274</v>
      </c>
      <c r="B20" s="350"/>
      <c r="C20" s="351"/>
      <c r="D20" s="351"/>
      <c r="E20" s="351"/>
      <c r="F20" s="351"/>
      <c r="G20" s="351"/>
      <c r="H20" s="355"/>
      <c r="I20" s="353"/>
      <c r="J20" s="353"/>
      <c r="K20" s="353"/>
      <c r="L20" s="353"/>
      <c r="M20" s="353"/>
    </row>
    <row r="21" spans="1:13" x14ac:dyDescent="0.2">
      <c r="A21" s="356" t="s">
        <v>285</v>
      </c>
      <c r="B21" s="360">
        <v>1644.8500587297142</v>
      </c>
      <c r="C21" s="358">
        <v>1186.0688846699998</v>
      </c>
      <c r="D21" s="358">
        <v>53.748801489999998</v>
      </c>
      <c r="E21" s="358">
        <v>346.24998412000002</v>
      </c>
      <c r="F21" s="358">
        <v>1967.0837917660429</v>
      </c>
      <c r="G21" s="358">
        <v>0.5</v>
      </c>
      <c r="H21" s="359">
        <v>5198.5015207757569</v>
      </c>
      <c r="I21" s="353">
        <v>0</v>
      </c>
      <c r="J21" s="353">
        <v>0</v>
      </c>
      <c r="K21" s="353"/>
      <c r="L21" s="353"/>
      <c r="M21" s="353"/>
    </row>
    <row r="22" spans="1:13" x14ac:dyDescent="0.2">
      <c r="A22" s="356" t="s">
        <v>286</v>
      </c>
      <c r="B22" s="360">
        <v>43.703976260000005</v>
      </c>
      <c r="C22" s="358">
        <v>141.60613782999999</v>
      </c>
      <c r="D22" s="358">
        <v>16.088335279999999</v>
      </c>
      <c r="E22" s="358">
        <v>13.072552249999999</v>
      </c>
      <c r="F22" s="358">
        <v>459.24331850833039</v>
      </c>
      <c r="G22" s="358">
        <v>0</v>
      </c>
      <c r="H22" s="359">
        <v>673.71432012833043</v>
      </c>
      <c r="I22" s="353">
        <v>0</v>
      </c>
      <c r="J22" s="353">
        <v>0</v>
      </c>
      <c r="K22" s="353"/>
      <c r="L22" s="353"/>
      <c r="M22" s="353"/>
    </row>
    <row r="23" spans="1:13" x14ac:dyDescent="0.2">
      <c r="A23" s="356" t="s">
        <v>287</v>
      </c>
      <c r="B23" s="360">
        <v>15.934211019999999</v>
      </c>
      <c r="C23" s="358">
        <v>11.03865892</v>
      </c>
      <c r="D23" s="358">
        <v>0</v>
      </c>
      <c r="E23" s="358">
        <v>6.7712870000000001</v>
      </c>
      <c r="F23" s="358">
        <v>6.5439999999999998E-2</v>
      </c>
      <c r="G23" s="358">
        <v>0</v>
      </c>
      <c r="H23" s="359">
        <v>33.809596939999999</v>
      </c>
      <c r="I23" s="353">
        <v>0</v>
      </c>
      <c r="J23" s="353">
        <v>0</v>
      </c>
      <c r="K23" s="353"/>
      <c r="L23" s="353"/>
      <c r="M23" s="353"/>
    </row>
    <row r="24" spans="1:13" x14ac:dyDescent="0.2">
      <c r="A24" s="356" t="s">
        <v>288</v>
      </c>
      <c r="B24" s="360">
        <v>49.516425529999999</v>
      </c>
      <c r="C24" s="358">
        <v>41.982524339999998</v>
      </c>
      <c r="D24" s="358">
        <v>0</v>
      </c>
      <c r="E24" s="358">
        <v>16.262578000000001</v>
      </c>
      <c r="F24" s="358">
        <v>168.93450045000003</v>
      </c>
      <c r="G24" s="358">
        <v>0</v>
      </c>
      <c r="H24" s="359">
        <v>276.69602832000004</v>
      </c>
      <c r="I24" s="353">
        <v>0</v>
      </c>
      <c r="J24" s="353">
        <v>0</v>
      </c>
      <c r="K24" s="353"/>
      <c r="L24" s="353"/>
      <c r="M24" s="353"/>
    </row>
    <row r="25" spans="1:13" x14ac:dyDescent="0.2">
      <c r="A25" s="356" t="s">
        <v>289</v>
      </c>
      <c r="B25" s="360">
        <v>0</v>
      </c>
      <c r="C25" s="358">
        <v>0</v>
      </c>
      <c r="D25" s="358">
        <v>0</v>
      </c>
      <c r="E25" s="358">
        <v>0</v>
      </c>
      <c r="F25" s="358">
        <v>0</v>
      </c>
      <c r="G25" s="358">
        <v>0</v>
      </c>
      <c r="H25" s="359">
        <v>0</v>
      </c>
      <c r="I25" s="353">
        <v>0</v>
      </c>
      <c r="J25" s="353">
        <v>0</v>
      </c>
      <c r="K25" s="353"/>
      <c r="L25" s="353"/>
      <c r="M25" s="353"/>
    </row>
    <row r="26" spans="1:13" x14ac:dyDescent="0.2">
      <c r="A26" s="356" t="s">
        <v>290</v>
      </c>
      <c r="B26" s="360">
        <v>129.83867994734931</v>
      </c>
      <c r="C26" s="358">
        <v>103.84992040628777</v>
      </c>
      <c r="D26" s="358">
        <v>0</v>
      </c>
      <c r="E26" s="358">
        <v>33.677739000000003</v>
      </c>
      <c r="F26" s="358">
        <v>0.31633306529999999</v>
      </c>
      <c r="G26" s="358">
        <v>0</v>
      </c>
      <c r="H26" s="359">
        <v>267.68267241893705</v>
      </c>
      <c r="I26" s="353">
        <v>0</v>
      </c>
      <c r="J26" s="353">
        <v>0</v>
      </c>
      <c r="K26" s="353"/>
      <c r="L26" s="353"/>
      <c r="M26" s="353"/>
    </row>
    <row r="27" spans="1:13" x14ac:dyDescent="0.2">
      <c r="A27" s="356" t="s">
        <v>291</v>
      </c>
      <c r="B27" s="360">
        <v>281.78707169</v>
      </c>
      <c r="C27" s="358">
        <v>421.62130878999994</v>
      </c>
      <c r="D27" s="358">
        <v>0</v>
      </c>
      <c r="E27" s="358">
        <v>35.377780999999999</v>
      </c>
      <c r="F27" s="358">
        <v>49.3660118556</v>
      </c>
      <c r="G27" s="358">
        <v>0</v>
      </c>
      <c r="H27" s="359">
        <v>788.15217333560008</v>
      </c>
      <c r="I27" s="353">
        <v>0</v>
      </c>
      <c r="J27" s="353">
        <v>0</v>
      </c>
      <c r="K27" s="353"/>
      <c r="L27" s="353"/>
      <c r="M27" s="353"/>
    </row>
    <row r="28" spans="1:13" x14ac:dyDescent="0.2">
      <c r="A28" s="356" t="s">
        <v>292</v>
      </c>
      <c r="B28" s="360">
        <v>742.95549545944698</v>
      </c>
      <c r="C28" s="358">
        <v>730.66385400268234</v>
      </c>
      <c r="D28" s="358">
        <v>0</v>
      </c>
      <c r="E28" s="358">
        <v>496.41786300000001</v>
      </c>
      <c r="F28" s="358">
        <v>103.73590096999999</v>
      </c>
      <c r="G28" s="358">
        <v>0</v>
      </c>
      <c r="H28" s="359">
        <v>2073.7731134321293</v>
      </c>
      <c r="I28" s="353">
        <v>0</v>
      </c>
      <c r="J28" s="353">
        <v>0</v>
      </c>
      <c r="K28" s="353"/>
      <c r="L28" s="353"/>
      <c r="M28" s="353"/>
    </row>
    <row r="29" spans="1:13" x14ac:dyDescent="0.2">
      <c r="A29" s="356" t="s">
        <v>293</v>
      </c>
      <c r="B29" s="360">
        <v>782.87069213726204</v>
      </c>
      <c r="C29" s="358">
        <v>1501.1965279030642</v>
      </c>
      <c r="D29" s="358">
        <v>0</v>
      </c>
      <c r="E29" s="358">
        <v>292.89968402</v>
      </c>
      <c r="F29" s="358">
        <v>2653.7682195990401</v>
      </c>
      <c r="G29" s="358">
        <v>47.367162</v>
      </c>
      <c r="H29" s="359">
        <v>5278.1022856593654</v>
      </c>
      <c r="I29" s="353">
        <v>0</v>
      </c>
      <c r="J29" s="353">
        <v>0</v>
      </c>
      <c r="K29" s="353"/>
      <c r="L29" s="353"/>
      <c r="M29" s="353"/>
    </row>
    <row r="30" spans="1:13" x14ac:dyDescent="0.2">
      <c r="A30" s="356" t="s">
        <v>294</v>
      </c>
      <c r="B30" s="360">
        <v>118.19088705766251</v>
      </c>
      <c r="C30" s="358">
        <v>129.9745510477928</v>
      </c>
      <c r="D30" s="358">
        <v>0</v>
      </c>
      <c r="E30" s="358">
        <v>23.815773149999998</v>
      </c>
      <c r="F30" s="358">
        <v>55.222856202349995</v>
      </c>
      <c r="G30" s="358">
        <v>0</v>
      </c>
      <c r="H30" s="359">
        <v>327.20406745780531</v>
      </c>
      <c r="I30" s="353">
        <v>0</v>
      </c>
      <c r="J30" s="353">
        <v>0</v>
      </c>
      <c r="K30" s="353"/>
      <c r="L30" s="353"/>
      <c r="M30" s="353"/>
    </row>
    <row r="31" spans="1:13" x14ac:dyDescent="0.2">
      <c r="A31" s="356" t="s">
        <v>295</v>
      </c>
      <c r="B31" s="360">
        <v>70.689692590000007</v>
      </c>
      <c r="C31" s="358">
        <v>160.3416954299162</v>
      </c>
      <c r="D31" s="358">
        <v>0</v>
      </c>
      <c r="E31" s="358">
        <v>0.286997</v>
      </c>
      <c r="F31" s="358">
        <v>6.1360530522999994</v>
      </c>
      <c r="G31" s="358">
        <v>0</v>
      </c>
      <c r="H31" s="359">
        <v>237.45443807221625</v>
      </c>
      <c r="I31" s="353">
        <v>0</v>
      </c>
      <c r="J31" s="353">
        <v>0</v>
      </c>
      <c r="K31" s="353"/>
      <c r="L31" s="353"/>
      <c r="M31" s="353"/>
    </row>
    <row r="32" spans="1:13" x14ac:dyDescent="0.2">
      <c r="A32" s="356" t="s">
        <v>296</v>
      </c>
      <c r="B32" s="360">
        <v>39.567431634321501</v>
      </c>
      <c r="C32" s="358">
        <v>47.733061599243605</v>
      </c>
      <c r="D32" s="358">
        <v>0</v>
      </c>
      <c r="E32" s="358">
        <v>11.78913</v>
      </c>
      <c r="F32" s="358">
        <v>30.023759003399999</v>
      </c>
      <c r="G32" s="358">
        <v>0</v>
      </c>
      <c r="H32" s="359">
        <v>129.11338223696509</v>
      </c>
      <c r="I32" s="353">
        <v>0</v>
      </c>
      <c r="J32" s="353">
        <v>0</v>
      </c>
      <c r="K32" s="353"/>
      <c r="L32" s="353"/>
      <c r="M32" s="353"/>
    </row>
    <row r="33" spans="1:13" x14ac:dyDescent="0.2">
      <c r="A33" s="356" t="s">
        <v>297</v>
      </c>
      <c r="B33" s="360">
        <v>21.56278506</v>
      </c>
      <c r="C33" s="358">
        <v>30.347889869999996</v>
      </c>
      <c r="D33" s="358">
        <v>0</v>
      </c>
      <c r="E33" s="358">
        <v>1.857275</v>
      </c>
      <c r="F33" s="358">
        <v>0.15786700000000001</v>
      </c>
      <c r="G33" s="358">
        <v>0</v>
      </c>
      <c r="H33" s="359">
        <v>53.925816930000003</v>
      </c>
      <c r="I33" s="353">
        <v>0</v>
      </c>
      <c r="J33" s="353">
        <v>0</v>
      </c>
      <c r="K33" s="353"/>
      <c r="L33" s="353"/>
      <c r="M33" s="353"/>
    </row>
    <row r="34" spans="1:13" x14ac:dyDescent="0.2">
      <c r="A34" s="356" t="s">
        <v>298</v>
      </c>
      <c r="B34" s="360">
        <v>28.700364190000005</v>
      </c>
      <c r="C34" s="358">
        <v>30.593443319999999</v>
      </c>
      <c r="D34" s="358">
        <v>0</v>
      </c>
      <c r="E34" s="358">
        <v>33.167546999999999</v>
      </c>
      <c r="F34" s="358">
        <v>0.8649285699999999</v>
      </c>
      <c r="G34" s="358">
        <v>0</v>
      </c>
      <c r="H34" s="359">
        <v>93.32628308000001</v>
      </c>
      <c r="I34" s="353">
        <v>0</v>
      </c>
      <c r="J34" s="353">
        <v>0</v>
      </c>
      <c r="K34" s="353"/>
      <c r="L34" s="353"/>
      <c r="M34" s="353"/>
    </row>
    <row r="35" spans="1:13" x14ac:dyDescent="0.2">
      <c r="A35" s="356" t="s">
        <v>299</v>
      </c>
      <c r="B35" s="360">
        <v>61.372420119999994</v>
      </c>
      <c r="C35" s="358">
        <v>56.835214310000005</v>
      </c>
      <c r="D35" s="358">
        <v>0</v>
      </c>
      <c r="E35" s="358">
        <v>1.9306140000000001</v>
      </c>
      <c r="F35" s="358">
        <v>0</v>
      </c>
      <c r="G35" s="358">
        <v>0</v>
      </c>
      <c r="H35" s="359">
        <v>120.13824843</v>
      </c>
      <c r="I35" s="353">
        <v>0</v>
      </c>
      <c r="J35" s="353">
        <v>0</v>
      </c>
      <c r="K35" s="353"/>
      <c r="L35" s="353"/>
      <c r="M35" s="353"/>
    </row>
    <row r="36" spans="1:13" x14ac:dyDescent="0.2">
      <c r="A36" s="356" t="s">
        <v>300</v>
      </c>
      <c r="B36" s="360">
        <v>81.653770710000003</v>
      </c>
      <c r="C36" s="358">
        <v>20.809731489999997</v>
      </c>
      <c r="D36" s="358">
        <v>0</v>
      </c>
      <c r="E36" s="358">
        <v>0</v>
      </c>
      <c r="F36" s="358">
        <v>0</v>
      </c>
      <c r="G36" s="358">
        <v>0</v>
      </c>
      <c r="H36" s="359">
        <v>102.46350219999999</v>
      </c>
      <c r="I36" s="353">
        <v>0</v>
      </c>
      <c r="J36" s="353">
        <v>0</v>
      </c>
      <c r="K36" s="353"/>
      <c r="L36" s="353"/>
      <c r="M36" s="353"/>
    </row>
    <row r="37" spans="1:13" x14ac:dyDescent="0.2">
      <c r="A37" s="356" t="s">
        <v>283</v>
      </c>
      <c r="B37" s="360">
        <v>1264.0044381116991</v>
      </c>
      <c r="C37" s="358">
        <v>2793.2667070030357</v>
      </c>
      <c r="D37" s="358">
        <v>22.943156630000004</v>
      </c>
      <c r="E37" s="358">
        <v>423.10104911000002</v>
      </c>
      <c r="F37" s="358">
        <v>1290.5334062018733</v>
      </c>
      <c r="G37" s="358">
        <v>197.30000100000001</v>
      </c>
      <c r="H37" s="359">
        <v>5991.1487580566081</v>
      </c>
      <c r="I37" s="353">
        <v>0</v>
      </c>
      <c r="J37" s="353">
        <v>0</v>
      </c>
      <c r="K37" s="353"/>
      <c r="L37" s="353"/>
      <c r="M37" s="353"/>
    </row>
    <row r="38" spans="1:13" x14ac:dyDescent="0.2">
      <c r="A38" s="349"/>
      <c r="B38" s="350"/>
      <c r="C38" s="351"/>
      <c r="D38" s="351"/>
      <c r="E38" s="351"/>
      <c r="F38" s="351"/>
      <c r="G38" s="351"/>
      <c r="H38" s="352"/>
      <c r="I38" s="353"/>
      <c r="J38" s="353"/>
      <c r="K38" s="353"/>
      <c r="L38" s="353"/>
      <c r="M38" s="353"/>
    </row>
    <row r="39" spans="1:13" x14ac:dyDescent="0.2">
      <c r="A39" s="349" t="s">
        <v>301</v>
      </c>
      <c r="B39" s="350">
        <v>3891.8212550665698</v>
      </c>
      <c r="C39" s="351">
        <v>20357.388094269714</v>
      </c>
      <c r="D39" s="351">
        <v>0</v>
      </c>
      <c r="E39" s="351">
        <v>0.32011699999999998</v>
      </c>
      <c r="F39" s="351">
        <v>21925.329799978019</v>
      </c>
      <c r="G39" s="351">
        <v>834.38020225000002</v>
      </c>
      <c r="H39" s="352">
        <v>47009.239468564308</v>
      </c>
      <c r="I39" s="353">
        <v>0</v>
      </c>
      <c r="J39" s="353">
        <v>1992.7052875792313</v>
      </c>
      <c r="K39" s="353"/>
      <c r="L39" s="353"/>
      <c r="M39" s="353"/>
    </row>
    <row r="40" spans="1:13" x14ac:dyDescent="0.2">
      <c r="A40" s="354" t="s">
        <v>274</v>
      </c>
      <c r="B40" s="350"/>
      <c r="C40" s="351"/>
      <c r="D40" s="351"/>
      <c r="E40" s="351"/>
      <c r="F40" s="351"/>
      <c r="G40" s="351"/>
      <c r="H40" s="355"/>
      <c r="I40" s="353"/>
      <c r="J40" s="353"/>
      <c r="K40" s="353"/>
      <c r="L40" s="353"/>
      <c r="M40" s="353"/>
    </row>
    <row r="41" spans="1:13" x14ac:dyDescent="0.2">
      <c r="A41" s="356" t="s">
        <v>302</v>
      </c>
      <c r="B41" s="360">
        <v>1929.4326652558125</v>
      </c>
      <c r="C41" s="358">
        <v>10843.022678060341</v>
      </c>
      <c r="D41" s="358">
        <v>0</v>
      </c>
      <c r="E41" s="358">
        <v>0</v>
      </c>
      <c r="F41" s="358">
        <v>13053.511089950762</v>
      </c>
      <c r="G41" s="358">
        <v>145.451055</v>
      </c>
      <c r="H41" s="359">
        <v>25971.417488266914</v>
      </c>
      <c r="I41" s="353">
        <v>0</v>
      </c>
      <c r="J41" s="353">
        <v>0</v>
      </c>
      <c r="K41" s="353"/>
      <c r="L41" s="353"/>
      <c r="M41" s="353"/>
    </row>
    <row r="42" spans="1:13" x14ac:dyDescent="0.2">
      <c r="A42" s="356" t="s">
        <v>303</v>
      </c>
      <c r="B42" s="360">
        <v>239.85960393390849</v>
      </c>
      <c r="C42" s="358">
        <v>177.70999056706</v>
      </c>
      <c r="D42" s="358">
        <v>0</v>
      </c>
      <c r="E42" s="358">
        <v>0.32011699999999998</v>
      </c>
      <c r="F42" s="358">
        <v>1412.2330695371165</v>
      </c>
      <c r="G42" s="358">
        <v>0</v>
      </c>
      <c r="H42" s="359">
        <v>1830.1227810380851</v>
      </c>
      <c r="I42" s="353">
        <v>0</v>
      </c>
      <c r="J42" s="353">
        <v>0</v>
      </c>
      <c r="K42" s="353"/>
      <c r="L42" s="353"/>
      <c r="M42" s="353"/>
    </row>
    <row r="43" spans="1:13" x14ac:dyDescent="0.2">
      <c r="A43" s="356" t="s">
        <v>304</v>
      </c>
      <c r="B43" s="360">
        <v>92.95605891000001</v>
      </c>
      <c r="C43" s="358">
        <v>580.28037042999995</v>
      </c>
      <c r="D43" s="358">
        <v>0</v>
      </c>
      <c r="E43" s="358">
        <v>0</v>
      </c>
      <c r="F43" s="358">
        <v>550.67347446000008</v>
      </c>
      <c r="G43" s="358">
        <v>0</v>
      </c>
      <c r="H43" s="359">
        <v>1223.9099037999999</v>
      </c>
      <c r="I43" s="353">
        <v>0</v>
      </c>
      <c r="J43" s="353">
        <v>0</v>
      </c>
      <c r="K43" s="353"/>
      <c r="L43" s="353"/>
      <c r="M43" s="353"/>
    </row>
    <row r="44" spans="1:13" x14ac:dyDescent="0.2">
      <c r="A44" s="356" t="s">
        <v>305</v>
      </c>
      <c r="B44" s="360">
        <v>1434.7080430999999</v>
      </c>
      <c r="C44" s="358">
        <v>7712.3485370500002</v>
      </c>
      <c r="D44" s="358">
        <v>0</v>
      </c>
      <c r="E44" s="358">
        <v>0</v>
      </c>
      <c r="F44" s="358">
        <v>5889.9236988303392</v>
      </c>
      <c r="G44" s="358">
        <v>688.92914725000003</v>
      </c>
      <c r="H44" s="359">
        <v>15725.909426230341</v>
      </c>
      <c r="I44" s="353">
        <v>0</v>
      </c>
      <c r="J44" s="353">
        <v>0</v>
      </c>
      <c r="K44" s="353"/>
      <c r="L44" s="353"/>
      <c r="M44" s="353"/>
    </row>
    <row r="45" spans="1:13" x14ac:dyDescent="0.2">
      <c r="A45" s="356" t="s">
        <v>306</v>
      </c>
      <c r="B45" s="360">
        <v>87.3235953760515</v>
      </c>
      <c r="C45" s="358">
        <v>267.023061777941</v>
      </c>
      <c r="D45" s="358">
        <v>0</v>
      </c>
      <c r="E45" s="358">
        <v>0</v>
      </c>
      <c r="F45" s="358">
        <v>334.53315364050002</v>
      </c>
      <c r="G45" s="358">
        <v>0</v>
      </c>
      <c r="H45" s="359">
        <v>688.87981079449253</v>
      </c>
      <c r="I45" s="353">
        <v>0</v>
      </c>
      <c r="J45" s="353">
        <v>0</v>
      </c>
      <c r="K45" s="353"/>
      <c r="L45" s="353"/>
      <c r="M45" s="353"/>
    </row>
    <row r="46" spans="1:13" x14ac:dyDescent="0.2">
      <c r="A46" s="356" t="s">
        <v>307</v>
      </c>
      <c r="B46" s="360">
        <v>2.3949669999999998</v>
      </c>
      <c r="C46" s="358">
        <v>15.38832841</v>
      </c>
      <c r="D46" s="358">
        <v>0</v>
      </c>
      <c r="E46" s="358">
        <v>0</v>
      </c>
      <c r="F46" s="358">
        <v>1.8463520000000001E-2</v>
      </c>
      <c r="G46" s="358">
        <v>0</v>
      </c>
      <c r="H46" s="359">
        <v>17.801758930000002</v>
      </c>
      <c r="I46" s="353">
        <v>0</v>
      </c>
      <c r="J46" s="353">
        <v>0</v>
      </c>
      <c r="K46" s="353"/>
      <c r="L46" s="353"/>
      <c r="M46" s="353"/>
    </row>
    <row r="47" spans="1:13" x14ac:dyDescent="0.2">
      <c r="A47" s="356" t="s">
        <v>283</v>
      </c>
      <c r="B47" s="360">
        <v>105.14632149079745</v>
      </c>
      <c r="C47" s="358">
        <v>761.61512797437001</v>
      </c>
      <c r="D47" s="358">
        <v>0</v>
      </c>
      <c r="E47" s="358">
        <v>0</v>
      </c>
      <c r="F47" s="358">
        <v>684.4368500393</v>
      </c>
      <c r="G47" s="358">
        <v>0</v>
      </c>
      <c r="H47" s="359">
        <v>1551.1982995044675</v>
      </c>
      <c r="I47" s="353">
        <v>0</v>
      </c>
      <c r="J47" s="353">
        <v>0</v>
      </c>
      <c r="K47" s="353"/>
      <c r="L47" s="353"/>
      <c r="M47" s="353"/>
    </row>
    <row r="48" spans="1:13" x14ac:dyDescent="0.2">
      <c r="A48" s="349"/>
      <c r="B48" s="350"/>
      <c r="C48" s="351"/>
      <c r="D48" s="351"/>
      <c r="E48" s="351"/>
      <c r="F48" s="351"/>
      <c r="G48" s="351"/>
      <c r="H48" s="352"/>
      <c r="I48" s="353"/>
      <c r="J48" s="353"/>
      <c r="K48" s="353"/>
      <c r="L48" s="353"/>
      <c r="M48" s="353"/>
    </row>
    <row r="49" spans="1:13" x14ac:dyDescent="0.2">
      <c r="A49" s="349" t="s">
        <v>308</v>
      </c>
      <c r="B49" s="350">
        <v>594.97076399127195</v>
      </c>
      <c r="C49" s="351">
        <v>2144.4412580245526</v>
      </c>
      <c r="D49" s="351">
        <v>0</v>
      </c>
      <c r="E49" s="351">
        <v>4.871658</v>
      </c>
      <c r="F49" s="351">
        <v>1612.2242694159302</v>
      </c>
      <c r="G49" s="351">
        <v>0</v>
      </c>
      <c r="H49" s="352">
        <v>4356.5079494317552</v>
      </c>
      <c r="I49" s="353"/>
      <c r="J49" s="353">
        <v>149011537.79713893</v>
      </c>
      <c r="K49" s="353"/>
      <c r="L49" s="353"/>
      <c r="M49" s="353"/>
    </row>
    <row r="50" spans="1:13" x14ac:dyDescent="0.2">
      <c r="A50" s="354" t="s">
        <v>274</v>
      </c>
      <c r="B50" s="350"/>
      <c r="C50" s="351"/>
      <c r="D50" s="351"/>
      <c r="E50" s="351"/>
      <c r="F50" s="351"/>
      <c r="G50" s="351"/>
      <c r="H50" s="355"/>
      <c r="I50" s="353"/>
      <c r="J50" s="353"/>
      <c r="K50" s="353"/>
      <c r="L50" s="353"/>
      <c r="M50" s="353"/>
    </row>
    <row r="51" spans="1:13" x14ac:dyDescent="0.2">
      <c r="A51" s="356" t="s">
        <v>309</v>
      </c>
      <c r="B51" s="360">
        <v>0.35230078000000004</v>
      </c>
      <c r="C51" s="358">
        <v>31.152906290000001</v>
      </c>
      <c r="D51" s="358">
        <v>0</v>
      </c>
      <c r="E51" s="358">
        <v>0</v>
      </c>
      <c r="F51" s="358">
        <v>14.599917490299999</v>
      </c>
      <c r="G51" s="358">
        <v>0</v>
      </c>
      <c r="H51" s="359">
        <v>46.105124560299998</v>
      </c>
      <c r="I51" s="353"/>
      <c r="J51" s="353"/>
      <c r="K51" s="353"/>
      <c r="L51" s="353"/>
      <c r="M51" s="353"/>
    </row>
    <row r="52" spans="1:13" x14ac:dyDescent="0.2">
      <c r="A52" s="356" t="s">
        <v>310</v>
      </c>
      <c r="B52" s="360">
        <v>172.73616263173497</v>
      </c>
      <c r="C52" s="358">
        <v>1217.7365033336273</v>
      </c>
      <c r="D52" s="358">
        <v>0</v>
      </c>
      <c r="E52" s="358">
        <v>0</v>
      </c>
      <c r="F52" s="358">
        <v>0.73190375725849999</v>
      </c>
      <c r="G52" s="358">
        <v>0</v>
      </c>
      <c r="H52" s="359">
        <v>1391.2045697226208</v>
      </c>
      <c r="I52" s="353"/>
      <c r="J52" s="353"/>
      <c r="K52" s="353"/>
      <c r="L52" s="353"/>
      <c r="M52" s="353"/>
    </row>
    <row r="53" spans="1:13" x14ac:dyDescent="0.2">
      <c r="A53" s="356" t="s">
        <v>311</v>
      </c>
      <c r="B53" s="360">
        <v>344.06636336000003</v>
      </c>
      <c r="C53" s="358">
        <v>670.25987366192317</v>
      </c>
      <c r="D53" s="358">
        <v>0</v>
      </c>
      <c r="E53" s="358">
        <v>0</v>
      </c>
      <c r="F53" s="358">
        <v>1596.1026349542217</v>
      </c>
      <c r="G53" s="358">
        <v>0</v>
      </c>
      <c r="H53" s="359">
        <v>2610.4288719761448</v>
      </c>
      <c r="I53" s="353"/>
      <c r="J53" s="353"/>
      <c r="K53" s="353"/>
      <c r="L53" s="353"/>
      <c r="M53" s="353"/>
    </row>
    <row r="54" spans="1:13" x14ac:dyDescent="0.2">
      <c r="A54" s="356" t="s">
        <v>283</v>
      </c>
      <c r="B54" s="360">
        <v>77.815937219536963</v>
      </c>
      <c r="C54" s="358">
        <v>225.29197473900214</v>
      </c>
      <c r="D54" s="358">
        <v>0</v>
      </c>
      <c r="E54" s="358">
        <v>4.871658</v>
      </c>
      <c r="F54" s="358">
        <v>0.78981321415000005</v>
      </c>
      <c r="G54" s="358">
        <v>0</v>
      </c>
      <c r="H54" s="359">
        <v>308.76938317268912</v>
      </c>
      <c r="I54" s="353"/>
      <c r="J54" s="353"/>
      <c r="K54" s="353"/>
      <c r="L54" s="353"/>
      <c r="M54" s="353"/>
    </row>
    <row r="55" spans="1:13" x14ac:dyDescent="0.2">
      <c r="A55" s="349"/>
      <c r="B55" s="350"/>
      <c r="C55" s="351"/>
      <c r="D55" s="351"/>
      <c r="E55" s="351"/>
      <c r="F55" s="351"/>
      <c r="G55" s="351"/>
      <c r="H55" s="352"/>
      <c r="I55" s="353"/>
      <c r="J55" s="353"/>
      <c r="K55" s="353"/>
      <c r="L55" s="353"/>
      <c r="M55" s="353"/>
    </row>
    <row r="56" spans="1:13" x14ac:dyDescent="0.2">
      <c r="A56" s="349" t="s">
        <v>312</v>
      </c>
      <c r="B56" s="350">
        <v>6037.9727500763993</v>
      </c>
      <c r="C56" s="351">
        <v>75751.147420026478</v>
      </c>
      <c r="D56" s="351">
        <v>309.61597061000003</v>
      </c>
      <c r="E56" s="351">
        <v>113.881401</v>
      </c>
      <c r="F56" s="351">
        <v>3093.2320048090505</v>
      </c>
      <c r="G56" s="351">
        <v>342.12700122460461</v>
      </c>
      <c r="H56" s="352">
        <v>85647.976547746541</v>
      </c>
      <c r="I56" s="353">
        <v>0</v>
      </c>
      <c r="J56" s="353">
        <v>3997.6323430190123</v>
      </c>
      <c r="K56" s="353"/>
      <c r="L56" s="353"/>
      <c r="M56" s="353"/>
    </row>
    <row r="57" spans="1:13" x14ac:dyDescent="0.2">
      <c r="A57" s="354" t="s">
        <v>274</v>
      </c>
      <c r="B57" s="350"/>
      <c r="C57" s="351"/>
      <c r="D57" s="351"/>
      <c r="E57" s="351"/>
      <c r="F57" s="351"/>
      <c r="G57" s="351"/>
      <c r="H57" s="355"/>
      <c r="I57" s="353"/>
      <c r="J57" s="353"/>
      <c r="K57" s="353"/>
      <c r="L57" s="353"/>
      <c r="M57" s="353"/>
    </row>
    <row r="58" spans="1:13" x14ac:dyDescent="0.2">
      <c r="A58" s="356" t="s">
        <v>313</v>
      </c>
      <c r="B58" s="360">
        <v>1341.33129868743</v>
      </c>
      <c r="C58" s="358">
        <v>1318.788831527339</v>
      </c>
      <c r="D58" s="358">
        <v>308.04986817000002</v>
      </c>
      <c r="E58" s="358">
        <v>8.9037590000000009</v>
      </c>
      <c r="F58" s="358">
        <v>80.529835803600008</v>
      </c>
      <c r="G58" s="358">
        <v>0</v>
      </c>
      <c r="H58" s="359">
        <v>3057.6035931883689</v>
      </c>
      <c r="I58" s="353">
        <v>0</v>
      </c>
      <c r="J58" s="353">
        <v>20.744312029999971</v>
      </c>
      <c r="K58" s="353"/>
      <c r="L58" s="353"/>
      <c r="M58" s="353"/>
    </row>
    <row r="59" spans="1:13" x14ac:dyDescent="0.2">
      <c r="A59" s="356" t="s">
        <v>314</v>
      </c>
      <c r="B59" s="360">
        <v>1207.5872946400002</v>
      </c>
      <c r="C59" s="358">
        <v>11506.12702661</v>
      </c>
      <c r="D59" s="358">
        <v>1.5661024399999999</v>
      </c>
      <c r="E59" s="358">
        <v>0</v>
      </c>
      <c r="F59" s="358">
        <v>302.32740826752001</v>
      </c>
      <c r="G59" s="358">
        <v>147.60000034755461</v>
      </c>
      <c r="H59" s="359">
        <v>13165.207832305074</v>
      </c>
      <c r="I59" s="353">
        <v>0</v>
      </c>
      <c r="J59" s="353">
        <v>711.46544827000002</v>
      </c>
      <c r="K59" s="353"/>
      <c r="L59" s="353"/>
      <c r="M59" s="353"/>
    </row>
    <row r="60" spans="1:13" x14ac:dyDescent="0.2">
      <c r="A60" s="356" t="s">
        <v>315</v>
      </c>
      <c r="B60" s="360">
        <v>1639.3089014269001</v>
      </c>
      <c r="C60" s="358">
        <v>4383.6139915036092</v>
      </c>
      <c r="D60" s="358">
        <v>0</v>
      </c>
      <c r="E60" s="358">
        <v>0</v>
      </c>
      <c r="F60" s="358">
        <v>1635.4887299376608</v>
      </c>
      <c r="G60" s="358">
        <v>131.07660087705</v>
      </c>
      <c r="H60" s="359">
        <v>7789.4882237452193</v>
      </c>
      <c r="I60" s="353">
        <v>0</v>
      </c>
      <c r="J60" s="353">
        <v>803.78904303000002</v>
      </c>
      <c r="K60" s="353"/>
      <c r="L60" s="353"/>
      <c r="M60" s="353"/>
    </row>
    <row r="61" spans="1:13" x14ac:dyDescent="0.2">
      <c r="A61" s="356" t="s">
        <v>316</v>
      </c>
      <c r="B61" s="360">
        <v>666.67842422000001</v>
      </c>
      <c r="C61" s="358">
        <v>1265.0477415099999</v>
      </c>
      <c r="D61" s="358">
        <v>0</v>
      </c>
      <c r="E61" s="358">
        <v>0</v>
      </c>
      <c r="F61" s="358">
        <v>74.490209383100009</v>
      </c>
      <c r="G61" s="358">
        <v>0</v>
      </c>
      <c r="H61" s="359">
        <v>2006.2163751131</v>
      </c>
      <c r="I61" s="353">
        <v>0</v>
      </c>
      <c r="J61" s="353">
        <v>7.1072843000000123</v>
      </c>
      <c r="K61" s="353"/>
      <c r="L61" s="353"/>
      <c r="M61" s="353"/>
    </row>
    <row r="62" spans="1:13" x14ac:dyDescent="0.2">
      <c r="A62" s="356" t="s">
        <v>317</v>
      </c>
      <c r="B62" s="360">
        <v>21.755024350000003</v>
      </c>
      <c r="C62" s="358">
        <v>50041.974960625535</v>
      </c>
      <c r="D62" s="358">
        <v>0</v>
      </c>
      <c r="E62" s="358">
        <v>0</v>
      </c>
      <c r="F62" s="358">
        <v>916.20838563070993</v>
      </c>
      <c r="G62" s="358">
        <v>0</v>
      </c>
      <c r="H62" s="359">
        <v>50979.938370606244</v>
      </c>
      <c r="I62" s="353">
        <v>0</v>
      </c>
      <c r="J62" s="353">
        <v>1809.2352186483802</v>
      </c>
      <c r="K62" s="353"/>
      <c r="L62" s="353"/>
      <c r="M62" s="353"/>
    </row>
    <row r="63" spans="1:13" x14ac:dyDescent="0.2">
      <c r="A63" s="356" t="s">
        <v>318</v>
      </c>
      <c r="B63" s="360">
        <v>0</v>
      </c>
      <c r="C63" s="358">
        <v>4240.9047354966169</v>
      </c>
      <c r="D63" s="358">
        <v>0</v>
      </c>
      <c r="E63" s="358">
        <v>0</v>
      </c>
      <c r="F63" s="358">
        <v>1.4543078219999999</v>
      </c>
      <c r="G63" s="358">
        <v>0</v>
      </c>
      <c r="H63" s="359">
        <v>4242.3590433186173</v>
      </c>
      <c r="I63" s="353">
        <v>0</v>
      </c>
      <c r="J63" s="353">
        <v>144.45805041142904</v>
      </c>
      <c r="K63" s="353"/>
      <c r="L63" s="353"/>
      <c r="M63" s="353"/>
    </row>
    <row r="64" spans="1:13" x14ac:dyDescent="0.2">
      <c r="A64" s="356" t="s">
        <v>319</v>
      </c>
      <c r="B64" s="360">
        <v>-2E-8</v>
      </c>
      <c r="C64" s="358">
        <v>0</v>
      </c>
      <c r="D64" s="358">
        <v>0</v>
      </c>
      <c r="E64" s="358">
        <v>0</v>
      </c>
      <c r="F64" s="358">
        <v>22.1058649842</v>
      </c>
      <c r="G64" s="358">
        <v>0</v>
      </c>
      <c r="H64" s="359">
        <v>22.105864964199998</v>
      </c>
      <c r="I64" s="353">
        <v>0</v>
      </c>
      <c r="J64" s="353">
        <v>3.0505472500000002</v>
      </c>
      <c r="K64" s="353"/>
      <c r="L64" s="353"/>
      <c r="M64" s="353"/>
    </row>
    <row r="65" spans="1:13" x14ac:dyDescent="0.2">
      <c r="A65" s="356" t="s">
        <v>320</v>
      </c>
      <c r="B65" s="360">
        <v>157.63502500000001</v>
      </c>
      <c r="C65" s="358">
        <v>969.203754</v>
      </c>
      <c r="D65" s="358">
        <v>0</v>
      </c>
      <c r="E65" s="358">
        <v>0</v>
      </c>
      <c r="F65" s="358">
        <v>34.80065226</v>
      </c>
      <c r="G65" s="358">
        <v>0</v>
      </c>
      <c r="H65" s="359">
        <v>1161.63943126</v>
      </c>
      <c r="I65" s="353">
        <v>0</v>
      </c>
      <c r="J65" s="353">
        <v>8.05821772999996</v>
      </c>
      <c r="K65" s="353"/>
      <c r="L65" s="353"/>
      <c r="M65" s="353"/>
    </row>
    <row r="66" spans="1:13" x14ac:dyDescent="0.2">
      <c r="A66" s="356" t="s">
        <v>321</v>
      </c>
      <c r="B66" s="360">
        <v>209.53471077</v>
      </c>
      <c r="C66" s="358">
        <v>735.99541414999999</v>
      </c>
      <c r="D66" s="358">
        <v>0</v>
      </c>
      <c r="E66" s="358">
        <v>52.421641000000001</v>
      </c>
      <c r="F66" s="358">
        <v>8.0477999999999994E-2</v>
      </c>
      <c r="G66" s="358">
        <v>0</v>
      </c>
      <c r="H66" s="359">
        <v>998.03224391999993</v>
      </c>
      <c r="I66" s="353">
        <v>0</v>
      </c>
      <c r="J66" s="353">
        <v>67.095245579203336</v>
      </c>
      <c r="K66" s="353"/>
      <c r="L66" s="353"/>
      <c r="M66" s="353"/>
    </row>
    <row r="67" spans="1:13" x14ac:dyDescent="0.2">
      <c r="A67" s="356" t="s">
        <v>322</v>
      </c>
      <c r="B67" s="360">
        <v>103.75812270999999</v>
      </c>
      <c r="C67" s="358">
        <v>242.25740029999997</v>
      </c>
      <c r="D67" s="358">
        <v>0</v>
      </c>
      <c r="E67" s="358">
        <v>48.806145999999998</v>
      </c>
      <c r="F67" s="358">
        <v>1.6889999999999999E-2</v>
      </c>
      <c r="G67" s="358">
        <v>63.450400000000002</v>
      </c>
      <c r="H67" s="359">
        <v>458.28895900999999</v>
      </c>
      <c r="I67" s="353">
        <v>0</v>
      </c>
      <c r="J67" s="353">
        <v>243.98757749999999</v>
      </c>
      <c r="K67" s="353"/>
      <c r="L67" s="353"/>
      <c r="M67" s="353"/>
    </row>
    <row r="68" spans="1:13" ht="13.5" thickBot="1" x14ac:dyDescent="0.25">
      <c r="A68" s="361" t="s">
        <v>283</v>
      </c>
      <c r="B68" s="362">
        <v>690.38394829206709</v>
      </c>
      <c r="C68" s="363">
        <v>1047.2335643033705</v>
      </c>
      <c r="D68" s="363">
        <v>0</v>
      </c>
      <c r="E68" s="363">
        <v>3.7498550000000002</v>
      </c>
      <c r="F68" s="363">
        <v>25.729242720259499</v>
      </c>
      <c r="G68" s="363">
        <v>0</v>
      </c>
      <c r="H68" s="364">
        <v>1767.096610315697</v>
      </c>
      <c r="I68" s="353">
        <v>0</v>
      </c>
      <c r="J68" s="353">
        <v>178.64139826999997</v>
      </c>
      <c r="K68" s="353"/>
      <c r="L68" s="353"/>
      <c r="M68" s="353"/>
    </row>
    <row r="69" spans="1:13" s="368" customFormat="1" ht="13.5" thickTop="1" x14ac:dyDescent="0.2">
      <c r="A69" s="365" t="s">
        <v>323</v>
      </c>
      <c r="B69" s="366"/>
      <c r="C69" s="366"/>
      <c r="D69" s="366"/>
      <c r="E69" s="366"/>
      <c r="F69" s="366"/>
      <c r="G69" s="367"/>
      <c r="H69" s="366"/>
      <c r="I69" s="353"/>
      <c r="J69" s="353"/>
      <c r="K69" s="353"/>
      <c r="L69" s="353"/>
      <c r="M69" s="353"/>
    </row>
    <row r="70" spans="1:13" ht="13.5" thickBot="1" x14ac:dyDescent="0.25">
      <c r="A70" s="369"/>
      <c r="B70" s="370"/>
      <c r="C70" s="370"/>
      <c r="D70" s="370"/>
      <c r="E70" s="370"/>
      <c r="F70" s="370"/>
      <c r="H70" s="371" t="s">
        <v>73</v>
      </c>
      <c r="I70" s="353"/>
      <c r="J70" s="353"/>
      <c r="K70" s="353"/>
      <c r="L70" s="353"/>
      <c r="M70" s="353"/>
    </row>
    <row r="71" spans="1:13" ht="13.5" thickTop="1" x14ac:dyDescent="0.2">
      <c r="A71" s="372" t="s">
        <v>262</v>
      </c>
      <c r="B71" s="373" t="s">
        <v>263</v>
      </c>
      <c r="C71" s="374" t="s">
        <v>63</v>
      </c>
      <c r="D71" s="374" t="s">
        <v>264</v>
      </c>
      <c r="E71" s="374" t="s">
        <v>264</v>
      </c>
      <c r="F71" s="374" t="s">
        <v>265</v>
      </c>
      <c r="G71" s="374" t="s">
        <v>266</v>
      </c>
      <c r="H71" s="375" t="s">
        <v>246</v>
      </c>
      <c r="I71" s="353"/>
      <c r="J71" s="353"/>
      <c r="K71" s="353"/>
      <c r="L71" s="353"/>
      <c r="M71" s="353"/>
    </row>
    <row r="72" spans="1:13" x14ac:dyDescent="0.2">
      <c r="A72" s="376"/>
      <c r="B72" s="377"/>
      <c r="C72" s="378"/>
      <c r="D72" s="378" t="s">
        <v>267</v>
      </c>
      <c r="E72" s="378" t="s">
        <v>268</v>
      </c>
      <c r="F72" s="378" t="s">
        <v>269</v>
      </c>
      <c r="G72" s="378" t="s">
        <v>270</v>
      </c>
      <c r="H72" s="379"/>
      <c r="I72" s="353"/>
      <c r="J72" s="353"/>
      <c r="K72" s="353"/>
      <c r="L72" s="353"/>
      <c r="M72" s="353"/>
    </row>
    <row r="73" spans="1:13" ht="13.5" thickBot="1" x14ac:dyDescent="0.25">
      <c r="A73" s="380"/>
      <c r="B73" s="381"/>
      <c r="C73" s="382"/>
      <c r="D73" s="382" t="s">
        <v>271</v>
      </c>
      <c r="E73" s="382"/>
      <c r="F73" s="382" t="s">
        <v>63</v>
      </c>
      <c r="G73" s="382" t="s">
        <v>272</v>
      </c>
      <c r="H73" s="383"/>
      <c r="I73" s="353"/>
      <c r="J73" s="353"/>
      <c r="K73" s="353"/>
      <c r="L73" s="353"/>
      <c r="M73" s="353"/>
    </row>
    <row r="74" spans="1:13" ht="13.5" thickTop="1" x14ac:dyDescent="0.2">
      <c r="A74" s="349"/>
      <c r="B74" s="384"/>
      <c r="C74" s="385"/>
      <c r="D74" s="385"/>
      <c r="E74" s="385"/>
      <c r="F74" s="385"/>
      <c r="G74" s="385"/>
      <c r="H74" s="386"/>
      <c r="I74" s="353"/>
      <c r="J74" s="353"/>
      <c r="K74" s="353"/>
      <c r="L74" s="353"/>
      <c r="M74" s="353"/>
    </row>
    <row r="75" spans="1:13" x14ac:dyDescent="0.2">
      <c r="A75" s="349" t="s">
        <v>324</v>
      </c>
      <c r="B75" s="387">
        <v>9138.4753973360894</v>
      </c>
      <c r="C75" s="351">
        <v>16417.891139635238</v>
      </c>
      <c r="D75" s="351">
        <v>8.4360629300000003</v>
      </c>
      <c r="E75" s="351">
        <v>1847.6741307</v>
      </c>
      <c r="F75" s="351">
        <v>2981.0388886970204</v>
      </c>
      <c r="G75" s="351">
        <v>73.481849999999994</v>
      </c>
      <c r="H75" s="352">
        <v>30466.997469298349</v>
      </c>
      <c r="I75" s="353"/>
      <c r="J75" s="353">
        <v>-17712488401.414356</v>
      </c>
      <c r="K75" s="353"/>
      <c r="L75" s="353"/>
      <c r="M75" s="353"/>
    </row>
    <row r="76" spans="1:13" x14ac:dyDescent="0.2">
      <c r="A76" s="354" t="s">
        <v>274</v>
      </c>
      <c r="B76" s="387"/>
      <c r="C76" s="351"/>
      <c r="D76" s="351"/>
      <c r="E76" s="351"/>
      <c r="F76" s="351"/>
      <c r="G76" s="351"/>
      <c r="H76" s="355"/>
      <c r="I76" s="353"/>
      <c r="J76" s="353"/>
      <c r="K76" s="353"/>
      <c r="L76" s="353"/>
      <c r="M76" s="353"/>
    </row>
    <row r="77" spans="1:13" x14ac:dyDescent="0.2">
      <c r="A77" s="356" t="s">
        <v>325</v>
      </c>
      <c r="B77" s="388">
        <v>40.314627719999997</v>
      </c>
      <c r="C77" s="358">
        <v>52.984504629999996</v>
      </c>
      <c r="D77" s="358">
        <v>0</v>
      </c>
      <c r="E77" s="358">
        <v>4.6455260000000003</v>
      </c>
      <c r="F77" s="358">
        <v>7.1820999999999996E-2</v>
      </c>
      <c r="G77" s="358">
        <v>0</v>
      </c>
      <c r="H77" s="359">
        <v>98.016479349999997</v>
      </c>
      <c r="I77" s="353"/>
      <c r="J77" s="353"/>
      <c r="K77" s="353"/>
      <c r="L77" s="353"/>
      <c r="M77" s="353"/>
    </row>
    <row r="78" spans="1:13" x14ac:dyDescent="0.2">
      <c r="A78" s="356" t="s">
        <v>326</v>
      </c>
      <c r="B78" s="388">
        <v>2395.7487680478698</v>
      </c>
      <c r="C78" s="358">
        <v>4756.8220820567749</v>
      </c>
      <c r="D78" s="358">
        <v>0.3</v>
      </c>
      <c r="E78" s="358">
        <v>551.63773842000001</v>
      </c>
      <c r="F78" s="358">
        <v>1127.7496807367829</v>
      </c>
      <c r="G78" s="358">
        <v>0</v>
      </c>
      <c r="H78" s="359">
        <v>8832.2582692614269</v>
      </c>
      <c r="I78" s="353"/>
      <c r="J78" s="353"/>
      <c r="K78" s="353"/>
      <c r="L78" s="353"/>
      <c r="M78" s="353"/>
    </row>
    <row r="79" spans="1:13" x14ac:dyDescent="0.2">
      <c r="A79" s="356" t="s">
        <v>327</v>
      </c>
      <c r="B79" s="388">
        <v>3.187506</v>
      </c>
      <c r="C79" s="358">
        <v>152.62542135999999</v>
      </c>
      <c r="D79" s="358">
        <v>0</v>
      </c>
      <c r="E79" s="358">
        <v>0</v>
      </c>
      <c r="F79" s="358">
        <v>0</v>
      </c>
      <c r="G79" s="358">
        <v>0</v>
      </c>
      <c r="H79" s="359">
        <v>155.81292736</v>
      </c>
      <c r="I79" s="353"/>
      <c r="J79" s="353"/>
      <c r="K79" s="353"/>
      <c r="L79" s="353"/>
      <c r="M79" s="353"/>
    </row>
    <row r="80" spans="1:13" x14ac:dyDescent="0.2">
      <c r="A80" s="356" t="s">
        <v>328</v>
      </c>
      <c r="B80" s="388">
        <v>244.514197</v>
      </c>
      <c r="C80" s="358">
        <v>699.98449461999996</v>
      </c>
      <c r="D80" s="358">
        <v>0</v>
      </c>
      <c r="E80" s="358">
        <v>18.125019189999996</v>
      </c>
      <c r="F80" s="358">
        <v>1.0026E-2</v>
      </c>
      <c r="G80" s="358">
        <v>0</v>
      </c>
      <c r="H80" s="359">
        <v>962.63373680999996</v>
      </c>
      <c r="I80" s="353"/>
      <c r="J80" s="353"/>
      <c r="K80" s="353"/>
      <c r="L80" s="353"/>
      <c r="M80" s="353"/>
    </row>
    <row r="81" spans="1:13" x14ac:dyDescent="0.2">
      <c r="A81" s="356" t="s">
        <v>329</v>
      </c>
      <c r="B81" s="388">
        <v>237.68055913999996</v>
      </c>
      <c r="C81" s="358">
        <v>366.07085401000001</v>
      </c>
      <c r="D81" s="358">
        <v>0</v>
      </c>
      <c r="E81" s="358">
        <v>73.527551510000009</v>
      </c>
      <c r="F81" s="358">
        <v>0.61459200000000003</v>
      </c>
      <c r="G81" s="358">
        <v>0</v>
      </c>
      <c r="H81" s="359">
        <v>677.89355665999994</v>
      </c>
      <c r="I81" s="353"/>
      <c r="J81" s="353"/>
      <c r="K81" s="353"/>
      <c r="L81" s="353"/>
      <c r="M81" s="353"/>
    </row>
    <row r="82" spans="1:13" x14ac:dyDescent="0.2">
      <c r="A82" s="356" t="s">
        <v>330</v>
      </c>
      <c r="B82" s="388">
        <v>83.726816939999992</v>
      </c>
      <c r="C82" s="358">
        <v>92.123685379999998</v>
      </c>
      <c r="D82" s="358">
        <v>0</v>
      </c>
      <c r="E82" s="358">
        <v>8.7764520000000008</v>
      </c>
      <c r="F82" s="358">
        <v>3.9981999999999997E-2</v>
      </c>
      <c r="G82" s="358">
        <v>0</v>
      </c>
      <c r="H82" s="359">
        <v>184.66693631999999</v>
      </c>
      <c r="I82" s="353"/>
      <c r="J82" s="353"/>
      <c r="K82" s="353"/>
      <c r="L82" s="353"/>
      <c r="M82" s="353"/>
    </row>
    <row r="83" spans="1:13" x14ac:dyDescent="0.2">
      <c r="A83" s="356" t="s">
        <v>331</v>
      </c>
      <c r="B83" s="388">
        <v>1653.6670578326987</v>
      </c>
      <c r="C83" s="358">
        <v>1585.801073160648</v>
      </c>
      <c r="D83" s="358">
        <v>0</v>
      </c>
      <c r="E83" s="358">
        <v>153.89357143999999</v>
      </c>
      <c r="F83" s="358">
        <v>303.60159921400998</v>
      </c>
      <c r="G83" s="358">
        <v>73.481849999999994</v>
      </c>
      <c r="H83" s="359">
        <v>3770.4451516473569</v>
      </c>
      <c r="I83" s="353"/>
      <c r="J83" s="353"/>
      <c r="K83" s="353"/>
      <c r="L83" s="353"/>
      <c r="M83" s="353"/>
    </row>
    <row r="84" spans="1:13" x14ac:dyDescent="0.2">
      <c r="A84" s="356" t="s">
        <v>332</v>
      </c>
      <c r="B84" s="388">
        <v>1046.1104267159997</v>
      </c>
      <c r="C84" s="358">
        <v>2097.8910319900001</v>
      </c>
      <c r="D84" s="358">
        <v>0</v>
      </c>
      <c r="E84" s="358">
        <v>498.20304364999998</v>
      </c>
      <c r="F84" s="358">
        <v>225.9252738024</v>
      </c>
      <c r="G84" s="358">
        <v>0</v>
      </c>
      <c r="H84" s="359">
        <v>3868.1297761583996</v>
      </c>
      <c r="I84" s="353"/>
      <c r="J84" s="353"/>
      <c r="K84" s="353"/>
      <c r="L84" s="353"/>
      <c r="M84" s="353"/>
    </row>
    <row r="85" spans="1:13" x14ac:dyDescent="0.2">
      <c r="A85" s="356" t="s">
        <v>333</v>
      </c>
      <c r="B85" s="388">
        <v>543.17624968000007</v>
      </c>
      <c r="C85" s="358">
        <v>254.37451246999996</v>
      </c>
      <c r="D85" s="358">
        <v>0</v>
      </c>
      <c r="E85" s="358">
        <v>0</v>
      </c>
      <c r="F85" s="358">
        <v>363.18563802999995</v>
      </c>
      <c r="G85" s="358">
        <v>0</v>
      </c>
      <c r="H85" s="359">
        <v>1160.7364001800001</v>
      </c>
      <c r="I85" s="353"/>
      <c r="J85" s="353"/>
      <c r="K85" s="353"/>
      <c r="L85" s="353"/>
      <c r="M85" s="353"/>
    </row>
    <row r="86" spans="1:13" x14ac:dyDescent="0.2">
      <c r="A86" s="356" t="s">
        <v>334</v>
      </c>
      <c r="B86" s="388">
        <v>25.361506089999999</v>
      </c>
      <c r="C86" s="358">
        <v>30.129210409999999</v>
      </c>
      <c r="D86" s="358">
        <v>0</v>
      </c>
      <c r="E86" s="358">
        <v>2.53362</v>
      </c>
      <c r="F86" s="358">
        <v>0</v>
      </c>
      <c r="G86" s="358">
        <v>0</v>
      </c>
      <c r="H86" s="359">
        <v>58.024336499999997</v>
      </c>
      <c r="I86" s="353"/>
      <c r="J86" s="353"/>
      <c r="K86" s="353"/>
      <c r="L86" s="353"/>
      <c r="M86" s="353"/>
    </row>
    <row r="87" spans="1:13" x14ac:dyDescent="0.2">
      <c r="A87" s="356" t="s">
        <v>283</v>
      </c>
      <c r="B87" s="388">
        <v>2864.9876821695234</v>
      </c>
      <c r="C87" s="358">
        <v>6329.0842695478132</v>
      </c>
      <c r="D87" s="358">
        <v>8.1360629299999996</v>
      </c>
      <c r="E87" s="358">
        <v>536.33160849000001</v>
      </c>
      <c r="F87" s="358">
        <v>959.84027591382755</v>
      </c>
      <c r="G87" s="358">
        <v>0</v>
      </c>
      <c r="H87" s="359">
        <v>10698.379899051164</v>
      </c>
      <c r="I87" s="353"/>
      <c r="J87" s="353"/>
      <c r="K87" s="353"/>
      <c r="L87" s="353"/>
      <c r="M87" s="353"/>
    </row>
    <row r="88" spans="1:13" x14ac:dyDescent="0.2">
      <c r="A88" s="356"/>
      <c r="B88" s="388"/>
      <c r="C88" s="358"/>
      <c r="D88" s="358"/>
      <c r="E88" s="358"/>
      <c r="F88" s="358"/>
      <c r="G88" s="358"/>
      <c r="H88" s="355"/>
      <c r="I88" s="353"/>
      <c r="J88" s="353"/>
      <c r="K88" s="353"/>
      <c r="L88" s="353"/>
      <c r="M88" s="353"/>
    </row>
    <row r="89" spans="1:13" x14ac:dyDescent="0.2">
      <c r="A89" s="349" t="s">
        <v>335</v>
      </c>
      <c r="B89" s="387">
        <v>287.34635872973922</v>
      </c>
      <c r="C89" s="351">
        <v>1062.9900078624394</v>
      </c>
      <c r="D89" s="351">
        <v>0</v>
      </c>
      <c r="E89" s="351">
        <v>10.601986999999999</v>
      </c>
      <c r="F89" s="351">
        <v>488.86387001499997</v>
      </c>
      <c r="G89" s="351">
        <v>0</v>
      </c>
      <c r="H89" s="352">
        <v>1849.8022236071786</v>
      </c>
      <c r="I89" s="353"/>
      <c r="J89" s="353">
        <v>-492187925.9783653</v>
      </c>
      <c r="K89" s="353"/>
      <c r="L89" s="353"/>
      <c r="M89" s="353"/>
    </row>
    <row r="90" spans="1:13" x14ac:dyDescent="0.2">
      <c r="A90" s="354" t="s">
        <v>274</v>
      </c>
      <c r="B90" s="387"/>
      <c r="C90" s="351"/>
      <c r="D90" s="351"/>
      <c r="E90" s="351"/>
      <c r="F90" s="351"/>
      <c r="G90" s="351"/>
      <c r="H90" s="359"/>
      <c r="I90" s="353"/>
      <c r="J90" s="353"/>
      <c r="K90" s="353"/>
      <c r="L90" s="353"/>
      <c r="M90" s="353"/>
    </row>
    <row r="91" spans="1:13" x14ac:dyDescent="0.2">
      <c r="A91" s="356" t="s">
        <v>336</v>
      </c>
      <c r="B91" s="388">
        <v>20.647536239739249</v>
      </c>
      <c r="C91" s="358">
        <v>854.8211265052355</v>
      </c>
      <c r="D91" s="358">
        <v>0</v>
      </c>
      <c r="E91" s="358">
        <v>0</v>
      </c>
      <c r="F91" s="358">
        <v>250.6104606904</v>
      </c>
      <c r="G91" s="358">
        <v>0</v>
      </c>
      <c r="H91" s="359">
        <v>1126.0791234353746</v>
      </c>
      <c r="I91" s="353"/>
      <c r="J91" s="353"/>
      <c r="K91" s="353"/>
      <c r="L91" s="353"/>
      <c r="M91" s="353"/>
    </row>
    <row r="92" spans="1:13" x14ac:dyDescent="0.2">
      <c r="A92" s="356" t="s">
        <v>337</v>
      </c>
      <c r="B92" s="388">
        <v>0.20250873</v>
      </c>
      <c r="C92" s="358">
        <v>0.62236584000000006</v>
      </c>
      <c r="D92" s="358">
        <v>0</v>
      </c>
      <c r="E92" s="358">
        <v>0</v>
      </c>
      <c r="F92" s="358">
        <v>5.2899999999999996E-4</v>
      </c>
      <c r="G92" s="358">
        <v>0</v>
      </c>
      <c r="H92" s="359">
        <v>0.82540357000000009</v>
      </c>
      <c r="I92" s="353"/>
      <c r="J92" s="353"/>
      <c r="K92" s="353"/>
      <c r="L92" s="353"/>
      <c r="M92" s="353"/>
    </row>
    <row r="93" spans="1:13" x14ac:dyDescent="0.2">
      <c r="A93" s="356" t="s">
        <v>338</v>
      </c>
      <c r="B93" s="388">
        <v>0.34523763000000002</v>
      </c>
      <c r="C93" s="358">
        <v>77.834149449999998</v>
      </c>
      <c r="D93" s="358">
        <v>0</v>
      </c>
      <c r="E93" s="358">
        <v>0</v>
      </c>
      <c r="F93" s="358">
        <v>6.7423098400000006E-2</v>
      </c>
      <c r="G93" s="358">
        <v>0</v>
      </c>
      <c r="H93" s="359">
        <v>78.246810178399997</v>
      </c>
      <c r="I93" s="353"/>
      <c r="J93" s="353"/>
      <c r="K93" s="353"/>
      <c r="L93" s="353"/>
      <c r="M93" s="353"/>
    </row>
    <row r="94" spans="1:13" x14ac:dyDescent="0.2">
      <c r="A94" s="356" t="s">
        <v>339</v>
      </c>
      <c r="B94" s="388">
        <v>47.981881780000002</v>
      </c>
      <c r="C94" s="358">
        <v>27.17985071</v>
      </c>
      <c r="D94" s="358">
        <v>0</v>
      </c>
      <c r="E94" s="358">
        <v>3.532699</v>
      </c>
      <c r="F94" s="358">
        <v>3.1674653688000003</v>
      </c>
      <c r="G94" s="358">
        <v>0</v>
      </c>
      <c r="H94" s="359">
        <v>81.861896858799994</v>
      </c>
      <c r="I94" s="353"/>
      <c r="J94" s="353"/>
      <c r="K94" s="353"/>
      <c r="L94" s="353"/>
      <c r="M94" s="353"/>
    </row>
    <row r="95" spans="1:13" x14ac:dyDescent="0.2">
      <c r="A95" s="356" t="s">
        <v>340</v>
      </c>
      <c r="B95" s="388">
        <v>24.750167439999998</v>
      </c>
      <c r="C95" s="358">
        <v>24.853629220000002</v>
      </c>
      <c r="D95" s="358">
        <v>0</v>
      </c>
      <c r="E95" s="358">
        <v>2.8372039999999998</v>
      </c>
      <c r="F95" s="358">
        <v>61.933911690199999</v>
      </c>
      <c r="G95" s="358">
        <v>0</v>
      </c>
      <c r="H95" s="359">
        <v>114.37491235019999</v>
      </c>
      <c r="I95" s="353"/>
      <c r="J95" s="353"/>
      <c r="K95" s="353"/>
      <c r="L95" s="353"/>
      <c r="M95" s="353"/>
    </row>
    <row r="96" spans="1:13" x14ac:dyDescent="0.2">
      <c r="A96" s="356" t="s">
        <v>341</v>
      </c>
      <c r="B96" s="388">
        <v>44.805989729999993</v>
      </c>
      <c r="C96" s="358">
        <v>1.6159417200000001</v>
      </c>
      <c r="D96" s="358">
        <v>0</v>
      </c>
      <c r="E96" s="358">
        <v>0.46752700000000003</v>
      </c>
      <c r="F96" s="358">
        <v>11.332130347200001</v>
      </c>
      <c r="G96" s="358">
        <v>0</v>
      </c>
      <c r="H96" s="359">
        <v>58.221588797199992</v>
      </c>
      <c r="I96" s="353"/>
      <c r="J96" s="353"/>
      <c r="K96" s="353"/>
      <c r="L96" s="353"/>
      <c r="M96" s="353"/>
    </row>
    <row r="97" spans="1:13" x14ac:dyDescent="0.2">
      <c r="A97" s="356" t="s">
        <v>283</v>
      </c>
      <c r="B97" s="388">
        <v>148.61303718000002</v>
      </c>
      <c r="C97" s="358">
        <v>76.062944417203497</v>
      </c>
      <c r="D97" s="358">
        <v>0</v>
      </c>
      <c r="E97" s="358">
        <v>3.7645569999999999</v>
      </c>
      <c r="F97" s="358">
        <v>161.75194981999999</v>
      </c>
      <c r="G97" s="358">
        <v>0</v>
      </c>
      <c r="H97" s="359">
        <v>390.19248841720355</v>
      </c>
      <c r="I97" s="353"/>
      <c r="J97" s="353"/>
      <c r="K97" s="353"/>
      <c r="L97" s="353"/>
      <c r="M97" s="353"/>
    </row>
    <row r="98" spans="1:13" x14ac:dyDescent="0.2">
      <c r="A98" s="356"/>
      <c r="B98" s="388"/>
      <c r="C98" s="358"/>
      <c r="D98" s="358"/>
      <c r="E98" s="358"/>
      <c r="F98" s="358"/>
      <c r="G98" s="358"/>
      <c r="H98" s="359"/>
      <c r="I98" s="353"/>
      <c r="J98" s="353"/>
      <c r="K98" s="353"/>
      <c r="L98" s="353"/>
      <c r="M98" s="353"/>
    </row>
    <row r="99" spans="1:13" x14ac:dyDescent="0.2">
      <c r="A99" s="349" t="s">
        <v>342</v>
      </c>
      <c r="B99" s="387">
        <v>3377.1345287103463</v>
      </c>
      <c r="C99" s="351">
        <v>18404.957038191897</v>
      </c>
      <c r="D99" s="351">
        <v>51.184418799999996</v>
      </c>
      <c r="E99" s="351">
        <v>20.731228000000002</v>
      </c>
      <c r="F99" s="351">
        <v>3441.8448831195269</v>
      </c>
      <c r="G99" s="351">
        <v>913.39840249559995</v>
      </c>
      <c r="H99" s="352">
        <v>26209.250499317372</v>
      </c>
      <c r="I99" s="353"/>
      <c r="J99" s="353">
        <v>-13343666313.261974</v>
      </c>
      <c r="K99" s="353"/>
      <c r="L99" s="353"/>
      <c r="M99" s="353"/>
    </row>
    <row r="100" spans="1:13" x14ac:dyDescent="0.2">
      <c r="A100" s="354" t="s">
        <v>274</v>
      </c>
      <c r="B100" s="387"/>
      <c r="C100" s="351"/>
      <c r="D100" s="351"/>
      <c r="E100" s="351"/>
      <c r="F100" s="351"/>
      <c r="G100" s="351"/>
      <c r="H100" s="359"/>
      <c r="I100" s="353"/>
      <c r="J100" s="353"/>
      <c r="K100" s="353"/>
      <c r="L100" s="353"/>
      <c r="M100" s="353"/>
    </row>
    <row r="101" spans="1:13" x14ac:dyDescent="0.2">
      <c r="A101" s="356" t="s">
        <v>343</v>
      </c>
      <c r="B101" s="388">
        <v>8.8287626299999982</v>
      </c>
      <c r="C101" s="358">
        <v>52.849036929999997</v>
      </c>
      <c r="D101" s="358">
        <v>0</v>
      </c>
      <c r="E101" s="358">
        <v>0</v>
      </c>
      <c r="F101" s="358">
        <v>10.957443</v>
      </c>
      <c r="G101" s="358">
        <v>28.268000000000001</v>
      </c>
      <c r="H101" s="359">
        <v>100.90324256</v>
      </c>
      <c r="I101" s="353"/>
      <c r="J101" s="353"/>
      <c r="K101" s="353"/>
      <c r="L101" s="353"/>
      <c r="M101" s="353"/>
    </row>
    <row r="102" spans="1:13" x14ac:dyDescent="0.2">
      <c r="A102" s="356" t="s">
        <v>344</v>
      </c>
      <c r="B102" s="388">
        <v>22.431227590000002</v>
      </c>
      <c r="C102" s="358">
        <v>509.71269002999998</v>
      </c>
      <c r="D102" s="358">
        <v>0</v>
      </c>
      <c r="E102" s="358">
        <v>0</v>
      </c>
      <c r="F102" s="358">
        <v>0.65956033309999995</v>
      </c>
      <c r="G102" s="358">
        <v>125.12975</v>
      </c>
      <c r="H102" s="359">
        <v>657.93322795309996</v>
      </c>
      <c r="I102" s="353"/>
      <c r="J102" s="353"/>
      <c r="K102" s="353"/>
      <c r="L102" s="353"/>
      <c r="M102" s="353"/>
    </row>
    <row r="103" spans="1:13" x14ac:dyDescent="0.2">
      <c r="A103" s="356" t="s">
        <v>345</v>
      </c>
      <c r="B103" s="388">
        <v>70.199956573546757</v>
      </c>
      <c r="C103" s="358">
        <v>2624.5866338010946</v>
      </c>
      <c r="D103" s="358">
        <v>0</v>
      </c>
      <c r="E103" s="358">
        <v>0</v>
      </c>
      <c r="F103" s="358">
        <v>213.23202828999999</v>
      </c>
      <c r="G103" s="358">
        <v>0</v>
      </c>
      <c r="H103" s="359">
        <v>2908.0186186646415</v>
      </c>
      <c r="I103" s="353"/>
      <c r="J103" s="353"/>
      <c r="K103" s="353"/>
      <c r="L103" s="353"/>
      <c r="M103" s="353"/>
    </row>
    <row r="104" spans="1:13" x14ac:dyDescent="0.2">
      <c r="A104" s="356" t="s">
        <v>346</v>
      </c>
      <c r="B104" s="388">
        <v>0.16520099999999999</v>
      </c>
      <c r="C104" s="358">
        <v>0.51411600000000002</v>
      </c>
      <c r="D104" s="358">
        <v>0</v>
      </c>
      <c r="E104" s="358">
        <v>0</v>
      </c>
      <c r="F104" s="358">
        <v>1.8252000000000001E-2</v>
      </c>
      <c r="G104" s="358">
        <v>0</v>
      </c>
      <c r="H104" s="359">
        <v>0.69756899999999999</v>
      </c>
      <c r="I104" s="353"/>
      <c r="J104" s="353"/>
      <c r="K104" s="353"/>
      <c r="L104" s="353"/>
      <c r="M104" s="353"/>
    </row>
    <row r="105" spans="1:13" x14ac:dyDescent="0.2">
      <c r="A105" s="356" t="s">
        <v>347</v>
      </c>
      <c r="B105" s="388">
        <v>254.73637977999999</v>
      </c>
      <c r="C105" s="358">
        <v>885.1340338760042</v>
      </c>
      <c r="D105" s="358">
        <v>0</v>
      </c>
      <c r="E105" s="358">
        <v>0</v>
      </c>
      <c r="F105" s="358">
        <v>575.01843495950004</v>
      </c>
      <c r="G105" s="358">
        <v>0</v>
      </c>
      <c r="H105" s="359">
        <v>1714.8888486155042</v>
      </c>
      <c r="I105" s="353"/>
      <c r="J105" s="353"/>
      <c r="K105" s="353"/>
      <c r="L105" s="353"/>
      <c r="M105" s="353"/>
    </row>
    <row r="106" spans="1:13" x14ac:dyDescent="0.2">
      <c r="A106" s="356" t="s">
        <v>348</v>
      </c>
      <c r="B106" s="388">
        <v>897.36893368999984</v>
      </c>
      <c r="C106" s="358">
        <v>6534.4760141199995</v>
      </c>
      <c r="D106" s="358">
        <v>0</v>
      </c>
      <c r="E106" s="358">
        <v>0</v>
      </c>
      <c r="F106" s="358">
        <v>1415.2232284394897</v>
      </c>
      <c r="G106" s="358">
        <v>338.56807400000002</v>
      </c>
      <c r="H106" s="359">
        <v>9185.6362502494903</v>
      </c>
      <c r="I106" s="353"/>
      <c r="J106" s="353"/>
      <c r="K106" s="353"/>
      <c r="L106" s="353"/>
      <c r="M106" s="353"/>
    </row>
    <row r="107" spans="1:13" x14ac:dyDescent="0.2">
      <c r="A107" s="356" t="s">
        <v>349</v>
      </c>
      <c r="B107" s="388">
        <v>0.12938908999999998</v>
      </c>
      <c r="C107" s="358">
        <v>45.508474840000005</v>
      </c>
      <c r="D107" s="358">
        <v>0</v>
      </c>
      <c r="E107" s="358">
        <v>0</v>
      </c>
      <c r="F107" s="358">
        <v>1.5478840000000001E-2</v>
      </c>
      <c r="G107" s="358">
        <v>84.723581999999993</v>
      </c>
      <c r="H107" s="359">
        <v>130.37692476999999</v>
      </c>
      <c r="I107" s="353"/>
      <c r="J107" s="353"/>
      <c r="K107" s="353"/>
      <c r="L107" s="353"/>
      <c r="M107" s="353"/>
    </row>
    <row r="108" spans="1:13" x14ac:dyDescent="0.2">
      <c r="A108" s="356" t="s">
        <v>283</v>
      </c>
      <c r="B108" s="388">
        <v>2123.2746783568</v>
      </c>
      <c r="C108" s="358">
        <v>7752.1760385948</v>
      </c>
      <c r="D108" s="358">
        <v>51.184418799999996</v>
      </c>
      <c r="E108" s="358">
        <v>20.731228000000002</v>
      </c>
      <c r="F108" s="358">
        <v>1226.7204572574369</v>
      </c>
      <c r="G108" s="358">
        <v>336.70899649559999</v>
      </c>
      <c r="H108" s="359">
        <v>11510.795817504637</v>
      </c>
      <c r="I108" s="353"/>
      <c r="J108" s="353"/>
      <c r="K108" s="353"/>
      <c r="L108" s="353"/>
      <c r="M108" s="353"/>
    </row>
    <row r="109" spans="1:13" x14ac:dyDescent="0.2">
      <c r="A109" s="349"/>
      <c r="B109" s="388"/>
      <c r="C109" s="358"/>
      <c r="D109" s="358"/>
      <c r="E109" s="358"/>
      <c r="F109" s="358"/>
      <c r="G109" s="358"/>
      <c r="H109" s="359"/>
      <c r="I109" s="353"/>
      <c r="J109" s="353"/>
      <c r="K109" s="353"/>
      <c r="L109" s="353"/>
      <c r="M109" s="353"/>
    </row>
    <row r="110" spans="1:13" x14ac:dyDescent="0.2">
      <c r="A110" s="349" t="s">
        <v>350</v>
      </c>
      <c r="B110" s="387">
        <v>272.29386017000002</v>
      </c>
      <c r="C110" s="351">
        <v>3550.9290860358883</v>
      </c>
      <c r="D110" s="351">
        <v>0</v>
      </c>
      <c r="E110" s="351">
        <v>46.812626999999999</v>
      </c>
      <c r="F110" s="351">
        <v>791.05400140960194</v>
      </c>
      <c r="G110" s="351">
        <v>0</v>
      </c>
      <c r="H110" s="352">
        <v>4661.0895746154902</v>
      </c>
      <c r="I110" s="353"/>
      <c r="J110" s="353">
        <v>-2832790214.7834396</v>
      </c>
      <c r="K110" s="353"/>
      <c r="L110" s="353"/>
      <c r="M110" s="353"/>
    </row>
    <row r="111" spans="1:13" x14ac:dyDescent="0.2">
      <c r="A111" s="354" t="s">
        <v>274</v>
      </c>
      <c r="B111" s="388"/>
      <c r="C111" s="358"/>
      <c r="D111" s="358"/>
      <c r="E111" s="358"/>
      <c r="F111" s="358"/>
      <c r="G111" s="358"/>
      <c r="H111" s="359"/>
      <c r="I111" s="353"/>
      <c r="J111" s="353"/>
      <c r="K111" s="353"/>
      <c r="L111" s="353"/>
      <c r="M111" s="353"/>
    </row>
    <row r="112" spans="1:13" x14ac:dyDescent="0.2">
      <c r="A112" s="356" t="s">
        <v>351</v>
      </c>
      <c r="B112" s="388">
        <v>0.17563630999999999</v>
      </c>
      <c r="C112" s="358">
        <v>245</v>
      </c>
      <c r="D112" s="358">
        <v>0</v>
      </c>
      <c r="E112" s="358">
        <v>0</v>
      </c>
      <c r="F112" s="358">
        <v>0.38870755000000001</v>
      </c>
      <c r="G112" s="358">
        <v>0</v>
      </c>
      <c r="H112" s="359">
        <v>245.56434385999998</v>
      </c>
      <c r="I112" s="353"/>
      <c r="J112" s="353"/>
      <c r="K112" s="353"/>
      <c r="L112" s="353"/>
      <c r="M112" s="353"/>
    </row>
    <row r="113" spans="1:13" x14ac:dyDescent="0.2">
      <c r="A113" s="356" t="s">
        <v>352</v>
      </c>
      <c r="B113" s="388">
        <v>4.0659000000000001E-2</v>
      </c>
      <c r="C113" s="358">
        <v>0</v>
      </c>
      <c r="D113" s="358">
        <v>0</v>
      </c>
      <c r="E113" s="358">
        <v>0</v>
      </c>
      <c r="F113" s="358">
        <v>0</v>
      </c>
      <c r="G113" s="358">
        <v>0</v>
      </c>
      <c r="H113" s="359">
        <v>4.0659000000000001E-2</v>
      </c>
      <c r="I113" s="353"/>
      <c r="J113" s="353"/>
      <c r="K113" s="353"/>
      <c r="L113" s="353"/>
      <c r="M113" s="353"/>
    </row>
    <row r="114" spans="1:13" x14ac:dyDescent="0.2">
      <c r="A114" s="356" t="s">
        <v>353</v>
      </c>
      <c r="B114" s="388">
        <v>97.306639480000001</v>
      </c>
      <c r="C114" s="358">
        <v>3048.9168744258882</v>
      </c>
      <c r="D114" s="358">
        <v>0</v>
      </c>
      <c r="E114" s="358">
        <v>0</v>
      </c>
      <c r="F114" s="358">
        <v>790.14736985960201</v>
      </c>
      <c r="G114" s="358">
        <v>0</v>
      </c>
      <c r="H114" s="359">
        <v>3936.3708837654899</v>
      </c>
      <c r="I114" s="353"/>
      <c r="J114" s="353"/>
      <c r="K114" s="353"/>
      <c r="L114" s="353"/>
      <c r="M114" s="353"/>
    </row>
    <row r="115" spans="1:13" x14ac:dyDescent="0.2">
      <c r="A115" s="356" t="s">
        <v>354</v>
      </c>
      <c r="B115" s="388">
        <v>39.77190178</v>
      </c>
      <c r="C115" s="358">
        <v>18.963691129999997</v>
      </c>
      <c r="D115" s="358">
        <v>0</v>
      </c>
      <c r="E115" s="358">
        <v>18.226565000000001</v>
      </c>
      <c r="F115" s="358">
        <v>0.40337299999999998</v>
      </c>
      <c r="G115" s="358">
        <v>0</v>
      </c>
      <c r="H115" s="359">
        <v>77.365530910000004</v>
      </c>
      <c r="I115" s="353"/>
      <c r="J115" s="353"/>
      <c r="K115" s="353"/>
      <c r="L115" s="353"/>
      <c r="M115" s="353"/>
    </row>
    <row r="116" spans="1:13" x14ac:dyDescent="0.2">
      <c r="A116" s="356" t="s">
        <v>355</v>
      </c>
      <c r="B116" s="388">
        <v>4.7037873000000001</v>
      </c>
      <c r="C116" s="358">
        <v>1.3159956499999999</v>
      </c>
      <c r="D116" s="358">
        <v>0</v>
      </c>
      <c r="E116" s="358">
        <v>0</v>
      </c>
      <c r="F116" s="358">
        <v>0</v>
      </c>
      <c r="G116" s="358">
        <v>0</v>
      </c>
      <c r="H116" s="359">
        <v>6.0197829499999997</v>
      </c>
      <c r="I116" s="353"/>
      <c r="J116" s="353"/>
      <c r="K116" s="353"/>
      <c r="L116" s="353"/>
      <c r="M116" s="353"/>
    </row>
    <row r="117" spans="1:13" x14ac:dyDescent="0.2">
      <c r="A117" s="356" t="s">
        <v>283</v>
      </c>
      <c r="B117" s="388">
        <v>130.2952363</v>
      </c>
      <c r="C117" s="358">
        <v>236.73252483000002</v>
      </c>
      <c r="D117" s="358">
        <v>0</v>
      </c>
      <c r="E117" s="358">
        <v>28.586061999999998</v>
      </c>
      <c r="F117" s="358">
        <v>0.114551</v>
      </c>
      <c r="G117" s="358">
        <v>0</v>
      </c>
      <c r="H117" s="359">
        <v>395.72837413000002</v>
      </c>
      <c r="I117" s="353"/>
      <c r="J117" s="353"/>
      <c r="K117" s="353"/>
      <c r="L117" s="353"/>
      <c r="M117" s="353"/>
    </row>
    <row r="118" spans="1:13" x14ac:dyDescent="0.2">
      <c r="A118" s="356"/>
      <c r="B118" s="387"/>
      <c r="C118" s="351"/>
      <c r="D118" s="351"/>
      <c r="E118" s="351"/>
      <c r="F118" s="351"/>
      <c r="G118" s="351"/>
      <c r="H118" s="355"/>
      <c r="I118" s="353"/>
      <c r="J118" s="353"/>
      <c r="K118" s="353"/>
      <c r="L118" s="353"/>
      <c r="M118" s="353"/>
    </row>
    <row r="119" spans="1:13" x14ac:dyDescent="0.2">
      <c r="A119" s="349" t="s">
        <v>356</v>
      </c>
      <c r="B119" s="387">
        <v>1.95E-2</v>
      </c>
      <c r="C119" s="351">
        <v>0</v>
      </c>
      <c r="D119" s="351">
        <v>0</v>
      </c>
      <c r="E119" s="351">
        <v>0</v>
      </c>
      <c r="F119" s="351">
        <v>0</v>
      </c>
      <c r="G119" s="351">
        <v>0</v>
      </c>
      <c r="H119" s="352">
        <v>1.95E-2</v>
      </c>
      <c r="I119" s="353"/>
      <c r="J119" s="353">
        <v>-27532664.370000005</v>
      </c>
      <c r="K119" s="353"/>
      <c r="L119" s="353"/>
      <c r="M119" s="353"/>
    </row>
    <row r="120" spans="1:13" x14ac:dyDescent="0.2">
      <c r="A120" s="349"/>
      <c r="B120" s="387"/>
      <c r="C120" s="351"/>
      <c r="D120" s="351"/>
      <c r="E120" s="351"/>
      <c r="F120" s="351"/>
      <c r="G120" s="351"/>
      <c r="H120" s="359"/>
      <c r="I120" s="353"/>
      <c r="J120" s="353"/>
      <c r="K120" s="353"/>
      <c r="L120" s="353"/>
      <c r="M120" s="353"/>
    </row>
    <row r="121" spans="1:13" x14ac:dyDescent="0.2">
      <c r="A121" s="349" t="s">
        <v>357</v>
      </c>
      <c r="B121" s="387">
        <v>282.86682611999998</v>
      </c>
      <c r="C121" s="351">
        <v>641.38999636357198</v>
      </c>
      <c r="D121" s="351">
        <v>0</v>
      </c>
      <c r="E121" s="351">
        <v>0</v>
      </c>
      <c r="F121" s="351">
        <v>1064.4094703845685</v>
      </c>
      <c r="G121" s="351">
        <v>3.4500741958618163E-7</v>
      </c>
      <c r="H121" s="352">
        <v>1988.666293213148</v>
      </c>
      <c r="I121" s="353"/>
      <c r="J121" s="353">
        <v>-2166092296.5259762</v>
      </c>
      <c r="K121" s="353"/>
      <c r="L121" s="353"/>
      <c r="M121" s="353"/>
    </row>
    <row r="122" spans="1:13" x14ac:dyDescent="0.2">
      <c r="A122" s="349"/>
      <c r="B122" s="387"/>
      <c r="C122" s="351"/>
      <c r="D122" s="351"/>
      <c r="E122" s="351"/>
      <c r="F122" s="351"/>
      <c r="G122" s="351"/>
      <c r="H122" s="352"/>
      <c r="I122" s="353"/>
      <c r="J122" s="353"/>
      <c r="K122" s="353"/>
      <c r="L122" s="353"/>
      <c r="M122" s="353"/>
    </row>
    <row r="123" spans="1:13" x14ac:dyDescent="0.2">
      <c r="A123" s="349" t="s">
        <v>358</v>
      </c>
      <c r="B123" s="387">
        <v>0</v>
      </c>
      <c r="C123" s="351">
        <v>0</v>
      </c>
      <c r="D123" s="351">
        <v>0</v>
      </c>
      <c r="E123" s="351">
        <v>0</v>
      </c>
      <c r="F123" s="351">
        <v>0</v>
      </c>
      <c r="G123" s="351">
        <v>0</v>
      </c>
      <c r="H123" s="352">
        <v>0</v>
      </c>
      <c r="I123" s="353">
        <f>SUM(B123:G123)</f>
        <v>0</v>
      </c>
      <c r="J123" s="353">
        <f>H123-I123</f>
        <v>0</v>
      </c>
      <c r="K123" s="353"/>
      <c r="L123" s="353"/>
      <c r="M123" s="353"/>
    </row>
    <row r="124" spans="1:13" x14ac:dyDescent="0.2">
      <c r="A124" s="349"/>
      <c r="B124" s="387"/>
      <c r="C124" s="351"/>
      <c r="D124" s="351"/>
      <c r="E124" s="351"/>
      <c r="F124" s="351"/>
      <c r="G124" s="351"/>
      <c r="H124" s="352"/>
      <c r="I124" s="353"/>
      <c r="J124" s="353"/>
      <c r="K124" s="353"/>
      <c r="L124" s="353"/>
      <c r="M124" s="353"/>
    </row>
    <row r="125" spans="1:13" x14ac:dyDescent="0.2">
      <c r="A125" s="349" t="s">
        <v>359</v>
      </c>
      <c r="B125" s="387">
        <v>1.3362999999999999E-3</v>
      </c>
      <c r="C125" s="351">
        <v>0</v>
      </c>
      <c r="D125" s="351">
        <v>0</v>
      </c>
      <c r="E125" s="351">
        <v>0</v>
      </c>
      <c r="F125" s="351">
        <v>0</v>
      </c>
      <c r="G125" s="351">
        <v>0</v>
      </c>
      <c r="H125" s="352">
        <v>1.3362999999999999E-3</v>
      </c>
      <c r="I125" s="353"/>
      <c r="J125" s="353">
        <v>0.50212699999999999</v>
      </c>
      <c r="K125" s="353"/>
      <c r="L125" s="353"/>
      <c r="M125" s="353"/>
    </row>
    <row r="126" spans="1:13" x14ac:dyDescent="0.2">
      <c r="A126" s="349"/>
      <c r="B126" s="387"/>
      <c r="C126" s="351"/>
      <c r="D126" s="351"/>
      <c r="E126" s="351"/>
      <c r="F126" s="351"/>
      <c r="G126" s="351"/>
      <c r="H126" s="352"/>
      <c r="I126" s="353"/>
      <c r="J126" s="353"/>
      <c r="K126" s="353"/>
      <c r="L126" s="353"/>
      <c r="M126" s="353"/>
    </row>
    <row r="127" spans="1:13" x14ac:dyDescent="0.2">
      <c r="A127" s="349" t="s">
        <v>360</v>
      </c>
      <c r="B127" s="387">
        <v>61.738300629999998</v>
      </c>
      <c r="C127" s="351">
        <v>53.619839339999999</v>
      </c>
      <c r="D127" s="351">
        <v>0</v>
      </c>
      <c r="E127" s="351">
        <v>30.375442</v>
      </c>
      <c r="F127" s="351">
        <v>209.71220657461001</v>
      </c>
      <c r="G127" s="351">
        <v>0</v>
      </c>
      <c r="H127" s="352">
        <v>355.44578854460997</v>
      </c>
      <c r="I127" s="353"/>
      <c r="J127" s="353">
        <v>-34246626.120000064</v>
      </c>
      <c r="K127" s="353"/>
      <c r="L127" s="353"/>
      <c r="M127" s="353"/>
    </row>
    <row r="128" spans="1:13" x14ac:dyDescent="0.2">
      <c r="A128" s="349"/>
      <c r="B128" s="387"/>
      <c r="C128" s="351"/>
      <c r="D128" s="351"/>
      <c r="E128" s="351"/>
      <c r="F128" s="351"/>
      <c r="G128" s="351"/>
      <c r="H128" s="352"/>
      <c r="I128" s="353"/>
      <c r="J128" s="353"/>
      <c r="K128" s="353"/>
      <c r="L128" s="353"/>
      <c r="M128" s="353"/>
    </row>
    <row r="129" spans="1:13" x14ac:dyDescent="0.2">
      <c r="A129" s="349" t="s">
        <v>361</v>
      </c>
      <c r="B129" s="387">
        <v>152.31444585</v>
      </c>
      <c r="C129" s="351">
        <v>276.36294050999999</v>
      </c>
      <c r="D129" s="351">
        <v>0</v>
      </c>
      <c r="E129" s="351">
        <v>0</v>
      </c>
      <c r="F129" s="351">
        <v>44.959613951899996</v>
      </c>
      <c r="G129" s="351">
        <v>0</v>
      </c>
      <c r="H129" s="352">
        <v>473.63700031190001</v>
      </c>
      <c r="I129" s="353"/>
      <c r="J129" s="353">
        <v>-27685929.775841292</v>
      </c>
      <c r="K129" s="353"/>
      <c r="L129" s="353"/>
      <c r="M129" s="353"/>
    </row>
    <row r="130" spans="1:13" x14ac:dyDescent="0.2">
      <c r="A130" s="349"/>
      <c r="B130" s="387"/>
      <c r="C130" s="351"/>
      <c r="D130" s="351"/>
      <c r="E130" s="351"/>
      <c r="F130" s="351"/>
      <c r="G130" s="351"/>
      <c r="H130" s="352"/>
      <c r="I130" s="353"/>
      <c r="J130" s="353"/>
      <c r="K130" s="353"/>
      <c r="L130" s="353"/>
      <c r="M130" s="353"/>
    </row>
    <row r="131" spans="1:13" x14ac:dyDescent="0.2">
      <c r="A131" s="349" t="s">
        <v>362</v>
      </c>
      <c r="B131" s="387">
        <v>0.21123865999999999</v>
      </c>
      <c r="C131" s="351">
        <v>0</v>
      </c>
      <c r="D131" s="351">
        <v>0</v>
      </c>
      <c r="E131" s="351">
        <v>0</v>
      </c>
      <c r="F131" s="351">
        <v>0</v>
      </c>
      <c r="G131" s="351">
        <v>0</v>
      </c>
      <c r="H131" s="352">
        <v>0.21123865999999999</v>
      </c>
      <c r="I131" s="353"/>
      <c r="J131" s="353">
        <v>-33465.022893820002</v>
      </c>
      <c r="K131" s="353"/>
      <c r="L131" s="353"/>
      <c r="M131" s="353"/>
    </row>
    <row r="132" spans="1:13" x14ac:dyDescent="0.2">
      <c r="A132" s="349"/>
      <c r="B132" s="387"/>
      <c r="C132" s="351"/>
      <c r="D132" s="351"/>
      <c r="E132" s="351"/>
      <c r="F132" s="351"/>
      <c r="G132" s="351"/>
      <c r="H132" s="359"/>
      <c r="I132" s="353"/>
      <c r="J132" s="353"/>
      <c r="K132" s="353"/>
      <c r="L132" s="353"/>
      <c r="M132" s="353"/>
    </row>
    <row r="133" spans="1:13" ht="15.75" x14ac:dyDescent="0.2">
      <c r="A133" s="349" t="s">
        <v>363</v>
      </c>
      <c r="B133" s="387">
        <v>4711.3266290268084</v>
      </c>
      <c r="C133" s="351">
        <v>21730.077228824997</v>
      </c>
      <c r="D133" s="351">
        <v>10.866318409999966</v>
      </c>
      <c r="E133" s="351">
        <v>14.440823999999999</v>
      </c>
      <c r="F133" s="351">
        <v>2621.1274700429694</v>
      </c>
      <c r="G133" s="351">
        <v>0</v>
      </c>
      <c r="H133" s="352">
        <v>29087.838470304778</v>
      </c>
      <c r="I133" s="353"/>
      <c r="J133" s="353">
        <v>-11342360686.827675</v>
      </c>
      <c r="K133" s="353"/>
      <c r="L133" s="353"/>
      <c r="M133" s="353"/>
    </row>
    <row r="134" spans="1:13" x14ac:dyDescent="0.2">
      <c r="A134" s="349"/>
      <c r="B134" s="387"/>
      <c r="C134" s="351"/>
      <c r="D134" s="351"/>
      <c r="E134" s="351"/>
      <c r="F134" s="351"/>
      <c r="G134" s="351"/>
      <c r="H134" s="359"/>
      <c r="I134" s="353">
        <f>SUM(B134:G134)</f>
        <v>0</v>
      </c>
      <c r="J134" s="353">
        <f>H134-I134</f>
        <v>0</v>
      </c>
      <c r="K134" s="353"/>
      <c r="L134" s="353"/>
      <c r="M134" s="353"/>
    </row>
    <row r="135" spans="1:13" ht="15.75" x14ac:dyDescent="0.2">
      <c r="A135" s="349" t="s">
        <v>364</v>
      </c>
      <c r="B135" s="387">
        <v>375.70006463419679</v>
      </c>
      <c r="C135" s="351">
        <v>843.59515744251473</v>
      </c>
      <c r="D135" s="351">
        <v>0.17074655</v>
      </c>
      <c r="E135" s="351">
        <v>13.806698000000001</v>
      </c>
      <c r="F135" s="351">
        <v>74.008242669563842</v>
      </c>
      <c r="G135" s="351">
        <v>0</v>
      </c>
      <c r="H135" s="352">
        <v>1307.2809092962755</v>
      </c>
      <c r="I135" s="353"/>
      <c r="J135" s="353">
        <v>32726518.659430504</v>
      </c>
      <c r="K135" s="353"/>
      <c r="L135" s="353"/>
      <c r="M135" s="353"/>
    </row>
    <row r="136" spans="1:13" x14ac:dyDescent="0.2">
      <c r="A136" s="349"/>
      <c r="B136" s="387"/>
      <c r="C136" s="351"/>
      <c r="D136" s="351"/>
      <c r="E136" s="351"/>
      <c r="F136" s="351"/>
      <c r="G136" s="351"/>
      <c r="H136" s="352"/>
      <c r="I136" s="353">
        <f>SUM(B136:G136)</f>
        <v>0</v>
      </c>
      <c r="J136" s="353">
        <f>H136-I136</f>
        <v>0</v>
      </c>
      <c r="K136" s="353"/>
      <c r="L136" s="353"/>
      <c r="M136" s="353"/>
    </row>
    <row r="137" spans="1:13" x14ac:dyDescent="0.2">
      <c r="A137" s="349" t="s">
        <v>365</v>
      </c>
      <c r="B137" s="387">
        <v>65.998216215199989</v>
      </c>
      <c r="C137" s="351">
        <v>1245.4313268266719</v>
      </c>
      <c r="D137" s="351">
        <v>0</v>
      </c>
      <c r="E137" s="351">
        <v>0</v>
      </c>
      <c r="F137" s="351">
        <v>23.995474421459999</v>
      </c>
      <c r="G137" s="351">
        <v>20.869580007896523</v>
      </c>
      <c r="H137" s="352">
        <v>1356.2945974712284</v>
      </c>
      <c r="I137" s="353">
        <f>SUM(B137:G137)</f>
        <v>1356.2945974712284</v>
      </c>
      <c r="J137" s="353">
        <f>H137-I137</f>
        <v>0</v>
      </c>
      <c r="K137" s="353"/>
      <c r="L137" s="353"/>
      <c r="M137" s="353"/>
    </row>
    <row r="138" spans="1:13" x14ac:dyDescent="0.2">
      <c r="A138" s="349"/>
      <c r="B138" s="387"/>
      <c r="C138" s="351"/>
      <c r="D138" s="351"/>
      <c r="E138" s="351"/>
      <c r="F138" s="351"/>
      <c r="G138" s="351"/>
      <c r="H138" s="352"/>
      <c r="I138" s="353"/>
      <c r="J138" s="353"/>
      <c r="K138" s="353"/>
      <c r="L138" s="353"/>
      <c r="M138" s="353"/>
    </row>
    <row r="139" spans="1:13" x14ac:dyDescent="0.2">
      <c r="A139" s="349" t="s">
        <v>366</v>
      </c>
      <c r="B139" s="387">
        <v>1.5494590500000001</v>
      </c>
      <c r="C139" s="351">
        <v>0</v>
      </c>
      <c r="D139" s="351">
        <v>0</v>
      </c>
      <c r="E139" s="351">
        <v>0</v>
      </c>
      <c r="F139" s="351">
        <v>0</v>
      </c>
      <c r="G139" s="351">
        <v>0</v>
      </c>
      <c r="H139" s="352">
        <v>1.5494590500000001</v>
      </c>
      <c r="I139" s="353">
        <f>SUM(B139:G139)</f>
        <v>1.5494590500000001</v>
      </c>
      <c r="J139" s="353">
        <f>H139-I139</f>
        <v>0</v>
      </c>
      <c r="K139" s="353"/>
      <c r="L139" s="353"/>
      <c r="M139" s="353"/>
    </row>
    <row r="140" spans="1:13" x14ac:dyDescent="0.2">
      <c r="A140" s="349"/>
      <c r="B140" s="387"/>
      <c r="C140" s="351"/>
      <c r="D140" s="351"/>
      <c r="E140" s="351"/>
      <c r="F140" s="351"/>
      <c r="G140" s="351"/>
      <c r="H140" s="352"/>
      <c r="I140" s="353"/>
      <c r="J140" s="353"/>
      <c r="K140" s="353"/>
      <c r="L140" s="353"/>
      <c r="M140" s="353"/>
    </row>
    <row r="141" spans="1:13" x14ac:dyDescent="0.2">
      <c r="A141" s="349" t="s">
        <v>367</v>
      </c>
      <c r="B141" s="387">
        <v>164.75018629000002</v>
      </c>
      <c r="C141" s="351">
        <v>816.81897035999987</v>
      </c>
      <c r="D141" s="351">
        <v>0</v>
      </c>
      <c r="E141" s="351">
        <v>4.9416599999999997</v>
      </c>
      <c r="F141" s="351">
        <v>0.71087262149999997</v>
      </c>
      <c r="G141" s="351">
        <v>0</v>
      </c>
      <c r="H141" s="389">
        <v>987.22168927149983</v>
      </c>
      <c r="I141" s="353">
        <f>SUM(B141:G141)</f>
        <v>987.22168927149983</v>
      </c>
      <c r="J141" s="353">
        <f>H141-I141</f>
        <v>0</v>
      </c>
      <c r="K141" s="353"/>
      <c r="L141" s="353"/>
      <c r="M141" s="353"/>
    </row>
    <row r="142" spans="1:13" x14ac:dyDescent="0.2">
      <c r="A142" s="349"/>
      <c r="B142" s="387"/>
      <c r="C142" s="351"/>
      <c r="D142" s="351"/>
      <c r="E142" s="351"/>
      <c r="F142" s="351"/>
      <c r="G142" s="351"/>
      <c r="H142" s="352"/>
      <c r="I142" s="353"/>
      <c r="J142" s="353"/>
      <c r="K142" s="353"/>
      <c r="L142" s="353"/>
      <c r="M142" s="353"/>
    </row>
    <row r="143" spans="1:13" x14ac:dyDescent="0.2">
      <c r="A143" s="349" t="s">
        <v>245</v>
      </c>
      <c r="B143" s="387">
        <v>574.15487769426966</v>
      </c>
      <c r="C143" s="351">
        <v>3213.5328633358858</v>
      </c>
      <c r="D143" s="351">
        <v>11.773530780000002</v>
      </c>
      <c r="E143" s="351">
        <v>45.575122569999998</v>
      </c>
      <c r="F143" s="351">
        <v>505.06360922077937</v>
      </c>
      <c r="G143" s="351">
        <v>3.8919999999999999</v>
      </c>
      <c r="H143" s="352">
        <v>4353.9920036009344</v>
      </c>
      <c r="I143" s="353">
        <f>SUM(B143:G143)</f>
        <v>4353.9920036009344</v>
      </c>
      <c r="J143" s="353">
        <f>H143-I143</f>
        <v>0</v>
      </c>
      <c r="K143" s="353"/>
      <c r="L143" s="353"/>
      <c r="M143" s="353"/>
    </row>
    <row r="144" spans="1:13" x14ac:dyDescent="0.2">
      <c r="A144" s="390"/>
      <c r="B144" s="387"/>
      <c r="C144" s="351"/>
      <c r="D144" s="351"/>
      <c r="E144" s="351"/>
      <c r="F144" s="351"/>
      <c r="G144" s="351"/>
      <c r="H144" s="352"/>
      <c r="I144" s="353"/>
      <c r="J144" s="353"/>
      <c r="K144" s="353"/>
      <c r="L144" s="353"/>
      <c r="M144" s="353"/>
    </row>
    <row r="145" spans="1:15" ht="13.5" thickBot="1" x14ac:dyDescent="0.25">
      <c r="A145" s="3024" t="s">
        <v>246</v>
      </c>
      <c r="B145" s="3025">
        <v>38909.49403199237</v>
      </c>
      <c r="C145" s="3026">
        <v>187871.91089055091</v>
      </c>
      <c r="D145" s="3026">
        <v>484.90044548000003</v>
      </c>
      <c r="E145" s="3026">
        <v>3949.2058149200006</v>
      </c>
      <c r="F145" s="3026">
        <v>49154.037970750614</v>
      </c>
      <c r="G145" s="3026">
        <v>3268.0250606231084</v>
      </c>
      <c r="H145" s="3027">
        <v>283637.57421431696</v>
      </c>
      <c r="I145" s="353"/>
      <c r="J145" s="353"/>
      <c r="K145" s="353"/>
      <c r="L145" s="353"/>
      <c r="M145" s="353"/>
    </row>
    <row r="146" spans="1:15" ht="18" x14ac:dyDescent="0.25">
      <c r="A146" s="391" t="s">
        <v>368</v>
      </c>
      <c r="B146" s="392"/>
      <c r="C146" s="392"/>
      <c r="D146" s="393" t="s">
        <v>239</v>
      </c>
      <c r="E146" s="392"/>
      <c r="F146" s="392"/>
      <c r="G146" s="392"/>
      <c r="H146" s="392"/>
      <c r="I146" s="353"/>
      <c r="J146" s="353"/>
      <c r="K146" s="353"/>
      <c r="L146" s="353"/>
    </row>
    <row r="147" spans="1:15" x14ac:dyDescent="0.2">
      <c r="A147" s="391" t="s">
        <v>369</v>
      </c>
      <c r="B147" s="368"/>
      <c r="C147" s="368"/>
      <c r="D147" s="368"/>
      <c r="E147" s="368"/>
      <c r="F147" s="368"/>
      <c r="G147" s="368"/>
      <c r="H147" s="366"/>
      <c r="I147" s="353"/>
      <c r="J147" s="353"/>
      <c r="K147" s="353"/>
      <c r="L147" s="353"/>
    </row>
    <row r="148" spans="1:15" x14ac:dyDescent="0.2">
      <c r="A148" s="394" t="s">
        <v>370</v>
      </c>
      <c r="B148" s="368"/>
      <c r="C148" s="368"/>
      <c r="D148" s="368"/>
      <c r="E148" s="368"/>
      <c r="F148" s="368"/>
      <c r="G148" s="368"/>
      <c r="H148" s="366"/>
      <c r="I148" s="353"/>
      <c r="J148" s="353"/>
      <c r="K148" s="353"/>
      <c r="L148" s="353"/>
    </row>
    <row r="149" spans="1:15" x14ac:dyDescent="0.2">
      <c r="A149" s="395" t="s">
        <v>179</v>
      </c>
      <c r="H149" s="353"/>
      <c r="I149" s="353"/>
      <c r="J149" s="353"/>
      <c r="K149" s="353"/>
      <c r="L149" s="353"/>
    </row>
    <row r="150" spans="1:15" x14ac:dyDescent="0.2">
      <c r="B150" s="353"/>
      <c r="C150" s="353"/>
      <c r="D150" s="353"/>
      <c r="E150" s="353"/>
      <c r="F150" s="353"/>
      <c r="G150" s="353"/>
      <c r="H150" s="353"/>
      <c r="I150" s="353"/>
      <c r="J150" s="353"/>
      <c r="K150" s="353"/>
      <c r="L150" s="353"/>
      <c r="M150" s="353"/>
      <c r="N150" s="353"/>
      <c r="O150" s="353"/>
    </row>
    <row r="151" spans="1:15" x14ac:dyDescent="0.2">
      <c r="B151" s="353"/>
      <c r="C151" s="353"/>
      <c r="D151" s="353"/>
      <c r="E151" s="353"/>
      <c r="F151" s="353"/>
      <c r="G151" s="353"/>
      <c r="I151" s="353"/>
      <c r="J151" s="353"/>
      <c r="K151" s="353"/>
      <c r="L151" s="353"/>
    </row>
    <row r="152" spans="1:15" x14ac:dyDescent="0.2">
      <c r="B152" s="353"/>
      <c r="C152" s="353"/>
      <c r="D152" s="353"/>
      <c r="E152" s="353"/>
      <c r="F152" s="353"/>
      <c r="G152" s="353"/>
      <c r="H152" s="353"/>
      <c r="I152" s="353"/>
      <c r="J152" s="353"/>
      <c r="K152" s="353"/>
      <c r="L152" s="353"/>
    </row>
    <row r="153" spans="1:15" x14ac:dyDescent="0.2">
      <c r="B153" s="353"/>
      <c r="H153" s="353"/>
      <c r="I153" s="353"/>
      <c r="J153" s="353"/>
      <c r="K153" s="353"/>
      <c r="L153" s="353"/>
    </row>
    <row r="154" spans="1:15" x14ac:dyDescent="0.2">
      <c r="I154" s="353"/>
      <c r="J154" s="353"/>
      <c r="K154" s="353"/>
      <c r="L154" s="353"/>
    </row>
    <row r="155" spans="1:15" x14ac:dyDescent="0.2">
      <c r="I155" s="353"/>
      <c r="J155" s="353"/>
      <c r="K155" s="353"/>
      <c r="L155" s="353"/>
    </row>
    <row r="156" spans="1:15" x14ac:dyDescent="0.2">
      <c r="I156" s="353"/>
      <c r="J156" s="353"/>
      <c r="K156" s="353"/>
      <c r="L156" s="353"/>
    </row>
    <row r="157" spans="1:15" x14ac:dyDescent="0.2">
      <c r="I157" s="353"/>
      <c r="J157" s="353"/>
      <c r="K157" s="353"/>
      <c r="L157" s="353"/>
    </row>
    <row r="158" spans="1:15" x14ac:dyDescent="0.2">
      <c r="I158" s="353"/>
      <c r="J158" s="353"/>
      <c r="K158" s="353"/>
      <c r="L158" s="353"/>
    </row>
    <row r="159" spans="1:15" x14ac:dyDescent="0.2">
      <c r="I159" s="353"/>
      <c r="J159" s="353"/>
      <c r="K159" s="353"/>
      <c r="L159" s="353"/>
    </row>
    <row r="160" spans="1:15" x14ac:dyDescent="0.2">
      <c r="I160" s="353"/>
      <c r="J160" s="353"/>
      <c r="K160" s="353"/>
      <c r="L160" s="353"/>
    </row>
    <row r="161" spans="9:12" x14ac:dyDescent="0.2">
      <c r="I161" s="353"/>
      <c r="J161" s="353"/>
      <c r="K161" s="353"/>
      <c r="L161" s="353"/>
    </row>
    <row r="162" spans="9:12" x14ac:dyDescent="0.2">
      <c r="I162" s="353"/>
      <c r="J162" s="353"/>
      <c r="K162" s="353"/>
      <c r="L162" s="353"/>
    </row>
    <row r="163" spans="9:12" x14ac:dyDescent="0.2">
      <c r="I163" s="353"/>
      <c r="J163" s="353"/>
      <c r="K163" s="353"/>
      <c r="L163" s="353"/>
    </row>
    <row r="164" spans="9:12" x14ac:dyDescent="0.2">
      <c r="I164" s="353"/>
      <c r="J164" s="353"/>
      <c r="K164" s="353"/>
      <c r="L164" s="353"/>
    </row>
    <row r="165" spans="9:12" x14ac:dyDescent="0.2">
      <c r="I165" s="353"/>
      <c r="J165" s="353"/>
      <c r="K165" s="353"/>
      <c r="L165" s="353"/>
    </row>
    <row r="166" spans="9:12" x14ac:dyDescent="0.2">
      <c r="I166" s="353"/>
      <c r="J166" s="353"/>
      <c r="K166" s="353"/>
    </row>
    <row r="167" spans="9:12" x14ac:dyDescent="0.2">
      <c r="I167" s="353"/>
      <c r="J167" s="353"/>
      <c r="K167" s="353"/>
    </row>
    <row r="168" spans="9:12" x14ac:dyDescent="0.2">
      <c r="I168" s="353"/>
      <c r="J168" s="353"/>
      <c r="K168" s="353"/>
    </row>
    <row r="169" spans="9:12" x14ac:dyDescent="0.2">
      <c r="I169" s="353"/>
      <c r="J169" s="353"/>
      <c r="K169" s="353"/>
    </row>
    <row r="170" spans="9:12" x14ac:dyDescent="0.2">
      <c r="I170" s="353"/>
      <c r="J170" s="353"/>
      <c r="K170" s="353"/>
    </row>
    <row r="171" spans="9:12" x14ac:dyDescent="0.2">
      <c r="I171" s="353"/>
      <c r="J171" s="353"/>
      <c r="K171" s="353"/>
    </row>
    <row r="172" spans="9:12" x14ac:dyDescent="0.2">
      <c r="I172" s="353"/>
      <c r="J172" s="353"/>
      <c r="K172" s="353"/>
    </row>
    <row r="173" spans="9:12" x14ac:dyDescent="0.2">
      <c r="I173" s="353"/>
      <c r="J173" s="353"/>
      <c r="K173" s="353"/>
    </row>
    <row r="174" spans="9:12" x14ac:dyDescent="0.2">
      <c r="I174" s="353"/>
      <c r="J174" s="353"/>
      <c r="K174" s="353"/>
    </row>
    <row r="175" spans="9:12" x14ac:dyDescent="0.2">
      <c r="I175" s="353"/>
      <c r="J175" s="353"/>
      <c r="K175" s="353"/>
    </row>
    <row r="176" spans="9:12" x14ac:dyDescent="0.2">
      <c r="I176" s="353"/>
      <c r="J176" s="353"/>
      <c r="K176" s="353"/>
    </row>
    <row r="177" spans="9:11" x14ac:dyDescent="0.2">
      <c r="I177" s="353"/>
      <c r="J177" s="353"/>
      <c r="K177" s="353"/>
    </row>
    <row r="178" spans="9:11" x14ac:dyDescent="0.2">
      <c r="I178" s="353"/>
      <c r="J178" s="353"/>
      <c r="K178" s="353"/>
    </row>
    <row r="179" spans="9:11" x14ac:dyDescent="0.2">
      <c r="I179" s="353"/>
      <c r="J179" s="353"/>
      <c r="K179" s="353"/>
    </row>
    <row r="180" spans="9:11" x14ac:dyDescent="0.2">
      <c r="I180" s="353"/>
      <c r="J180" s="353"/>
      <c r="K180" s="353"/>
    </row>
    <row r="181" spans="9:11" x14ac:dyDescent="0.2">
      <c r="I181" s="353"/>
      <c r="J181" s="353"/>
      <c r="K181" s="353"/>
    </row>
    <row r="182" spans="9:11" x14ac:dyDescent="0.2">
      <c r="I182" s="353"/>
      <c r="J182" s="353"/>
      <c r="K182" s="353"/>
    </row>
    <row r="183" spans="9:11" x14ac:dyDescent="0.2">
      <c r="I183" s="353"/>
      <c r="J183" s="353"/>
      <c r="K183" s="353"/>
    </row>
    <row r="184" spans="9:11" x14ac:dyDescent="0.2">
      <c r="I184" s="353"/>
      <c r="J184" s="353"/>
      <c r="K184" s="353"/>
    </row>
    <row r="185" spans="9:11" x14ac:dyDescent="0.2">
      <c r="I185" s="353"/>
      <c r="J185" s="353"/>
      <c r="K185" s="353"/>
    </row>
    <row r="186" spans="9:11" x14ac:dyDescent="0.2">
      <c r="I186" s="353"/>
      <c r="J186" s="353"/>
      <c r="K186" s="353"/>
    </row>
    <row r="187" spans="9:11" x14ac:dyDescent="0.2">
      <c r="I187" s="353"/>
      <c r="J187" s="353"/>
      <c r="K187" s="353"/>
    </row>
    <row r="188" spans="9:11" x14ac:dyDescent="0.2">
      <c r="I188" s="353"/>
      <c r="J188" s="353"/>
      <c r="K188" s="353"/>
    </row>
    <row r="189" spans="9:11" x14ac:dyDescent="0.2">
      <c r="I189" s="353"/>
      <c r="J189" s="353"/>
      <c r="K189" s="353"/>
    </row>
    <row r="190" spans="9:11" x14ac:dyDescent="0.2">
      <c r="I190" s="353"/>
      <c r="J190" s="353"/>
      <c r="K190" s="353"/>
    </row>
    <row r="191" spans="9:11" x14ac:dyDescent="0.2">
      <c r="I191" s="353"/>
      <c r="J191" s="353"/>
      <c r="K191" s="353"/>
    </row>
    <row r="192" spans="9:11" x14ac:dyDescent="0.2">
      <c r="I192" s="353"/>
      <c r="J192" s="353"/>
      <c r="K192" s="353"/>
    </row>
    <row r="193" spans="9:11" x14ac:dyDescent="0.2">
      <c r="I193" s="353"/>
      <c r="J193" s="353"/>
      <c r="K193" s="353"/>
    </row>
    <row r="194" spans="9:11" x14ac:dyDescent="0.2">
      <c r="I194" s="353"/>
      <c r="J194" s="353"/>
      <c r="K194" s="353"/>
    </row>
    <row r="195" spans="9:11" x14ac:dyDescent="0.2">
      <c r="I195" s="353"/>
      <c r="J195" s="353"/>
      <c r="K195" s="353"/>
    </row>
    <row r="196" spans="9:11" x14ac:dyDescent="0.2">
      <c r="I196" s="353"/>
      <c r="J196" s="353"/>
      <c r="K196" s="353"/>
    </row>
    <row r="197" spans="9:11" x14ac:dyDescent="0.2">
      <c r="I197" s="353"/>
      <c r="J197" s="353"/>
      <c r="K197" s="353"/>
    </row>
    <row r="198" spans="9:11" x14ac:dyDescent="0.2">
      <c r="I198" s="353"/>
      <c r="J198" s="353"/>
      <c r="K198" s="353"/>
    </row>
    <row r="199" spans="9:11" x14ac:dyDescent="0.2">
      <c r="I199" s="353"/>
      <c r="J199" s="353"/>
      <c r="K199" s="353"/>
    </row>
    <row r="200" spans="9:11" x14ac:dyDescent="0.2">
      <c r="I200" s="353"/>
      <c r="J200" s="353"/>
      <c r="K200" s="353"/>
    </row>
    <row r="201" spans="9:11" x14ac:dyDescent="0.2">
      <c r="I201" s="353"/>
      <c r="J201" s="353"/>
      <c r="K201" s="353"/>
    </row>
    <row r="202" spans="9:11" x14ac:dyDescent="0.2">
      <c r="I202" s="353"/>
      <c r="J202" s="353"/>
      <c r="K202" s="353"/>
    </row>
    <row r="203" spans="9:11" x14ac:dyDescent="0.2">
      <c r="I203" s="353"/>
      <c r="J203" s="353"/>
      <c r="K203" s="353"/>
    </row>
    <row r="204" spans="9:11" x14ac:dyDescent="0.2">
      <c r="I204" s="353"/>
      <c r="J204" s="353"/>
      <c r="K204" s="353"/>
    </row>
    <row r="205" spans="9:11" x14ac:dyDescent="0.2">
      <c r="I205" s="353"/>
      <c r="J205" s="353"/>
      <c r="K205" s="353"/>
    </row>
    <row r="206" spans="9:11" x14ac:dyDescent="0.2">
      <c r="I206" s="353"/>
      <c r="J206" s="353"/>
      <c r="K206" s="353"/>
    </row>
    <row r="207" spans="9:11" x14ac:dyDescent="0.2">
      <c r="I207" s="353"/>
      <c r="J207" s="353"/>
      <c r="K207" s="353"/>
    </row>
    <row r="208" spans="9:11" x14ac:dyDescent="0.2">
      <c r="I208" s="353"/>
      <c r="J208" s="353"/>
      <c r="K208" s="353"/>
    </row>
    <row r="209" spans="9:11" x14ac:dyDescent="0.2">
      <c r="I209" s="353"/>
      <c r="J209" s="353"/>
      <c r="K209" s="353"/>
    </row>
    <row r="210" spans="9:11" x14ac:dyDescent="0.2">
      <c r="I210" s="353"/>
      <c r="J210" s="353"/>
      <c r="K210" s="353"/>
    </row>
    <row r="211" spans="9:11" x14ac:dyDescent="0.2">
      <c r="I211" s="353"/>
      <c r="J211" s="353"/>
      <c r="K211" s="353"/>
    </row>
    <row r="212" spans="9:11" x14ac:dyDescent="0.2">
      <c r="I212" s="353"/>
      <c r="J212" s="353"/>
      <c r="K212" s="353"/>
    </row>
    <row r="213" spans="9:11" x14ac:dyDescent="0.2">
      <c r="I213" s="353"/>
      <c r="J213" s="353"/>
      <c r="K213" s="353"/>
    </row>
    <row r="214" spans="9:11" x14ac:dyDescent="0.2">
      <c r="I214" s="353"/>
      <c r="J214" s="353"/>
      <c r="K214" s="353"/>
    </row>
    <row r="215" spans="9:11" x14ac:dyDescent="0.2">
      <c r="I215" s="353"/>
      <c r="J215" s="353"/>
      <c r="K215" s="353"/>
    </row>
    <row r="216" spans="9:11" x14ac:dyDescent="0.2">
      <c r="I216" s="353"/>
      <c r="J216" s="353"/>
      <c r="K216" s="353"/>
    </row>
    <row r="217" spans="9:11" x14ac:dyDescent="0.2">
      <c r="I217" s="353"/>
      <c r="J217" s="353"/>
      <c r="K217" s="353"/>
    </row>
    <row r="218" spans="9:11" x14ac:dyDescent="0.2">
      <c r="I218" s="353"/>
      <c r="J218" s="353"/>
      <c r="K218" s="353"/>
    </row>
    <row r="219" spans="9:11" x14ac:dyDescent="0.2">
      <c r="I219" s="353"/>
      <c r="J219" s="353"/>
      <c r="K219" s="353"/>
    </row>
    <row r="220" spans="9:11" x14ac:dyDescent="0.2">
      <c r="I220" s="353"/>
      <c r="J220" s="353"/>
      <c r="K220" s="353"/>
    </row>
    <row r="221" spans="9:11" x14ac:dyDescent="0.2">
      <c r="I221" s="353"/>
      <c r="J221" s="353"/>
      <c r="K221" s="353"/>
    </row>
    <row r="222" spans="9:11" x14ac:dyDescent="0.2">
      <c r="I222" s="353"/>
      <c r="J222" s="353"/>
      <c r="K222" s="353"/>
    </row>
    <row r="223" spans="9:11" x14ac:dyDescent="0.2">
      <c r="I223" s="353"/>
      <c r="J223" s="353"/>
      <c r="K223" s="353"/>
    </row>
    <row r="224" spans="9:11" x14ac:dyDescent="0.2">
      <c r="I224" s="353"/>
      <c r="J224" s="353"/>
      <c r="K224" s="353"/>
    </row>
    <row r="225" spans="9:11" x14ac:dyDescent="0.2">
      <c r="I225" s="353"/>
      <c r="J225" s="353"/>
      <c r="K225" s="353"/>
    </row>
    <row r="226" spans="9:11" x14ac:dyDescent="0.2">
      <c r="I226" s="353"/>
      <c r="J226" s="353"/>
      <c r="K226" s="353"/>
    </row>
    <row r="227" spans="9:11" x14ac:dyDescent="0.2">
      <c r="I227" s="353"/>
      <c r="J227" s="353"/>
      <c r="K227" s="353"/>
    </row>
    <row r="228" spans="9:11" x14ac:dyDescent="0.2">
      <c r="I228" s="353"/>
      <c r="J228" s="353"/>
      <c r="K228" s="353"/>
    </row>
    <row r="229" spans="9:11" x14ac:dyDescent="0.2">
      <c r="I229" s="353"/>
      <c r="J229" s="353"/>
      <c r="K229" s="353"/>
    </row>
    <row r="230" spans="9:11" x14ac:dyDescent="0.2">
      <c r="I230" s="353"/>
      <c r="J230" s="353"/>
      <c r="K230" s="353"/>
    </row>
    <row r="231" spans="9:11" x14ac:dyDescent="0.2">
      <c r="I231" s="353"/>
      <c r="J231" s="353"/>
      <c r="K231" s="353"/>
    </row>
    <row r="232" spans="9:11" x14ac:dyDescent="0.2">
      <c r="I232" s="353"/>
      <c r="J232" s="353"/>
      <c r="K232" s="353"/>
    </row>
    <row r="233" spans="9:11" x14ac:dyDescent="0.2">
      <c r="I233" s="353"/>
      <c r="J233" s="353"/>
      <c r="K233" s="353"/>
    </row>
    <row r="234" spans="9:11" x14ac:dyDescent="0.2">
      <c r="I234" s="353"/>
      <c r="J234" s="353"/>
      <c r="K234" s="353"/>
    </row>
    <row r="235" spans="9:11" x14ac:dyDescent="0.2">
      <c r="I235" s="353"/>
      <c r="J235" s="353"/>
      <c r="K235" s="353"/>
    </row>
    <row r="236" spans="9:11" x14ac:dyDescent="0.2">
      <c r="I236" s="353"/>
      <c r="J236" s="353"/>
    </row>
    <row r="237" spans="9:11" x14ac:dyDescent="0.2">
      <c r="I237" s="353"/>
      <c r="J237" s="353"/>
    </row>
    <row r="238" spans="9:11" x14ac:dyDescent="0.2">
      <c r="I238" s="353"/>
      <c r="J238" s="353"/>
    </row>
    <row r="239" spans="9:11" x14ac:dyDescent="0.2">
      <c r="I239" s="353"/>
      <c r="J239" s="353"/>
    </row>
    <row r="240" spans="9:11" x14ac:dyDescent="0.2">
      <c r="I240" s="353"/>
      <c r="J240" s="353"/>
    </row>
    <row r="241" spans="9:10" x14ac:dyDescent="0.2">
      <c r="I241" s="353"/>
      <c r="J241" s="353"/>
    </row>
    <row r="242" spans="9:10" x14ac:dyDescent="0.2">
      <c r="I242" s="353"/>
      <c r="J242" s="353"/>
    </row>
    <row r="243" spans="9:10" x14ac:dyDescent="0.2">
      <c r="I243" s="353"/>
      <c r="J243" s="353"/>
    </row>
    <row r="244" spans="9:10" x14ac:dyDescent="0.2">
      <c r="I244" s="353"/>
      <c r="J244" s="353"/>
    </row>
    <row r="245" spans="9:10" x14ac:dyDescent="0.2">
      <c r="I245" s="353"/>
      <c r="J245" s="353"/>
    </row>
    <row r="246" spans="9:10" x14ac:dyDescent="0.2">
      <c r="I246" s="353"/>
      <c r="J246" s="353"/>
    </row>
    <row r="247" spans="9:10" x14ac:dyDescent="0.2">
      <c r="I247" s="353"/>
      <c r="J247" s="353"/>
    </row>
    <row r="248" spans="9:10" x14ac:dyDescent="0.2">
      <c r="I248" s="353"/>
      <c r="J248" s="353"/>
    </row>
    <row r="249" spans="9:10" x14ac:dyDescent="0.2">
      <c r="I249" s="353"/>
      <c r="J249" s="353"/>
    </row>
    <row r="250" spans="9:10" x14ac:dyDescent="0.2">
      <c r="I250" s="353"/>
      <c r="J250" s="353"/>
    </row>
    <row r="251" spans="9:10" x14ac:dyDescent="0.2">
      <c r="I251" s="353"/>
      <c r="J251" s="353"/>
    </row>
    <row r="252" spans="9:10" x14ac:dyDescent="0.2">
      <c r="I252" s="353"/>
      <c r="J252" s="353"/>
    </row>
    <row r="253" spans="9:10" x14ac:dyDescent="0.2">
      <c r="I253" s="353"/>
      <c r="J253" s="353"/>
    </row>
    <row r="254" spans="9:10" x14ac:dyDescent="0.2">
      <c r="I254" s="353"/>
      <c r="J254" s="353"/>
    </row>
    <row r="255" spans="9:10" x14ac:dyDescent="0.2">
      <c r="I255" s="353"/>
      <c r="J255" s="353"/>
    </row>
    <row r="256" spans="9:10" x14ac:dyDescent="0.2">
      <c r="I256" s="353"/>
      <c r="J256" s="353"/>
    </row>
    <row r="257" spans="9:10" x14ac:dyDescent="0.2">
      <c r="I257" s="353"/>
      <c r="J257" s="353"/>
    </row>
    <row r="258" spans="9:10" x14ac:dyDescent="0.2">
      <c r="I258" s="353"/>
      <c r="J258" s="353"/>
    </row>
    <row r="259" spans="9:10" x14ac:dyDescent="0.2">
      <c r="I259" s="353"/>
      <c r="J259" s="353"/>
    </row>
    <row r="260" spans="9:10" x14ac:dyDescent="0.2">
      <c r="I260" s="353"/>
      <c r="J260" s="353"/>
    </row>
    <row r="261" spans="9:10" x14ac:dyDescent="0.2">
      <c r="I261" s="353"/>
      <c r="J261" s="353"/>
    </row>
    <row r="262" spans="9:10" x14ac:dyDescent="0.2">
      <c r="I262" s="353"/>
      <c r="J262" s="353"/>
    </row>
    <row r="263" spans="9:10" x14ac:dyDescent="0.2">
      <c r="I263" s="353"/>
      <c r="J263" s="353"/>
    </row>
    <row r="264" spans="9:10" x14ac:dyDescent="0.2">
      <c r="I264" s="353"/>
      <c r="J264" s="353"/>
    </row>
    <row r="265" spans="9:10" x14ac:dyDescent="0.2">
      <c r="I265" s="353"/>
      <c r="J265" s="353"/>
    </row>
    <row r="266" spans="9:10" x14ac:dyDescent="0.2">
      <c r="I266" s="353"/>
      <c r="J266" s="353"/>
    </row>
    <row r="267" spans="9:10" x14ac:dyDescent="0.2">
      <c r="I267" s="353"/>
      <c r="J267" s="353"/>
    </row>
    <row r="268" spans="9:10" x14ac:dyDescent="0.2">
      <c r="I268" s="353"/>
      <c r="J268" s="353"/>
    </row>
    <row r="269" spans="9:10" x14ac:dyDescent="0.2">
      <c r="I269" s="353"/>
      <c r="J269" s="353"/>
    </row>
    <row r="270" spans="9:10" x14ac:dyDescent="0.2">
      <c r="I270" s="353"/>
      <c r="J270" s="353"/>
    </row>
    <row r="271" spans="9:10" x14ac:dyDescent="0.2">
      <c r="I271" s="353"/>
      <c r="J271" s="353"/>
    </row>
    <row r="272" spans="9:10" x14ac:dyDescent="0.2">
      <c r="I272" s="353"/>
      <c r="J272" s="353"/>
    </row>
    <row r="273" spans="9:10" x14ac:dyDescent="0.2">
      <c r="I273" s="353"/>
      <c r="J273" s="353"/>
    </row>
    <row r="274" spans="9:10" x14ac:dyDescent="0.2">
      <c r="I274" s="353"/>
      <c r="J274" s="353"/>
    </row>
    <row r="275" spans="9:10" x14ac:dyDescent="0.2">
      <c r="I275" s="353"/>
      <c r="J275" s="353"/>
    </row>
    <row r="276" spans="9:10" x14ac:dyDescent="0.2">
      <c r="I276" s="353"/>
      <c r="J276" s="353"/>
    </row>
    <row r="277" spans="9:10" x14ac:dyDescent="0.2">
      <c r="I277" s="353"/>
      <c r="J277" s="353"/>
    </row>
    <row r="278" spans="9:10" x14ac:dyDescent="0.2">
      <c r="I278" s="353"/>
      <c r="J278" s="353"/>
    </row>
    <row r="279" spans="9:10" x14ac:dyDescent="0.2">
      <c r="I279" s="353"/>
      <c r="J279" s="353"/>
    </row>
    <row r="280" spans="9:10" x14ac:dyDescent="0.2">
      <c r="I280" s="353"/>
      <c r="J280" s="353"/>
    </row>
    <row r="281" spans="9:10" x14ac:dyDescent="0.2">
      <c r="I281" s="353"/>
      <c r="J281" s="353"/>
    </row>
    <row r="282" spans="9:10" x14ac:dyDescent="0.2">
      <c r="I282" s="353"/>
      <c r="J282" s="353"/>
    </row>
    <row r="283" spans="9:10" x14ac:dyDescent="0.2">
      <c r="I283" s="353"/>
      <c r="J283" s="353"/>
    </row>
    <row r="284" spans="9:10" x14ac:dyDescent="0.2">
      <c r="I284" s="353"/>
      <c r="J284" s="353"/>
    </row>
    <row r="285" spans="9:10" x14ac:dyDescent="0.2">
      <c r="I285" s="353"/>
      <c r="J285" s="353"/>
    </row>
    <row r="286" spans="9:10" x14ac:dyDescent="0.2">
      <c r="I286" s="353"/>
      <c r="J286" s="353"/>
    </row>
    <row r="287" spans="9:10" x14ac:dyDescent="0.2">
      <c r="I287" s="353"/>
      <c r="J287" s="353"/>
    </row>
    <row r="288" spans="9:10" x14ac:dyDescent="0.2">
      <c r="I288" s="353"/>
      <c r="J288" s="353"/>
    </row>
    <row r="289" spans="9:10" x14ac:dyDescent="0.2">
      <c r="I289" s="353"/>
      <c r="J289" s="353"/>
    </row>
    <row r="290" spans="9:10" x14ac:dyDescent="0.2">
      <c r="I290" s="353"/>
      <c r="J290" s="353"/>
    </row>
    <row r="291" spans="9:10" x14ac:dyDescent="0.2">
      <c r="I291" s="353"/>
      <c r="J291" s="353"/>
    </row>
    <row r="292" spans="9:10" x14ac:dyDescent="0.2">
      <c r="I292" s="353"/>
      <c r="J292" s="353"/>
    </row>
    <row r="293" spans="9:10" x14ac:dyDescent="0.2">
      <c r="I293" s="353"/>
      <c r="J293" s="353"/>
    </row>
    <row r="294" spans="9:10" x14ac:dyDescent="0.2">
      <c r="I294" s="353"/>
      <c r="J294" s="353"/>
    </row>
    <row r="295" spans="9:10" x14ac:dyDescent="0.2">
      <c r="I295" s="353"/>
      <c r="J295" s="353"/>
    </row>
    <row r="296" spans="9:10" x14ac:dyDescent="0.2">
      <c r="I296" s="353"/>
      <c r="J296" s="353"/>
    </row>
    <row r="297" spans="9:10" x14ac:dyDescent="0.2">
      <c r="I297" s="353"/>
      <c r="J297" s="353"/>
    </row>
    <row r="298" spans="9:10" x14ac:dyDescent="0.2">
      <c r="I298" s="353"/>
      <c r="J298" s="353"/>
    </row>
    <row r="299" spans="9:10" x14ac:dyDescent="0.2">
      <c r="I299" s="353"/>
      <c r="J299" s="353"/>
    </row>
    <row r="300" spans="9:10" x14ac:dyDescent="0.2">
      <c r="I300" s="353"/>
      <c r="J300" s="353"/>
    </row>
    <row r="301" spans="9:10" x14ac:dyDescent="0.2">
      <c r="I301" s="353"/>
      <c r="J301" s="353"/>
    </row>
    <row r="302" spans="9:10" x14ac:dyDescent="0.2">
      <c r="I302" s="353"/>
      <c r="J302" s="353"/>
    </row>
    <row r="303" spans="9:10" x14ac:dyDescent="0.2">
      <c r="I303" s="353"/>
      <c r="J303" s="353"/>
    </row>
    <row r="304" spans="9:10" x14ac:dyDescent="0.2">
      <c r="I304" s="353"/>
      <c r="J304" s="353"/>
    </row>
    <row r="305" spans="9:10" x14ac:dyDescent="0.2">
      <c r="I305" s="353"/>
      <c r="J305" s="353"/>
    </row>
    <row r="306" spans="9:10" x14ac:dyDescent="0.2">
      <c r="I306" s="353"/>
      <c r="J306" s="353"/>
    </row>
    <row r="307" spans="9:10" x14ac:dyDescent="0.2">
      <c r="I307" s="353"/>
      <c r="J307" s="353"/>
    </row>
    <row r="308" spans="9:10" x14ac:dyDescent="0.2">
      <c r="I308" s="353"/>
      <c r="J308" s="353"/>
    </row>
    <row r="309" spans="9:10" x14ac:dyDescent="0.2">
      <c r="I309" s="353"/>
      <c r="J309" s="353"/>
    </row>
    <row r="310" spans="9:10" x14ac:dyDescent="0.2">
      <c r="I310" s="353"/>
      <c r="J310" s="353"/>
    </row>
    <row r="311" spans="9:10" x14ac:dyDescent="0.2">
      <c r="I311" s="353"/>
      <c r="J311" s="353"/>
    </row>
    <row r="312" spans="9:10" x14ac:dyDescent="0.2">
      <c r="I312" s="353"/>
      <c r="J312" s="353"/>
    </row>
    <row r="313" spans="9:10" x14ac:dyDescent="0.2">
      <c r="I313" s="353"/>
      <c r="J313" s="353"/>
    </row>
    <row r="314" spans="9:10" x14ac:dyDescent="0.2">
      <c r="I314" s="353"/>
      <c r="J314" s="353"/>
    </row>
    <row r="315" spans="9:10" x14ac:dyDescent="0.2">
      <c r="I315" s="353"/>
      <c r="J315" s="353"/>
    </row>
    <row r="316" spans="9:10" x14ac:dyDescent="0.2">
      <c r="I316" s="353"/>
      <c r="J316" s="353"/>
    </row>
    <row r="317" spans="9:10" x14ac:dyDescent="0.2">
      <c r="I317" s="353"/>
      <c r="J317" s="353"/>
    </row>
    <row r="318" spans="9:10" x14ac:dyDescent="0.2">
      <c r="I318" s="353"/>
      <c r="J318" s="353"/>
    </row>
    <row r="319" spans="9:10" x14ac:dyDescent="0.2">
      <c r="I319" s="353"/>
      <c r="J319" s="353"/>
    </row>
    <row r="320" spans="9:10" x14ac:dyDescent="0.2">
      <c r="I320" s="353"/>
      <c r="J320" s="353"/>
    </row>
    <row r="321" spans="9:10" x14ac:dyDescent="0.2">
      <c r="I321" s="353"/>
      <c r="J321" s="353"/>
    </row>
    <row r="322" spans="9:10" x14ac:dyDescent="0.2">
      <c r="I322" s="353"/>
      <c r="J322" s="353"/>
    </row>
    <row r="323" spans="9:10" x14ac:dyDescent="0.2">
      <c r="I323" s="353"/>
      <c r="J323" s="353"/>
    </row>
    <row r="324" spans="9:10" x14ac:dyDescent="0.2">
      <c r="I324" s="353"/>
      <c r="J324" s="353"/>
    </row>
    <row r="325" spans="9:10" x14ac:dyDescent="0.2">
      <c r="I325" s="353"/>
      <c r="J325" s="353"/>
    </row>
    <row r="326" spans="9:10" x14ac:dyDescent="0.2">
      <c r="I326" s="353"/>
      <c r="J326" s="353"/>
    </row>
    <row r="327" spans="9:10" x14ac:dyDescent="0.2">
      <c r="I327" s="353"/>
      <c r="J327" s="353"/>
    </row>
    <row r="328" spans="9:10" x14ac:dyDescent="0.2">
      <c r="I328" s="353"/>
      <c r="J328" s="353"/>
    </row>
    <row r="329" spans="9:10" x14ac:dyDescent="0.2">
      <c r="I329" s="353"/>
      <c r="J329" s="353"/>
    </row>
    <row r="330" spans="9:10" x14ac:dyDescent="0.2">
      <c r="I330" s="353"/>
      <c r="J330" s="353"/>
    </row>
    <row r="331" spans="9:10" x14ac:dyDescent="0.2">
      <c r="I331" s="353"/>
      <c r="J331" s="353"/>
    </row>
    <row r="332" spans="9:10" x14ac:dyDescent="0.2">
      <c r="I332" s="353"/>
      <c r="J332" s="353"/>
    </row>
    <row r="333" spans="9:10" x14ac:dyDescent="0.2">
      <c r="I333" s="353"/>
      <c r="J333" s="353"/>
    </row>
    <row r="334" spans="9:10" x14ac:dyDescent="0.2">
      <c r="I334" s="353"/>
      <c r="J334" s="353"/>
    </row>
    <row r="335" spans="9:10" x14ac:dyDescent="0.2">
      <c r="I335" s="353"/>
      <c r="J335" s="353"/>
    </row>
    <row r="336" spans="9:10" x14ac:dyDescent="0.2">
      <c r="I336" s="353"/>
      <c r="J336" s="353"/>
    </row>
    <row r="337" spans="9:10" x14ac:dyDescent="0.2">
      <c r="I337" s="353"/>
      <c r="J337" s="353"/>
    </row>
    <row r="338" spans="9:10" x14ac:dyDescent="0.2">
      <c r="I338" s="353"/>
      <c r="J338" s="353"/>
    </row>
    <row r="339" spans="9:10" x14ac:dyDescent="0.2">
      <c r="I339" s="353"/>
      <c r="J339" s="353"/>
    </row>
    <row r="340" spans="9:10" x14ac:dyDescent="0.2">
      <c r="I340" s="353"/>
      <c r="J340" s="353"/>
    </row>
    <row r="341" spans="9:10" x14ac:dyDescent="0.2">
      <c r="I341" s="353"/>
      <c r="J341" s="353"/>
    </row>
    <row r="342" spans="9:10" x14ac:dyDescent="0.2">
      <c r="I342" s="353"/>
      <c r="J342" s="353"/>
    </row>
    <row r="343" spans="9:10" x14ac:dyDescent="0.2">
      <c r="I343" s="353"/>
      <c r="J343" s="353"/>
    </row>
    <row r="344" spans="9:10" x14ac:dyDescent="0.2">
      <c r="I344" s="353"/>
      <c r="J344" s="353"/>
    </row>
    <row r="345" spans="9:10" x14ac:dyDescent="0.2">
      <c r="I345" s="353"/>
      <c r="J345" s="353"/>
    </row>
    <row r="346" spans="9:10" x14ac:dyDescent="0.2">
      <c r="I346" s="353"/>
      <c r="J346" s="353"/>
    </row>
    <row r="347" spans="9:10" x14ac:dyDescent="0.2">
      <c r="I347" s="353"/>
      <c r="J347" s="353"/>
    </row>
    <row r="348" spans="9:10" x14ac:dyDescent="0.2">
      <c r="I348" s="353"/>
      <c r="J348" s="353"/>
    </row>
    <row r="349" spans="9:10" x14ac:dyDescent="0.2">
      <c r="I349" s="353"/>
      <c r="J349" s="353"/>
    </row>
    <row r="350" spans="9:10" x14ac:dyDescent="0.2">
      <c r="I350" s="353"/>
      <c r="J350" s="353"/>
    </row>
    <row r="351" spans="9:10" x14ac:dyDescent="0.2">
      <c r="I351" s="353"/>
      <c r="J351" s="353"/>
    </row>
    <row r="352" spans="9:10" x14ac:dyDescent="0.2">
      <c r="I352" s="353"/>
      <c r="J352" s="353"/>
    </row>
    <row r="353" spans="9:10" x14ac:dyDescent="0.2">
      <c r="I353" s="353"/>
      <c r="J353" s="353"/>
    </row>
    <row r="354" spans="9:10" x14ac:dyDescent="0.2">
      <c r="I354" s="353"/>
      <c r="J354" s="353"/>
    </row>
    <row r="355" spans="9:10" x14ac:dyDescent="0.2">
      <c r="I355" s="353"/>
      <c r="J355" s="353"/>
    </row>
    <row r="356" spans="9:10" x14ac:dyDescent="0.2">
      <c r="I356" s="353"/>
      <c r="J356" s="353"/>
    </row>
    <row r="357" spans="9:10" x14ac:dyDescent="0.2">
      <c r="I357" s="353"/>
      <c r="J357" s="353"/>
    </row>
    <row r="358" spans="9:10" x14ac:dyDescent="0.2">
      <c r="I358" s="353"/>
      <c r="J358" s="353"/>
    </row>
    <row r="359" spans="9:10" x14ac:dyDescent="0.2">
      <c r="I359" s="353"/>
      <c r="J359" s="353"/>
    </row>
    <row r="360" spans="9:10" x14ac:dyDescent="0.2">
      <c r="I360" s="353"/>
      <c r="J360" s="353"/>
    </row>
    <row r="361" spans="9:10" x14ac:dyDescent="0.2">
      <c r="I361" s="353"/>
      <c r="J361" s="353"/>
    </row>
    <row r="362" spans="9:10" x14ac:dyDescent="0.2">
      <c r="I362" s="353"/>
      <c r="J362" s="353"/>
    </row>
    <row r="363" spans="9:10" x14ac:dyDescent="0.2">
      <c r="I363" s="353"/>
      <c r="J363" s="353"/>
    </row>
    <row r="364" spans="9:10" x14ac:dyDescent="0.2">
      <c r="I364" s="353"/>
      <c r="J364" s="353"/>
    </row>
    <row r="365" spans="9:10" x14ac:dyDescent="0.2">
      <c r="I365" s="353"/>
      <c r="J365" s="353"/>
    </row>
    <row r="366" spans="9:10" x14ac:dyDescent="0.2">
      <c r="I366" s="353"/>
      <c r="J366" s="353"/>
    </row>
    <row r="367" spans="9:10" x14ac:dyDescent="0.2">
      <c r="I367" s="353"/>
      <c r="J367" s="353"/>
    </row>
    <row r="368" spans="9:10" x14ac:dyDescent="0.2">
      <c r="I368" s="353"/>
      <c r="J368" s="353"/>
    </row>
    <row r="369" spans="9:10" x14ac:dyDescent="0.2">
      <c r="I369" s="353"/>
      <c r="J369" s="353"/>
    </row>
    <row r="370" spans="9:10" x14ac:dyDescent="0.2">
      <c r="I370" s="353"/>
      <c r="J370" s="353"/>
    </row>
    <row r="371" spans="9:10" x14ac:dyDescent="0.2">
      <c r="I371" s="353"/>
      <c r="J371" s="353"/>
    </row>
    <row r="372" spans="9:10" x14ac:dyDescent="0.2">
      <c r="I372" s="353"/>
      <c r="J372" s="353"/>
    </row>
    <row r="373" spans="9:10" x14ac:dyDescent="0.2">
      <c r="I373" s="353"/>
      <c r="J373" s="353"/>
    </row>
    <row r="374" spans="9:10" x14ac:dyDescent="0.2">
      <c r="I374" s="353"/>
      <c r="J374" s="353"/>
    </row>
    <row r="375" spans="9:10" x14ac:dyDescent="0.2">
      <c r="I375" s="353"/>
      <c r="J375" s="353"/>
    </row>
    <row r="376" spans="9:10" x14ac:dyDescent="0.2">
      <c r="I376" s="353"/>
      <c r="J376" s="353"/>
    </row>
    <row r="377" spans="9:10" x14ac:dyDescent="0.2">
      <c r="I377" s="353"/>
      <c r="J377" s="353"/>
    </row>
    <row r="378" spans="9:10" x14ac:dyDescent="0.2">
      <c r="I378" s="353"/>
      <c r="J378" s="353"/>
    </row>
    <row r="379" spans="9:10" x14ac:dyDescent="0.2">
      <c r="I379" s="353"/>
      <c r="J379" s="353"/>
    </row>
    <row r="380" spans="9:10" x14ac:dyDescent="0.2">
      <c r="I380" s="353"/>
      <c r="J380" s="353"/>
    </row>
    <row r="381" spans="9:10" x14ac:dyDescent="0.2">
      <c r="I381" s="353"/>
      <c r="J381" s="353"/>
    </row>
    <row r="382" spans="9:10" x14ac:dyDescent="0.2">
      <c r="I382" s="353"/>
      <c r="J382" s="353"/>
    </row>
    <row r="383" spans="9:10" x14ac:dyDescent="0.2">
      <c r="I383" s="353"/>
      <c r="J383" s="353"/>
    </row>
    <row r="384" spans="9:10" x14ac:dyDescent="0.2">
      <c r="I384" s="353"/>
      <c r="J384" s="353"/>
    </row>
    <row r="385" spans="9:10" x14ac:dyDescent="0.2">
      <c r="I385" s="353"/>
      <c r="J385" s="353"/>
    </row>
    <row r="386" spans="9:10" x14ac:dyDescent="0.2">
      <c r="I386" s="353"/>
      <c r="J386" s="353"/>
    </row>
    <row r="387" spans="9:10" x14ac:dyDescent="0.2">
      <c r="I387" s="353"/>
      <c r="J387" s="353"/>
    </row>
    <row r="388" spans="9:10" x14ac:dyDescent="0.2">
      <c r="I388" s="353"/>
      <c r="J388" s="353"/>
    </row>
    <row r="389" spans="9:10" x14ac:dyDescent="0.2">
      <c r="I389" s="353"/>
      <c r="J389" s="353"/>
    </row>
    <row r="390" spans="9:10" x14ac:dyDescent="0.2">
      <c r="I390" s="353"/>
      <c r="J390" s="353"/>
    </row>
    <row r="391" spans="9:10" x14ac:dyDescent="0.2">
      <c r="I391" s="353"/>
      <c r="J391" s="353"/>
    </row>
    <row r="392" spans="9:10" x14ac:dyDescent="0.2">
      <c r="I392" s="353"/>
      <c r="J392" s="353"/>
    </row>
    <row r="393" spans="9:10" x14ac:dyDescent="0.2">
      <c r="I393" s="353"/>
      <c r="J393" s="353"/>
    </row>
    <row r="394" spans="9:10" x14ac:dyDescent="0.2">
      <c r="I394" s="353"/>
      <c r="J394" s="353"/>
    </row>
    <row r="395" spans="9:10" x14ac:dyDescent="0.2">
      <c r="I395" s="353"/>
      <c r="J395" s="353"/>
    </row>
    <row r="396" spans="9:10" x14ac:dyDescent="0.2">
      <c r="I396" s="353"/>
      <c r="J396" s="353"/>
    </row>
    <row r="397" spans="9:10" x14ac:dyDescent="0.2">
      <c r="I397" s="353"/>
      <c r="J397" s="353"/>
    </row>
    <row r="398" spans="9:10" x14ac:dyDescent="0.2">
      <c r="I398" s="353"/>
      <c r="J398" s="353"/>
    </row>
    <row r="399" spans="9:10" x14ac:dyDescent="0.2">
      <c r="I399" s="353"/>
      <c r="J399" s="353"/>
    </row>
    <row r="400" spans="9:10" x14ac:dyDescent="0.2">
      <c r="I400" s="353"/>
      <c r="J400" s="353"/>
    </row>
    <row r="401" spans="9:10" x14ac:dyDescent="0.2">
      <c r="I401" s="353"/>
      <c r="J401" s="353"/>
    </row>
    <row r="402" spans="9:10" x14ac:dyDescent="0.2">
      <c r="I402" s="353"/>
      <c r="J402" s="353"/>
    </row>
    <row r="403" spans="9:10" x14ac:dyDescent="0.2">
      <c r="I403" s="353"/>
      <c r="J403" s="353"/>
    </row>
    <row r="404" spans="9:10" x14ac:dyDescent="0.2">
      <c r="I404" s="353"/>
      <c r="J404" s="353"/>
    </row>
    <row r="405" spans="9:10" x14ac:dyDescent="0.2">
      <c r="I405" s="353"/>
      <c r="J405" s="353"/>
    </row>
    <row r="406" spans="9:10" x14ac:dyDescent="0.2">
      <c r="I406" s="353"/>
      <c r="J406" s="353"/>
    </row>
    <row r="407" spans="9:10" x14ac:dyDescent="0.2">
      <c r="I407" s="353"/>
      <c r="J407" s="353"/>
    </row>
    <row r="408" spans="9:10" x14ac:dyDescent="0.2">
      <c r="I408" s="353"/>
      <c r="J408" s="353"/>
    </row>
    <row r="409" spans="9:10" x14ac:dyDescent="0.2">
      <c r="I409" s="353"/>
      <c r="J409" s="353"/>
    </row>
    <row r="410" spans="9:10" x14ac:dyDescent="0.2">
      <c r="I410" s="353"/>
      <c r="J410" s="353"/>
    </row>
    <row r="411" spans="9:10" x14ac:dyDescent="0.2">
      <c r="I411" s="353"/>
      <c r="J411" s="353"/>
    </row>
    <row r="412" spans="9:10" x14ac:dyDescent="0.2">
      <c r="I412" s="353"/>
      <c r="J412" s="353"/>
    </row>
    <row r="413" spans="9:10" x14ac:dyDescent="0.2">
      <c r="I413" s="353"/>
      <c r="J413" s="353"/>
    </row>
    <row r="414" spans="9:10" x14ac:dyDescent="0.2">
      <c r="I414" s="353"/>
      <c r="J414" s="353"/>
    </row>
    <row r="415" spans="9:10" x14ac:dyDescent="0.2">
      <c r="I415" s="353"/>
      <c r="J415" s="353"/>
    </row>
    <row r="416" spans="9:10" x14ac:dyDescent="0.2">
      <c r="I416" s="353"/>
      <c r="J416" s="353"/>
    </row>
    <row r="417" spans="9:10" x14ac:dyDescent="0.2">
      <c r="I417" s="353"/>
      <c r="J417" s="353"/>
    </row>
    <row r="418" spans="9:10" x14ac:dyDescent="0.2">
      <c r="I418" s="353"/>
      <c r="J418" s="353"/>
    </row>
    <row r="419" spans="9:10" x14ac:dyDescent="0.2">
      <c r="I419" s="353"/>
      <c r="J419" s="353"/>
    </row>
    <row r="420" spans="9:10" x14ac:dyDescent="0.2">
      <c r="I420" s="353"/>
      <c r="J420" s="353"/>
    </row>
    <row r="421" spans="9:10" x14ac:dyDescent="0.2">
      <c r="I421" s="353"/>
      <c r="J421" s="353"/>
    </row>
    <row r="422" spans="9:10" x14ac:dyDescent="0.2">
      <c r="I422" s="353"/>
      <c r="J422" s="353"/>
    </row>
    <row r="423" spans="9:10" x14ac:dyDescent="0.2">
      <c r="I423" s="353"/>
      <c r="J423" s="353"/>
    </row>
    <row r="424" spans="9:10" x14ac:dyDescent="0.2">
      <c r="I424" s="353"/>
      <c r="J424" s="353"/>
    </row>
    <row r="425" spans="9:10" x14ac:dyDescent="0.2">
      <c r="I425" s="353"/>
      <c r="J425" s="353"/>
    </row>
    <row r="426" spans="9:10" x14ac:dyDescent="0.2">
      <c r="I426" s="353"/>
      <c r="J426" s="353"/>
    </row>
    <row r="427" spans="9:10" x14ac:dyDescent="0.2">
      <c r="I427" s="353"/>
      <c r="J427" s="353"/>
    </row>
    <row r="428" spans="9:10" x14ac:dyDescent="0.2">
      <c r="I428" s="353"/>
      <c r="J428" s="353"/>
    </row>
    <row r="429" spans="9:10" x14ac:dyDescent="0.2">
      <c r="I429" s="353"/>
      <c r="J429" s="353"/>
    </row>
    <row r="430" spans="9:10" x14ac:dyDescent="0.2">
      <c r="I430" s="353"/>
      <c r="J430" s="353"/>
    </row>
    <row r="431" spans="9:10" x14ac:dyDescent="0.2">
      <c r="I431" s="353"/>
      <c r="J431" s="353"/>
    </row>
    <row r="432" spans="9:10" x14ac:dyDescent="0.2">
      <c r="I432" s="353"/>
      <c r="J432" s="353"/>
    </row>
    <row r="433" spans="9:10" x14ac:dyDescent="0.2">
      <c r="I433" s="353"/>
      <c r="J433" s="353"/>
    </row>
    <row r="434" spans="9:10" x14ac:dyDescent="0.2">
      <c r="I434" s="353"/>
      <c r="J434" s="353"/>
    </row>
    <row r="435" spans="9:10" x14ac:dyDescent="0.2">
      <c r="I435" s="353"/>
      <c r="J435" s="353"/>
    </row>
    <row r="436" spans="9:10" x14ac:dyDescent="0.2">
      <c r="I436" s="353"/>
      <c r="J436" s="353"/>
    </row>
    <row r="437" spans="9:10" x14ac:dyDescent="0.2">
      <c r="I437" s="353"/>
      <c r="J437" s="353"/>
    </row>
    <row r="438" spans="9:10" x14ac:dyDescent="0.2">
      <c r="I438" s="353"/>
      <c r="J438" s="353"/>
    </row>
    <row r="439" spans="9:10" x14ac:dyDescent="0.2">
      <c r="I439" s="353"/>
      <c r="J439" s="353"/>
    </row>
    <row r="440" spans="9:10" x14ac:dyDescent="0.2">
      <c r="I440" s="353"/>
      <c r="J440" s="353"/>
    </row>
    <row r="441" spans="9:10" x14ac:dyDescent="0.2">
      <c r="I441" s="353"/>
      <c r="J441" s="353"/>
    </row>
    <row r="442" spans="9:10" x14ac:dyDescent="0.2">
      <c r="I442" s="353"/>
      <c r="J442" s="353"/>
    </row>
    <row r="443" spans="9:10" x14ac:dyDescent="0.2">
      <c r="I443" s="353"/>
      <c r="J443" s="353"/>
    </row>
    <row r="444" spans="9:10" x14ac:dyDescent="0.2">
      <c r="I444" s="353"/>
      <c r="J444" s="353"/>
    </row>
    <row r="445" spans="9:10" x14ac:dyDescent="0.2">
      <c r="I445" s="353"/>
      <c r="J445" s="353"/>
    </row>
    <row r="446" spans="9:10" x14ac:dyDescent="0.2">
      <c r="I446" s="353"/>
      <c r="J446" s="353"/>
    </row>
    <row r="447" spans="9:10" x14ac:dyDescent="0.2">
      <c r="I447" s="353"/>
      <c r="J447" s="353"/>
    </row>
    <row r="448" spans="9:10" x14ac:dyDescent="0.2">
      <c r="I448" s="353"/>
      <c r="J448" s="353"/>
    </row>
    <row r="449" spans="9:10" x14ac:dyDescent="0.2">
      <c r="I449" s="353"/>
      <c r="J449" s="353"/>
    </row>
    <row r="450" spans="9:10" x14ac:dyDescent="0.2">
      <c r="I450" s="353"/>
      <c r="J450" s="353"/>
    </row>
    <row r="451" spans="9:10" x14ac:dyDescent="0.2">
      <c r="I451" s="353"/>
      <c r="J451" s="353"/>
    </row>
    <row r="452" spans="9:10" x14ac:dyDescent="0.2">
      <c r="I452" s="353"/>
      <c r="J452" s="353"/>
    </row>
    <row r="453" spans="9:10" x14ac:dyDescent="0.2">
      <c r="I453" s="353"/>
      <c r="J453" s="353"/>
    </row>
    <row r="454" spans="9:10" x14ac:dyDescent="0.2">
      <c r="I454" s="353"/>
      <c r="J454" s="353"/>
    </row>
    <row r="455" spans="9:10" x14ac:dyDescent="0.2">
      <c r="I455" s="353"/>
      <c r="J455" s="353"/>
    </row>
    <row r="456" spans="9:10" x14ac:dyDescent="0.2">
      <c r="I456" s="353"/>
      <c r="J456" s="353"/>
    </row>
    <row r="457" spans="9:10" x14ac:dyDescent="0.2">
      <c r="I457" s="353"/>
      <c r="J457" s="353"/>
    </row>
    <row r="458" spans="9:10" x14ac:dyDescent="0.2">
      <c r="I458" s="353"/>
      <c r="J458" s="353"/>
    </row>
    <row r="459" spans="9:10" x14ac:dyDescent="0.2">
      <c r="I459" s="353"/>
      <c r="J459" s="353"/>
    </row>
    <row r="460" spans="9:10" x14ac:dyDescent="0.2">
      <c r="I460" s="353"/>
      <c r="J460" s="353"/>
    </row>
    <row r="461" spans="9:10" x14ac:dyDescent="0.2">
      <c r="I461" s="353"/>
      <c r="J461" s="353"/>
    </row>
    <row r="462" spans="9:10" x14ac:dyDescent="0.2">
      <c r="I462" s="353"/>
      <c r="J462" s="353"/>
    </row>
    <row r="463" spans="9:10" x14ac:dyDescent="0.2">
      <c r="I463" s="353"/>
      <c r="J463" s="353"/>
    </row>
    <row r="464" spans="9:10" x14ac:dyDescent="0.2">
      <c r="I464" s="353"/>
      <c r="J464" s="353"/>
    </row>
    <row r="465" spans="9:10" x14ac:dyDescent="0.2">
      <c r="I465" s="353"/>
      <c r="J465" s="353"/>
    </row>
    <row r="466" spans="9:10" x14ac:dyDescent="0.2">
      <c r="I466" s="353"/>
      <c r="J466" s="353"/>
    </row>
    <row r="467" spans="9:10" x14ac:dyDescent="0.2">
      <c r="I467" s="353"/>
      <c r="J467" s="353"/>
    </row>
    <row r="468" spans="9:10" x14ac:dyDescent="0.2">
      <c r="I468" s="353"/>
      <c r="J468" s="353"/>
    </row>
    <row r="469" spans="9:10" x14ac:dyDescent="0.2">
      <c r="I469" s="353"/>
      <c r="J469" s="353"/>
    </row>
    <row r="470" spans="9:10" x14ac:dyDescent="0.2">
      <c r="I470" s="353"/>
      <c r="J470" s="353"/>
    </row>
    <row r="471" spans="9:10" x14ac:dyDescent="0.2">
      <c r="I471" s="353"/>
      <c r="J471" s="353"/>
    </row>
    <row r="472" spans="9:10" x14ac:dyDescent="0.2">
      <c r="I472" s="353"/>
      <c r="J472" s="353"/>
    </row>
    <row r="473" spans="9:10" x14ac:dyDescent="0.2">
      <c r="I473" s="353"/>
      <c r="J473" s="353"/>
    </row>
    <row r="474" spans="9:10" x14ac:dyDescent="0.2">
      <c r="I474" s="353"/>
      <c r="J474" s="353"/>
    </row>
    <row r="475" spans="9:10" x14ac:dyDescent="0.2">
      <c r="I475" s="353"/>
      <c r="J475" s="353"/>
    </row>
    <row r="476" spans="9:10" x14ac:dyDescent="0.2">
      <c r="I476" s="353"/>
      <c r="J476" s="353"/>
    </row>
    <row r="477" spans="9:10" x14ac:dyDescent="0.2">
      <c r="I477" s="353"/>
      <c r="J477" s="353"/>
    </row>
    <row r="478" spans="9:10" x14ac:dyDescent="0.2">
      <c r="I478" s="353"/>
      <c r="J478" s="353"/>
    </row>
    <row r="479" spans="9:10" x14ac:dyDescent="0.2">
      <c r="I479" s="353"/>
      <c r="J479" s="353"/>
    </row>
    <row r="480" spans="9:10" x14ac:dyDescent="0.2">
      <c r="I480" s="353"/>
      <c r="J480" s="353"/>
    </row>
    <row r="481" spans="9:10" x14ac:dyDescent="0.2">
      <c r="I481" s="353"/>
      <c r="J481" s="353"/>
    </row>
    <row r="482" spans="9:10" x14ac:dyDescent="0.2">
      <c r="I482" s="353"/>
      <c r="J482" s="353"/>
    </row>
    <row r="483" spans="9:10" x14ac:dyDescent="0.2">
      <c r="I483" s="353"/>
      <c r="J483" s="353"/>
    </row>
    <row r="484" spans="9:10" x14ac:dyDescent="0.2">
      <c r="I484" s="353"/>
      <c r="J484" s="353"/>
    </row>
    <row r="485" spans="9:10" x14ac:dyDescent="0.2">
      <c r="I485" s="353"/>
      <c r="J485" s="353"/>
    </row>
    <row r="486" spans="9:10" x14ac:dyDescent="0.2">
      <c r="I486" s="353"/>
      <c r="J486" s="353"/>
    </row>
    <row r="487" spans="9:10" x14ac:dyDescent="0.2">
      <c r="I487" s="353"/>
      <c r="J487" s="353"/>
    </row>
    <row r="488" spans="9:10" x14ac:dyDescent="0.2">
      <c r="I488" s="353"/>
      <c r="J488" s="353"/>
    </row>
    <row r="489" spans="9:10" x14ac:dyDescent="0.2">
      <c r="I489" s="353"/>
      <c r="J489" s="353"/>
    </row>
    <row r="490" spans="9:10" x14ac:dyDescent="0.2">
      <c r="I490" s="353"/>
      <c r="J490" s="353"/>
    </row>
    <row r="491" spans="9:10" x14ac:dyDescent="0.2">
      <c r="I491" s="353"/>
      <c r="J491" s="353"/>
    </row>
    <row r="492" spans="9:10" x14ac:dyDescent="0.2">
      <c r="I492" s="353"/>
      <c r="J492" s="353"/>
    </row>
    <row r="493" spans="9:10" x14ac:dyDescent="0.2">
      <c r="I493" s="353"/>
      <c r="J493" s="353"/>
    </row>
    <row r="494" spans="9:10" x14ac:dyDescent="0.2">
      <c r="I494" s="353"/>
      <c r="J494" s="353"/>
    </row>
    <row r="495" spans="9:10" x14ac:dyDescent="0.2">
      <c r="I495" s="353"/>
      <c r="J495" s="353"/>
    </row>
    <row r="496" spans="9:10" x14ac:dyDescent="0.2">
      <c r="I496" s="353"/>
      <c r="J496" s="353"/>
    </row>
    <row r="497" spans="9:10" x14ac:dyDescent="0.2">
      <c r="I497" s="353"/>
      <c r="J497" s="353"/>
    </row>
    <row r="498" spans="9:10" x14ac:dyDescent="0.2">
      <c r="I498" s="353"/>
      <c r="J498" s="353"/>
    </row>
    <row r="499" spans="9:10" x14ac:dyDescent="0.2">
      <c r="I499" s="353"/>
      <c r="J499" s="353"/>
    </row>
    <row r="500" spans="9:10" x14ac:dyDescent="0.2">
      <c r="I500" s="353"/>
      <c r="J500" s="353"/>
    </row>
    <row r="501" spans="9:10" x14ac:dyDescent="0.2">
      <c r="I501" s="353"/>
      <c r="J501" s="353"/>
    </row>
    <row r="502" spans="9:10" x14ac:dyDescent="0.2">
      <c r="I502" s="353"/>
      <c r="J502" s="353"/>
    </row>
    <row r="503" spans="9:10" x14ac:dyDescent="0.2">
      <c r="I503" s="353"/>
      <c r="J503" s="353"/>
    </row>
    <row r="504" spans="9:10" x14ac:dyDescent="0.2">
      <c r="I504" s="353"/>
      <c r="J504" s="353"/>
    </row>
    <row r="505" spans="9:10" x14ac:dyDescent="0.2">
      <c r="I505" s="353"/>
      <c r="J505" s="353"/>
    </row>
    <row r="506" spans="9:10" x14ac:dyDescent="0.2">
      <c r="I506" s="353"/>
      <c r="J506" s="353"/>
    </row>
    <row r="507" spans="9:10" x14ac:dyDescent="0.2">
      <c r="I507" s="353"/>
      <c r="J507" s="353"/>
    </row>
    <row r="508" spans="9:10" x14ac:dyDescent="0.2">
      <c r="I508" s="353"/>
      <c r="J508" s="353"/>
    </row>
    <row r="509" spans="9:10" x14ac:dyDescent="0.2">
      <c r="I509" s="353"/>
      <c r="J509" s="353"/>
    </row>
    <row r="510" spans="9:10" x14ac:dyDescent="0.2">
      <c r="I510" s="353"/>
      <c r="J510" s="353"/>
    </row>
    <row r="511" spans="9:10" x14ac:dyDescent="0.2">
      <c r="I511" s="353"/>
      <c r="J511" s="353"/>
    </row>
    <row r="512" spans="9:10" x14ac:dyDescent="0.2">
      <c r="I512" s="353"/>
      <c r="J512" s="353"/>
    </row>
    <row r="513" spans="9:10" x14ac:dyDescent="0.2">
      <c r="I513" s="353"/>
      <c r="J513" s="353"/>
    </row>
    <row r="514" spans="9:10" x14ac:dyDescent="0.2">
      <c r="I514" s="353"/>
      <c r="J514" s="353"/>
    </row>
    <row r="515" spans="9:10" x14ac:dyDescent="0.2">
      <c r="I515" s="353"/>
      <c r="J515" s="353"/>
    </row>
    <row r="516" spans="9:10" x14ac:dyDescent="0.2">
      <c r="I516" s="353"/>
      <c r="J516" s="353"/>
    </row>
    <row r="517" spans="9:10" x14ac:dyDescent="0.2">
      <c r="I517" s="353"/>
      <c r="J517" s="353"/>
    </row>
    <row r="518" spans="9:10" x14ac:dyDescent="0.2">
      <c r="I518" s="353"/>
      <c r="J518" s="353"/>
    </row>
    <row r="519" spans="9:10" x14ac:dyDescent="0.2">
      <c r="I519" s="353"/>
      <c r="J519" s="353"/>
    </row>
    <row r="520" spans="9:10" x14ac:dyDescent="0.2">
      <c r="I520" s="353"/>
      <c r="J520" s="353"/>
    </row>
    <row r="521" spans="9:10" x14ac:dyDescent="0.2">
      <c r="I521" s="353"/>
      <c r="J521" s="353"/>
    </row>
    <row r="522" spans="9:10" x14ac:dyDescent="0.2">
      <c r="I522" s="353"/>
      <c r="J522" s="353"/>
    </row>
    <row r="523" spans="9:10" x14ac:dyDescent="0.2">
      <c r="I523" s="353"/>
      <c r="J523" s="353"/>
    </row>
    <row r="524" spans="9:10" x14ac:dyDescent="0.2">
      <c r="I524" s="353"/>
      <c r="J524" s="353"/>
    </row>
    <row r="525" spans="9:10" x14ac:dyDescent="0.2">
      <c r="I525" s="353"/>
      <c r="J525" s="353"/>
    </row>
    <row r="526" spans="9:10" x14ac:dyDescent="0.2">
      <c r="I526" s="353"/>
      <c r="J526" s="353"/>
    </row>
    <row r="527" spans="9:10" x14ac:dyDescent="0.2">
      <c r="I527" s="353"/>
      <c r="J527" s="353"/>
    </row>
    <row r="528" spans="9:10" x14ac:dyDescent="0.2">
      <c r="I528" s="353"/>
      <c r="J528" s="353"/>
    </row>
    <row r="529" spans="9:10" x14ac:dyDescent="0.2">
      <c r="I529" s="353"/>
      <c r="J529" s="353"/>
    </row>
    <row r="530" spans="9:10" x14ac:dyDescent="0.2">
      <c r="I530" s="353"/>
      <c r="J530" s="353"/>
    </row>
    <row r="531" spans="9:10" x14ac:dyDescent="0.2">
      <c r="I531" s="353"/>
      <c r="J531" s="353"/>
    </row>
    <row r="532" spans="9:10" x14ac:dyDescent="0.2">
      <c r="I532" s="353"/>
      <c r="J532" s="353"/>
    </row>
    <row r="533" spans="9:10" x14ac:dyDescent="0.2">
      <c r="I533" s="353"/>
      <c r="J533" s="353"/>
    </row>
    <row r="534" spans="9:10" x14ac:dyDescent="0.2">
      <c r="I534" s="353"/>
      <c r="J534" s="353"/>
    </row>
    <row r="535" spans="9:10" x14ac:dyDescent="0.2">
      <c r="I535" s="353"/>
      <c r="J535" s="353"/>
    </row>
    <row r="536" spans="9:10" x14ac:dyDescent="0.2">
      <c r="I536" s="353"/>
      <c r="J536" s="353"/>
    </row>
    <row r="537" spans="9:10" x14ac:dyDescent="0.2">
      <c r="I537" s="353"/>
      <c r="J537" s="353"/>
    </row>
    <row r="538" spans="9:10" x14ac:dyDescent="0.2">
      <c r="I538" s="353"/>
      <c r="J538" s="353"/>
    </row>
    <row r="539" spans="9:10" x14ac:dyDescent="0.2">
      <c r="I539" s="353"/>
      <c r="J539" s="353"/>
    </row>
    <row r="540" spans="9:10" x14ac:dyDescent="0.2">
      <c r="I540" s="353"/>
      <c r="J540" s="353"/>
    </row>
    <row r="541" spans="9:10" x14ac:dyDescent="0.2">
      <c r="I541" s="353"/>
      <c r="J541" s="353"/>
    </row>
    <row r="542" spans="9:10" x14ac:dyDescent="0.2">
      <c r="I542" s="353"/>
      <c r="J542" s="353"/>
    </row>
    <row r="543" spans="9:10" x14ac:dyDescent="0.2">
      <c r="I543" s="353"/>
      <c r="J543" s="353"/>
    </row>
    <row r="544" spans="9:10" x14ac:dyDescent="0.2">
      <c r="I544" s="353"/>
      <c r="J544" s="353"/>
    </row>
    <row r="545" spans="9:10" x14ac:dyDescent="0.2">
      <c r="I545" s="353"/>
      <c r="J545" s="353"/>
    </row>
    <row r="546" spans="9:10" x14ac:dyDescent="0.2">
      <c r="I546" s="353"/>
      <c r="J546" s="353"/>
    </row>
    <row r="547" spans="9:10" x14ac:dyDescent="0.2">
      <c r="I547" s="353"/>
      <c r="J547" s="353"/>
    </row>
    <row r="548" spans="9:10" x14ac:dyDescent="0.2">
      <c r="I548" s="353"/>
      <c r="J548" s="353"/>
    </row>
    <row r="549" spans="9:10" x14ac:dyDescent="0.2">
      <c r="I549" s="353"/>
      <c r="J549" s="353"/>
    </row>
    <row r="550" spans="9:10" x14ac:dyDescent="0.2">
      <c r="I550" s="353"/>
      <c r="J550" s="353"/>
    </row>
    <row r="551" spans="9:10" x14ac:dyDescent="0.2">
      <c r="I551" s="353"/>
      <c r="J551" s="353"/>
    </row>
    <row r="552" spans="9:10" x14ac:dyDescent="0.2">
      <c r="I552" s="353"/>
      <c r="J552" s="353"/>
    </row>
    <row r="553" spans="9:10" x14ac:dyDescent="0.2">
      <c r="I553" s="353"/>
      <c r="J553" s="353"/>
    </row>
    <row r="554" spans="9:10" x14ac:dyDescent="0.2">
      <c r="I554" s="353"/>
      <c r="J554" s="353"/>
    </row>
    <row r="555" spans="9:10" x14ac:dyDescent="0.2">
      <c r="I555" s="353"/>
      <c r="J555" s="353"/>
    </row>
    <row r="556" spans="9:10" x14ac:dyDescent="0.2">
      <c r="I556" s="353"/>
      <c r="J556" s="353"/>
    </row>
    <row r="557" spans="9:10" x14ac:dyDescent="0.2">
      <c r="I557" s="353"/>
      <c r="J557" s="353"/>
    </row>
    <row r="558" spans="9:10" x14ac:dyDescent="0.2">
      <c r="I558" s="353"/>
      <c r="J558" s="353"/>
    </row>
    <row r="559" spans="9:10" x14ac:dyDescent="0.2">
      <c r="I559" s="353"/>
      <c r="J559" s="353"/>
    </row>
    <row r="560" spans="9:10" x14ac:dyDescent="0.2">
      <c r="I560" s="353"/>
      <c r="J560" s="353"/>
    </row>
    <row r="561" spans="9:10" x14ac:dyDescent="0.2">
      <c r="I561" s="353"/>
      <c r="J561" s="353"/>
    </row>
    <row r="562" spans="9:10" x14ac:dyDescent="0.2">
      <c r="I562" s="353"/>
      <c r="J562" s="353"/>
    </row>
    <row r="563" spans="9:10" x14ac:dyDescent="0.2">
      <c r="I563" s="353"/>
      <c r="J563" s="353"/>
    </row>
    <row r="564" spans="9:10" x14ac:dyDescent="0.2">
      <c r="I564" s="353"/>
      <c r="J564" s="353"/>
    </row>
    <row r="565" spans="9:10" x14ac:dyDescent="0.2">
      <c r="I565" s="353"/>
      <c r="J565" s="353"/>
    </row>
    <row r="566" spans="9:10" x14ac:dyDescent="0.2">
      <c r="I566" s="353"/>
      <c r="J566" s="353"/>
    </row>
    <row r="567" spans="9:10" x14ac:dyDescent="0.2">
      <c r="I567" s="353"/>
      <c r="J567" s="353"/>
    </row>
    <row r="568" spans="9:10" x14ac:dyDescent="0.2">
      <c r="I568" s="353"/>
      <c r="J568" s="353"/>
    </row>
    <row r="569" spans="9:10" x14ac:dyDescent="0.2">
      <c r="I569" s="353"/>
      <c r="J569" s="353"/>
    </row>
    <row r="570" spans="9:10" x14ac:dyDescent="0.2">
      <c r="I570" s="353"/>
      <c r="J570" s="353"/>
    </row>
    <row r="571" spans="9:10" x14ac:dyDescent="0.2">
      <c r="I571" s="353"/>
      <c r="J571" s="353"/>
    </row>
    <row r="572" spans="9:10" x14ac:dyDescent="0.2">
      <c r="I572" s="353"/>
      <c r="J572" s="353"/>
    </row>
    <row r="573" spans="9:10" x14ac:dyDescent="0.2">
      <c r="I573" s="353"/>
      <c r="J573" s="353"/>
    </row>
    <row r="574" spans="9:10" x14ac:dyDescent="0.2">
      <c r="I574" s="353"/>
      <c r="J574" s="353"/>
    </row>
    <row r="575" spans="9:10" x14ac:dyDescent="0.2">
      <c r="I575" s="353"/>
      <c r="J575" s="353"/>
    </row>
    <row r="576" spans="9:10" x14ac:dyDescent="0.2">
      <c r="I576" s="353"/>
      <c r="J576" s="353"/>
    </row>
    <row r="577" spans="9:10" x14ac:dyDescent="0.2">
      <c r="I577" s="353"/>
      <c r="J577" s="353"/>
    </row>
    <row r="578" spans="9:10" x14ac:dyDescent="0.2">
      <c r="I578" s="353"/>
      <c r="J578" s="353"/>
    </row>
    <row r="579" spans="9:10" x14ac:dyDescent="0.2">
      <c r="I579" s="353"/>
      <c r="J579" s="353"/>
    </row>
    <row r="580" spans="9:10" x14ac:dyDescent="0.2">
      <c r="I580" s="353"/>
      <c r="J580" s="353"/>
    </row>
    <row r="581" spans="9:10" x14ac:dyDescent="0.2">
      <c r="I581" s="353"/>
      <c r="J581" s="353"/>
    </row>
    <row r="582" spans="9:10" x14ac:dyDescent="0.2">
      <c r="I582" s="353"/>
      <c r="J582" s="353"/>
    </row>
    <row r="583" spans="9:10" x14ac:dyDescent="0.2">
      <c r="I583" s="353"/>
      <c r="J583" s="353"/>
    </row>
    <row r="584" spans="9:10" x14ac:dyDescent="0.2">
      <c r="I584" s="353"/>
      <c r="J584" s="353"/>
    </row>
    <row r="585" spans="9:10" x14ac:dyDescent="0.2">
      <c r="I585" s="353"/>
      <c r="J585" s="353"/>
    </row>
    <row r="586" spans="9:10" x14ac:dyDescent="0.2">
      <c r="I586" s="353"/>
      <c r="J586" s="353"/>
    </row>
    <row r="587" spans="9:10" x14ac:dyDescent="0.2">
      <c r="I587" s="353"/>
      <c r="J587" s="353"/>
    </row>
    <row r="588" spans="9:10" x14ac:dyDescent="0.2">
      <c r="I588" s="353"/>
      <c r="J588" s="353"/>
    </row>
    <row r="589" spans="9:10" x14ac:dyDescent="0.2">
      <c r="I589" s="353"/>
      <c r="J589" s="353"/>
    </row>
    <row r="590" spans="9:10" x14ac:dyDescent="0.2">
      <c r="I590" s="353"/>
      <c r="J590" s="353"/>
    </row>
    <row r="591" spans="9:10" x14ac:dyDescent="0.2">
      <c r="I591" s="353"/>
      <c r="J591" s="353"/>
    </row>
    <row r="592" spans="9:10" x14ac:dyDescent="0.2">
      <c r="I592" s="353"/>
      <c r="J592" s="353"/>
    </row>
    <row r="593" spans="9:10" x14ac:dyDescent="0.2">
      <c r="I593" s="353"/>
      <c r="J593" s="353"/>
    </row>
    <row r="594" spans="9:10" x14ac:dyDescent="0.2">
      <c r="I594" s="353"/>
      <c r="J594" s="353"/>
    </row>
    <row r="595" spans="9:10" x14ac:dyDescent="0.2">
      <c r="I595" s="353"/>
      <c r="J595" s="353"/>
    </row>
    <row r="596" spans="9:10" x14ac:dyDescent="0.2">
      <c r="I596" s="353"/>
      <c r="J596" s="353"/>
    </row>
    <row r="597" spans="9:10" x14ac:dyDescent="0.2">
      <c r="I597" s="353"/>
      <c r="J597" s="353"/>
    </row>
    <row r="598" spans="9:10" x14ac:dyDescent="0.2">
      <c r="I598" s="353"/>
      <c r="J598" s="353"/>
    </row>
    <row r="599" spans="9:10" x14ac:dyDescent="0.2">
      <c r="I599" s="353"/>
      <c r="J599" s="353"/>
    </row>
    <row r="600" spans="9:10" x14ac:dyDescent="0.2">
      <c r="I600" s="353"/>
      <c r="J600" s="353"/>
    </row>
    <row r="601" spans="9:10" x14ac:dyDescent="0.2">
      <c r="I601" s="353"/>
      <c r="J601" s="353"/>
    </row>
    <row r="602" spans="9:10" x14ac:dyDescent="0.2">
      <c r="I602" s="353"/>
      <c r="J602" s="353"/>
    </row>
    <row r="603" spans="9:10" x14ac:dyDescent="0.2">
      <c r="I603" s="353"/>
      <c r="J603" s="353"/>
    </row>
    <row r="604" spans="9:10" x14ac:dyDescent="0.2">
      <c r="I604" s="353"/>
      <c r="J604" s="353"/>
    </row>
    <row r="605" spans="9:10" x14ac:dyDescent="0.2">
      <c r="I605" s="353"/>
      <c r="J605" s="353"/>
    </row>
    <row r="606" spans="9:10" x14ac:dyDescent="0.2">
      <c r="I606" s="353"/>
      <c r="J606" s="353"/>
    </row>
    <row r="607" spans="9:10" x14ac:dyDescent="0.2">
      <c r="I607" s="353"/>
      <c r="J607" s="353"/>
    </row>
    <row r="608" spans="9:10" x14ac:dyDescent="0.2">
      <c r="I608" s="353"/>
      <c r="J608" s="353"/>
    </row>
    <row r="609" spans="9:10" x14ac:dyDescent="0.2">
      <c r="I609" s="353"/>
      <c r="J609" s="353"/>
    </row>
    <row r="610" spans="9:10" x14ac:dyDescent="0.2">
      <c r="I610" s="353"/>
      <c r="J610" s="353"/>
    </row>
    <row r="611" spans="9:10" x14ac:dyDescent="0.2">
      <c r="I611" s="353"/>
      <c r="J611" s="353"/>
    </row>
    <row r="612" spans="9:10" x14ac:dyDescent="0.2">
      <c r="I612" s="353"/>
      <c r="J612" s="353"/>
    </row>
    <row r="613" spans="9:10" x14ac:dyDescent="0.2">
      <c r="I613" s="353"/>
      <c r="J613" s="353"/>
    </row>
    <row r="614" spans="9:10" x14ac:dyDescent="0.2">
      <c r="I614" s="353"/>
      <c r="J614" s="353"/>
    </row>
    <row r="615" spans="9:10" x14ac:dyDescent="0.2">
      <c r="I615" s="353"/>
      <c r="J615" s="353"/>
    </row>
    <row r="616" spans="9:10" x14ac:dyDescent="0.2">
      <c r="I616" s="353"/>
      <c r="J616" s="353"/>
    </row>
    <row r="617" spans="9:10" x14ac:dyDescent="0.2">
      <c r="I617" s="353"/>
      <c r="J617" s="353"/>
    </row>
    <row r="618" spans="9:10" x14ac:dyDescent="0.2">
      <c r="I618" s="353"/>
      <c r="J618" s="353"/>
    </row>
    <row r="619" spans="9:10" x14ac:dyDescent="0.2">
      <c r="I619" s="353"/>
      <c r="J619" s="353"/>
    </row>
    <row r="620" spans="9:10" x14ac:dyDescent="0.2">
      <c r="I620" s="353"/>
      <c r="J620" s="353"/>
    </row>
    <row r="621" spans="9:10" x14ac:dyDescent="0.2">
      <c r="I621" s="353"/>
      <c r="J621" s="353"/>
    </row>
    <row r="622" spans="9:10" x14ac:dyDescent="0.2">
      <c r="I622" s="353"/>
      <c r="J622" s="353"/>
    </row>
    <row r="623" spans="9:10" x14ac:dyDescent="0.2">
      <c r="I623" s="353"/>
      <c r="J623" s="353"/>
    </row>
    <row r="624" spans="9:10" x14ac:dyDescent="0.2">
      <c r="I624" s="353"/>
      <c r="J624" s="353"/>
    </row>
    <row r="625" spans="9:10" x14ac:dyDescent="0.2">
      <c r="I625" s="353"/>
      <c r="J625" s="353"/>
    </row>
    <row r="626" spans="9:10" x14ac:dyDescent="0.2">
      <c r="I626" s="353"/>
      <c r="J626" s="353"/>
    </row>
    <row r="627" spans="9:10" x14ac:dyDescent="0.2">
      <c r="I627" s="353"/>
      <c r="J627" s="353"/>
    </row>
    <row r="628" spans="9:10" x14ac:dyDescent="0.2">
      <c r="I628" s="353"/>
      <c r="J628" s="353"/>
    </row>
    <row r="629" spans="9:10" x14ac:dyDescent="0.2">
      <c r="I629" s="353"/>
      <c r="J629" s="353"/>
    </row>
    <row r="630" spans="9:10" x14ac:dyDescent="0.2">
      <c r="I630" s="353"/>
      <c r="J630" s="353"/>
    </row>
    <row r="631" spans="9:10" x14ac:dyDescent="0.2">
      <c r="I631" s="353"/>
      <c r="J631" s="353"/>
    </row>
    <row r="632" spans="9:10" x14ac:dyDescent="0.2">
      <c r="I632" s="353"/>
      <c r="J632" s="353"/>
    </row>
    <row r="633" spans="9:10" x14ac:dyDescent="0.2">
      <c r="I633" s="353"/>
      <c r="J633" s="353"/>
    </row>
    <row r="634" spans="9:10" x14ac:dyDescent="0.2">
      <c r="I634" s="353"/>
      <c r="J634" s="353"/>
    </row>
    <row r="635" spans="9:10" x14ac:dyDescent="0.2">
      <c r="I635" s="353"/>
      <c r="J635" s="353"/>
    </row>
    <row r="636" spans="9:10" x14ac:dyDescent="0.2">
      <c r="I636" s="353"/>
      <c r="J636" s="353"/>
    </row>
    <row r="637" spans="9:10" x14ac:dyDescent="0.2">
      <c r="I637" s="353"/>
      <c r="J637" s="353"/>
    </row>
    <row r="638" spans="9:10" x14ac:dyDescent="0.2">
      <c r="I638" s="353"/>
      <c r="J638" s="353"/>
    </row>
    <row r="639" spans="9:10" x14ac:dyDescent="0.2">
      <c r="I639" s="353"/>
      <c r="J639" s="353"/>
    </row>
    <row r="640" spans="9:10" x14ac:dyDescent="0.2">
      <c r="I640" s="353"/>
      <c r="J640" s="353"/>
    </row>
    <row r="641" spans="9:10" x14ac:dyDescent="0.2">
      <c r="I641" s="353"/>
      <c r="J641" s="353"/>
    </row>
    <row r="642" spans="9:10" x14ac:dyDescent="0.2">
      <c r="I642" s="353"/>
      <c r="J642" s="353"/>
    </row>
    <row r="643" spans="9:10" x14ac:dyDescent="0.2">
      <c r="I643" s="353"/>
      <c r="J643" s="353"/>
    </row>
    <row r="644" spans="9:10" x14ac:dyDescent="0.2">
      <c r="I644" s="353"/>
      <c r="J644" s="353"/>
    </row>
    <row r="645" spans="9:10" x14ac:dyDescent="0.2">
      <c r="I645" s="353"/>
      <c r="J645" s="353"/>
    </row>
    <row r="646" spans="9:10" x14ac:dyDescent="0.2">
      <c r="I646" s="353"/>
      <c r="J646" s="353"/>
    </row>
    <row r="647" spans="9:10" x14ac:dyDescent="0.2">
      <c r="I647" s="353"/>
      <c r="J647" s="353"/>
    </row>
    <row r="648" spans="9:10" x14ac:dyDescent="0.2">
      <c r="I648" s="353"/>
      <c r="J648" s="353"/>
    </row>
    <row r="649" spans="9:10" x14ac:dyDescent="0.2">
      <c r="I649" s="353"/>
      <c r="J649" s="353"/>
    </row>
    <row r="650" spans="9:10" x14ac:dyDescent="0.2">
      <c r="I650" s="353"/>
      <c r="J650" s="353"/>
    </row>
    <row r="651" spans="9:10" x14ac:dyDescent="0.2">
      <c r="I651" s="353"/>
      <c r="J651" s="353"/>
    </row>
    <row r="652" spans="9:10" x14ac:dyDescent="0.2">
      <c r="I652" s="353"/>
      <c r="J652" s="353"/>
    </row>
    <row r="653" spans="9:10" x14ac:dyDescent="0.2">
      <c r="I653" s="353"/>
      <c r="J653" s="353"/>
    </row>
    <row r="654" spans="9:10" x14ac:dyDescent="0.2">
      <c r="I654" s="353"/>
      <c r="J654" s="353"/>
    </row>
    <row r="655" spans="9:10" x14ac:dyDescent="0.2">
      <c r="I655" s="353"/>
      <c r="J655" s="353"/>
    </row>
    <row r="656" spans="9:10" x14ac:dyDescent="0.2">
      <c r="I656" s="353"/>
      <c r="J656" s="353"/>
    </row>
    <row r="657" spans="9:10" x14ac:dyDescent="0.2">
      <c r="I657" s="353"/>
      <c r="J657" s="353"/>
    </row>
    <row r="658" spans="9:10" x14ac:dyDescent="0.2">
      <c r="I658" s="353"/>
      <c r="J658" s="353"/>
    </row>
    <row r="659" spans="9:10" x14ac:dyDescent="0.2">
      <c r="I659" s="353"/>
      <c r="J659" s="353"/>
    </row>
    <row r="660" spans="9:10" x14ac:dyDescent="0.2">
      <c r="I660" s="353"/>
      <c r="J660" s="353"/>
    </row>
    <row r="661" spans="9:10" x14ac:dyDescent="0.2">
      <c r="I661" s="353"/>
      <c r="J661" s="353"/>
    </row>
    <row r="662" spans="9:10" x14ac:dyDescent="0.2">
      <c r="I662" s="353"/>
      <c r="J662" s="353"/>
    </row>
    <row r="663" spans="9:10" x14ac:dyDescent="0.2">
      <c r="I663" s="353"/>
      <c r="J663" s="353"/>
    </row>
    <row r="664" spans="9:10" x14ac:dyDescent="0.2">
      <c r="I664" s="353"/>
      <c r="J664" s="353"/>
    </row>
    <row r="665" spans="9:10" x14ac:dyDescent="0.2">
      <c r="I665" s="353"/>
      <c r="J665" s="353"/>
    </row>
    <row r="666" spans="9:10" x14ac:dyDescent="0.2">
      <c r="I666" s="353"/>
      <c r="J666" s="353"/>
    </row>
    <row r="667" spans="9:10" x14ac:dyDescent="0.2">
      <c r="I667" s="353"/>
      <c r="J667" s="353"/>
    </row>
    <row r="668" spans="9:10" x14ac:dyDescent="0.2">
      <c r="I668" s="353"/>
      <c r="J668" s="353"/>
    </row>
    <row r="669" spans="9:10" x14ac:dyDescent="0.2">
      <c r="I669" s="353"/>
      <c r="J669" s="353"/>
    </row>
    <row r="670" spans="9:10" x14ac:dyDescent="0.2">
      <c r="I670" s="353"/>
      <c r="J670" s="353"/>
    </row>
    <row r="671" spans="9:10" x14ac:dyDescent="0.2">
      <c r="I671" s="353"/>
      <c r="J671" s="353"/>
    </row>
    <row r="672" spans="9:10" x14ac:dyDescent="0.2">
      <c r="I672" s="353"/>
      <c r="J672" s="353"/>
    </row>
    <row r="673" spans="9:10" x14ac:dyDescent="0.2">
      <c r="I673" s="353"/>
      <c r="J673" s="353"/>
    </row>
    <row r="674" spans="9:10" x14ac:dyDescent="0.2">
      <c r="I674" s="353"/>
      <c r="J674" s="353"/>
    </row>
    <row r="675" spans="9:10" x14ac:dyDescent="0.2">
      <c r="I675" s="353"/>
      <c r="J675" s="353"/>
    </row>
    <row r="676" spans="9:10" x14ac:dyDescent="0.2">
      <c r="I676" s="353"/>
      <c r="J676" s="353"/>
    </row>
    <row r="677" spans="9:10" x14ac:dyDescent="0.2">
      <c r="I677" s="353"/>
      <c r="J677" s="353"/>
    </row>
    <row r="678" spans="9:10" x14ac:dyDescent="0.2">
      <c r="I678" s="353"/>
      <c r="J678" s="353"/>
    </row>
    <row r="679" spans="9:10" x14ac:dyDescent="0.2">
      <c r="I679" s="353"/>
      <c r="J679" s="353"/>
    </row>
    <row r="680" spans="9:10" x14ac:dyDescent="0.2">
      <c r="I680" s="353"/>
      <c r="J680" s="353"/>
    </row>
    <row r="681" spans="9:10" x14ac:dyDescent="0.2">
      <c r="I681" s="353"/>
      <c r="J681" s="353"/>
    </row>
    <row r="682" spans="9:10" x14ac:dyDescent="0.2">
      <c r="I682" s="353"/>
      <c r="J682" s="353"/>
    </row>
    <row r="683" spans="9:10" x14ac:dyDescent="0.2">
      <c r="I683" s="353"/>
      <c r="J683" s="353"/>
    </row>
    <row r="684" spans="9:10" x14ac:dyDescent="0.2">
      <c r="I684" s="353"/>
      <c r="J684" s="353"/>
    </row>
    <row r="685" spans="9:10" x14ac:dyDescent="0.2">
      <c r="I685" s="353"/>
      <c r="J685" s="353"/>
    </row>
    <row r="686" spans="9:10" x14ac:dyDescent="0.2">
      <c r="I686" s="353"/>
      <c r="J686" s="353"/>
    </row>
    <row r="687" spans="9:10" x14ac:dyDescent="0.2">
      <c r="I687" s="353"/>
      <c r="J687" s="353"/>
    </row>
    <row r="688" spans="9:10" x14ac:dyDescent="0.2">
      <c r="I688" s="353"/>
      <c r="J688" s="353"/>
    </row>
    <row r="689" spans="9:10" x14ac:dyDescent="0.2">
      <c r="I689" s="353"/>
      <c r="J689" s="353"/>
    </row>
    <row r="690" spans="9:10" x14ac:dyDescent="0.2">
      <c r="I690" s="353"/>
      <c r="J690" s="353"/>
    </row>
    <row r="691" spans="9:10" x14ac:dyDescent="0.2">
      <c r="I691" s="353"/>
      <c r="J691" s="353"/>
    </row>
    <row r="692" spans="9:10" x14ac:dyDescent="0.2">
      <c r="I692" s="353"/>
      <c r="J692" s="353"/>
    </row>
    <row r="693" spans="9:10" x14ac:dyDescent="0.2">
      <c r="I693" s="353"/>
      <c r="J693" s="353"/>
    </row>
    <row r="694" spans="9:10" x14ac:dyDescent="0.2">
      <c r="I694" s="353"/>
      <c r="J694" s="353"/>
    </row>
    <row r="695" spans="9:10" x14ac:dyDescent="0.2">
      <c r="I695" s="353"/>
      <c r="J695" s="353"/>
    </row>
    <row r="696" spans="9:10" x14ac:dyDescent="0.2">
      <c r="I696" s="353"/>
      <c r="J696" s="353"/>
    </row>
    <row r="697" spans="9:10" x14ac:dyDescent="0.2">
      <c r="I697" s="353"/>
      <c r="J697" s="353"/>
    </row>
    <row r="698" spans="9:10" x14ac:dyDescent="0.2">
      <c r="I698" s="353"/>
      <c r="J698" s="353"/>
    </row>
    <row r="699" spans="9:10" x14ac:dyDescent="0.2">
      <c r="I699" s="353"/>
      <c r="J699" s="353"/>
    </row>
    <row r="700" spans="9:10" x14ac:dyDescent="0.2">
      <c r="I700" s="353"/>
      <c r="J700" s="353"/>
    </row>
    <row r="701" spans="9:10" x14ac:dyDescent="0.2">
      <c r="I701" s="353"/>
      <c r="J701" s="353"/>
    </row>
    <row r="702" spans="9:10" x14ac:dyDescent="0.2">
      <c r="I702" s="353"/>
      <c r="J702" s="353"/>
    </row>
    <row r="703" spans="9:10" x14ac:dyDescent="0.2">
      <c r="I703" s="353"/>
      <c r="J703" s="353"/>
    </row>
    <row r="704" spans="9:10" x14ac:dyDescent="0.2">
      <c r="I704" s="353"/>
      <c r="J704" s="353"/>
    </row>
    <row r="705" spans="9:10" x14ac:dyDescent="0.2">
      <c r="I705" s="353"/>
      <c r="J705" s="353"/>
    </row>
    <row r="706" spans="9:10" x14ac:dyDescent="0.2">
      <c r="I706" s="353"/>
      <c r="J706" s="353"/>
    </row>
    <row r="707" spans="9:10" x14ac:dyDescent="0.2">
      <c r="I707" s="353"/>
      <c r="J707" s="353"/>
    </row>
    <row r="708" spans="9:10" x14ac:dyDescent="0.2">
      <c r="I708" s="353"/>
      <c r="J708" s="353"/>
    </row>
    <row r="709" spans="9:10" x14ac:dyDescent="0.2">
      <c r="I709" s="353"/>
      <c r="J709" s="353"/>
    </row>
    <row r="710" spans="9:10" x14ac:dyDescent="0.2">
      <c r="I710" s="353"/>
      <c r="J710" s="353"/>
    </row>
    <row r="711" spans="9:10" x14ac:dyDescent="0.2">
      <c r="I711" s="353"/>
      <c r="J711" s="353"/>
    </row>
    <row r="712" spans="9:10" x14ac:dyDescent="0.2">
      <c r="I712" s="353"/>
      <c r="J712" s="353"/>
    </row>
    <row r="713" spans="9:10" x14ac:dyDescent="0.2">
      <c r="I713" s="353"/>
      <c r="J713" s="353"/>
    </row>
    <row r="714" spans="9:10" x14ac:dyDescent="0.2">
      <c r="I714" s="353"/>
      <c r="J714" s="353"/>
    </row>
    <row r="715" spans="9:10" x14ac:dyDescent="0.2">
      <c r="I715" s="353"/>
      <c r="J715" s="353"/>
    </row>
    <row r="716" spans="9:10" x14ac:dyDescent="0.2">
      <c r="I716" s="353"/>
      <c r="J716" s="353"/>
    </row>
    <row r="717" spans="9:10" x14ac:dyDescent="0.2">
      <c r="I717" s="353"/>
      <c r="J717" s="353"/>
    </row>
    <row r="718" spans="9:10" x14ac:dyDescent="0.2">
      <c r="I718" s="353"/>
      <c r="J718" s="353"/>
    </row>
    <row r="719" spans="9:10" x14ac:dyDescent="0.2">
      <c r="I719" s="353"/>
      <c r="J719" s="353"/>
    </row>
    <row r="720" spans="9:10" x14ac:dyDescent="0.2">
      <c r="I720" s="353"/>
      <c r="J720" s="353"/>
    </row>
    <row r="721" spans="9:10" x14ac:dyDescent="0.2">
      <c r="I721" s="353"/>
      <c r="J721" s="353"/>
    </row>
    <row r="722" spans="9:10" x14ac:dyDescent="0.2">
      <c r="I722" s="353"/>
      <c r="J722" s="353"/>
    </row>
    <row r="723" spans="9:10" x14ac:dyDescent="0.2">
      <c r="I723" s="353"/>
      <c r="J723" s="353"/>
    </row>
    <row r="724" spans="9:10" x14ac:dyDescent="0.2">
      <c r="I724" s="353"/>
      <c r="J724" s="353"/>
    </row>
    <row r="725" spans="9:10" x14ac:dyDescent="0.2">
      <c r="I725" s="353"/>
      <c r="J725" s="353"/>
    </row>
    <row r="726" spans="9:10" x14ac:dyDescent="0.2">
      <c r="I726" s="353"/>
      <c r="J726" s="353"/>
    </row>
    <row r="727" spans="9:10" x14ac:dyDescent="0.2">
      <c r="I727" s="353"/>
      <c r="J727" s="353"/>
    </row>
    <row r="728" spans="9:10" x14ac:dyDescent="0.2">
      <c r="I728" s="353"/>
      <c r="J728" s="353"/>
    </row>
    <row r="729" spans="9:10" x14ac:dyDescent="0.2">
      <c r="I729" s="353"/>
      <c r="J729" s="353"/>
    </row>
    <row r="730" spans="9:10" x14ac:dyDescent="0.2">
      <c r="I730" s="353"/>
      <c r="J730" s="353"/>
    </row>
    <row r="731" spans="9:10" x14ac:dyDescent="0.2">
      <c r="I731" s="353"/>
      <c r="J731" s="353"/>
    </row>
    <row r="732" spans="9:10" x14ac:dyDescent="0.2">
      <c r="I732" s="353"/>
      <c r="J732" s="353"/>
    </row>
    <row r="733" spans="9:10" x14ac:dyDescent="0.2">
      <c r="I733" s="353"/>
      <c r="J733" s="353"/>
    </row>
    <row r="734" spans="9:10" x14ac:dyDescent="0.2">
      <c r="I734" s="353"/>
      <c r="J734" s="353"/>
    </row>
    <row r="735" spans="9:10" x14ac:dyDescent="0.2">
      <c r="I735" s="353"/>
      <c r="J735" s="353"/>
    </row>
    <row r="736" spans="9:10" x14ac:dyDescent="0.2">
      <c r="I736" s="353"/>
      <c r="J736" s="353"/>
    </row>
    <row r="737" spans="9:10" x14ac:dyDescent="0.2">
      <c r="I737" s="353"/>
      <c r="J737" s="353"/>
    </row>
    <row r="738" spans="9:10" x14ac:dyDescent="0.2">
      <c r="I738" s="353"/>
      <c r="J738" s="353"/>
    </row>
    <row r="739" spans="9:10" x14ac:dyDescent="0.2">
      <c r="I739" s="353"/>
      <c r="J739" s="353"/>
    </row>
    <row r="740" spans="9:10" x14ac:dyDescent="0.2">
      <c r="I740" s="353"/>
      <c r="J740" s="353"/>
    </row>
    <row r="741" spans="9:10" x14ac:dyDescent="0.2">
      <c r="I741" s="353"/>
      <c r="J741" s="353"/>
    </row>
    <row r="742" spans="9:10" x14ac:dyDescent="0.2">
      <c r="I742" s="353"/>
      <c r="J742" s="353"/>
    </row>
    <row r="743" spans="9:10" x14ac:dyDescent="0.2">
      <c r="I743" s="353"/>
      <c r="J743" s="353"/>
    </row>
    <row r="744" spans="9:10" x14ac:dyDescent="0.2">
      <c r="I744" s="353"/>
      <c r="J744" s="353"/>
    </row>
    <row r="745" spans="9:10" x14ac:dyDescent="0.2">
      <c r="I745" s="353"/>
      <c r="J745" s="353"/>
    </row>
    <row r="746" spans="9:10" x14ac:dyDescent="0.2">
      <c r="I746" s="353"/>
      <c r="J746" s="353"/>
    </row>
    <row r="747" spans="9:10" x14ac:dyDescent="0.2">
      <c r="I747" s="353"/>
      <c r="J747" s="353"/>
    </row>
    <row r="748" spans="9:10" x14ac:dyDescent="0.2">
      <c r="I748" s="353"/>
      <c r="J748" s="353"/>
    </row>
    <row r="749" spans="9:10" x14ac:dyDescent="0.2">
      <c r="I749" s="353"/>
      <c r="J749" s="353"/>
    </row>
    <row r="750" spans="9:10" x14ac:dyDescent="0.2">
      <c r="I750" s="353"/>
      <c r="J750" s="353"/>
    </row>
    <row r="751" spans="9:10" x14ac:dyDescent="0.2">
      <c r="I751" s="353"/>
      <c r="J751" s="353"/>
    </row>
    <row r="752" spans="9:10" x14ac:dyDescent="0.2">
      <c r="I752" s="353"/>
      <c r="J752" s="353"/>
    </row>
    <row r="753" spans="9:10" x14ac:dyDescent="0.2">
      <c r="I753" s="353"/>
      <c r="J753" s="353"/>
    </row>
    <row r="754" spans="9:10" x14ac:dyDescent="0.2">
      <c r="I754" s="353"/>
      <c r="J754" s="353"/>
    </row>
    <row r="755" spans="9:10" x14ac:dyDescent="0.2">
      <c r="I755" s="353"/>
      <c r="J755" s="353"/>
    </row>
    <row r="756" spans="9:10" x14ac:dyDescent="0.2">
      <c r="I756" s="353"/>
      <c r="J756" s="353"/>
    </row>
    <row r="757" spans="9:10" x14ac:dyDescent="0.2">
      <c r="I757" s="353"/>
      <c r="J757" s="353"/>
    </row>
    <row r="758" spans="9:10" x14ac:dyDescent="0.2">
      <c r="I758" s="353"/>
      <c r="J758" s="353"/>
    </row>
    <row r="759" spans="9:10" x14ac:dyDescent="0.2">
      <c r="I759" s="353"/>
      <c r="J759" s="353"/>
    </row>
    <row r="760" spans="9:10" x14ac:dyDescent="0.2">
      <c r="I760" s="353"/>
      <c r="J760" s="353"/>
    </row>
    <row r="761" spans="9:10" x14ac:dyDescent="0.2">
      <c r="I761" s="353"/>
      <c r="J761" s="353"/>
    </row>
    <row r="762" spans="9:10" x14ac:dyDescent="0.2">
      <c r="I762" s="353"/>
      <c r="J762" s="353"/>
    </row>
    <row r="763" spans="9:10" x14ac:dyDescent="0.2">
      <c r="I763" s="353"/>
      <c r="J763" s="353"/>
    </row>
    <row r="764" spans="9:10" x14ac:dyDescent="0.2">
      <c r="I764" s="353"/>
      <c r="J764" s="353"/>
    </row>
    <row r="765" spans="9:10" x14ac:dyDescent="0.2">
      <c r="I765" s="353"/>
      <c r="J765" s="353"/>
    </row>
    <row r="766" spans="9:10" x14ac:dyDescent="0.2">
      <c r="I766" s="353"/>
      <c r="J766" s="353"/>
    </row>
    <row r="767" spans="9:10" x14ac:dyDescent="0.2">
      <c r="I767" s="353"/>
      <c r="J767" s="353"/>
    </row>
    <row r="768" spans="9:10" x14ac:dyDescent="0.2">
      <c r="I768" s="353"/>
      <c r="J768" s="353"/>
    </row>
    <row r="769" spans="9:10" x14ac:dyDescent="0.2">
      <c r="I769" s="353"/>
      <c r="J769" s="353"/>
    </row>
    <row r="770" spans="9:10" x14ac:dyDescent="0.2">
      <c r="I770" s="353"/>
      <c r="J770" s="353"/>
    </row>
    <row r="771" spans="9:10" x14ac:dyDescent="0.2">
      <c r="I771" s="353"/>
      <c r="J771" s="353"/>
    </row>
    <row r="772" spans="9:10" x14ac:dyDescent="0.2">
      <c r="I772" s="353"/>
      <c r="J772" s="353"/>
    </row>
    <row r="773" spans="9:10" x14ac:dyDescent="0.2">
      <c r="I773" s="353"/>
      <c r="J773" s="353"/>
    </row>
    <row r="774" spans="9:10" x14ac:dyDescent="0.2">
      <c r="I774" s="353"/>
      <c r="J774" s="353"/>
    </row>
    <row r="775" spans="9:10" x14ac:dyDescent="0.2">
      <c r="I775" s="353"/>
      <c r="J775" s="353"/>
    </row>
    <row r="776" spans="9:10" x14ac:dyDescent="0.2">
      <c r="I776" s="353"/>
      <c r="J776" s="353"/>
    </row>
    <row r="777" spans="9:10" x14ac:dyDescent="0.2">
      <c r="I777" s="353"/>
      <c r="J777" s="353"/>
    </row>
    <row r="778" spans="9:10" x14ac:dyDescent="0.2">
      <c r="I778" s="353"/>
      <c r="J778" s="353"/>
    </row>
    <row r="779" spans="9:10" x14ac:dyDescent="0.2">
      <c r="I779" s="353"/>
      <c r="J779" s="353"/>
    </row>
    <row r="780" spans="9:10" x14ac:dyDescent="0.2">
      <c r="I780" s="353"/>
      <c r="J780" s="353"/>
    </row>
    <row r="781" spans="9:10" x14ac:dyDescent="0.2">
      <c r="I781" s="353"/>
      <c r="J781" s="353"/>
    </row>
    <row r="782" spans="9:10" x14ac:dyDescent="0.2">
      <c r="I782" s="353"/>
      <c r="J782" s="353"/>
    </row>
    <row r="783" spans="9:10" x14ac:dyDescent="0.2">
      <c r="I783" s="353"/>
      <c r="J783" s="353"/>
    </row>
    <row r="784" spans="9:10" x14ac:dyDescent="0.2">
      <c r="I784" s="353"/>
      <c r="J784" s="353"/>
    </row>
    <row r="785" spans="9:10" x14ac:dyDescent="0.2">
      <c r="I785" s="353"/>
      <c r="J785" s="353"/>
    </row>
    <row r="786" spans="9:10" x14ac:dyDescent="0.2">
      <c r="I786" s="353"/>
      <c r="J786" s="353"/>
    </row>
    <row r="787" spans="9:10" x14ac:dyDescent="0.2">
      <c r="I787" s="353"/>
      <c r="J787" s="353"/>
    </row>
    <row r="788" spans="9:10" x14ac:dyDescent="0.2">
      <c r="I788" s="353"/>
      <c r="J788" s="353"/>
    </row>
    <row r="789" spans="9:10" x14ac:dyDescent="0.2">
      <c r="I789" s="353"/>
      <c r="J789" s="353"/>
    </row>
    <row r="790" spans="9:10" x14ac:dyDescent="0.2">
      <c r="I790" s="353"/>
      <c r="J790" s="353"/>
    </row>
    <row r="791" spans="9:10" x14ac:dyDescent="0.2">
      <c r="I791" s="353"/>
      <c r="J791" s="353"/>
    </row>
    <row r="792" spans="9:10" x14ac:dyDescent="0.2">
      <c r="I792" s="353"/>
      <c r="J792" s="353"/>
    </row>
    <row r="793" spans="9:10" x14ac:dyDescent="0.2">
      <c r="I793" s="353"/>
      <c r="J793" s="353"/>
    </row>
    <row r="794" spans="9:10" x14ac:dyDescent="0.2">
      <c r="I794" s="353"/>
      <c r="J794" s="353"/>
    </row>
    <row r="795" spans="9:10" x14ac:dyDescent="0.2">
      <c r="I795" s="353"/>
      <c r="J795" s="353"/>
    </row>
    <row r="796" spans="9:10" x14ac:dyDescent="0.2">
      <c r="I796" s="353"/>
      <c r="J796" s="353"/>
    </row>
    <row r="797" spans="9:10" x14ac:dyDescent="0.2">
      <c r="I797" s="353"/>
      <c r="J797" s="353"/>
    </row>
    <row r="798" spans="9:10" x14ac:dyDescent="0.2">
      <c r="I798" s="353"/>
      <c r="J798" s="353"/>
    </row>
    <row r="799" spans="9:10" x14ac:dyDescent="0.2">
      <c r="I799" s="353"/>
      <c r="J799" s="353"/>
    </row>
    <row r="800" spans="9:10" x14ac:dyDescent="0.2">
      <c r="I800" s="353"/>
      <c r="J800" s="353"/>
    </row>
    <row r="801" spans="9:10" x14ac:dyDescent="0.2">
      <c r="I801" s="353"/>
      <c r="J801" s="353"/>
    </row>
    <row r="802" spans="9:10" x14ac:dyDescent="0.2">
      <c r="I802" s="353"/>
      <c r="J802" s="353"/>
    </row>
    <row r="803" spans="9:10" x14ac:dyDescent="0.2">
      <c r="I803" s="353"/>
      <c r="J803" s="353"/>
    </row>
    <row r="804" spans="9:10" x14ac:dyDescent="0.2">
      <c r="I804" s="353"/>
      <c r="J804" s="353"/>
    </row>
    <row r="805" spans="9:10" x14ac:dyDescent="0.2">
      <c r="I805" s="353"/>
      <c r="J805" s="353"/>
    </row>
    <row r="806" spans="9:10" x14ac:dyDescent="0.2">
      <c r="I806" s="353"/>
      <c r="J806" s="353"/>
    </row>
    <row r="807" spans="9:10" x14ac:dyDescent="0.2">
      <c r="I807" s="353"/>
      <c r="J807" s="353"/>
    </row>
    <row r="808" spans="9:10" x14ac:dyDescent="0.2">
      <c r="I808" s="353"/>
      <c r="J808" s="353"/>
    </row>
    <row r="809" spans="9:10" x14ac:dyDescent="0.2">
      <c r="I809" s="353"/>
      <c r="J809" s="353"/>
    </row>
    <row r="810" spans="9:10" x14ac:dyDescent="0.2">
      <c r="I810" s="353"/>
      <c r="J810" s="353"/>
    </row>
    <row r="811" spans="9:10" x14ac:dyDescent="0.2">
      <c r="I811" s="353"/>
      <c r="J811" s="353"/>
    </row>
    <row r="812" spans="9:10" x14ac:dyDescent="0.2">
      <c r="I812" s="353"/>
      <c r="J812" s="353"/>
    </row>
    <row r="813" spans="9:10" x14ac:dyDescent="0.2">
      <c r="I813" s="353"/>
      <c r="J813" s="353"/>
    </row>
    <row r="814" spans="9:10" x14ac:dyDescent="0.2">
      <c r="I814" s="353"/>
      <c r="J814" s="353"/>
    </row>
    <row r="815" spans="9:10" x14ac:dyDescent="0.2">
      <c r="I815" s="353"/>
      <c r="J815" s="353"/>
    </row>
    <row r="816" spans="9:10" x14ac:dyDescent="0.2">
      <c r="I816" s="353"/>
      <c r="J816" s="353"/>
    </row>
    <row r="817" spans="9:10" x14ac:dyDescent="0.2">
      <c r="I817" s="353"/>
      <c r="J817" s="353"/>
    </row>
    <row r="818" spans="9:10" x14ac:dyDescent="0.2">
      <c r="I818" s="353"/>
      <c r="J818" s="353"/>
    </row>
    <row r="819" spans="9:10" x14ac:dyDescent="0.2">
      <c r="I819" s="353"/>
      <c r="J819" s="353"/>
    </row>
    <row r="820" spans="9:10" x14ac:dyDescent="0.2">
      <c r="I820" s="353"/>
      <c r="J820" s="353"/>
    </row>
    <row r="821" spans="9:10" x14ac:dyDescent="0.2">
      <c r="I821" s="353"/>
      <c r="J821" s="353"/>
    </row>
    <row r="822" spans="9:10" x14ac:dyDescent="0.2">
      <c r="I822" s="353"/>
      <c r="J822" s="353"/>
    </row>
    <row r="823" spans="9:10" x14ac:dyDescent="0.2">
      <c r="I823" s="353"/>
      <c r="J823" s="353"/>
    </row>
    <row r="824" spans="9:10" x14ac:dyDescent="0.2">
      <c r="I824" s="353"/>
      <c r="J824" s="353"/>
    </row>
    <row r="825" spans="9:10" x14ac:dyDescent="0.2">
      <c r="I825" s="353"/>
      <c r="J825" s="353"/>
    </row>
    <row r="826" spans="9:10" x14ac:dyDescent="0.2">
      <c r="I826" s="353"/>
      <c r="J826" s="353"/>
    </row>
    <row r="827" spans="9:10" x14ac:dyDescent="0.2">
      <c r="I827" s="353"/>
      <c r="J827" s="353"/>
    </row>
    <row r="828" spans="9:10" x14ac:dyDescent="0.2">
      <c r="I828" s="353"/>
      <c r="J828" s="353"/>
    </row>
    <row r="829" spans="9:10" x14ac:dyDescent="0.2">
      <c r="I829" s="353"/>
      <c r="J829" s="353"/>
    </row>
    <row r="830" spans="9:10" x14ac:dyDescent="0.2">
      <c r="I830" s="353"/>
      <c r="J830" s="353"/>
    </row>
    <row r="831" spans="9:10" x14ac:dyDescent="0.2">
      <c r="I831" s="353"/>
      <c r="J831" s="353"/>
    </row>
    <row r="832" spans="9:10" x14ac:dyDescent="0.2">
      <c r="I832" s="353"/>
      <c r="J832" s="353"/>
    </row>
    <row r="833" spans="9:10" x14ac:dyDescent="0.2">
      <c r="I833" s="353"/>
      <c r="J833" s="353"/>
    </row>
    <row r="834" spans="9:10" x14ac:dyDescent="0.2">
      <c r="I834" s="353"/>
      <c r="J834" s="353"/>
    </row>
    <row r="835" spans="9:10" x14ac:dyDescent="0.2">
      <c r="I835" s="353"/>
      <c r="J835" s="353"/>
    </row>
    <row r="836" spans="9:10" x14ac:dyDescent="0.2">
      <c r="I836" s="353"/>
      <c r="J836" s="353"/>
    </row>
    <row r="837" spans="9:10" x14ac:dyDescent="0.2">
      <c r="I837" s="353"/>
      <c r="J837" s="353"/>
    </row>
    <row r="838" spans="9:10" x14ac:dyDescent="0.2">
      <c r="I838" s="353"/>
      <c r="J838" s="353"/>
    </row>
    <row r="839" spans="9:10" x14ac:dyDescent="0.2">
      <c r="I839" s="353"/>
      <c r="J839" s="353"/>
    </row>
    <row r="840" spans="9:10" x14ac:dyDescent="0.2">
      <c r="I840" s="353"/>
      <c r="J840" s="353"/>
    </row>
    <row r="841" spans="9:10" x14ac:dyDescent="0.2">
      <c r="I841" s="353"/>
      <c r="J841" s="353"/>
    </row>
    <row r="842" spans="9:10" x14ac:dyDescent="0.2">
      <c r="I842" s="353"/>
      <c r="J842" s="353"/>
    </row>
    <row r="843" spans="9:10" x14ac:dyDescent="0.2">
      <c r="I843" s="353"/>
      <c r="J843" s="353"/>
    </row>
    <row r="844" spans="9:10" x14ac:dyDescent="0.2">
      <c r="I844" s="353"/>
      <c r="J844" s="353"/>
    </row>
    <row r="845" spans="9:10" x14ac:dyDescent="0.2">
      <c r="I845" s="353"/>
      <c r="J845" s="353"/>
    </row>
    <row r="846" spans="9:10" x14ac:dyDescent="0.2">
      <c r="I846" s="353"/>
      <c r="J846" s="353"/>
    </row>
    <row r="847" spans="9:10" x14ac:dyDescent="0.2">
      <c r="I847" s="353"/>
      <c r="J847" s="353"/>
    </row>
    <row r="848" spans="9:10" x14ac:dyDescent="0.2">
      <c r="I848" s="353"/>
      <c r="J848" s="353"/>
    </row>
    <row r="849" spans="9:10" x14ac:dyDescent="0.2">
      <c r="I849" s="353"/>
      <c r="J849" s="353"/>
    </row>
    <row r="850" spans="9:10" x14ac:dyDescent="0.2">
      <c r="I850" s="353"/>
      <c r="J850" s="353"/>
    </row>
    <row r="851" spans="9:10" x14ac:dyDescent="0.2">
      <c r="I851" s="353"/>
      <c r="J851" s="353"/>
    </row>
    <row r="852" spans="9:10" x14ac:dyDescent="0.2">
      <c r="I852" s="353"/>
      <c r="J852" s="353"/>
    </row>
    <row r="853" spans="9:10" x14ac:dyDescent="0.2">
      <c r="I853" s="353"/>
      <c r="J853" s="353"/>
    </row>
    <row r="854" spans="9:10" x14ac:dyDescent="0.2">
      <c r="I854" s="353"/>
      <c r="J854" s="353"/>
    </row>
    <row r="855" spans="9:10" x14ac:dyDescent="0.2">
      <c r="I855" s="353"/>
      <c r="J855" s="353"/>
    </row>
    <row r="856" spans="9:10" x14ac:dyDescent="0.2">
      <c r="I856" s="353"/>
      <c r="J856" s="353"/>
    </row>
    <row r="857" spans="9:10" x14ac:dyDescent="0.2">
      <c r="I857" s="353"/>
      <c r="J857" s="353"/>
    </row>
    <row r="858" spans="9:10" x14ac:dyDescent="0.2">
      <c r="I858" s="353"/>
      <c r="J858" s="353"/>
    </row>
    <row r="859" spans="9:10" x14ac:dyDescent="0.2">
      <c r="I859" s="353"/>
      <c r="J859" s="353"/>
    </row>
    <row r="860" spans="9:10" x14ac:dyDescent="0.2">
      <c r="I860" s="353"/>
      <c r="J860" s="353"/>
    </row>
    <row r="861" spans="9:10" x14ac:dyDescent="0.2">
      <c r="I861" s="353"/>
      <c r="J861" s="353"/>
    </row>
    <row r="862" spans="9:10" x14ac:dyDescent="0.2">
      <c r="I862" s="353"/>
      <c r="J862" s="353"/>
    </row>
    <row r="863" spans="9:10" x14ac:dyDescent="0.2">
      <c r="I863" s="353"/>
      <c r="J863" s="353"/>
    </row>
    <row r="864" spans="9:10" x14ac:dyDescent="0.2">
      <c r="I864" s="353"/>
      <c r="J864" s="353"/>
    </row>
    <row r="865" spans="9:10" x14ac:dyDescent="0.2">
      <c r="I865" s="353"/>
      <c r="J865" s="353"/>
    </row>
    <row r="866" spans="9:10" x14ac:dyDescent="0.2">
      <c r="I866" s="353"/>
      <c r="J866" s="353"/>
    </row>
    <row r="867" spans="9:10" x14ac:dyDescent="0.2">
      <c r="I867" s="353"/>
      <c r="J867" s="353"/>
    </row>
    <row r="868" spans="9:10" x14ac:dyDescent="0.2">
      <c r="I868" s="353"/>
      <c r="J868" s="353"/>
    </row>
    <row r="869" spans="9:10" x14ac:dyDescent="0.2">
      <c r="I869" s="353"/>
      <c r="J869" s="353"/>
    </row>
    <row r="870" spans="9:10" x14ac:dyDescent="0.2">
      <c r="I870" s="353"/>
      <c r="J870" s="353"/>
    </row>
    <row r="871" spans="9:10" x14ac:dyDescent="0.2">
      <c r="I871" s="353"/>
      <c r="J871" s="353"/>
    </row>
    <row r="872" spans="9:10" x14ac:dyDescent="0.2">
      <c r="I872" s="353"/>
      <c r="J872" s="353"/>
    </row>
    <row r="873" spans="9:10" x14ac:dyDescent="0.2">
      <c r="I873" s="353"/>
      <c r="J873" s="353"/>
    </row>
    <row r="874" spans="9:10" x14ac:dyDescent="0.2">
      <c r="I874" s="353"/>
      <c r="J874" s="353"/>
    </row>
    <row r="875" spans="9:10" x14ac:dyDescent="0.2">
      <c r="I875" s="353"/>
      <c r="J875" s="353"/>
    </row>
    <row r="876" spans="9:10" x14ac:dyDescent="0.2">
      <c r="I876" s="353"/>
      <c r="J876" s="353"/>
    </row>
    <row r="877" spans="9:10" x14ac:dyDescent="0.2">
      <c r="I877" s="353"/>
      <c r="J877" s="353"/>
    </row>
    <row r="878" spans="9:10" x14ac:dyDescent="0.2">
      <c r="I878" s="353"/>
      <c r="J878" s="353"/>
    </row>
    <row r="879" spans="9:10" x14ac:dyDescent="0.2">
      <c r="I879" s="353"/>
      <c r="J879" s="353"/>
    </row>
    <row r="880" spans="9:10" x14ac:dyDescent="0.2">
      <c r="I880" s="353"/>
      <c r="J880" s="353"/>
    </row>
    <row r="881" spans="9:10" x14ac:dyDescent="0.2">
      <c r="I881" s="353"/>
      <c r="J881" s="353"/>
    </row>
    <row r="882" spans="9:10" x14ac:dyDescent="0.2">
      <c r="I882" s="353"/>
      <c r="J882" s="353"/>
    </row>
    <row r="883" spans="9:10" x14ac:dyDescent="0.2">
      <c r="I883" s="353"/>
      <c r="J883" s="353"/>
    </row>
    <row r="884" spans="9:10" x14ac:dyDescent="0.2">
      <c r="I884" s="353"/>
      <c r="J884" s="353"/>
    </row>
    <row r="885" spans="9:10" x14ac:dyDescent="0.2">
      <c r="I885" s="353"/>
      <c r="J885" s="353"/>
    </row>
    <row r="886" spans="9:10" x14ac:dyDescent="0.2">
      <c r="I886" s="353"/>
      <c r="J886" s="353"/>
    </row>
    <row r="887" spans="9:10" x14ac:dyDescent="0.2">
      <c r="I887" s="353"/>
      <c r="J887" s="353"/>
    </row>
    <row r="888" spans="9:10" x14ac:dyDescent="0.2">
      <c r="I888" s="353"/>
      <c r="J888" s="353"/>
    </row>
    <row r="889" spans="9:10" x14ac:dyDescent="0.2">
      <c r="I889" s="353"/>
      <c r="J889" s="353"/>
    </row>
    <row r="890" spans="9:10" x14ac:dyDescent="0.2">
      <c r="I890" s="353"/>
      <c r="J890" s="353"/>
    </row>
    <row r="891" spans="9:10" x14ac:dyDescent="0.2">
      <c r="I891" s="353"/>
      <c r="J891" s="353"/>
    </row>
    <row r="892" spans="9:10" x14ac:dyDescent="0.2">
      <c r="I892" s="353"/>
      <c r="J892" s="353"/>
    </row>
    <row r="893" spans="9:10" x14ac:dyDescent="0.2">
      <c r="I893" s="353"/>
      <c r="J893" s="353"/>
    </row>
    <row r="894" spans="9:10" x14ac:dyDescent="0.2">
      <c r="I894" s="353"/>
      <c r="J894" s="353"/>
    </row>
    <row r="895" spans="9:10" x14ac:dyDescent="0.2">
      <c r="I895" s="353"/>
      <c r="J895" s="353"/>
    </row>
    <row r="896" spans="9:10" x14ac:dyDescent="0.2">
      <c r="I896" s="353"/>
      <c r="J896" s="353"/>
    </row>
    <row r="897" spans="9:10" x14ac:dyDescent="0.2">
      <c r="I897" s="353"/>
      <c r="J897" s="353"/>
    </row>
    <row r="898" spans="9:10" x14ac:dyDescent="0.2">
      <c r="I898" s="353"/>
      <c r="J898" s="353">
        <f t="shared" ref="J898:J914" si="0">H898-I898</f>
        <v>0</v>
      </c>
    </row>
    <row r="899" spans="9:10" x14ac:dyDescent="0.2">
      <c r="I899" s="353"/>
      <c r="J899" s="353">
        <f t="shared" si="0"/>
        <v>0</v>
      </c>
    </row>
    <row r="900" spans="9:10" x14ac:dyDescent="0.2">
      <c r="I900" s="353"/>
      <c r="J900" s="353">
        <f t="shared" si="0"/>
        <v>0</v>
      </c>
    </row>
    <row r="901" spans="9:10" x14ac:dyDescent="0.2">
      <c r="I901" s="353"/>
      <c r="J901" s="353">
        <f t="shared" si="0"/>
        <v>0</v>
      </c>
    </row>
    <row r="902" spans="9:10" x14ac:dyDescent="0.2">
      <c r="I902" s="353"/>
      <c r="J902" s="353">
        <f t="shared" si="0"/>
        <v>0</v>
      </c>
    </row>
    <row r="903" spans="9:10" x14ac:dyDescent="0.2">
      <c r="I903" s="353"/>
      <c r="J903" s="353">
        <f t="shared" si="0"/>
        <v>0</v>
      </c>
    </row>
    <row r="904" spans="9:10" x14ac:dyDescent="0.2">
      <c r="I904" s="353"/>
      <c r="J904" s="353">
        <f t="shared" si="0"/>
        <v>0</v>
      </c>
    </row>
    <row r="905" spans="9:10" x14ac:dyDescent="0.2">
      <c r="I905" s="353"/>
      <c r="J905" s="353">
        <f t="shared" si="0"/>
        <v>0</v>
      </c>
    </row>
    <row r="906" spans="9:10" x14ac:dyDescent="0.2">
      <c r="I906" s="353"/>
      <c r="J906" s="353">
        <f t="shared" si="0"/>
        <v>0</v>
      </c>
    </row>
    <row r="907" spans="9:10" x14ac:dyDescent="0.2">
      <c r="I907" s="353"/>
      <c r="J907" s="353">
        <f t="shared" si="0"/>
        <v>0</v>
      </c>
    </row>
    <row r="908" spans="9:10" x14ac:dyDescent="0.2">
      <c r="I908" s="353"/>
      <c r="J908" s="353">
        <f t="shared" si="0"/>
        <v>0</v>
      </c>
    </row>
    <row r="909" spans="9:10" x14ac:dyDescent="0.2">
      <c r="I909" s="353"/>
      <c r="J909" s="353">
        <f t="shared" si="0"/>
        <v>0</v>
      </c>
    </row>
    <row r="910" spans="9:10" x14ac:dyDescent="0.2">
      <c r="I910" s="353"/>
      <c r="J910" s="353">
        <f t="shared" si="0"/>
        <v>0</v>
      </c>
    </row>
    <row r="911" spans="9:10" x14ac:dyDescent="0.2">
      <c r="I911" s="353"/>
      <c r="J911" s="353">
        <f t="shared" si="0"/>
        <v>0</v>
      </c>
    </row>
    <row r="912" spans="9:10" x14ac:dyDescent="0.2">
      <c r="I912" s="353"/>
      <c r="J912" s="353">
        <f t="shared" si="0"/>
        <v>0</v>
      </c>
    </row>
    <row r="913" spans="9:10" x14ac:dyDescent="0.2">
      <c r="I913" s="353"/>
      <c r="J913" s="353">
        <f t="shared" si="0"/>
        <v>0</v>
      </c>
    </row>
    <row r="914" spans="9:10" x14ac:dyDescent="0.2">
      <c r="I914" s="353"/>
      <c r="J914" s="353">
        <f t="shared" si="0"/>
        <v>0</v>
      </c>
    </row>
    <row r="915" spans="9:10" x14ac:dyDescent="0.2">
      <c r="I915" s="353"/>
      <c r="J915" s="353"/>
    </row>
    <row r="916" spans="9:10" x14ac:dyDescent="0.2">
      <c r="I916" s="353"/>
      <c r="J916" s="353"/>
    </row>
    <row r="917" spans="9:10" x14ac:dyDescent="0.2">
      <c r="I917" s="353"/>
      <c r="J917" s="353"/>
    </row>
    <row r="918" spans="9:10" x14ac:dyDescent="0.2">
      <c r="I918" s="353"/>
      <c r="J918" s="353"/>
    </row>
    <row r="919" spans="9:10" x14ac:dyDescent="0.2">
      <c r="I919" s="353"/>
      <c r="J919" s="353"/>
    </row>
    <row r="920" spans="9:10" x14ac:dyDescent="0.2">
      <c r="I920" s="353"/>
      <c r="J920" s="353"/>
    </row>
    <row r="921" spans="9:10" x14ac:dyDescent="0.2">
      <c r="I921" s="353"/>
      <c r="J921" s="353"/>
    </row>
    <row r="922" spans="9:10" x14ac:dyDescent="0.2">
      <c r="I922" s="353"/>
      <c r="J922" s="353"/>
    </row>
    <row r="923" spans="9:10" x14ac:dyDescent="0.2">
      <c r="I923" s="353"/>
      <c r="J923" s="353"/>
    </row>
    <row r="924" spans="9:10" x14ac:dyDescent="0.2">
      <c r="I924" s="353"/>
      <c r="J924" s="353"/>
    </row>
    <row r="925" spans="9:10" x14ac:dyDescent="0.2">
      <c r="I925" s="353"/>
      <c r="J925" s="353"/>
    </row>
    <row r="926" spans="9:10" x14ac:dyDescent="0.2">
      <c r="I926" s="353"/>
      <c r="J926" s="353"/>
    </row>
    <row r="927" spans="9:10" x14ac:dyDescent="0.2">
      <c r="I927" s="353"/>
      <c r="J927" s="353"/>
    </row>
    <row r="928" spans="9:10" x14ac:dyDescent="0.2">
      <c r="I928" s="353"/>
      <c r="J928" s="353"/>
    </row>
    <row r="929" spans="9:10" x14ac:dyDescent="0.2">
      <c r="I929" s="353"/>
      <c r="J929" s="353"/>
    </row>
    <row r="930" spans="9:10" x14ac:dyDescent="0.2">
      <c r="I930" s="353"/>
      <c r="J930" s="353"/>
    </row>
    <row r="931" spans="9:10" x14ac:dyDescent="0.2">
      <c r="I931" s="353"/>
      <c r="J931" s="353"/>
    </row>
    <row r="932" spans="9:10" x14ac:dyDescent="0.2">
      <c r="I932" s="353"/>
      <c r="J932" s="353"/>
    </row>
    <row r="933" spans="9:10" x14ac:dyDescent="0.2">
      <c r="I933" s="353"/>
      <c r="J933" s="353"/>
    </row>
    <row r="934" spans="9:10" x14ac:dyDescent="0.2">
      <c r="I934" s="353"/>
      <c r="J934" s="353"/>
    </row>
    <row r="935" spans="9:10" x14ac:dyDescent="0.2">
      <c r="I935" s="353"/>
      <c r="J935" s="353"/>
    </row>
    <row r="936" spans="9:10" x14ac:dyDescent="0.2">
      <c r="I936" s="353"/>
      <c r="J936" s="353"/>
    </row>
    <row r="937" spans="9:10" x14ac:dyDescent="0.2">
      <c r="I937" s="353"/>
      <c r="J937" s="353"/>
    </row>
    <row r="938" spans="9:10" x14ac:dyDescent="0.2">
      <c r="I938" s="353"/>
      <c r="J938" s="353"/>
    </row>
    <row r="939" spans="9:10" x14ac:dyDescent="0.2">
      <c r="I939" s="353"/>
      <c r="J939" s="353"/>
    </row>
    <row r="940" spans="9:10" x14ac:dyDescent="0.2">
      <c r="I940" s="353"/>
      <c r="J940" s="353"/>
    </row>
    <row r="941" spans="9:10" x14ac:dyDescent="0.2">
      <c r="I941" s="353"/>
      <c r="J941" s="353"/>
    </row>
    <row r="942" spans="9:10" x14ac:dyDescent="0.2">
      <c r="I942" s="353"/>
      <c r="J942" s="353"/>
    </row>
    <row r="943" spans="9:10" x14ac:dyDescent="0.2">
      <c r="I943" s="353"/>
      <c r="J943" s="353"/>
    </row>
    <row r="944" spans="9:10" x14ac:dyDescent="0.2">
      <c r="I944" s="353"/>
      <c r="J944" s="353"/>
    </row>
    <row r="945" spans="9:10" x14ac:dyDescent="0.2">
      <c r="I945" s="353"/>
      <c r="J945" s="353"/>
    </row>
    <row r="946" spans="9:10" x14ac:dyDescent="0.2">
      <c r="I946" s="353"/>
      <c r="J946" s="353"/>
    </row>
    <row r="947" spans="9:10" x14ac:dyDescent="0.2">
      <c r="I947" s="353"/>
      <c r="J947" s="353"/>
    </row>
    <row r="948" spans="9:10" x14ac:dyDescent="0.2">
      <c r="I948" s="353"/>
      <c r="J948" s="353"/>
    </row>
    <row r="949" spans="9:10" x14ac:dyDescent="0.2">
      <c r="I949" s="353"/>
      <c r="J949" s="353"/>
    </row>
    <row r="950" spans="9:10" x14ac:dyDescent="0.2">
      <c r="I950" s="353"/>
      <c r="J950" s="353"/>
    </row>
    <row r="951" spans="9:10" x14ac:dyDescent="0.2">
      <c r="I951" s="353"/>
      <c r="J951" s="353"/>
    </row>
    <row r="952" spans="9:10" x14ac:dyDescent="0.2">
      <c r="I952" s="353"/>
      <c r="J952" s="353"/>
    </row>
    <row r="953" spans="9:10" x14ac:dyDescent="0.2">
      <c r="I953" s="353"/>
      <c r="J953" s="353"/>
    </row>
    <row r="954" spans="9:10" x14ac:dyDescent="0.2">
      <c r="I954" s="353"/>
      <c r="J954" s="353"/>
    </row>
    <row r="955" spans="9:10" x14ac:dyDescent="0.2">
      <c r="I955" s="353"/>
      <c r="J955" s="353"/>
    </row>
    <row r="956" spans="9:10" x14ac:dyDescent="0.2">
      <c r="I956" s="353"/>
      <c r="J956" s="353"/>
    </row>
    <row r="957" spans="9:10" x14ac:dyDescent="0.2">
      <c r="I957" s="353"/>
      <c r="J957" s="353"/>
    </row>
    <row r="958" spans="9:10" x14ac:dyDescent="0.2">
      <c r="I958" s="353"/>
      <c r="J958" s="353"/>
    </row>
    <row r="959" spans="9:10" x14ac:dyDescent="0.2">
      <c r="I959" s="353"/>
      <c r="J959" s="353"/>
    </row>
    <row r="960" spans="9:10" x14ac:dyDescent="0.2">
      <c r="I960" s="353"/>
      <c r="J960" s="353"/>
    </row>
    <row r="961" spans="9:10" x14ac:dyDescent="0.2">
      <c r="I961" s="353"/>
      <c r="J961" s="353"/>
    </row>
    <row r="962" spans="9:10" x14ac:dyDescent="0.2">
      <c r="I962" s="353"/>
      <c r="J962" s="353"/>
    </row>
    <row r="963" spans="9:10" x14ac:dyDescent="0.2">
      <c r="I963" s="353"/>
      <c r="J963" s="353"/>
    </row>
    <row r="964" spans="9:10" x14ac:dyDescent="0.2">
      <c r="I964" s="353"/>
      <c r="J964" s="353"/>
    </row>
    <row r="965" spans="9:10" x14ac:dyDescent="0.2">
      <c r="I965" s="353"/>
      <c r="J965" s="353"/>
    </row>
    <row r="966" spans="9:10" x14ac:dyDescent="0.2">
      <c r="I966" s="353"/>
      <c r="J966" s="353"/>
    </row>
    <row r="967" spans="9:10" x14ac:dyDescent="0.2">
      <c r="I967" s="353"/>
      <c r="J967" s="353"/>
    </row>
    <row r="968" spans="9:10" x14ac:dyDescent="0.2">
      <c r="I968" s="353"/>
      <c r="J968" s="353"/>
    </row>
    <row r="969" spans="9:10" x14ac:dyDescent="0.2">
      <c r="I969" s="353"/>
      <c r="J969" s="353"/>
    </row>
    <row r="970" spans="9:10" x14ac:dyDescent="0.2">
      <c r="I970" s="353"/>
      <c r="J970" s="353"/>
    </row>
    <row r="971" spans="9:10" x14ac:dyDescent="0.2">
      <c r="I971" s="353"/>
      <c r="J971" s="353"/>
    </row>
    <row r="972" spans="9:10" x14ac:dyDescent="0.2">
      <c r="I972" s="353"/>
      <c r="J972" s="353"/>
    </row>
    <row r="973" spans="9:10" x14ac:dyDescent="0.2">
      <c r="I973" s="353"/>
      <c r="J973" s="353"/>
    </row>
    <row r="974" spans="9:10" x14ac:dyDescent="0.2">
      <c r="I974" s="353"/>
      <c r="J974" s="353"/>
    </row>
    <row r="975" spans="9:10" x14ac:dyDescent="0.2">
      <c r="I975" s="353"/>
      <c r="J975" s="353"/>
    </row>
    <row r="976" spans="9:10" x14ac:dyDescent="0.2">
      <c r="I976" s="353"/>
      <c r="J976" s="353"/>
    </row>
    <row r="977" spans="9:10" x14ac:dyDescent="0.2">
      <c r="I977" s="353"/>
      <c r="J977" s="353"/>
    </row>
    <row r="978" spans="9:10" x14ac:dyDescent="0.2">
      <c r="I978" s="353"/>
      <c r="J978" s="353"/>
    </row>
    <row r="979" spans="9:10" x14ac:dyDescent="0.2">
      <c r="I979" s="353"/>
      <c r="J979" s="353"/>
    </row>
    <row r="980" spans="9:10" x14ac:dyDescent="0.2">
      <c r="I980" s="353"/>
      <c r="J980" s="353"/>
    </row>
    <row r="981" spans="9:10" x14ac:dyDescent="0.2">
      <c r="I981" s="353"/>
      <c r="J981" s="353"/>
    </row>
    <row r="982" spans="9:10" x14ac:dyDescent="0.2">
      <c r="I982" s="353"/>
      <c r="J982" s="353"/>
    </row>
    <row r="983" spans="9:10" x14ac:dyDescent="0.2">
      <c r="I983" s="353"/>
      <c r="J983" s="353"/>
    </row>
    <row r="984" spans="9:10" x14ac:dyDescent="0.2">
      <c r="I984" s="353"/>
      <c r="J984" s="353"/>
    </row>
    <row r="985" spans="9:10" x14ac:dyDescent="0.2">
      <c r="I985" s="353"/>
      <c r="J985" s="353"/>
    </row>
    <row r="986" spans="9:10" x14ac:dyDescent="0.2">
      <c r="I986" s="353"/>
      <c r="J986" s="353"/>
    </row>
    <row r="987" spans="9:10" x14ac:dyDescent="0.2">
      <c r="I987" s="353"/>
      <c r="J987" s="353"/>
    </row>
    <row r="988" spans="9:10" x14ac:dyDescent="0.2">
      <c r="I988" s="353"/>
      <c r="J988" s="353"/>
    </row>
    <row r="989" spans="9:10" x14ac:dyDescent="0.2">
      <c r="I989" s="353"/>
      <c r="J989" s="353"/>
    </row>
    <row r="990" spans="9:10" x14ac:dyDescent="0.2">
      <c r="I990" s="353"/>
      <c r="J990" s="353"/>
    </row>
    <row r="991" spans="9:10" x14ac:dyDescent="0.2">
      <c r="I991" s="353"/>
      <c r="J991" s="353"/>
    </row>
    <row r="992" spans="9:10" x14ac:dyDescent="0.2">
      <c r="I992" s="353"/>
      <c r="J992" s="353"/>
    </row>
    <row r="993" spans="9:10" x14ac:dyDescent="0.2">
      <c r="I993" s="353"/>
      <c r="J993" s="353"/>
    </row>
    <row r="994" spans="9:10" x14ac:dyDescent="0.2">
      <c r="I994" s="353"/>
      <c r="J994" s="353"/>
    </row>
    <row r="995" spans="9:10" x14ac:dyDescent="0.2">
      <c r="I995" s="353"/>
      <c r="J995" s="353"/>
    </row>
    <row r="996" spans="9:10" x14ac:dyDescent="0.2">
      <c r="I996" s="353"/>
      <c r="J996" s="353"/>
    </row>
    <row r="997" spans="9:10" x14ac:dyDescent="0.2">
      <c r="I997" s="353"/>
      <c r="J997" s="353"/>
    </row>
    <row r="998" spans="9:10" x14ac:dyDescent="0.2">
      <c r="I998" s="353"/>
      <c r="J998" s="353"/>
    </row>
    <row r="999" spans="9:10" x14ac:dyDescent="0.2">
      <c r="I999" s="353"/>
      <c r="J999" s="353"/>
    </row>
    <row r="1000" spans="9:10" x14ac:dyDescent="0.2">
      <c r="I1000" s="353"/>
      <c r="J1000" s="353"/>
    </row>
    <row r="1001" spans="9:10" x14ac:dyDescent="0.2">
      <c r="I1001" s="353"/>
      <c r="J1001" s="353"/>
    </row>
    <row r="1002" spans="9:10" x14ac:dyDescent="0.2">
      <c r="I1002" s="353"/>
      <c r="J1002" s="353"/>
    </row>
    <row r="1003" spans="9:10" x14ac:dyDescent="0.2">
      <c r="I1003" s="353"/>
      <c r="J1003" s="353"/>
    </row>
    <row r="1004" spans="9:10" x14ac:dyDescent="0.2">
      <c r="I1004" s="353"/>
      <c r="J1004" s="353"/>
    </row>
    <row r="1005" spans="9:10" x14ac:dyDescent="0.2">
      <c r="I1005" s="353"/>
      <c r="J1005" s="353"/>
    </row>
    <row r="1006" spans="9:10" x14ac:dyDescent="0.2">
      <c r="I1006" s="353"/>
      <c r="J1006" s="353"/>
    </row>
    <row r="1007" spans="9:10" x14ac:dyDescent="0.2">
      <c r="I1007" s="353"/>
      <c r="J1007" s="353"/>
    </row>
    <row r="1008" spans="9:10" x14ac:dyDescent="0.2">
      <c r="I1008" s="353"/>
      <c r="J1008" s="353"/>
    </row>
    <row r="1009" spans="9:10" x14ac:dyDescent="0.2">
      <c r="I1009" s="353"/>
      <c r="J1009" s="353"/>
    </row>
    <row r="1010" spans="9:10" x14ac:dyDescent="0.2">
      <c r="I1010" s="353"/>
      <c r="J1010" s="353"/>
    </row>
    <row r="1011" spans="9:10" x14ac:dyDescent="0.2">
      <c r="I1011" s="353"/>
      <c r="J1011" s="353"/>
    </row>
    <row r="1012" spans="9:10" x14ac:dyDescent="0.2">
      <c r="I1012" s="353"/>
      <c r="J1012" s="353"/>
    </row>
    <row r="1013" spans="9:10" x14ac:dyDescent="0.2">
      <c r="I1013" s="353"/>
      <c r="J1013" s="353"/>
    </row>
    <row r="1014" spans="9:10" x14ac:dyDescent="0.2">
      <c r="I1014" s="353"/>
      <c r="J1014" s="353"/>
    </row>
    <row r="1015" spans="9:10" x14ac:dyDescent="0.2">
      <c r="I1015" s="353"/>
      <c r="J1015" s="353"/>
    </row>
    <row r="1016" spans="9:10" x14ac:dyDescent="0.2">
      <c r="I1016" s="353"/>
      <c r="J1016" s="353"/>
    </row>
    <row r="1017" spans="9:10" x14ac:dyDescent="0.2">
      <c r="I1017" s="353"/>
      <c r="J1017" s="353"/>
    </row>
    <row r="1018" spans="9:10" x14ac:dyDescent="0.2">
      <c r="I1018" s="353"/>
      <c r="J1018" s="353"/>
    </row>
    <row r="1019" spans="9:10" x14ac:dyDescent="0.2">
      <c r="I1019" s="353"/>
      <c r="J1019" s="353"/>
    </row>
    <row r="1020" spans="9:10" x14ac:dyDescent="0.2">
      <c r="I1020" s="353"/>
      <c r="J1020" s="353"/>
    </row>
    <row r="1021" spans="9:10" x14ac:dyDescent="0.2">
      <c r="I1021" s="353"/>
      <c r="J1021" s="353"/>
    </row>
    <row r="1022" spans="9:10" x14ac:dyDescent="0.2">
      <c r="I1022" s="353"/>
      <c r="J1022" s="353"/>
    </row>
    <row r="1023" spans="9:10" x14ac:dyDescent="0.2">
      <c r="I1023" s="353"/>
      <c r="J1023" s="353"/>
    </row>
    <row r="1024" spans="9:10" x14ac:dyDescent="0.2">
      <c r="I1024" s="353"/>
      <c r="J1024" s="353"/>
    </row>
    <row r="1025" spans="9:10" x14ac:dyDescent="0.2">
      <c r="I1025" s="353"/>
      <c r="J1025" s="353"/>
    </row>
    <row r="1026" spans="9:10" x14ac:dyDescent="0.2">
      <c r="I1026" s="353"/>
      <c r="J1026" s="353"/>
    </row>
    <row r="1027" spans="9:10" x14ac:dyDescent="0.2">
      <c r="I1027" s="353"/>
      <c r="J1027" s="353"/>
    </row>
    <row r="1028" spans="9:10" x14ac:dyDescent="0.2">
      <c r="I1028" s="353"/>
      <c r="J1028" s="353"/>
    </row>
    <row r="1029" spans="9:10" x14ac:dyDescent="0.2">
      <c r="I1029" s="353"/>
      <c r="J1029" s="353"/>
    </row>
    <row r="1030" spans="9:10" x14ac:dyDescent="0.2">
      <c r="I1030" s="353"/>
      <c r="J1030" s="353"/>
    </row>
    <row r="1031" spans="9:10" x14ac:dyDescent="0.2">
      <c r="I1031" s="353"/>
      <c r="J1031" s="353"/>
    </row>
    <row r="1032" spans="9:10" x14ac:dyDescent="0.2">
      <c r="I1032" s="353"/>
      <c r="J1032" s="353"/>
    </row>
    <row r="1033" spans="9:10" x14ac:dyDescent="0.2">
      <c r="I1033" s="353"/>
      <c r="J1033" s="353"/>
    </row>
    <row r="1034" spans="9:10" x14ac:dyDescent="0.2">
      <c r="I1034" s="353"/>
      <c r="J1034" s="353"/>
    </row>
    <row r="1035" spans="9:10" x14ac:dyDescent="0.2">
      <c r="I1035" s="353"/>
      <c r="J1035" s="353"/>
    </row>
    <row r="1036" spans="9:10" x14ac:dyDescent="0.2">
      <c r="I1036" s="353"/>
      <c r="J1036" s="353"/>
    </row>
    <row r="1037" spans="9:10" x14ac:dyDescent="0.2">
      <c r="I1037" s="353"/>
      <c r="J1037" s="353"/>
    </row>
    <row r="1038" spans="9:10" x14ac:dyDescent="0.2">
      <c r="I1038" s="353"/>
      <c r="J1038" s="353"/>
    </row>
    <row r="1039" spans="9:10" x14ac:dyDescent="0.2">
      <c r="I1039" s="353"/>
      <c r="J1039" s="353"/>
    </row>
    <row r="1040" spans="9:10" x14ac:dyDescent="0.2">
      <c r="I1040" s="353"/>
      <c r="J1040" s="353"/>
    </row>
    <row r="1041" spans="9:10" x14ac:dyDescent="0.2">
      <c r="I1041" s="353"/>
      <c r="J1041" s="353"/>
    </row>
    <row r="1042" spans="9:10" x14ac:dyDescent="0.2">
      <c r="I1042" s="353"/>
      <c r="J1042" s="353"/>
    </row>
    <row r="1043" spans="9:10" x14ac:dyDescent="0.2">
      <c r="I1043" s="353"/>
      <c r="J1043" s="353"/>
    </row>
    <row r="1044" spans="9:10" x14ac:dyDescent="0.2">
      <c r="I1044" s="353"/>
      <c r="J1044" s="353"/>
    </row>
    <row r="1045" spans="9:10" x14ac:dyDescent="0.2">
      <c r="I1045" s="353"/>
      <c r="J1045" s="353"/>
    </row>
    <row r="1046" spans="9:10" x14ac:dyDescent="0.2">
      <c r="I1046" s="353"/>
      <c r="J1046" s="353"/>
    </row>
    <row r="1047" spans="9:10" x14ac:dyDescent="0.2">
      <c r="I1047" s="353"/>
      <c r="J1047" s="353"/>
    </row>
    <row r="1048" spans="9:10" x14ac:dyDescent="0.2">
      <c r="I1048" s="353"/>
      <c r="J1048" s="353"/>
    </row>
    <row r="1049" spans="9:10" x14ac:dyDescent="0.2">
      <c r="I1049" s="353"/>
      <c r="J1049" s="353"/>
    </row>
    <row r="1050" spans="9:10" x14ac:dyDescent="0.2">
      <c r="I1050" s="353"/>
      <c r="J1050" s="353"/>
    </row>
    <row r="1051" spans="9:10" x14ac:dyDescent="0.2">
      <c r="I1051" s="353"/>
      <c r="J1051" s="353"/>
    </row>
    <row r="1052" spans="9:10" x14ac:dyDescent="0.2">
      <c r="I1052" s="353"/>
      <c r="J1052" s="353"/>
    </row>
    <row r="1053" spans="9:10" x14ac:dyDescent="0.2">
      <c r="I1053" s="353"/>
      <c r="J1053" s="353"/>
    </row>
    <row r="1054" spans="9:10" x14ac:dyDescent="0.2">
      <c r="I1054" s="353"/>
      <c r="J1054" s="353"/>
    </row>
    <row r="1055" spans="9:10" x14ac:dyDescent="0.2">
      <c r="I1055" s="353"/>
      <c r="J1055" s="353"/>
    </row>
    <row r="1056" spans="9:10" x14ac:dyDescent="0.2">
      <c r="I1056" s="353"/>
      <c r="J1056" s="353"/>
    </row>
    <row r="1057" spans="9:10" x14ac:dyDescent="0.2">
      <c r="I1057" s="353"/>
      <c r="J1057" s="353"/>
    </row>
    <row r="1058" spans="9:10" x14ac:dyDescent="0.2">
      <c r="I1058" s="353"/>
      <c r="J1058" s="353"/>
    </row>
    <row r="1059" spans="9:10" x14ac:dyDescent="0.2">
      <c r="I1059" s="353"/>
      <c r="J1059" s="353"/>
    </row>
    <row r="1060" spans="9:10" x14ac:dyDescent="0.2">
      <c r="I1060" s="353"/>
      <c r="J1060" s="353"/>
    </row>
    <row r="1061" spans="9:10" x14ac:dyDescent="0.2">
      <c r="I1061" s="353"/>
      <c r="J1061" s="353"/>
    </row>
    <row r="1062" spans="9:10" x14ac:dyDescent="0.2">
      <c r="I1062" s="353"/>
      <c r="J1062" s="353"/>
    </row>
    <row r="1063" spans="9:10" x14ac:dyDescent="0.2">
      <c r="I1063" s="353"/>
      <c r="J1063" s="353"/>
    </row>
    <row r="1064" spans="9:10" x14ac:dyDescent="0.2">
      <c r="I1064" s="353"/>
      <c r="J1064" s="353"/>
    </row>
    <row r="1065" spans="9:10" x14ac:dyDescent="0.2">
      <c r="I1065" s="353"/>
      <c r="J1065" s="353"/>
    </row>
    <row r="1066" spans="9:10" x14ac:dyDescent="0.2">
      <c r="I1066" s="353"/>
      <c r="J1066" s="353"/>
    </row>
    <row r="1067" spans="9:10" x14ac:dyDescent="0.2">
      <c r="I1067" s="353"/>
      <c r="J1067" s="353"/>
    </row>
    <row r="1068" spans="9:10" x14ac:dyDescent="0.2">
      <c r="I1068" s="353"/>
      <c r="J1068" s="353"/>
    </row>
    <row r="1069" spans="9:10" x14ac:dyDescent="0.2">
      <c r="I1069" s="353"/>
      <c r="J1069" s="353"/>
    </row>
    <row r="1070" spans="9:10" x14ac:dyDescent="0.2">
      <c r="I1070" s="353"/>
      <c r="J1070" s="353"/>
    </row>
    <row r="1071" spans="9:10" x14ac:dyDescent="0.2">
      <c r="I1071" s="353"/>
      <c r="J1071" s="353"/>
    </row>
    <row r="1072" spans="9:10" x14ac:dyDescent="0.2">
      <c r="I1072" s="353"/>
      <c r="J1072" s="353"/>
    </row>
    <row r="1073" spans="9:10" x14ac:dyDescent="0.2">
      <c r="I1073" s="353"/>
      <c r="J1073" s="353"/>
    </row>
    <row r="1074" spans="9:10" x14ac:dyDescent="0.2">
      <c r="I1074" s="353"/>
      <c r="J1074" s="353"/>
    </row>
    <row r="1075" spans="9:10" x14ac:dyDescent="0.2">
      <c r="I1075" s="353"/>
      <c r="J1075" s="353"/>
    </row>
    <row r="1076" spans="9:10" x14ac:dyDescent="0.2">
      <c r="I1076" s="353"/>
      <c r="J1076" s="353"/>
    </row>
    <row r="1077" spans="9:10" x14ac:dyDescent="0.2">
      <c r="I1077" s="353"/>
      <c r="J1077" s="353"/>
    </row>
    <row r="1078" spans="9:10" x14ac:dyDescent="0.2">
      <c r="I1078" s="353"/>
      <c r="J1078" s="353"/>
    </row>
    <row r="1079" spans="9:10" x14ac:dyDescent="0.2">
      <c r="I1079" s="353"/>
      <c r="J1079" s="353"/>
    </row>
    <row r="1080" spans="9:10" x14ac:dyDescent="0.2">
      <c r="I1080" s="353"/>
      <c r="J1080" s="353"/>
    </row>
    <row r="1081" spans="9:10" x14ac:dyDescent="0.2">
      <c r="I1081" s="353"/>
      <c r="J1081" s="353"/>
    </row>
    <row r="1082" spans="9:10" x14ac:dyDescent="0.2">
      <c r="I1082" s="353"/>
      <c r="J1082" s="353"/>
    </row>
    <row r="1083" spans="9:10" x14ac:dyDescent="0.2">
      <c r="I1083" s="353"/>
      <c r="J1083" s="353"/>
    </row>
    <row r="1084" spans="9:10" x14ac:dyDescent="0.2">
      <c r="I1084" s="353"/>
      <c r="J1084" s="353"/>
    </row>
    <row r="1085" spans="9:10" x14ac:dyDescent="0.2">
      <c r="I1085" s="353"/>
      <c r="J1085" s="353"/>
    </row>
    <row r="1086" spans="9:10" x14ac:dyDescent="0.2">
      <c r="I1086" s="353"/>
      <c r="J1086" s="353"/>
    </row>
    <row r="1087" spans="9:10" x14ac:dyDescent="0.2">
      <c r="I1087" s="353"/>
      <c r="J1087" s="353"/>
    </row>
    <row r="1088" spans="9:10" x14ac:dyDescent="0.2">
      <c r="I1088" s="353"/>
      <c r="J1088" s="353"/>
    </row>
    <row r="1089" spans="9:10" x14ac:dyDescent="0.2">
      <c r="I1089" s="353"/>
      <c r="J1089" s="353"/>
    </row>
    <row r="1090" spans="9:10" x14ac:dyDescent="0.2">
      <c r="I1090" s="353"/>
      <c r="J1090" s="353"/>
    </row>
    <row r="1091" spans="9:10" x14ac:dyDescent="0.2">
      <c r="I1091" s="353"/>
      <c r="J1091" s="353"/>
    </row>
    <row r="1092" spans="9:10" x14ac:dyDescent="0.2">
      <c r="I1092" s="353"/>
      <c r="J1092" s="353"/>
    </row>
    <row r="1093" spans="9:10" x14ac:dyDescent="0.2">
      <c r="I1093" s="353"/>
      <c r="J1093" s="353"/>
    </row>
    <row r="1094" spans="9:10" x14ac:dyDescent="0.2">
      <c r="I1094" s="353"/>
      <c r="J1094" s="353"/>
    </row>
    <row r="1095" spans="9:10" x14ac:dyDescent="0.2">
      <c r="I1095" s="353"/>
      <c r="J1095" s="353"/>
    </row>
    <row r="1096" spans="9:10" x14ac:dyDescent="0.2">
      <c r="I1096" s="353"/>
      <c r="J1096" s="353"/>
    </row>
    <row r="1097" spans="9:10" x14ac:dyDescent="0.2">
      <c r="I1097" s="353"/>
      <c r="J1097" s="353"/>
    </row>
    <row r="1098" spans="9:10" x14ac:dyDescent="0.2">
      <c r="I1098" s="353"/>
      <c r="J1098" s="353"/>
    </row>
    <row r="1099" spans="9:10" x14ac:dyDescent="0.2">
      <c r="I1099" s="353"/>
      <c r="J1099" s="353"/>
    </row>
    <row r="1100" spans="9:10" x14ac:dyDescent="0.2">
      <c r="I1100" s="353"/>
      <c r="J1100" s="353"/>
    </row>
    <row r="1101" spans="9:10" x14ac:dyDescent="0.2">
      <c r="I1101" s="353"/>
      <c r="J1101" s="353"/>
    </row>
    <row r="1102" spans="9:10" x14ac:dyDescent="0.2">
      <c r="I1102" s="353"/>
      <c r="J1102" s="353"/>
    </row>
    <row r="1103" spans="9:10" x14ac:dyDescent="0.2">
      <c r="I1103" s="353"/>
      <c r="J1103" s="353"/>
    </row>
    <row r="1104" spans="9:10" x14ac:dyDescent="0.2">
      <c r="I1104" s="353"/>
      <c r="J1104" s="353"/>
    </row>
    <row r="1105" spans="9:10" x14ac:dyDescent="0.2">
      <c r="I1105" s="353"/>
      <c r="J1105" s="353"/>
    </row>
    <row r="1106" spans="9:10" x14ac:dyDescent="0.2">
      <c r="I1106" s="353"/>
      <c r="J1106" s="353"/>
    </row>
    <row r="1107" spans="9:10" x14ac:dyDescent="0.2">
      <c r="I1107" s="353"/>
      <c r="J1107" s="353"/>
    </row>
    <row r="1108" spans="9:10" x14ac:dyDescent="0.2">
      <c r="I1108" s="353"/>
      <c r="J1108" s="353"/>
    </row>
    <row r="1109" spans="9:10" x14ac:dyDescent="0.2">
      <c r="I1109" s="353"/>
      <c r="J1109" s="353"/>
    </row>
    <row r="1110" spans="9:10" x14ac:dyDescent="0.2">
      <c r="I1110" s="353"/>
      <c r="J1110" s="353"/>
    </row>
    <row r="1111" spans="9:10" x14ac:dyDescent="0.2">
      <c r="I1111" s="353"/>
      <c r="J1111" s="353"/>
    </row>
    <row r="1112" spans="9:10" x14ac:dyDescent="0.2">
      <c r="I1112" s="353"/>
      <c r="J1112" s="353"/>
    </row>
    <row r="1113" spans="9:10" x14ac:dyDescent="0.2">
      <c r="I1113" s="353"/>
      <c r="J1113" s="353"/>
    </row>
    <row r="1114" spans="9:10" x14ac:dyDescent="0.2">
      <c r="I1114" s="353"/>
      <c r="J1114" s="353"/>
    </row>
    <row r="1115" spans="9:10" x14ac:dyDescent="0.2">
      <c r="I1115" s="353"/>
      <c r="J1115" s="353"/>
    </row>
    <row r="1116" spans="9:10" x14ac:dyDescent="0.2">
      <c r="I1116" s="353"/>
      <c r="J1116" s="353"/>
    </row>
    <row r="1117" spans="9:10" x14ac:dyDescent="0.2">
      <c r="I1117" s="353"/>
      <c r="J1117" s="353"/>
    </row>
    <row r="1118" spans="9:10" x14ac:dyDescent="0.2">
      <c r="I1118" s="353"/>
      <c r="J1118" s="353"/>
    </row>
    <row r="1119" spans="9:10" x14ac:dyDescent="0.2">
      <c r="I1119" s="353"/>
      <c r="J1119" s="353"/>
    </row>
    <row r="1120" spans="9:10" x14ac:dyDescent="0.2">
      <c r="I1120" s="353"/>
      <c r="J1120" s="353"/>
    </row>
    <row r="1121" spans="9:10" x14ac:dyDescent="0.2">
      <c r="I1121" s="353"/>
      <c r="J1121" s="353"/>
    </row>
    <row r="1122" spans="9:10" x14ac:dyDescent="0.2">
      <c r="I1122" s="353"/>
      <c r="J1122" s="353"/>
    </row>
    <row r="1123" spans="9:10" x14ac:dyDescent="0.2">
      <c r="I1123" s="353"/>
      <c r="J1123" s="353"/>
    </row>
    <row r="1124" spans="9:10" x14ac:dyDescent="0.2">
      <c r="I1124" s="353"/>
      <c r="J1124" s="353"/>
    </row>
    <row r="1125" spans="9:10" x14ac:dyDescent="0.2">
      <c r="I1125" s="353"/>
      <c r="J1125" s="353"/>
    </row>
    <row r="1126" spans="9:10" x14ac:dyDescent="0.2">
      <c r="I1126" s="353"/>
      <c r="J1126" s="353"/>
    </row>
    <row r="1127" spans="9:10" x14ac:dyDescent="0.2">
      <c r="I1127" s="353"/>
      <c r="J1127" s="353"/>
    </row>
    <row r="1128" spans="9:10" x14ac:dyDescent="0.2">
      <c r="I1128" s="353"/>
      <c r="J1128" s="353"/>
    </row>
    <row r="1129" spans="9:10" x14ac:dyDescent="0.2">
      <c r="I1129" s="353"/>
      <c r="J1129" s="353"/>
    </row>
    <row r="1130" spans="9:10" x14ac:dyDescent="0.2">
      <c r="I1130" s="353"/>
      <c r="J1130" s="353"/>
    </row>
    <row r="1131" spans="9:10" x14ac:dyDescent="0.2">
      <c r="I1131" s="353"/>
      <c r="J1131" s="353"/>
    </row>
    <row r="1132" spans="9:10" x14ac:dyDescent="0.2">
      <c r="I1132" s="353"/>
      <c r="J1132" s="353"/>
    </row>
    <row r="1133" spans="9:10" x14ac:dyDescent="0.2">
      <c r="I1133" s="353"/>
      <c r="J1133" s="353"/>
    </row>
    <row r="1134" spans="9:10" x14ac:dyDescent="0.2">
      <c r="I1134" s="353"/>
      <c r="J1134" s="353"/>
    </row>
    <row r="1135" spans="9:10" x14ac:dyDescent="0.2">
      <c r="I1135" s="353"/>
      <c r="J1135" s="353"/>
    </row>
    <row r="1136" spans="9:10" x14ac:dyDescent="0.2">
      <c r="I1136" s="353"/>
      <c r="J1136" s="353"/>
    </row>
    <row r="1137" spans="9:10" x14ac:dyDescent="0.2">
      <c r="I1137" s="353"/>
      <c r="J1137" s="353"/>
    </row>
    <row r="1138" spans="9:10" x14ac:dyDescent="0.2">
      <c r="I1138" s="353"/>
      <c r="J1138" s="353"/>
    </row>
    <row r="1139" spans="9:10" x14ac:dyDescent="0.2">
      <c r="I1139" s="353"/>
      <c r="J1139" s="353"/>
    </row>
    <row r="1140" spans="9:10" x14ac:dyDescent="0.2">
      <c r="I1140" s="353"/>
      <c r="J1140" s="353"/>
    </row>
    <row r="1141" spans="9:10" x14ac:dyDescent="0.2">
      <c r="I1141" s="353"/>
      <c r="J1141" s="353"/>
    </row>
    <row r="1142" spans="9:10" x14ac:dyDescent="0.2">
      <c r="I1142" s="353"/>
      <c r="J1142" s="353"/>
    </row>
    <row r="1143" spans="9:10" x14ac:dyDescent="0.2">
      <c r="I1143" s="353"/>
      <c r="J1143" s="353"/>
    </row>
    <row r="1144" spans="9:10" x14ac:dyDescent="0.2">
      <c r="I1144" s="353"/>
      <c r="J1144" s="353"/>
    </row>
    <row r="1145" spans="9:10" x14ac:dyDescent="0.2">
      <c r="I1145" s="353"/>
      <c r="J1145" s="353"/>
    </row>
    <row r="1146" spans="9:10" x14ac:dyDescent="0.2">
      <c r="I1146" s="353"/>
      <c r="J1146" s="353"/>
    </row>
    <row r="1147" spans="9:10" x14ac:dyDescent="0.2">
      <c r="I1147" s="353"/>
      <c r="J1147" s="353"/>
    </row>
    <row r="1148" spans="9:10" x14ac:dyDescent="0.2">
      <c r="I1148" s="353"/>
      <c r="J1148" s="353"/>
    </row>
    <row r="1149" spans="9:10" x14ac:dyDescent="0.2">
      <c r="I1149" s="353"/>
      <c r="J1149" s="353"/>
    </row>
    <row r="1150" spans="9:10" x14ac:dyDescent="0.2">
      <c r="I1150" s="353"/>
      <c r="J1150" s="353"/>
    </row>
    <row r="1151" spans="9:10" x14ac:dyDescent="0.2">
      <c r="I1151" s="353"/>
      <c r="J1151" s="353"/>
    </row>
    <row r="1152" spans="9:10" x14ac:dyDescent="0.2">
      <c r="I1152" s="353"/>
      <c r="J1152" s="353"/>
    </row>
    <row r="1153" spans="9:10" x14ac:dyDescent="0.2">
      <c r="I1153" s="353"/>
      <c r="J1153" s="353"/>
    </row>
    <row r="1154" spans="9:10" x14ac:dyDescent="0.2">
      <c r="I1154" s="353"/>
      <c r="J1154" s="353"/>
    </row>
    <row r="1155" spans="9:10" x14ac:dyDescent="0.2">
      <c r="I1155" s="353"/>
      <c r="J1155" s="353"/>
    </row>
    <row r="1156" spans="9:10" x14ac:dyDescent="0.2">
      <c r="I1156" s="353"/>
      <c r="J1156" s="353"/>
    </row>
    <row r="1157" spans="9:10" x14ac:dyDescent="0.2">
      <c r="I1157" s="353"/>
      <c r="J1157" s="353"/>
    </row>
    <row r="1158" spans="9:10" x14ac:dyDescent="0.2">
      <c r="I1158" s="353"/>
      <c r="J1158" s="353"/>
    </row>
    <row r="1159" spans="9:10" x14ac:dyDescent="0.2">
      <c r="I1159" s="353"/>
      <c r="J1159" s="353"/>
    </row>
    <row r="1160" spans="9:10" x14ac:dyDescent="0.2">
      <c r="I1160" s="353"/>
      <c r="J1160" s="353"/>
    </row>
    <row r="1161" spans="9:10" x14ac:dyDescent="0.2">
      <c r="I1161" s="353"/>
      <c r="J1161" s="353"/>
    </row>
    <row r="1162" spans="9:10" x14ac:dyDescent="0.2">
      <c r="I1162" s="353"/>
      <c r="J1162" s="353"/>
    </row>
    <row r="1163" spans="9:10" x14ac:dyDescent="0.2">
      <c r="I1163" s="353"/>
      <c r="J1163" s="353"/>
    </row>
    <row r="1164" spans="9:10" x14ac:dyDescent="0.2">
      <c r="I1164" s="353"/>
      <c r="J1164" s="353"/>
    </row>
    <row r="1165" spans="9:10" x14ac:dyDescent="0.2">
      <c r="I1165" s="353"/>
      <c r="J1165" s="353"/>
    </row>
    <row r="1166" spans="9:10" x14ac:dyDescent="0.2">
      <c r="I1166" s="353"/>
      <c r="J1166" s="353"/>
    </row>
    <row r="1167" spans="9:10" x14ac:dyDescent="0.2">
      <c r="I1167" s="353"/>
      <c r="J1167" s="353"/>
    </row>
    <row r="1168" spans="9:10" x14ac:dyDescent="0.2">
      <c r="I1168" s="353"/>
      <c r="J1168" s="353"/>
    </row>
    <row r="1169" spans="9:10" x14ac:dyDescent="0.2">
      <c r="I1169" s="353"/>
      <c r="J1169" s="353"/>
    </row>
    <row r="1170" spans="9:10" x14ac:dyDescent="0.2">
      <c r="I1170" s="353"/>
      <c r="J1170" s="353"/>
    </row>
    <row r="1171" spans="9:10" x14ac:dyDescent="0.2">
      <c r="I1171" s="353"/>
      <c r="J1171" s="353"/>
    </row>
    <row r="1172" spans="9:10" x14ac:dyDescent="0.2">
      <c r="I1172" s="353"/>
      <c r="J1172" s="353"/>
    </row>
    <row r="1173" spans="9:10" x14ac:dyDescent="0.2">
      <c r="I1173" s="353"/>
      <c r="J1173" s="353"/>
    </row>
    <row r="1174" spans="9:10" x14ac:dyDescent="0.2">
      <c r="I1174" s="353"/>
      <c r="J1174" s="353"/>
    </row>
    <row r="1175" spans="9:10" x14ac:dyDescent="0.2">
      <c r="I1175" s="353"/>
      <c r="J1175" s="353"/>
    </row>
    <row r="1176" spans="9:10" x14ac:dyDescent="0.2">
      <c r="I1176" s="353"/>
      <c r="J1176" s="353"/>
    </row>
    <row r="1177" spans="9:10" x14ac:dyDescent="0.2">
      <c r="I1177" s="353"/>
      <c r="J1177" s="353"/>
    </row>
    <row r="1178" spans="9:10" x14ac:dyDescent="0.2">
      <c r="I1178" s="353"/>
      <c r="J1178" s="353"/>
    </row>
    <row r="1179" spans="9:10" x14ac:dyDescent="0.2">
      <c r="I1179" s="353"/>
      <c r="J1179" s="353"/>
    </row>
    <row r="1180" spans="9:10" x14ac:dyDescent="0.2">
      <c r="I1180" s="353"/>
      <c r="J1180" s="353"/>
    </row>
    <row r="1181" spans="9:10" x14ac:dyDescent="0.2">
      <c r="I1181" s="353"/>
      <c r="J1181" s="353"/>
    </row>
    <row r="1182" spans="9:10" x14ac:dyDescent="0.2">
      <c r="I1182" s="353"/>
      <c r="J1182" s="353"/>
    </row>
    <row r="1183" spans="9:10" x14ac:dyDescent="0.2">
      <c r="I1183" s="353"/>
      <c r="J1183" s="353"/>
    </row>
    <row r="1184" spans="9:10" x14ac:dyDescent="0.2">
      <c r="I1184" s="353"/>
      <c r="J1184" s="353"/>
    </row>
    <row r="1185" spans="9:10" x14ac:dyDescent="0.2">
      <c r="I1185" s="353"/>
      <c r="J1185" s="353"/>
    </row>
    <row r="1186" spans="9:10" x14ac:dyDescent="0.2">
      <c r="I1186" s="353"/>
      <c r="J1186" s="353"/>
    </row>
    <row r="1187" spans="9:10" x14ac:dyDescent="0.2">
      <c r="I1187" s="353"/>
      <c r="J1187" s="353"/>
    </row>
    <row r="1188" spans="9:10" x14ac:dyDescent="0.2">
      <c r="I1188" s="353"/>
      <c r="J1188" s="353"/>
    </row>
    <row r="1189" spans="9:10" x14ac:dyDescent="0.2">
      <c r="I1189" s="353"/>
      <c r="J1189" s="353"/>
    </row>
    <row r="1190" spans="9:10" x14ac:dyDescent="0.2">
      <c r="I1190" s="353"/>
      <c r="J1190" s="353"/>
    </row>
    <row r="1191" spans="9:10" x14ac:dyDescent="0.2">
      <c r="I1191" s="353"/>
      <c r="J1191" s="353"/>
    </row>
    <row r="1192" spans="9:10" x14ac:dyDescent="0.2">
      <c r="I1192" s="353"/>
      <c r="J1192" s="353"/>
    </row>
    <row r="1193" spans="9:10" x14ac:dyDescent="0.2">
      <c r="I1193" s="353"/>
      <c r="J1193" s="353"/>
    </row>
    <row r="1194" spans="9:10" x14ac:dyDescent="0.2">
      <c r="I1194" s="353"/>
      <c r="J1194" s="353"/>
    </row>
    <row r="1195" spans="9:10" x14ac:dyDescent="0.2">
      <c r="I1195" s="353"/>
      <c r="J1195" s="353"/>
    </row>
    <row r="1196" spans="9:10" x14ac:dyDescent="0.2">
      <c r="I1196" s="353"/>
      <c r="J1196" s="353"/>
    </row>
    <row r="1197" spans="9:10" x14ac:dyDescent="0.2">
      <c r="I1197" s="353"/>
      <c r="J1197" s="353"/>
    </row>
    <row r="1198" spans="9:10" x14ac:dyDescent="0.2">
      <c r="I1198" s="353"/>
      <c r="J1198" s="353"/>
    </row>
    <row r="1199" spans="9:10" x14ac:dyDescent="0.2">
      <c r="I1199" s="353"/>
      <c r="J1199" s="353"/>
    </row>
    <row r="1200" spans="9:10" x14ac:dyDescent="0.2">
      <c r="I1200" s="353"/>
      <c r="J1200" s="353"/>
    </row>
    <row r="1201" spans="9:10" x14ac:dyDescent="0.2">
      <c r="I1201" s="353"/>
      <c r="J1201" s="353"/>
    </row>
    <row r="1202" spans="9:10" x14ac:dyDescent="0.2">
      <c r="I1202" s="353"/>
      <c r="J1202" s="353"/>
    </row>
    <row r="1203" spans="9:10" x14ac:dyDescent="0.2">
      <c r="I1203" s="353"/>
      <c r="J1203" s="353"/>
    </row>
    <row r="1204" spans="9:10" x14ac:dyDescent="0.2">
      <c r="I1204" s="353"/>
      <c r="J1204" s="353"/>
    </row>
    <row r="1205" spans="9:10" x14ac:dyDescent="0.2">
      <c r="I1205" s="353"/>
      <c r="J1205" s="353"/>
    </row>
    <row r="1206" spans="9:10" x14ac:dyDescent="0.2">
      <c r="I1206" s="353"/>
      <c r="J1206" s="353"/>
    </row>
    <row r="1207" spans="9:10" x14ac:dyDescent="0.2">
      <c r="I1207" s="353"/>
      <c r="J1207" s="353"/>
    </row>
    <row r="1208" spans="9:10" x14ac:dyDescent="0.2">
      <c r="I1208" s="353"/>
      <c r="J1208" s="353"/>
    </row>
    <row r="1209" spans="9:10" x14ac:dyDescent="0.2">
      <c r="I1209" s="353"/>
      <c r="J1209" s="353"/>
    </row>
    <row r="1210" spans="9:10" x14ac:dyDescent="0.2">
      <c r="I1210" s="353"/>
      <c r="J1210" s="353"/>
    </row>
    <row r="1211" spans="9:10" x14ac:dyDescent="0.2">
      <c r="I1211" s="353"/>
      <c r="J1211" s="353"/>
    </row>
    <row r="1212" spans="9:10" x14ac:dyDescent="0.2">
      <c r="I1212" s="353"/>
      <c r="J1212" s="353"/>
    </row>
    <row r="1213" spans="9:10" x14ac:dyDescent="0.2">
      <c r="I1213" s="353"/>
      <c r="J1213" s="353"/>
    </row>
    <row r="1214" spans="9:10" x14ac:dyDescent="0.2">
      <c r="I1214" s="353"/>
      <c r="J1214" s="353"/>
    </row>
    <row r="1215" spans="9:10" x14ac:dyDescent="0.2">
      <c r="I1215" s="353"/>
      <c r="J1215" s="353"/>
    </row>
    <row r="1216" spans="9:10" x14ac:dyDescent="0.2">
      <c r="I1216" s="353"/>
      <c r="J1216" s="353"/>
    </row>
    <row r="1217" spans="9:10" x14ac:dyDescent="0.2">
      <c r="I1217" s="353"/>
      <c r="J1217" s="353"/>
    </row>
    <row r="1218" spans="9:10" x14ac:dyDescent="0.2">
      <c r="I1218" s="353"/>
      <c r="J1218" s="353"/>
    </row>
    <row r="1219" spans="9:10" x14ac:dyDescent="0.2">
      <c r="I1219" s="353"/>
      <c r="J1219" s="353"/>
    </row>
    <row r="1220" spans="9:10" x14ac:dyDescent="0.2">
      <c r="I1220" s="353"/>
      <c r="J1220" s="353"/>
    </row>
    <row r="1221" spans="9:10" x14ac:dyDescent="0.2">
      <c r="I1221" s="353"/>
      <c r="J1221" s="353"/>
    </row>
    <row r="1222" spans="9:10" x14ac:dyDescent="0.2">
      <c r="I1222" s="353"/>
      <c r="J1222" s="353"/>
    </row>
    <row r="1223" spans="9:10" x14ac:dyDescent="0.2">
      <c r="I1223" s="353"/>
      <c r="J1223" s="353"/>
    </row>
    <row r="1224" spans="9:10" x14ac:dyDescent="0.2">
      <c r="I1224" s="353"/>
      <c r="J1224" s="353"/>
    </row>
    <row r="1225" spans="9:10" x14ac:dyDescent="0.2">
      <c r="I1225" s="353"/>
      <c r="J1225" s="353"/>
    </row>
    <row r="1226" spans="9:10" x14ac:dyDescent="0.2">
      <c r="I1226" s="353"/>
      <c r="J1226" s="353"/>
    </row>
    <row r="1227" spans="9:10" x14ac:dyDescent="0.2">
      <c r="I1227" s="353"/>
      <c r="J1227" s="353"/>
    </row>
    <row r="1228" spans="9:10" x14ac:dyDescent="0.2">
      <c r="I1228" s="353"/>
      <c r="J1228" s="353"/>
    </row>
    <row r="1229" spans="9:10" x14ac:dyDescent="0.2">
      <c r="I1229" s="353"/>
      <c r="J1229" s="353"/>
    </row>
    <row r="1230" spans="9:10" x14ac:dyDescent="0.2">
      <c r="I1230" s="353"/>
      <c r="J1230" s="353"/>
    </row>
    <row r="1231" spans="9:10" x14ac:dyDescent="0.2">
      <c r="I1231" s="353"/>
      <c r="J1231" s="353"/>
    </row>
    <row r="1232" spans="9:10" x14ac:dyDescent="0.2">
      <c r="I1232" s="353"/>
      <c r="J1232" s="353"/>
    </row>
    <row r="1233" spans="9:10" x14ac:dyDescent="0.2">
      <c r="I1233" s="353"/>
      <c r="J1233" s="353"/>
    </row>
    <row r="1234" spans="9:10" x14ac:dyDescent="0.2">
      <c r="I1234" s="353"/>
      <c r="J1234" s="353"/>
    </row>
    <row r="1235" spans="9:10" x14ac:dyDescent="0.2">
      <c r="I1235" s="353"/>
      <c r="J1235" s="353"/>
    </row>
    <row r="1236" spans="9:10" x14ac:dyDescent="0.2">
      <c r="I1236" s="353"/>
      <c r="J1236" s="353"/>
    </row>
    <row r="1237" spans="9:10" x14ac:dyDescent="0.2">
      <c r="I1237" s="353"/>
      <c r="J1237" s="353"/>
    </row>
    <row r="1238" spans="9:10" x14ac:dyDescent="0.2">
      <c r="I1238" s="353"/>
      <c r="J1238" s="353"/>
    </row>
    <row r="1239" spans="9:10" x14ac:dyDescent="0.2">
      <c r="I1239" s="353"/>
      <c r="J1239" s="353"/>
    </row>
    <row r="1240" spans="9:10" x14ac:dyDescent="0.2">
      <c r="I1240" s="353"/>
      <c r="J1240" s="353"/>
    </row>
    <row r="1241" spans="9:10" x14ac:dyDescent="0.2">
      <c r="I1241" s="353"/>
      <c r="J1241" s="353"/>
    </row>
    <row r="1242" spans="9:10" x14ac:dyDescent="0.2">
      <c r="I1242" s="353"/>
      <c r="J1242" s="353"/>
    </row>
    <row r="1243" spans="9:10" x14ac:dyDescent="0.2">
      <c r="I1243" s="353"/>
      <c r="J1243" s="353"/>
    </row>
    <row r="1244" spans="9:10" x14ac:dyDescent="0.2">
      <c r="I1244" s="353"/>
      <c r="J1244" s="353"/>
    </row>
    <row r="1245" spans="9:10" x14ac:dyDescent="0.2">
      <c r="I1245" s="353"/>
      <c r="J1245" s="353"/>
    </row>
    <row r="1246" spans="9:10" x14ac:dyDescent="0.2">
      <c r="I1246" s="353"/>
      <c r="J1246" s="353"/>
    </row>
    <row r="1247" spans="9:10" x14ac:dyDescent="0.2">
      <c r="I1247" s="353"/>
      <c r="J1247" s="353"/>
    </row>
    <row r="1248" spans="9:10" x14ac:dyDescent="0.2">
      <c r="I1248" s="353"/>
      <c r="J1248" s="353"/>
    </row>
    <row r="1249" spans="9:10" x14ac:dyDescent="0.2">
      <c r="I1249" s="353"/>
      <c r="J1249" s="353"/>
    </row>
    <row r="1250" spans="9:10" x14ac:dyDescent="0.2">
      <c r="I1250" s="353"/>
      <c r="J1250" s="353"/>
    </row>
    <row r="1251" spans="9:10" x14ac:dyDescent="0.2">
      <c r="I1251" s="353"/>
      <c r="J1251" s="353"/>
    </row>
    <row r="1252" spans="9:10" x14ac:dyDescent="0.2">
      <c r="I1252" s="353"/>
      <c r="J1252" s="353"/>
    </row>
    <row r="1253" spans="9:10" x14ac:dyDescent="0.2">
      <c r="I1253" s="353"/>
      <c r="J1253" s="353"/>
    </row>
    <row r="1254" spans="9:10" x14ac:dyDescent="0.2">
      <c r="I1254" s="353"/>
      <c r="J1254" s="353"/>
    </row>
    <row r="1255" spans="9:10" x14ac:dyDescent="0.2">
      <c r="I1255" s="353"/>
      <c r="J1255" s="353"/>
    </row>
    <row r="1256" spans="9:10" x14ac:dyDescent="0.2">
      <c r="I1256" s="353"/>
      <c r="J1256" s="353"/>
    </row>
    <row r="1257" spans="9:10" x14ac:dyDescent="0.2">
      <c r="I1257" s="353"/>
      <c r="J1257" s="353"/>
    </row>
    <row r="1258" spans="9:10" x14ac:dyDescent="0.2">
      <c r="I1258" s="353"/>
      <c r="J1258" s="353"/>
    </row>
    <row r="1259" spans="9:10" x14ac:dyDescent="0.2">
      <c r="I1259" s="353"/>
      <c r="J1259" s="353"/>
    </row>
    <row r="1260" spans="9:10" x14ac:dyDescent="0.2">
      <c r="I1260" s="353"/>
      <c r="J1260" s="353"/>
    </row>
    <row r="1261" spans="9:10" x14ac:dyDescent="0.2">
      <c r="I1261" s="353"/>
      <c r="J1261" s="353"/>
    </row>
    <row r="1262" spans="9:10" x14ac:dyDescent="0.2">
      <c r="I1262" s="353"/>
      <c r="J1262" s="353"/>
    </row>
    <row r="1263" spans="9:10" x14ac:dyDescent="0.2">
      <c r="I1263" s="353"/>
      <c r="J1263" s="353"/>
    </row>
    <row r="1264" spans="9:10" x14ac:dyDescent="0.2">
      <c r="I1264" s="353"/>
      <c r="J1264" s="353"/>
    </row>
    <row r="1265" spans="9:10" x14ac:dyDescent="0.2">
      <c r="I1265" s="353"/>
      <c r="J1265" s="353"/>
    </row>
    <row r="1266" spans="9:10" x14ac:dyDescent="0.2">
      <c r="I1266" s="353"/>
      <c r="J1266" s="353"/>
    </row>
    <row r="1267" spans="9:10" x14ac:dyDescent="0.2">
      <c r="I1267" s="353"/>
      <c r="J1267" s="353"/>
    </row>
    <row r="1268" spans="9:10" x14ac:dyDescent="0.2">
      <c r="I1268" s="353"/>
      <c r="J1268" s="353"/>
    </row>
    <row r="1269" spans="9:10" x14ac:dyDescent="0.2">
      <c r="I1269" s="353"/>
      <c r="J1269" s="353"/>
    </row>
    <row r="1270" spans="9:10" x14ac:dyDescent="0.2">
      <c r="I1270" s="353"/>
      <c r="J1270" s="353"/>
    </row>
    <row r="1271" spans="9:10" x14ac:dyDescent="0.2">
      <c r="I1271" s="353"/>
      <c r="J1271" s="353"/>
    </row>
    <row r="1272" spans="9:10" x14ac:dyDescent="0.2">
      <c r="I1272" s="353"/>
      <c r="J1272" s="353"/>
    </row>
    <row r="1273" spans="9:10" x14ac:dyDescent="0.2">
      <c r="I1273" s="353"/>
      <c r="J1273" s="353"/>
    </row>
    <row r="1274" spans="9:10" x14ac:dyDescent="0.2">
      <c r="I1274" s="353"/>
      <c r="J1274" s="353"/>
    </row>
    <row r="1275" spans="9:10" x14ac:dyDescent="0.2">
      <c r="I1275" s="353"/>
      <c r="J1275" s="353"/>
    </row>
    <row r="1276" spans="9:10" x14ac:dyDescent="0.2">
      <c r="I1276" s="353"/>
      <c r="J1276" s="353"/>
    </row>
    <row r="1277" spans="9:10" x14ac:dyDescent="0.2">
      <c r="I1277" s="353"/>
      <c r="J1277" s="353"/>
    </row>
    <row r="1278" spans="9:10" x14ac:dyDescent="0.2">
      <c r="I1278" s="353"/>
      <c r="J1278" s="353"/>
    </row>
    <row r="1279" spans="9:10" x14ac:dyDescent="0.2">
      <c r="I1279" s="353"/>
      <c r="J1279" s="353"/>
    </row>
    <row r="1280" spans="9:10" x14ac:dyDescent="0.2">
      <c r="I1280" s="353"/>
      <c r="J1280" s="353"/>
    </row>
    <row r="1281" spans="9:10" x14ac:dyDescent="0.2">
      <c r="I1281" s="353"/>
      <c r="J1281" s="353"/>
    </row>
    <row r="1282" spans="9:10" x14ac:dyDescent="0.2">
      <c r="I1282" s="353"/>
      <c r="J1282" s="353"/>
    </row>
    <row r="1283" spans="9:10" x14ac:dyDescent="0.2">
      <c r="I1283" s="353"/>
      <c r="J1283" s="353"/>
    </row>
    <row r="1284" spans="9:10" x14ac:dyDescent="0.2">
      <c r="I1284" s="353"/>
      <c r="J1284" s="353"/>
    </row>
    <row r="1285" spans="9:10" x14ac:dyDescent="0.2">
      <c r="I1285" s="353"/>
      <c r="J1285" s="353"/>
    </row>
    <row r="1286" spans="9:10" x14ac:dyDescent="0.2">
      <c r="I1286" s="353"/>
      <c r="J1286" s="353"/>
    </row>
    <row r="1287" spans="9:10" x14ac:dyDescent="0.2">
      <c r="I1287" s="353"/>
      <c r="J1287" s="353"/>
    </row>
    <row r="1288" spans="9:10" x14ac:dyDescent="0.2">
      <c r="I1288" s="353"/>
      <c r="J1288" s="353"/>
    </row>
    <row r="1289" spans="9:10" x14ac:dyDescent="0.2">
      <c r="I1289" s="353"/>
      <c r="J1289" s="353"/>
    </row>
    <row r="1290" spans="9:10" x14ac:dyDescent="0.2">
      <c r="I1290" s="353"/>
      <c r="J1290" s="353"/>
    </row>
    <row r="1291" spans="9:10" x14ac:dyDescent="0.2">
      <c r="I1291" s="353"/>
      <c r="J1291" s="353"/>
    </row>
    <row r="1292" spans="9:10" x14ac:dyDescent="0.2">
      <c r="I1292" s="353"/>
      <c r="J1292" s="353"/>
    </row>
    <row r="1293" spans="9:10" x14ac:dyDescent="0.2">
      <c r="I1293" s="353"/>
      <c r="J1293" s="353"/>
    </row>
    <row r="1294" spans="9:10" x14ac:dyDescent="0.2">
      <c r="I1294" s="353"/>
      <c r="J1294" s="353"/>
    </row>
    <row r="1295" spans="9:10" x14ac:dyDescent="0.2">
      <c r="I1295" s="353"/>
      <c r="J1295" s="353"/>
    </row>
    <row r="1296" spans="9:10" x14ac:dyDescent="0.2">
      <c r="I1296" s="353"/>
      <c r="J1296" s="353"/>
    </row>
    <row r="1297" spans="9:10" x14ac:dyDescent="0.2">
      <c r="I1297" s="353"/>
      <c r="J1297" s="353"/>
    </row>
    <row r="1298" spans="9:10" x14ac:dyDescent="0.2">
      <c r="I1298" s="353"/>
      <c r="J1298" s="353"/>
    </row>
    <row r="1299" spans="9:10" x14ac:dyDescent="0.2">
      <c r="I1299" s="353"/>
      <c r="J1299" s="353"/>
    </row>
    <row r="1300" spans="9:10" x14ac:dyDescent="0.2">
      <c r="I1300" s="353"/>
      <c r="J1300" s="353"/>
    </row>
    <row r="1301" spans="9:10" x14ac:dyDescent="0.2">
      <c r="I1301" s="353"/>
      <c r="J1301" s="353"/>
    </row>
    <row r="1302" spans="9:10" x14ac:dyDescent="0.2">
      <c r="I1302" s="353"/>
      <c r="J1302" s="353"/>
    </row>
    <row r="1303" spans="9:10" x14ac:dyDescent="0.2">
      <c r="I1303" s="353"/>
      <c r="J1303" s="353"/>
    </row>
    <row r="1304" spans="9:10" x14ac:dyDescent="0.2">
      <c r="I1304" s="353"/>
      <c r="J1304" s="353"/>
    </row>
    <row r="1305" spans="9:10" x14ac:dyDescent="0.2">
      <c r="I1305" s="353"/>
      <c r="J1305" s="353"/>
    </row>
    <row r="1306" spans="9:10" x14ac:dyDescent="0.2">
      <c r="I1306" s="353"/>
      <c r="J1306" s="353"/>
    </row>
    <row r="1307" spans="9:10" x14ac:dyDescent="0.2">
      <c r="I1307" s="353"/>
      <c r="J1307" s="353"/>
    </row>
    <row r="1308" spans="9:10" x14ac:dyDescent="0.2">
      <c r="I1308" s="353"/>
      <c r="J1308" s="353"/>
    </row>
    <row r="1309" spans="9:10" x14ac:dyDescent="0.2">
      <c r="I1309" s="353"/>
      <c r="J1309" s="353"/>
    </row>
    <row r="1310" spans="9:10" x14ac:dyDescent="0.2">
      <c r="I1310" s="353"/>
      <c r="J1310" s="353"/>
    </row>
    <row r="1311" spans="9:10" x14ac:dyDescent="0.2">
      <c r="I1311" s="353"/>
      <c r="J1311" s="353"/>
    </row>
    <row r="1312" spans="9:10" x14ac:dyDescent="0.2">
      <c r="I1312" s="353"/>
      <c r="J1312" s="353"/>
    </row>
    <row r="1313" spans="9:10" x14ac:dyDescent="0.2">
      <c r="I1313" s="353"/>
      <c r="J1313" s="353"/>
    </row>
    <row r="1314" spans="9:10" x14ac:dyDescent="0.2">
      <c r="I1314" s="353"/>
      <c r="J1314" s="353"/>
    </row>
    <row r="1315" spans="9:10" x14ac:dyDescent="0.2">
      <c r="I1315" s="353"/>
      <c r="J1315" s="353"/>
    </row>
    <row r="1316" spans="9:10" x14ac:dyDescent="0.2">
      <c r="I1316" s="353"/>
      <c r="J1316" s="353"/>
    </row>
    <row r="1317" spans="9:10" x14ac:dyDescent="0.2">
      <c r="I1317" s="353"/>
      <c r="J1317" s="353"/>
    </row>
    <row r="1318" spans="9:10" x14ac:dyDescent="0.2">
      <c r="I1318" s="353"/>
      <c r="J1318" s="353"/>
    </row>
    <row r="1319" spans="9:10" x14ac:dyDescent="0.2">
      <c r="I1319" s="353"/>
      <c r="J1319" s="353"/>
    </row>
    <row r="1320" spans="9:10" x14ac:dyDescent="0.2">
      <c r="I1320" s="353"/>
      <c r="J1320" s="353"/>
    </row>
    <row r="1321" spans="9:10" x14ac:dyDescent="0.2">
      <c r="I1321" s="353"/>
      <c r="J1321" s="353"/>
    </row>
    <row r="1322" spans="9:10" x14ac:dyDescent="0.2">
      <c r="I1322" s="353"/>
      <c r="J1322" s="353"/>
    </row>
    <row r="1323" spans="9:10" x14ac:dyDescent="0.2">
      <c r="I1323" s="353"/>
      <c r="J1323" s="353"/>
    </row>
    <row r="1324" spans="9:10" x14ac:dyDescent="0.2">
      <c r="I1324" s="353"/>
      <c r="J1324" s="353"/>
    </row>
    <row r="1325" spans="9:10" x14ac:dyDescent="0.2">
      <c r="I1325" s="353"/>
      <c r="J1325" s="353"/>
    </row>
    <row r="1326" spans="9:10" x14ac:dyDescent="0.2">
      <c r="I1326" s="353"/>
      <c r="J1326" s="353"/>
    </row>
    <row r="1327" spans="9:10" x14ac:dyDescent="0.2">
      <c r="I1327" s="353"/>
      <c r="J1327" s="353"/>
    </row>
    <row r="1328" spans="9:10" x14ac:dyDescent="0.2">
      <c r="I1328" s="353"/>
      <c r="J1328" s="353"/>
    </row>
    <row r="1329" spans="9:10" x14ac:dyDescent="0.2">
      <c r="I1329" s="353"/>
      <c r="J1329" s="353"/>
    </row>
    <row r="1330" spans="9:10" x14ac:dyDescent="0.2">
      <c r="I1330" s="353"/>
      <c r="J1330" s="353"/>
    </row>
    <row r="1331" spans="9:10" x14ac:dyDescent="0.2">
      <c r="I1331" s="353"/>
      <c r="J1331" s="353"/>
    </row>
    <row r="1332" spans="9:10" x14ac:dyDescent="0.2">
      <c r="I1332" s="353"/>
      <c r="J1332" s="353"/>
    </row>
    <row r="1333" spans="9:10" x14ac:dyDescent="0.2">
      <c r="I1333" s="353"/>
      <c r="J1333" s="353"/>
    </row>
    <row r="1334" spans="9:10" x14ac:dyDescent="0.2">
      <c r="I1334" s="353"/>
      <c r="J1334" s="353"/>
    </row>
    <row r="1335" spans="9:10" x14ac:dyDescent="0.2">
      <c r="I1335" s="353"/>
      <c r="J1335" s="353"/>
    </row>
    <row r="1336" spans="9:10" x14ac:dyDescent="0.2">
      <c r="I1336" s="353"/>
      <c r="J1336" s="353"/>
    </row>
    <row r="1337" spans="9:10" x14ac:dyDescent="0.2">
      <c r="I1337" s="353"/>
      <c r="J1337" s="353"/>
    </row>
    <row r="1338" spans="9:10" x14ac:dyDescent="0.2">
      <c r="I1338" s="353"/>
      <c r="J1338" s="353"/>
    </row>
    <row r="1339" spans="9:10" x14ac:dyDescent="0.2">
      <c r="I1339" s="353"/>
      <c r="J1339" s="353"/>
    </row>
    <row r="1340" spans="9:10" x14ac:dyDescent="0.2">
      <c r="I1340" s="353"/>
      <c r="J1340" s="353"/>
    </row>
    <row r="1341" spans="9:10" x14ac:dyDescent="0.2">
      <c r="I1341" s="353"/>
      <c r="J1341" s="353"/>
    </row>
    <row r="1342" spans="9:10" x14ac:dyDescent="0.2">
      <c r="I1342" s="353"/>
      <c r="J1342" s="353"/>
    </row>
    <row r="1343" spans="9:10" x14ac:dyDescent="0.2">
      <c r="I1343" s="353"/>
      <c r="J1343" s="353"/>
    </row>
    <row r="1344" spans="9:10" x14ac:dyDescent="0.2">
      <c r="I1344" s="353"/>
      <c r="J1344" s="353"/>
    </row>
    <row r="1345" spans="9:10" x14ac:dyDescent="0.2">
      <c r="I1345" s="353"/>
      <c r="J1345" s="353"/>
    </row>
    <row r="1346" spans="9:10" x14ac:dyDescent="0.2">
      <c r="I1346" s="353"/>
      <c r="J1346" s="353"/>
    </row>
    <row r="1347" spans="9:10" x14ac:dyDescent="0.2">
      <c r="I1347" s="353"/>
      <c r="J1347" s="353"/>
    </row>
    <row r="1348" spans="9:10" x14ac:dyDescent="0.2">
      <c r="I1348" s="353"/>
      <c r="J1348" s="353"/>
    </row>
    <row r="1349" spans="9:10" x14ac:dyDescent="0.2">
      <c r="I1349" s="353"/>
      <c r="J1349" s="353"/>
    </row>
    <row r="1350" spans="9:10" x14ac:dyDescent="0.2">
      <c r="I1350" s="353"/>
      <c r="J1350" s="353"/>
    </row>
    <row r="1351" spans="9:10" x14ac:dyDescent="0.2">
      <c r="I1351" s="353"/>
      <c r="J1351" s="353"/>
    </row>
    <row r="1352" spans="9:10" x14ac:dyDescent="0.2">
      <c r="I1352" s="353"/>
      <c r="J1352" s="353"/>
    </row>
    <row r="1353" spans="9:10" x14ac:dyDescent="0.2">
      <c r="I1353" s="353"/>
      <c r="J1353" s="353"/>
    </row>
    <row r="1354" spans="9:10" x14ac:dyDescent="0.2">
      <c r="I1354" s="353"/>
      <c r="J1354" s="353"/>
    </row>
    <row r="1355" spans="9:10" x14ac:dyDescent="0.2">
      <c r="I1355" s="353"/>
      <c r="J1355" s="353"/>
    </row>
    <row r="1356" spans="9:10" x14ac:dyDescent="0.2">
      <c r="I1356" s="353"/>
      <c r="J1356" s="353"/>
    </row>
    <row r="1357" spans="9:10" x14ac:dyDescent="0.2">
      <c r="I1357" s="353"/>
      <c r="J1357" s="353"/>
    </row>
    <row r="1358" spans="9:10" x14ac:dyDescent="0.2">
      <c r="I1358" s="353"/>
      <c r="J1358" s="353"/>
    </row>
    <row r="1359" spans="9:10" x14ac:dyDescent="0.2">
      <c r="I1359" s="353"/>
      <c r="J1359" s="353"/>
    </row>
    <row r="1360" spans="9:10" x14ac:dyDescent="0.2">
      <c r="I1360" s="353"/>
      <c r="J1360" s="353"/>
    </row>
    <row r="1361" spans="9:10" x14ac:dyDescent="0.2">
      <c r="I1361" s="353"/>
      <c r="J1361" s="353"/>
    </row>
    <row r="1362" spans="9:10" x14ac:dyDescent="0.2">
      <c r="I1362" s="353"/>
      <c r="J1362" s="353"/>
    </row>
    <row r="1363" spans="9:10" x14ac:dyDescent="0.2">
      <c r="I1363" s="353"/>
      <c r="J1363" s="353"/>
    </row>
    <row r="1364" spans="9:10" x14ac:dyDescent="0.2">
      <c r="I1364" s="353"/>
      <c r="J1364" s="353"/>
    </row>
    <row r="1365" spans="9:10" x14ac:dyDescent="0.2">
      <c r="I1365" s="353"/>
      <c r="J1365" s="353"/>
    </row>
    <row r="1366" spans="9:10" x14ac:dyDescent="0.2">
      <c r="I1366" s="353"/>
      <c r="J1366" s="353"/>
    </row>
    <row r="1367" spans="9:10" x14ac:dyDescent="0.2">
      <c r="I1367" s="353"/>
      <c r="J1367" s="353"/>
    </row>
    <row r="1368" spans="9:10" x14ac:dyDescent="0.2">
      <c r="I1368" s="353"/>
      <c r="J1368" s="353"/>
    </row>
    <row r="1369" spans="9:10" x14ac:dyDescent="0.2">
      <c r="I1369" s="353"/>
      <c r="J1369" s="353"/>
    </row>
    <row r="1370" spans="9:10" x14ac:dyDescent="0.2">
      <c r="I1370" s="353"/>
      <c r="J1370" s="353"/>
    </row>
    <row r="1371" spans="9:10" x14ac:dyDescent="0.2">
      <c r="I1371" s="353"/>
      <c r="J1371" s="353"/>
    </row>
    <row r="1372" spans="9:10" x14ac:dyDescent="0.2">
      <c r="I1372" s="353"/>
      <c r="J1372" s="353"/>
    </row>
    <row r="1373" spans="9:10" x14ac:dyDescent="0.2">
      <c r="I1373" s="353"/>
      <c r="J1373" s="353"/>
    </row>
    <row r="1374" spans="9:10" x14ac:dyDescent="0.2">
      <c r="I1374" s="353"/>
      <c r="J1374" s="353"/>
    </row>
    <row r="1375" spans="9:10" x14ac:dyDescent="0.2">
      <c r="I1375" s="353"/>
      <c r="J1375" s="353"/>
    </row>
    <row r="1376" spans="9:10" x14ac:dyDescent="0.2">
      <c r="I1376" s="353"/>
      <c r="J1376" s="353"/>
    </row>
    <row r="1377" spans="9:10" x14ac:dyDescent="0.2">
      <c r="I1377" s="353"/>
      <c r="J1377" s="353"/>
    </row>
    <row r="1378" spans="9:10" x14ac:dyDescent="0.2">
      <c r="I1378" s="353"/>
      <c r="J1378" s="353"/>
    </row>
    <row r="1379" spans="9:10" x14ac:dyDescent="0.2">
      <c r="I1379" s="353"/>
      <c r="J1379" s="353"/>
    </row>
    <row r="1380" spans="9:10" x14ac:dyDescent="0.2">
      <c r="I1380" s="353"/>
      <c r="J1380" s="353"/>
    </row>
    <row r="1381" spans="9:10" x14ac:dyDescent="0.2">
      <c r="I1381" s="353"/>
      <c r="J1381" s="353"/>
    </row>
    <row r="1382" spans="9:10" x14ac:dyDescent="0.2">
      <c r="I1382" s="353"/>
      <c r="J1382" s="353"/>
    </row>
    <row r="1383" spans="9:10" x14ac:dyDescent="0.2">
      <c r="I1383" s="353"/>
      <c r="J1383" s="353"/>
    </row>
    <row r="1384" spans="9:10" x14ac:dyDescent="0.2">
      <c r="I1384" s="353"/>
      <c r="J1384" s="353"/>
    </row>
    <row r="1385" spans="9:10" x14ac:dyDescent="0.2">
      <c r="I1385" s="353"/>
      <c r="J1385" s="353"/>
    </row>
    <row r="1386" spans="9:10" x14ac:dyDescent="0.2">
      <c r="I1386" s="353"/>
      <c r="J1386" s="353"/>
    </row>
    <row r="1387" spans="9:10" x14ac:dyDescent="0.2">
      <c r="I1387" s="353"/>
      <c r="J1387" s="353"/>
    </row>
    <row r="1388" spans="9:10" x14ac:dyDescent="0.2">
      <c r="I1388" s="353"/>
      <c r="J1388" s="353"/>
    </row>
    <row r="1389" spans="9:10" x14ac:dyDescent="0.2">
      <c r="I1389" s="353"/>
      <c r="J1389" s="353"/>
    </row>
    <row r="1390" spans="9:10" x14ac:dyDescent="0.2">
      <c r="I1390" s="353"/>
      <c r="J1390" s="353"/>
    </row>
    <row r="1391" spans="9:10" x14ac:dyDescent="0.2">
      <c r="I1391" s="353"/>
      <c r="J1391" s="353"/>
    </row>
    <row r="1392" spans="9:10" x14ac:dyDescent="0.2">
      <c r="I1392" s="353"/>
      <c r="J1392" s="353"/>
    </row>
    <row r="1393" spans="9:10" x14ac:dyDescent="0.2">
      <c r="I1393" s="353"/>
      <c r="J1393" s="353"/>
    </row>
    <row r="1394" spans="9:10" x14ac:dyDescent="0.2">
      <c r="I1394" s="353"/>
      <c r="J1394" s="353"/>
    </row>
    <row r="1395" spans="9:10" x14ac:dyDescent="0.2">
      <c r="I1395" s="353"/>
      <c r="J1395" s="353"/>
    </row>
    <row r="1396" spans="9:10" x14ac:dyDescent="0.2">
      <c r="I1396" s="353"/>
      <c r="J1396" s="353"/>
    </row>
    <row r="1397" spans="9:10" x14ac:dyDescent="0.2">
      <c r="I1397" s="353"/>
      <c r="J1397" s="353"/>
    </row>
    <row r="1398" spans="9:10" x14ac:dyDescent="0.2">
      <c r="I1398" s="353"/>
      <c r="J1398" s="353"/>
    </row>
    <row r="1399" spans="9:10" x14ac:dyDescent="0.2">
      <c r="I1399" s="353"/>
      <c r="J1399" s="353"/>
    </row>
    <row r="1400" spans="9:10" x14ac:dyDescent="0.2">
      <c r="I1400" s="353"/>
      <c r="J1400" s="353"/>
    </row>
    <row r="1401" spans="9:10" x14ac:dyDescent="0.2">
      <c r="I1401" s="353"/>
      <c r="J1401" s="353"/>
    </row>
    <row r="1402" spans="9:10" x14ac:dyDescent="0.2">
      <c r="I1402" s="353"/>
      <c r="J1402" s="353"/>
    </row>
    <row r="1403" spans="9:10" x14ac:dyDescent="0.2">
      <c r="I1403" s="353"/>
      <c r="J1403" s="353"/>
    </row>
    <row r="1404" spans="9:10" x14ac:dyDescent="0.2">
      <c r="I1404" s="353"/>
      <c r="J1404" s="353"/>
    </row>
    <row r="1405" spans="9:10" x14ac:dyDescent="0.2">
      <c r="I1405" s="353"/>
      <c r="J1405" s="353"/>
    </row>
    <row r="1406" spans="9:10" x14ac:dyDescent="0.2">
      <c r="I1406" s="353"/>
      <c r="J1406" s="353"/>
    </row>
    <row r="1407" spans="9:10" x14ac:dyDescent="0.2">
      <c r="I1407" s="353"/>
      <c r="J1407" s="353"/>
    </row>
    <row r="1408" spans="9:10" x14ac:dyDescent="0.2">
      <c r="I1408" s="353"/>
      <c r="J1408" s="353"/>
    </row>
    <row r="1409" spans="9:10" x14ac:dyDescent="0.2">
      <c r="I1409" s="353"/>
      <c r="J1409" s="353"/>
    </row>
    <row r="1410" spans="9:10" x14ac:dyDescent="0.2">
      <c r="I1410" s="353"/>
      <c r="J1410" s="353"/>
    </row>
    <row r="1411" spans="9:10" x14ac:dyDescent="0.2">
      <c r="I1411" s="353"/>
      <c r="J1411" s="353"/>
    </row>
    <row r="1412" spans="9:10" x14ac:dyDescent="0.2">
      <c r="I1412" s="353"/>
      <c r="J1412" s="353"/>
    </row>
    <row r="1413" spans="9:10" x14ac:dyDescent="0.2">
      <c r="I1413" s="353"/>
      <c r="J1413" s="353"/>
    </row>
    <row r="1414" spans="9:10" x14ac:dyDescent="0.2">
      <c r="I1414" s="353"/>
      <c r="J1414" s="353"/>
    </row>
    <row r="1415" spans="9:10" x14ac:dyDescent="0.2">
      <c r="I1415" s="353"/>
      <c r="J1415" s="353"/>
    </row>
    <row r="1416" spans="9:10" x14ac:dyDescent="0.2">
      <c r="I1416" s="353"/>
      <c r="J1416" s="353"/>
    </row>
    <row r="1417" spans="9:10" x14ac:dyDescent="0.2">
      <c r="I1417" s="353"/>
      <c r="J1417" s="353"/>
    </row>
    <row r="1418" spans="9:10" x14ac:dyDescent="0.2">
      <c r="I1418" s="353"/>
      <c r="J1418" s="353"/>
    </row>
    <row r="1419" spans="9:10" x14ac:dyDescent="0.2">
      <c r="I1419" s="353"/>
      <c r="J1419" s="353"/>
    </row>
    <row r="1420" spans="9:10" x14ac:dyDescent="0.2">
      <c r="I1420" s="353"/>
      <c r="J1420" s="353"/>
    </row>
    <row r="1421" spans="9:10" x14ac:dyDescent="0.2">
      <c r="I1421" s="353"/>
      <c r="J1421" s="353"/>
    </row>
    <row r="1422" spans="9:10" x14ac:dyDescent="0.2">
      <c r="I1422" s="353"/>
      <c r="J1422" s="353"/>
    </row>
    <row r="1423" spans="9:10" x14ac:dyDescent="0.2">
      <c r="I1423" s="353"/>
      <c r="J1423" s="353"/>
    </row>
    <row r="1424" spans="9:10" x14ac:dyDescent="0.2">
      <c r="I1424" s="353"/>
      <c r="J1424" s="353"/>
    </row>
    <row r="1425" spans="9:10" x14ac:dyDescent="0.2">
      <c r="I1425" s="353"/>
      <c r="J1425" s="353"/>
    </row>
    <row r="1426" spans="9:10" x14ac:dyDescent="0.2">
      <c r="I1426" s="353"/>
      <c r="J1426" s="353"/>
    </row>
    <row r="1427" spans="9:10" x14ac:dyDescent="0.2">
      <c r="I1427" s="353"/>
      <c r="J1427" s="353"/>
    </row>
    <row r="1428" spans="9:10" x14ac:dyDescent="0.2">
      <c r="I1428" s="353"/>
      <c r="J1428" s="353"/>
    </row>
    <row r="1429" spans="9:10" x14ac:dyDescent="0.2">
      <c r="I1429" s="353"/>
      <c r="J1429" s="353"/>
    </row>
    <row r="1430" spans="9:10" x14ac:dyDescent="0.2">
      <c r="I1430" s="353"/>
      <c r="J1430" s="353"/>
    </row>
    <row r="1431" spans="9:10" x14ac:dyDescent="0.2">
      <c r="I1431" s="353"/>
      <c r="J1431" s="353"/>
    </row>
    <row r="1432" spans="9:10" x14ac:dyDescent="0.2">
      <c r="I1432" s="353"/>
      <c r="J1432" s="353"/>
    </row>
    <row r="1433" spans="9:10" x14ac:dyDescent="0.2">
      <c r="I1433" s="353"/>
      <c r="J1433" s="353"/>
    </row>
    <row r="1434" spans="9:10" x14ac:dyDescent="0.2">
      <c r="I1434" s="353"/>
      <c r="J1434" s="353"/>
    </row>
    <row r="1435" spans="9:10" x14ac:dyDescent="0.2">
      <c r="I1435" s="353"/>
      <c r="J1435" s="353"/>
    </row>
    <row r="1436" spans="9:10" x14ac:dyDescent="0.2">
      <c r="I1436" s="353"/>
      <c r="J1436" s="353"/>
    </row>
    <row r="1437" spans="9:10" x14ac:dyDescent="0.2">
      <c r="I1437" s="353"/>
      <c r="J1437" s="353"/>
    </row>
    <row r="1438" spans="9:10" x14ac:dyDescent="0.2">
      <c r="I1438" s="353"/>
      <c r="J1438" s="353"/>
    </row>
    <row r="1439" spans="9:10" x14ac:dyDescent="0.2">
      <c r="I1439" s="353"/>
      <c r="J1439" s="353"/>
    </row>
    <row r="1440" spans="9:10" x14ac:dyDescent="0.2">
      <c r="I1440" s="353"/>
      <c r="J1440" s="353"/>
    </row>
    <row r="1441" spans="9:10" x14ac:dyDescent="0.2">
      <c r="I1441" s="353"/>
      <c r="J1441" s="353"/>
    </row>
    <row r="1442" spans="9:10" x14ac:dyDescent="0.2">
      <c r="I1442" s="353"/>
      <c r="J1442" s="353"/>
    </row>
    <row r="1443" spans="9:10" x14ac:dyDescent="0.2">
      <c r="I1443" s="353"/>
      <c r="J1443" s="353"/>
    </row>
    <row r="1444" spans="9:10" x14ac:dyDescent="0.2">
      <c r="I1444" s="353"/>
      <c r="J1444" s="353"/>
    </row>
    <row r="1445" spans="9:10" x14ac:dyDescent="0.2">
      <c r="I1445" s="353"/>
      <c r="J1445" s="353"/>
    </row>
    <row r="1446" spans="9:10" x14ac:dyDescent="0.2">
      <c r="I1446" s="353"/>
      <c r="J1446" s="353"/>
    </row>
    <row r="1447" spans="9:10" x14ac:dyDescent="0.2">
      <c r="I1447" s="353"/>
      <c r="J1447" s="353"/>
    </row>
    <row r="1448" spans="9:10" x14ac:dyDescent="0.2">
      <c r="I1448" s="353"/>
      <c r="J1448" s="353"/>
    </row>
    <row r="1449" spans="9:10" x14ac:dyDescent="0.2">
      <c r="I1449" s="353"/>
      <c r="J1449" s="353"/>
    </row>
    <row r="1450" spans="9:10" x14ac:dyDescent="0.2">
      <c r="I1450" s="353"/>
      <c r="J1450" s="353"/>
    </row>
    <row r="1451" spans="9:10" x14ac:dyDescent="0.2">
      <c r="I1451" s="353"/>
      <c r="J1451" s="353"/>
    </row>
    <row r="1452" spans="9:10" x14ac:dyDescent="0.2">
      <c r="I1452" s="353"/>
      <c r="J1452" s="353"/>
    </row>
    <row r="1453" spans="9:10" x14ac:dyDescent="0.2">
      <c r="I1453" s="353"/>
      <c r="J1453" s="353"/>
    </row>
    <row r="1454" spans="9:10" x14ac:dyDescent="0.2">
      <c r="I1454" s="353"/>
      <c r="J1454" s="353"/>
    </row>
    <row r="1455" spans="9:10" x14ac:dyDescent="0.2">
      <c r="I1455" s="353"/>
      <c r="J1455" s="353"/>
    </row>
    <row r="1456" spans="9:10" x14ac:dyDescent="0.2">
      <c r="I1456" s="353"/>
      <c r="J1456" s="353"/>
    </row>
    <row r="1457" spans="9:10" x14ac:dyDescent="0.2">
      <c r="I1457" s="353"/>
      <c r="J1457" s="353"/>
    </row>
    <row r="1458" spans="9:10" x14ac:dyDescent="0.2">
      <c r="I1458" s="353"/>
      <c r="J1458" s="353"/>
    </row>
    <row r="1459" spans="9:10" x14ac:dyDescent="0.2">
      <c r="I1459" s="353"/>
      <c r="J1459" s="353"/>
    </row>
    <row r="1460" spans="9:10" x14ac:dyDescent="0.2">
      <c r="I1460" s="353"/>
      <c r="J1460" s="353"/>
    </row>
    <row r="1461" spans="9:10" x14ac:dyDescent="0.2">
      <c r="I1461" s="353"/>
      <c r="J1461" s="353"/>
    </row>
    <row r="1462" spans="9:10" x14ac:dyDescent="0.2">
      <c r="I1462" s="353"/>
      <c r="J1462" s="353"/>
    </row>
    <row r="1463" spans="9:10" x14ac:dyDescent="0.2">
      <c r="I1463" s="353"/>
      <c r="J1463" s="353"/>
    </row>
    <row r="1464" spans="9:10" x14ac:dyDescent="0.2">
      <c r="I1464" s="353"/>
      <c r="J1464" s="353"/>
    </row>
    <row r="1465" spans="9:10" x14ac:dyDescent="0.2">
      <c r="I1465" s="353"/>
      <c r="J1465" s="353"/>
    </row>
    <row r="1466" spans="9:10" x14ac:dyDescent="0.2">
      <c r="I1466" s="353"/>
      <c r="J1466" s="353"/>
    </row>
    <row r="1467" spans="9:10" x14ac:dyDescent="0.2">
      <c r="I1467" s="353"/>
      <c r="J1467" s="353"/>
    </row>
    <row r="1468" spans="9:10" x14ac:dyDescent="0.2">
      <c r="I1468" s="353"/>
      <c r="J1468" s="353"/>
    </row>
    <row r="1469" spans="9:10" x14ac:dyDescent="0.2">
      <c r="I1469" s="353"/>
      <c r="J1469" s="353"/>
    </row>
    <row r="1470" spans="9:10" x14ac:dyDescent="0.2">
      <c r="I1470" s="353"/>
      <c r="J1470" s="353"/>
    </row>
    <row r="1471" spans="9:10" x14ac:dyDescent="0.2">
      <c r="I1471" s="353"/>
      <c r="J1471" s="353"/>
    </row>
    <row r="1472" spans="9:10" x14ac:dyDescent="0.2">
      <c r="I1472" s="353"/>
      <c r="J1472" s="353"/>
    </row>
    <row r="1473" spans="9:10" x14ac:dyDescent="0.2">
      <c r="I1473" s="353"/>
      <c r="J1473" s="353"/>
    </row>
    <row r="1474" spans="9:10" x14ac:dyDescent="0.2">
      <c r="I1474" s="353"/>
      <c r="J1474" s="353"/>
    </row>
    <row r="1475" spans="9:10" x14ac:dyDescent="0.2">
      <c r="I1475" s="353"/>
      <c r="J1475" s="353"/>
    </row>
    <row r="1476" spans="9:10" x14ac:dyDescent="0.2">
      <c r="I1476" s="353"/>
      <c r="J1476" s="353"/>
    </row>
    <row r="1477" spans="9:10" x14ac:dyDescent="0.2">
      <c r="I1477" s="353"/>
      <c r="J1477" s="353"/>
    </row>
    <row r="1478" spans="9:10" x14ac:dyDescent="0.2">
      <c r="I1478" s="353"/>
      <c r="J1478" s="353"/>
    </row>
    <row r="1479" spans="9:10" x14ac:dyDescent="0.2">
      <c r="I1479" s="353"/>
      <c r="J1479" s="353"/>
    </row>
    <row r="1480" spans="9:10" x14ac:dyDescent="0.2">
      <c r="I1480" s="353"/>
      <c r="J1480" s="353"/>
    </row>
    <row r="1481" spans="9:10" x14ac:dyDescent="0.2">
      <c r="I1481" s="353"/>
      <c r="J1481" s="353"/>
    </row>
    <row r="1482" spans="9:10" x14ac:dyDescent="0.2">
      <c r="I1482" s="353"/>
      <c r="J1482" s="353"/>
    </row>
    <row r="1483" spans="9:10" x14ac:dyDescent="0.2">
      <c r="I1483" s="353"/>
      <c r="J1483" s="353"/>
    </row>
    <row r="1484" spans="9:10" x14ac:dyDescent="0.2">
      <c r="I1484" s="353"/>
      <c r="J1484" s="353"/>
    </row>
    <row r="1485" spans="9:10" x14ac:dyDescent="0.2">
      <c r="I1485" s="353"/>
      <c r="J1485" s="353"/>
    </row>
    <row r="1486" spans="9:10" x14ac:dyDescent="0.2">
      <c r="I1486" s="353"/>
      <c r="J1486" s="353"/>
    </row>
    <row r="1487" spans="9:10" x14ac:dyDescent="0.2">
      <c r="I1487" s="353"/>
      <c r="J1487" s="353"/>
    </row>
    <row r="1488" spans="9:10" x14ac:dyDescent="0.2">
      <c r="I1488" s="353"/>
      <c r="J1488" s="353"/>
    </row>
    <row r="1489" spans="9:10" x14ac:dyDescent="0.2">
      <c r="I1489" s="353"/>
      <c r="J1489" s="353"/>
    </row>
    <row r="1490" spans="9:10" x14ac:dyDescent="0.2">
      <c r="I1490" s="353"/>
      <c r="J1490" s="353"/>
    </row>
    <row r="1491" spans="9:10" x14ac:dyDescent="0.2">
      <c r="I1491" s="353"/>
      <c r="J1491" s="353"/>
    </row>
    <row r="1492" spans="9:10" x14ac:dyDescent="0.2">
      <c r="I1492" s="353"/>
      <c r="J1492" s="353"/>
    </row>
    <row r="1493" spans="9:10" x14ac:dyDescent="0.2">
      <c r="I1493" s="353"/>
      <c r="J1493" s="353"/>
    </row>
    <row r="1494" spans="9:10" x14ac:dyDescent="0.2">
      <c r="I1494" s="353"/>
      <c r="J1494" s="353"/>
    </row>
    <row r="1495" spans="9:10" x14ac:dyDescent="0.2">
      <c r="I1495" s="353"/>
      <c r="J1495" s="353"/>
    </row>
    <row r="1496" spans="9:10" x14ac:dyDescent="0.2">
      <c r="I1496" s="353"/>
      <c r="J1496" s="353"/>
    </row>
    <row r="1497" spans="9:10" x14ac:dyDescent="0.2">
      <c r="I1497" s="353"/>
      <c r="J1497" s="353"/>
    </row>
    <row r="1498" spans="9:10" x14ac:dyDescent="0.2">
      <c r="I1498" s="353"/>
      <c r="J1498" s="353"/>
    </row>
    <row r="1499" spans="9:10" x14ac:dyDescent="0.2">
      <c r="I1499" s="353"/>
      <c r="J1499" s="353"/>
    </row>
    <row r="1500" spans="9:10" x14ac:dyDescent="0.2">
      <c r="I1500" s="353"/>
      <c r="J1500" s="353"/>
    </row>
    <row r="1501" spans="9:10" x14ac:dyDescent="0.2">
      <c r="I1501" s="353"/>
      <c r="J1501" s="353"/>
    </row>
    <row r="1502" spans="9:10" x14ac:dyDescent="0.2">
      <c r="I1502" s="353"/>
      <c r="J1502" s="353"/>
    </row>
    <row r="1503" spans="9:10" x14ac:dyDescent="0.2">
      <c r="I1503" s="353"/>
      <c r="J1503" s="353"/>
    </row>
    <row r="1504" spans="9:10" x14ac:dyDescent="0.2">
      <c r="I1504" s="353"/>
      <c r="J1504" s="353"/>
    </row>
    <row r="1505" spans="9:10" x14ac:dyDescent="0.2">
      <c r="I1505" s="353"/>
      <c r="J1505" s="353"/>
    </row>
    <row r="1506" spans="9:10" x14ac:dyDescent="0.2">
      <c r="I1506" s="353"/>
      <c r="J1506" s="353"/>
    </row>
    <row r="1507" spans="9:10" x14ac:dyDescent="0.2">
      <c r="I1507" s="353"/>
      <c r="J1507" s="353"/>
    </row>
    <row r="1508" spans="9:10" x14ac:dyDescent="0.2">
      <c r="I1508" s="353"/>
      <c r="J1508" s="353"/>
    </row>
    <row r="1509" spans="9:10" x14ac:dyDescent="0.2">
      <c r="I1509" s="353"/>
      <c r="J1509" s="353"/>
    </row>
    <row r="1510" spans="9:10" x14ac:dyDescent="0.2">
      <c r="I1510" s="353"/>
      <c r="J1510" s="353"/>
    </row>
    <row r="1511" spans="9:10" x14ac:dyDescent="0.2">
      <c r="I1511" s="353"/>
      <c r="J1511" s="353"/>
    </row>
    <row r="1512" spans="9:10" x14ac:dyDescent="0.2">
      <c r="I1512" s="353"/>
      <c r="J1512" s="353"/>
    </row>
    <row r="1513" spans="9:10" x14ac:dyDescent="0.2">
      <c r="I1513" s="353"/>
      <c r="J1513" s="353"/>
    </row>
    <row r="1514" spans="9:10" x14ac:dyDescent="0.2">
      <c r="I1514" s="353"/>
      <c r="J1514" s="353"/>
    </row>
    <row r="1515" spans="9:10" x14ac:dyDescent="0.2">
      <c r="I1515" s="353"/>
      <c r="J1515" s="353"/>
    </row>
    <row r="1516" spans="9:10" x14ac:dyDescent="0.2">
      <c r="I1516" s="353"/>
      <c r="J1516" s="353"/>
    </row>
    <row r="1517" spans="9:10" x14ac:dyDescent="0.2">
      <c r="I1517" s="353"/>
      <c r="J1517" s="353"/>
    </row>
    <row r="1518" spans="9:10" x14ac:dyDescent="0.2">
      <c r="I1518" s="353"/>
      <c r="J1518" s="353"/>
    </row>
    <row r="1519" spans="9:10" x14ac:dyDescent="0.2">
      <c r="I1519" s="353"/>
      <c r="J1519" s="353"/>
    </row>
    <row r="1520" spans="9:10" x14ac:dyDescent="0.2">
      <c r="I1520" s="353"/>
      <c r="J1520" s="353"/>
    </row>
    <row r="1521" spans="9:10" x14ac:dyDescent="0.2">
      <c r="I1521" s="353"/>
      <c r="J1521" s="353"/>
    </row>
    <row r="1522" spans="9:10" x14ac:dyDescent="0.2">
      <c r="I1522" s="353"/>
      <c r="J1522" s="353"/>
    </row>
    <row r="1523" spans="9:10" x14ac:dyDescent="0.2">
      <c r="I1523" s="353"/>
      <c r="J1523" s="353"/>
    </row>
    <row r="1524" spans="9:10" x14ac:dyDescent="0.2">
      <c r="I1524" s="353"/>
      <c r="J1524" s="353"/>
    </row>
    <row r="1525" spans="9:10" x14ac:dyDescent="0.2">
      <c r="I1525" s="353"/>
      <c r="J1525" s="353"/>
    </row>
    <row r="1526" spans="9:10" x14ac:dyDescent="0.2">
      <c r="I1526" s="353"/>
      <c r="J1526" s="353"/>
    </row>
    <row r="1527" spans="9:10" x14ac:dyDescent="0.2">
      <c r="I1527" s="353"/>
      <c r="J1527" s="353"/>
    </row>
    <row r="1528" spans="9:10" x14ac:dyDescent="0.2">
      <c r="I1528" s="353"/>
      <c r="J1528" s="353"/>
    </row>
    <row r="1529" spans="9:10" x14ac:dyDescent="0.2">
      <c r="I1529" s="353"/>
      <c r="J1529" s="353"/>
    </row>
    <row r="1530" spans="9:10" x14ac:dyDescent="0.2">
      <c r="I1530" s="353"/>
      <c r="J1530" s="353"/>
    </row>
    <row r="1531" spans="9:10" x14ac:dyDescent="0.2">
      <c r="I1531" s="353"/>
      <c r="J1531" s="353"/>
    </row>
    <row r="1532" spans="9:10" x14ac:dyDescent="0.2">
      <c r="I1532" s="353"/>
      <c r="J1532" s="353"/>
    </row>
    <row r="1533" spans="9:10" x14ac:dyDescent="0.2">
      <c r="I1533" s="353"/>
      <c r="J1533" s="353"/>
    </row>
    <row r="1534" spans="9:10" x14ac:dyDescent="0.2">
      <c r="I1534" s="353"/>
      <c r="J1534" s="353"/>
    </row>
    <row r="1535" spans="9:10" x14ac:dyDescent="0.2">
      <c r="I1535" s="353"/>
      <c r="J1535" s="353"/>
    </row>
    <row r="1536" spans="9:10" x14ac:dyDescent="0.2">
      <c r="I1536" s="353"/>
      <c r="J1536" s="353"/>
    </row>
    <row r="1537" spans="9:10" x14ac:dyDescent="0.2">
      <c r="I1537" s="353"/>
      <c r="J1537" s="353"/>
    </row>
    <row r="1538" spans="9:10" x14ac:dyDescent="0.2">
      <c r="I1538" s="353"/>
      <c r="J1538" s="353"/>
    </row>
    <row r="1539" spans="9:10" x14ac:dyDescent="0.2">
      <c r="I1539" s="353"/>
      <c r="J1539" s="353"/>
    </row>
    <row r="1540" spans="9:10" x14ac:dyDescent="0.2">
      <c r="I1540" s="353"/>
      <c r="J1540" s="353"/>
    </row>
    <row r="1541" spans="9:10" x14ac:dyDescent="0.2">
      <c r="I1541" s="353"/>
      <c r="J1541" s="353"/>
    </row>
    <row r="1542" spans="9:10" x14ac:dyDescent="0.2">
      <c r="I1542" s="353"/>
      <c r="J1542" s="353"/>
    </row>
    <row r="1543" spans="9:10" x14ac:dyDescent="0.2">
      <c r="I1543" s="353"/>
      <c r="J1543" s="353"/>
    </row>
    <row r="1544" spans="9:10" x14ac:dyDescent="0.2">
      <c r="I1544" s="353"/>
      <c r="J1544" s="353"/>
    </row>
    <row r="1545" spans="9:10" x14ac:dyDescent="0.2">
      <c r="I1545" s="353"/>
      <c r="J1545" s="353"/>
    </row>
    <row r="1546" spans="9:10" x14ac:dyDescent="0.2">
      <c r="I1546" s="353"/>
      <c r="J1546" s="353"/>
    </row>
    <row r="1547" spans="9:10" x14ac:dyDescent="0.2">
      <c r="I1547" s="353"/>
      <c r="J1547" s="353"/>
    </row>
    <row r="1548" spans="9:10" x14ac:dyDescent="0.2">
      <c r="I1548" s="353"/>
      <c r="J1548" s="353"/>
    </row>
    <row r="1549" spans="9:10" x14ac:dyDescent="0.2">
      <c r="I1549" s="353"/>
      <c r="J1549" s="353"/>
    </row>
    <row r="1550" spans="9:10" x14ac:dyDescent="0.2">
      <c r="I1550" s="353"/>
      <c r="J1550" s="353"/>
    </row>
    <row r="1551" spans="9:10" x14ac:dyDescent="0.2">
      <c r="I1551" s="353"/>
      <c r="J1551" s="353"/>
    </row>
    <row r="1552" spans="9:10" x14ac:dyDescent="0.2">
      <c r="I1552" s="353"/>
      <c r="J1552" s="353"/>
    </row>
    <row r="1553" spans="9:10" x14ac:dyDescent="0.2">
      <c r="I1553" s="353"/>
      <c r="J1553" s="353"/>
    </row>
    <row r="1554" spans="9:10" x14ac:dyDescent="0.2">
      <c r="I1554" s="353"/>
      <c r="J1554" s="353"/>
    </row>
    <row r="1555" spans="9:10" x14ac:dyDescent="0.2">
      <c r="I1555" s="353"/>
      <c r="J1555" s="353"/>
    </row>
    <row r="1556" spans="9:10" x14ac:dyDescent="0.2">
      <c r="I1556" s="353"/>
      <c r="J1556" s="353"/>
    </row>
    <row r="1557" spans="9:10" x14ac:dyDescent="0.2">
      <c r="I1557" s="353"/>
      <c r="J1557" s="353"/>
    </row>
    <row r="1558" spans="9:10" x14ac:dyDescent="0.2">
      <c r="I1558" s="353"/>
      <c r="J1558" s="353"/>
    </row>
    <row r="1559" spans="9:10" x14ac:dyDescent="0.2">
      <c r="I1559" s="353"/>
      <c r="J1559" s="353"/>
    </row>
    <row r="1560" spans="9:10" x14ac:dyDescent="0.2">
      <c r="I1560" s="353"/>
      <c r="J1560" s="353"/>
    </row>
    <row r="1561" spans="9:10" x14ac:dyDescent="0.2">
      <c r="I1561" s="353"/>
      <c r="J1561" s="353"/>
    </row>
    <row r="1562" spans="9:10" x14ac:dyDescent="0.2">
      <c r="I1562" s="353"/>
      <c r="J1562" s="353"/>
    </row>
    <row r="1563" spans="9:10" x14ac:dyDescent="0.2">
      <c r="I1563" s="353"/>
      <c r="J1563" s="353"/>
    </row>
    <row r="1564" spans="9:10" x14ac:dyDescent="0.2">
      <c r="I1564" s="353"/>
      <c r="J1564" s="353"/>
    </row>
    <row r="1565" spans="9:10" x14ac:dyDescent="0.2">
      <c r="I1565" s="353"/>
      <c r="J1565" s="353"/>
    </row>
    <row r="1566" spans="9:10" x14ac:dyDescent="0.2">
      <c r="I1566" s="353"/>
      <c r="J1566" s="353"/>
    </row>
    <row r="1567" spans="9:10" x14ac:dyDescent="0.2">
      <c r="I1567" s="353"/>
      <c r="J1567" s="353"/>
    </row>
    <row r="1568" spans="9:10" x14ac:dyDescent="0.2">
      <c r="I1568" s="353"/>
      <c r="J1568" s="353"/>
    </row>
    <row r="1569" spans="9:10" x14ac:dyDescent="0.2">
      <c r="I1569" s="353"/>
      <c r="J1569" s="353"/>
    </row>
    <row r="1570" spans="9:10" x14ac:dyDescent="0.2">
      <c r="I1570" s="353"/>
      <c r="J1570" s="353"/>
    </row>
    <row r="1571" spans="9:10" x14ac:dyDescent="0.2">
      <c r="I1571" s="353"/>
      <c r="J1571" s="353"/>
    </row>
    <row r="1572" spans="9:10" x14ac:dyDescent="0.2">
      <c r="I1572" s="353"/>
      <c r="J1572" s="353"/>
    </row>
    <row r="1573" spans="9:10" x14ac:dyDescent="0.2">
      <c r="I1573" s="353"/>
      <c r="J1573" s="353"/>
    </row>
    <row r="1574" spans="9:10" x14ac:dyDescent="0.2">
      <c r="I1574" s="353"/>
      <c r="J1574" s="353"/>
    </row>
    <row r="1575" spans="9:10" x14ac:dyDescent="0.2">
      <c r="I1575" s="353"/>
      <c r="J1575" s="353"/>
    </row>
    <row r="1576" spans="9:10" x14ac:dyDescent="0.2">
      <c r="I1576" s="353"/>
      <c r="J1576" s="353"/>
    </row>
    <row r="1577" spans="9:10" x14ac:dyDescent="0.2">
      <c r="I1577" s="353"/>
      <c r="J1577" s="353"/>
    </row>
    <row r="1578" spans="9:10" x14ac:dyDescent="0.2">
      <c r="I1578" s="353"/>
      <c r="J1578" s="353"/>
    </row>
    <row r="1579" spans="9:10" x14ac:dyDescent="0.2">
      <c r="I1579" s="353"/>
      <c r="J1579" s="353"/>
    </row>
    <row r="1580" spans="9:10" x14ac:dyDescent="0.2">
      <c r="I1580" s="353"/>
      <c r="J1580" s="353"/>
    </row>
    <row r="1581" spans="9:10" x14ac:dyDescent="0.2">
      <c r="I1581" s="353"/>
      <c r="J1581" s="353"/>
    </row>
    <row r="1582" spans="9:10" x14ac:dyDescent="0.2">
      <c r="I1582" s="353"/>
      <c r="J1582" s="353"/>
    </row>
    <row r="1583" spans="9:10" x14ac:dyDescent="0.2">
      <c r="I1583" s="353"/>
      <c r="J1583" s="353"/>
    </row>
    <row r="1584" spans="9:10" x14ac:dyDescent="0.2">
      <c r="I1584" s="353"/>
      <c r="J1584" s="353"/>
    </row>
    <row r="1585" spans="9:10" x14ac:dyDescent="0.2">
      <c r="I1585" s="353"/>
      <c r="J1585" s="353"/>
    </row>
    <row r="1586" spans="9:10" x14ac:dyDescent="0.2">
      <c r="I1586" s="353"/>
      <c r="J1586" s="353"/>
    </row>
    <row r="1587" spans="9:10" x14ac:dyDescent="0.2">
      <c r="I1587" s="353"/>
      <c r="J1587" s="353"/>
    </row>
    <row r="1588" spans="9:10" x14ac:dyDescent="0.2">
      <c r="I1588" s="353"/>
      <c r="J1588" s="353"/>
    </row>
    <row r="1589" spans="9:10" x14ac:dyDescent="0.2">
      <c r="I1589" s="353"/>
      <c r="J1589" s="353"/>
    </row>
    <row r="1590" spans="9:10" x14ac:dyDescent="0.2">
      <c r="I1590" s="353"/>
      <c r="J1590" s="353"/>
    </row>
    <row r="1591" spans="9:10" x14ac:dyDescent="0.2">
      <c r="I1591" s="353"/>
      <c r="J1591" s="353"/>
    </row>
    <row r="1592" spans="9:10" x14ac:dyDescent="0.2">
      <c r="I1592" s="353"/>
      <c r="J1592" s="353"/>
    </row>
    <row r="1593" spans="9:10" x14ac:dyDescent="0.2">
      <c r="I1593" s="353"/>
      <c r="J1593" s="353"/>
    </row>
    <row r="1594" spans="9:10" x14ac:dyDescent="0.2">
      <c r="I1594" s="353"/>
      <c r="J1594" s="353"/>
    </row>
    <row r="1595" spans="9:10" x14ac:dyDescent="0.2">
      <c r="I1595" s="353"/>
      <c r="J1595" s="353"/>
    </row>
    <row r="1596" spans="9:10" x14ac:dyDescent="0.2">
      <c r="I1596" s="353"/>
      <c r="J1596" s="353"/>
    </row>
    <row r="1597" spans="9:10" x14ac:dyDescent="0.2">
      <c r="I1597" s="353"/>
      <c r="J1597" s="353"/>
    </row>
    <row r="1598" spans="9:10" x14ac:dyDescent="0.2">
      <c r="I1598" s="353"/>
      <c r="J1598" s="353"/>
    </row>
    <row r="1599" spans="9:10" x14ac:dyDescent="0.2">
      <c r="I1599" s="353"/>
      <c r="J1599" s="353"/>
    </row>
    <row r="1600" spans="9:10" x14ac:dyDescent="0.2">
      <c r="I1600" s="353"/>
      <c r="J1600" s="353"/>
    </row>
    <row r="1601" spans="9:10" x14ac:dyDescent="0.2">
      <c r="I1601" s="353"/>
      <c r="J1601" s="353"/>
    </row>
    <row r="1602" spans="9:10" x14ac:dyDescent="0.2">
      <c r="I1602" s="353"/>
      <c r="J1602" s="353"/>
    </row>
    <row r="1603" spans="9:10" x14ac:dyDescent="0.2">
      <c r="I1603" s="353"/>
      <c r="J1603" s="353"/>
    </row>
    <row r="1604" spans="9:10" x14ac:dyDescent="0.2">
      <c r="I1604" s="353"/>
      <c r="J1604" s="353"/>
    </row>
    <row r="1605" spans="9:10" x14ac:dyDescent="0.2">
      <c r="I1605" s="353"/>
      <c r="J1605" s="353"/>
    </row>
    <row r="1606" spans="9:10" x14ac:dyDescent="0.2">
      <c r="I1606" s="353"/>
      <c r="J1606" s="353"/>
    </row>
    <row r="1607" spans="9:10" x14ac:dyDescent="0.2">
      <c r="I1607" s="353"/>
      <c r="J1607" s="353"/>
    </row>
    <row r="1608" spans="9:10" x14ac:dyDescent="0.2">
      <c r="I1608" s="353"/>
      <c r="J1608" s="353"/>
    </row>
    <row r="1609" spans="9:10" x14ac:dyDescent="0.2">
      <c r="I1609" s="353"/>
      <c r="J1609" s="353"/>
    </row>
    <row r="1610" spans="9:10" x14ac:dyDescent="0.2">
      <c r="I1610" s="353"/>
      <c r="J1610" s="353"/>
    </row>
    <row r="1611" spans="9:10" x14ac:dyDescent="0.2">
      <c r="I1611" s="353"/>
      <c r="J1611" s="353"/>
    </row>
    <row r="1612" spans="9:10" x14ac:dyDescent="0.2">
      <c r="I1612" s="353"/>
      <c r="J1612" s="353"/>
    </row>
    <row r="1613" spans="9:10" x14ac:dyDescent="0.2">
      <c r="I1613" s="353"/>
      <c r="J1613" s="353"/>
    </row>
    <row r="1614" spans="9:10" x14ac:dyDescent="0.2">
      <c r="I1614" s="353"/>
      <c r="J1614" s="353"/>
    </row>
    <row r="1615" spans="9:10" x14ac:dyDescent="0.2">
      <c r="I1615" s="353"/>
      <c r="J1615" s="353"/>
    </row>
    <row r="1616" spans="9:10" x14ac:dyDescent="0.2">
      <c r="I1616" s="353"/>
      <c r="J1616" s="353"/>
    </row>
    <row r="1617" spans="9:10" x14ac:dyDescent="0.2">
      <c r="I1617" s="353"/>
      <c r="J1617" s="353"/>
    </row>
    <row r="1618" spans="9:10" x14ac:dyDescent="0.2">
      <c r="I1618" s="353"/>
      <c r="J1618" s="353"/>
    </row>
    <row r="1619" spans="9:10" x14ac:dyDescent="0.2">
      <c r="I1619" s="353"/>
      <c r="J1619" s="353"/>
    </row>
    <row r="1620" spans="9:10" x14ac:dyDescent="0.2">
      <c r="I1620" s="353"/>
      <c r="J1620" s="353"/>
    </row>
    <row r="1621" spans="9:10" x14ac:dyDescent="0.2">
      <c r="I1621" s="353"/>
      <c r="J1621" s="353"/>
    </row>
    <row r="1622" spans="9:10" x14ac:dyDescent="0.2">
      <c r="I1622" s="353"/>
      <c r="J1622" s="353"/>
    </row>
    <row r="1623" spans="9:10" x14ac:dyDescent="0.2">
      <c r="I1623" s="353"/>
      <c r="J1623" s="353"/>
    </row>
    <row r="1624" spans="9:10" x14ac:dyDescent="0.2">
      <c r="I1624" s="353"/>
      <c r="J1624" s="353"/>
    </row>
    <row r="1625" spans="9:10" x14ac:dyDescent="0.2">
      <c r="I1625" s="353"/>
      <c r="J1625" s="353"/>
    </row>
    <row r="1626" spans="9:10" x14ac:dyDescent="0.2">
      <c r="I1626" s="353"/>
      <c r="J1626" s="353"/>
    </row>
    <row r="1627" spans="9:10" x14ac:dyDescent="0.2">
      <c r="I1627" s="353"/>
      <c r="J1627" s="353"/>
    </row>
    <row r="1628" spans="9:10" x14ac:dyDescent="0.2">
      <c r="I1628" s="353"/>
      <c r="J1628" s="353"/>
    </row>
    <row r="1629" spans="9:10" x14ac:dyDescent="0.2">
      <c r="I1629" s="353"/>
      <c r="J1629" s="353"/>
    </row>
    <row r="1630" spans="9:10" x14ac:dyDescent="0.2">
      <c r="I1630" s="353"/>
      <c r="J1630" s="353"/>
    </row>
    <row r="1631" spans="9:10" x14ac:dyDescent="0.2">
      <c r="I1631" s="353"/>
      <c r="J1631" s="353"/>
    </row>
    <row r="1632" spans="9:10" x14ac:dyDescent="0.2">
      <c r="I1632" s="353"/>
      <c r="J1632" s="353"/>
    </row>
    <row r="1633" spans="9:10" x14ac:dyDescent="0.2">
      <c r="I1633" s="353"/>
      <c r="J1633" s="353"/>
    </row>
    <row r="1634" spans="9:10" x14ac:dyDescent="0.2">
      <c r="I1634" s="353"/>
      <c r="J1634" s="353"/>
    </row>
    <row r="1635" spans="9:10" x14ac:dyDescent="0.2">
      <c r="I1635" s="353"/>
      <c r="J1635" s="353"/>
    </row>
    <row r="1636" spans="9:10" x14ac:dyDescent="0.2">
      <c r="I1636" s="353"/>
      <c r="J1636" s="353"/>
    </row>
    <row r="1637" spans="9:10" x14ac:dyDescent="0.2">
      <c r="I1637" s="353"/>
      <c r="J1637" s="353"/>
    </row>
    <row r="1638" spans="9:10" x14ac:dyDescent="0.2">
      <c r="I1638" s="353"/>
      <c r="J1638" s="353"/>
    </row>
    <row r="1639" spans="9:10" x14ac:dyDescent="0.2">
      <c r="I1639" s="353"/>
      <c r="J1639" s="353"/>
    </row>
    <row r="1640" spans="9:10" x14ac:dyDescent="0.2">
      <c r="I1640" s="353"/>
      <c r="J1640" s="353"/>
    </row>
    <row r="1641" spans="9:10" x14ac:dyDescent="0.2">
      <c r="I1641" s="353"/>
      <c r="J1641" s="353"/>
    </row>
    <row r="1642" spans="9:10" x14ac:dyDescent="0.2">
      <c r="I1642" s="353"/>
      <c r="J1642" s="353"/>
    </row>
    <row r="1643" spans="9:10" x14ac:dyDescent="0.2">
      <c r="I1643" s="353"/>
      <c r="J1643" s="353"/>
    </row>
    <row r="1644" spans="9:10" x14ac:dyDescent="0.2">
      <c r="I1644" s="353"/>
      <c r="J1644" s="353"/>
    </row>
    <row r="1645" spans="9:10" x14ac:dyDescent="0.2">
      <c r="I1645" s="353"/>
      <c r="J1645" s="353"/>
    </row>
    <row r="1646" spans="9:10" x14ac:dyDescent="0.2">
      <c r="I1646" s="353"/>
      <c r="J1646" s="353"/>
    </row>
    <row r="1647" spans="9:10" x14ac:dyDescent="0.2">
      <c r="I1647" s="353"/>
      <c r="J1647" s="353"/>
    </row>
    <row r="1648" spans="9:10" x14ac:dyDescent="0.2">
      <c r="I1648" s="353"/>
      <c r="J1648" s="353"/>
    </row>
    <row r="1649" spans="9:10" x14ac:dyDescent="0.2">
      <c r="I1649" s="353"/>
      <c r="J1649" s="353"/>
    </row>
    <row r="1650" spans="9:10" x14ac:dyDescent="0.2">
      <c r="I1650" s="353"/>
      <c r="J1650" s="353"/>
    </row>
    <row r="1651" spans="9:10" x14ac:dyDescent="0.2">
      <c r="I1651" s="353"/>
      <c r="J1651" s="353"/>
    </row>
    <row r="1652" spans="9:10" x14ac:dyDescent="0.2">
      <c r="I1652" s="353"/>
      <c r="J1652" s="353"/>
    </row>
    <row r="1653" spans="9:10" x14ac:dyDescent="0.2">
      <c r="I1653" s="353"/>
      <c r="J1653" s="353"/>
    </row>
    <row r="1654" spans="9:10" x14ac:dyDescent="0.2">
      <c r="I1654" s="353"/>
      <c r="J1654" s="353"/>
    </row>
    <row r="1655" spans="9:10" x14ac:dyDescent="0.2">
      <c r="I1655" s="353"/>
      <c r="J1655" s="353"/>
    </row>
    <row r="1656" spans="9:10" x14ac:dyDescent="0.2">
      <c r="I1656" s="353"/>
      <c r="J1656" s="353"/>
    </row>
    <row r="1657" spans="9:10" x14ac:dyDescent="0.2">
      <c r="I1657" s="353"/>
      <c r="J1657" s="353"/>
    </row>
    <row r="1658" spans="9:10" x14ac:dyDescent="0.2">
      <c r="I1658" s="353"/>
      <c r="J1658" s="353"/>
    </row>
    <row r="1659" spans="9:10" x14ac:dyDescent="0.2">
      <c r="I1659" s="353"/>
      <c r="J1659" s="353"/>
    </row>
    <row r="1660" spans="9:10" x14ac:dyDescent="0.2">
      <c r="I1660" s="353"/>
      <c r="J1660" s="353"/>
    </row>
    <row r="1661" spans="9:10" x14ac:dyDescent="0.2">
      <c r="I1661" s="353"/>
      <c r="J1661" s="353"/>
    </row>
    <row r="1662" spans="9:10" x14ac:dyDescent="0.2">
      <c r="I1662" s="353"/>
      <c r="J1662" s="353"/>
    </row>
    <row r="1663" spans="9:10" x14ac:dyDescent="0.2">
      <c r="I1663" s="353"/>
      <c r="J1663" s="353"/>
    </row>
    <row r="1664" spans="9:10" x14ac:dyDescent="0.2">
      <c r="I1664" s="353"/>
      <c r="J1664" s="353"/>
    </row>
    <row r="1665" spans="9:10" x14ac:dyDescent="0.2">
      <c r="I1665" s="353"/>
      <c r="J1665" s="353"/>
    </row>
    <row r="1666" spans="9:10" x14ac:dyDescent="0.2">
      <c r="I1666" s="353"/>
      <c r="J1666" s="353"/>
    </row>
    <row r="1667" spans="9:10" x14ac:dyDescent="0.2">
      <c r="I1667" s="353"/>
      <c r="J1667" s="353"/>
    </row>
    <row r="1668" spans="9:10" x14ac:dyDescent="0.2">
      <c r="I1668" s="353"/>
      <c r="J1668" s="353"/>
    </row>
    <row r="1669" spans="9:10" x14ac:dyDescent="0.2">
      <c r="I1669" s="353"/>
      <c r="J1669" s="353"/>
    </row>
    <row r="1670" spans="9:10" x14ac:dyDescent="0.2">
      <c r="I1670" s="353"/>
      <c r="J1670" s="353"/>
    </row>
    <row r="1671" spans="9:10" x14ac:dyDescent="0.2">
      <c r="I1671" s="353"/>
      <c r="J1671" s="353"/>
    </row>
    <row r="1672" spans="9:10" x14ac:dyDescent="0.2">
      <c r="I1672" s="353"/>
      <c r="J1672" s="353"/>
    </row>
    <row r="1673" spans="9:10" x14ac:dyDescent="0.2">
      <c r="I1673" s="353"/>
      <c r="J1673" s="353"/>
    </row>
    <row r="1674" spans="9:10" x14ac:dyDescent="0.2">
      <c r="I1674" s="353"/>
      <c r="J1674" s="353"/>
    </row>
    <row r="1675" spans="9:10" x14ac:dyDescent="0.2">
      <c r="I1675" s="353"/>
      <c r="J1675" s="353"/>
    </row>
    <row r="1676" spans="9:10" x14ac:dyDescent="0.2">
      <c r="I1676" s="353"/>
      <c r="J1676" s="353"/>
    </row>
    <row r="1677" spans="9:10" x14ac:dyDescent="0.2">
      <c r="I1677" s="353"/>
      <c r="J1677" s="353"/>
    </row>
    <row r="1678" spans="9:10" x14ac:dyDescent="0.2">
      <c r="I1678" s="353"/>
      <c r="J1678" s="353"/>
    </row>
    <row r="1679" spans="9:10" x14ac:dyDescent="0.2">
      <c r="I1679" s="353"/>
      <c r="J1679" s="353"/>
    </row>
    <row r="1680" spans="9:10" x14ac:dyDescent="0.2">
      <c r="I1680" s="353"/>
      <c r="J1680" s="353"/>
    </row>
    <row r="1681" spans="9:10" x14ac:dyDescent="0.2">
      <c r="I1681" s="353"/>
      <c r="J1681" s="353"/>
    </row>
    <row r="1682" spans="9:10" x14ac:dyDescent="0.2">
      <c r="I1682" s="353"/>
      <c r="J1682" s="353"/>
    </row>
    <row r="1683" spans="9:10" x14ac:dyDescent="0.2">
      <c r="I1683" s="353"/>
      <c r="J1683" s="353"/>
    </row>
    <row r="1684" spans="9:10" x14ac:dyDescent="0.2">
      <c r="I1684" s="353"/>
      <c r="J1684" s="353"/>
    </row>
    <row r="1685" spans="9:10" x14ac:dyDescent="0.2">
      <c r="I1685" s="353"/>
      <c r="J1685" s="353"/>
    </row>
    <row r="1686" spans="9:10" x14ac:dyDescent="0.2">
      <c r="I1686" s="353"/>
      <c r="J1686" s="353"/>
    </row>
    <row r="1687" spans="9:10" x14ac:dyDescent="0.2">
      <c r="I1687" s="353"/>
      <c r="J1687" s="353"/>
    </row>
    <row r="1688" spans="9:10" x14ac:dyDescent="0.2">
      <c r="I1688" s="353"/>
      <c r="J1688" s="353"/>
    </row>
    <row r="1689" spans="9:10" x14ac:dyDescent="0.2">
      <c r="I1689" s="353"/>
      <c r="J1689" s="353"/>
    </row>
    <row r="1690" spans="9:10" x14ac:dyDescent="0.2">
      <c r="I1690" s="353"/>
      <c r="J1690" s="353"/>
    </row>
    <row r="1691" spans="9:10" x14ac:dyDescent="0.2">
      <c r="I1691" s="353"/>
      <c r="J1691" s="353"/>
    </row>
    <row r="1692" spans="9:10" x14ac:dyDescent="0.2">
      <c r="I1692" s="353"/>
      <c r="J1692" s="353"/>
    </row>
    <row r="1693" spans="9:10" x14ac:dyDescent="0.2">
      <c r="I1693" s="353"/>
      <c r="J1693" s="353"/>
    </row>
    <row r="1694" spans="9:10" x14ac:dyDescent="0.2">
      <c r="I1694" s="353"/>
      <c r="J1694" s="353"/>
    </row>
    <row r="1695" spans="9:10" x14ac:dyDescent="0.2">
      <c r="I1695" s="353"/>
      <c r="J1695" s="353"/>
    </row>
    <row r="1696" spans="9:10" x14ac:dyDescent="0.2">
      <c r="I1696" s="353"/>
      <c r="J1696" s="353"/>
    </row>
    <row r="1697" spans="9:10" x14ac:dyDescent="0.2">
      <c r="I1697" s="353"/>
      <c r="J1697" s="353"/>
    </row>
    <row r="1698" spans="9:10" x14ac:dyDescent="0.2">
      <c r="I1698" s="353"/>
      <c r="J1698" s="353"/>
    </row>
    <row r="1699" spans="9:10" x14ac:dyDescent="0.2">
      <c r="I1699" s="353"/>
      <c r="J1699" s="353"/>
    </row>
    <row r="1700" spans="9:10" x14ac:dyDescent="0.2">
      <c r="I1700" s="353"/>
      <c r="J1700" s="353"/>
    </row>
    <row r="1701" spans="9:10" x14ac:dyDescent="0.2">
      <c r="I1701" s="353"/>
      <c r="J1701" s="353"/>
    </row>
    <row r="1702" spans="9:10" x14ac:dyDescent="0.2">
      <c r="I1702" s="353"/>
      <c r="J1702" s="353"/>
    </row>
    <row r="1703" spans="9:10" x14ac:dyDescent="0.2">
      <c r="I1703" s="353"/>
      <c r="J1703" s="353"/>
    </row>
    <row r="1704" spans="9:10" x14ac:dyDescent="0.2">
      <c r="I1704" s="353"/>
      <c r="J1704" s="353"/>
    </row>
    <row r="1705" spans="9:10" x14ac:dyDescent="0.2">
      <c r="I1705" s="353"/>
      <c r="J1705" s="353"/>
    </row>
    <row r="1706" spans="9:10" x14ac:dyDescent="0.2">
      <c r="I1706" s="353"/>
      <c r="J1706" s="353"/>
    </row>
    <row r="1707" spans="9:10" x14ac:dyDescent="0.2">
      <c r="I1707" s="353"/>
      <c r="J1707" s="353"/>
    </row>
    <row r="1708" spans="9:10" x14ac:dyDescent="0.2">
      <c r="I1708" s="353"/>
      <c r="J1708" s="353"/>
    </row>
    <row r="1709" spans="9:10" x14ac:dyDescent="0.2">
      <c r="I1709" s="353"/>
      <c r="J1709" s="353"/>
    </row>
    <row r="1710" spans="9:10" x14ac:dyDescent="0.2">
      <c r="I1710" s="353"/>
      <c r="J1710" s="353"/>
    </row>
    <row r="1711" spans="9:10" x14ac:dyDescent="0.2">
      <c r="I1711" s="353"/>
      <c r="J1711" s="353"/>
    </row>
    <row r="1712" spans="9:10" x14ac:dyDescent="0.2">
      <c r="I1712" s="353"/>
      <c r="J1712" s="353"/>
    </row>
    <row r="1713" spans="9:10" x14ac:dyDescent="0.2">
      <c r="I1713" s="353"/>
      <c r="J1713" s="353"/>
    </row>
    <row r="1714" spans="9:10" x14ac:dyDescent="0.2">
      <c r="I1714" s="353"/>
      <c r="J1714" s="353"/>
    </row>
    <row r="1715" spans="9:10" x14ac:dyDescent="0.2">
      <c r="I1715" s="353"/>
      <c r="J1715" s="353"/>
    </row>
    <row r="1716" spans="9:10" x14ac:dyDescent="0.2">
      <c r="I1716" s="353"/>
      <c r="J1716" s="353"/>
    </row>
    <row r="1717" spans="9:10" x14ac:dyDescent="0.2">
      <c r="I1717" s="353"/>
      <c r="J1717" s="353"/>
    </row>
    <row r="1718" spans="9:10" x14ac:dyDescent="0.2">
      <c r="I1718" s="353"/>
      <c r="J1718" s="353"/>
    </row>
    <row r="1719" spans="9:10" x14ac:dyDescent="0.2">
      <c r="I1719" s="353"/>
      <c r="J1719" s="353"/>
    </row>
    <row r="1720" spans="9:10" x14ac:dyDescent="0.2">
      <c r="I1720" s="353"/>
      <c r="J1720" s="353"/>
    </row>
    <row r="1721" spans="9:10" x14ac:dyDescent="0.2">
      <c r="I1721" s="353"/>
      <c r="J1721" s="353"/>
    </row>
    <row r="1722" spans="9:10" x14ac:dyDescent="0.2">
      <c r="I1722" s="353"/>
      <c r="J1722" s="353"/>
    </row>
    <row r="1723" spans="9:10" x14ac:dyDescent="0.2">
      <c r="I1723" s="353"/>
      <c r="J1723" s="353"/>
    </row>
    <row r="1724" spans="9:10" x14ac:dyDescent="0.2">
      <c r="I1724" s="353"/>
      <c r="J1724" s="353"/>
    </row>
    <row r="1725" spans="9:10" x14ac:dyDescent="0.2">
      <c r="I1725" s="353"/>
      <c r="J1725" s="353"/>
    </row>
    <row r="1726" spans="9:10" x14ac:dyDescent="0.2">
      <c r="I1726" s="353"/>
      <c r="J1726" s="353"/>
    </row>
    <row r="1727" spans="9:10" x14ac:dyDescent="0.2">
      <c r="I1727" s="353"/>
      <c r="J1727" s="353"/>
    </row>
    <row r="1728" spans="9:10" x14ac:dyDescent="0.2">
      <c r="I1728" s="353"/>
      <c r="J1728" s="353"/>
    </row>
    <row r="1729" spans="9:10" x14ac:dyDescent="0.2">
      <c r="I1729" s="353"/>
      <c r="J1729" s="353"/>
    </row>
    <row r="1730" spans="9:10" x14ac:dyDescent="0.2">
      <c r="I1730" s="353"/>
      <c r="J1730" s="353"/>
    </row>
    <row r="1731" spans="9:10" x14ac:dyDescent="0.2">
      <c r="I1731" s="353"/>
      <c r="J1731" s="353"/>
    </row>
    <row r="1732" spans="9:10" x14ac:dyDescent="0.2">
      <c r="I1732" s="353"/>
      <c r="J1732" s="353"/>
    </row>
    <row r="1733" spans="9:10" x14ac:dyDescent="0.2">
      <c r="I1733" s="353"/>
      <c r="J1733" s="353"/>
    </row>
    <row r="1734" spans="9:10" x14ac:dyDescent="0.2">
      <c r="I1734" s="353"/>
      <c r="J1734" s="353"/>
    </row>
    <row r="1735" spans="9:10" x14ac:dyDescent="0.2">
      <c r="I1735" s="353"/>
      <c r="J1735" s="353"/>
    </row>
    <row r="1736" spans="9:10" x14ac:dyDescent="0.2">
      <c r="I1736" s="353"/>
      <c r="J1736" s="353"/>
    </row>
    <row r="1737" spans="9:10" x14ac:dyDescent="0.2">
      <c r="I1737" s="353"/>
      <c r="J1737" s="353"/>
    </row>
    <row r="1738" spans="9:10" x14ac:dyDescent="0.2">
      <c r="I1738" s="353"/>
      <c r="J1738" s="353"/>
    </row>
    <row r="1739" spans="9:10" x14ac:dyDescent="0.2">
      <c r="I1739" s="353"/>
      <c r="J1739" s="353"/>
    </row>
    <row r="1740" spans="9:10" x14ac:dyDescent="0.2">
      <c r="I1740" s="353"/>
      <c r="J1740" s="353"/>
    </row>
    <row r="1741" spans="9:10" x14ac:dyDescent="0.2">
      <c r="I1741" s="353"/>
      <c r="J1741" s="353"/>
    </row>
    <row r="1742" spans="9:10" x14ac:dyDescent="0.2">
      <c r="I1742" s="353"/>
      <c r="J1742" s="353"/>
    </row>
    <row r="1743" spans="9:10" x14ac:dyDescent="0.2">
      <c r="I1743" s="353"/>
      <c r="J1743" s="353"/>
    </row>
    <row r="1744" spans="9:10" x14ac:dyDescent="0.2">
      <c r="I1744" s="353"/>
      <c r="J1744" s="353"/>
    </row>
    <row r="1745" spans="9:10" x14ac:dyDescent="0.2">
      <c r="I1745" s="353"/>
      <c r="J1745" s="353"/>
    </row>
    <row r="1746" spans="9:10" x14ac:dyDescent="0.2">
      <c r="I1746" s="353"/>
      <c r="J1746" s="353"/>
    </row>
    <row r="1747" spans="9:10" x14ac:dyDescent="0.2">
      <c r="I1747" s="353"/>
      <c r="J1747" s="353"/>
    </row>
    <row r="1748" spans="9:10" x14ac:dyDescent="0.2">
      <c r="I1748" s="353"/>
      <c r="J1748" s="353"/>
    </row>
    <row r="1749" spans="9:10" x14ac:dyDescent="0.2">
      <c r="I1749" s="353"/>
      <c r="J1749" s="353"/>
    </row>
    <row r="1750" spans="9:10" x14ac:dyDescent="0.2">
      <c r="I1750" s="353"/>
      <c r="J1750" s="353"/>
    </row>
    <row r="1751" spans="9:10" x14ac:dyDescent="0.2">
      <c r="I1751" s="353"/>
      <c r="J1751" s="353"/>
    </row>
    <row r="1752" spans="9:10" x14ac:dyDescent="0.2">
      <c r="I1752" s="353"/>
      <c r="J1752" s="353"/>
    </row>
    <row r="1753" spans="9:10" x14ac:dyDescent="0.2">
      <c r="I1753" s="353"/>
      <c r="J1753" s="353"/>
    </row>
    <row r="1754" spans="9:10" x14ac:dyDescent="0.2">
      <c r="I1754" s="353"/>
      <c r="J1754" s="353"/>
    </row>
    <row r="1755" spans="9:10" x14ac:dyDescent="0.2">
      <c r="I1755" s="353"/>
      <c r="J1755" s="353"/>
    </row>
    <row r="1756" spans="9:10" x14ac:dyDescent="0.2">
      <c r="I1756" s="353"/>
      <c r="J1756" s="353"/>
    </row>
    <row r="1757" spans="9:10" x14ac:dyDescent="0.2">
      <c r="I1757" s="353"/>
      <c r="J1757" s="353"/>
    </row>
    <row r="1758" spans="9:10" x14ac:dyDescent="0.2">
      <c r="I1758" s="353"/>
      <c r="J1758" s="353"/>
    </row>
    <row r="1759" spans="9:10" x14ac:dyDescent="0.2">
      <c r="I1759" s="353"/>
      <c r="J1759" s="353"/>
    </row>
    <row r="1760" spans="9:10" x14ac:dyDescent="0.2">
      <c r="I1760" s="353"/>
      <c r="J1760" s="353"/>
    </row>
    <row r="1761" spans="9:10" x14ac:dyDescent="0.2">
      <c r="I1761" s="353"/>
      <c r="J1761" s="353"/>
    </row>
    <row r="1762" spans="9:10" x14ac:dyDescent="0.2">
      <c r="I1762" s="353"/>
      <c r="J1762" s="353"/>
    </row>
    <row r="1763" spans="9:10" x14ac:dyDescent="0.2">
      <c r="I1763" s="353"/>
      <c r="J1763" s="353"/>
    </row>
    <row r="1764" spans="9:10" x14ac:dyDescent="0.2">
      <c r="I1764" s="353"/>
      <c r="J1764" s="353"/>
    </row>
    <row r="1765" spans="9:10" x14ac:dyDescent="0.2">
      <c r="I1765" s="353"/>
      <c r="J1765" s="353"/>
    </row>
    <row r="1766" spans="9:10" x14ac:dyDescent="0.2">
      <c r="I1766" s="353"/>
      <c r="J1766" s="353"/>
    </row>
    <row r="1767" spans="9:10" x14ac:dyDescent="0.2">
      <c r="I1767" s="353"/>
      <c r="J1767" s="353"/>
    </row>
    <row r="1768" spans="9:10" x14ac:dyDescent="0.2">
      <c r="I1768" s="353"/>
      <c r="J1768" s="353"/>
    </row>
    <row r="1769" spans="9:10" x14ac:dyDescent="0.2">
      <c r="I1769" s="353"/>
      <c r="J1769" s="353"/>
    </row>
    <row r="1770" spans="9:10" x14ac:dyDescent="0.2">
      <c r="I1770" s="353"/>
      <c r="J1770" s="353"/>
    </row>
    <row r="1771" spans="9:10" x14ac:dyDescent="0.2">
      <c r="I1771" s="353"/>
      <c r="J1771" s="353"/>
    </row>
    <row r="1772" spans="9:10" x14ac:dyDescent="0.2">
      <c r="I1772" s="353"/>
      <c r="J1772" s="353"/>
    </row>
    <row r="1773" spans="9:10" x14ac:dyDescent="0.2">
      <c r="I1773" s="353"/>
      <c r="J1773" s="353"/>
    </row>
    <row r="1774" spans="9:10" x14ac:dyDescent="0.2">
      <c r="I1774" s="353"/>
      <c r="J1774" s="353"/>
    </row>
    <row r="1775" spans="9:10" x14ac:dyDescent="0.2">
      <c r="I1775" s="353"/>
      <c r="J1775" s="353"/>
    </row>
    <row r="1776" spans="9:10" x14ac:dyDescent="0.2">
      <c r="I1776" s="353"/>
      <c r="J1776" s="353"/>
    </row>
    <row r="1777" spans="9:10" x14ac:dyDescent="0.2">
      <c r="I1777" s="353"/>
      <c r="J1777" s="353"/>
    </row>
    <row r="1778" spans="9:10" x14ac:dyDescent="0.2">
      <c r="I1778" s="353"/>
      <c r="J1778" s="353"/>
    </row>
    <row r="1779" spans="9:10" x14ac:dyDescent="0.2">
      <c r="I1779" s="353"/>
      <c r="J1779" s="353"/>
    </row>
    <row r="1780" spans="9:10" x14ac:dyDescent="0.2">
      <c r="I1780" s="353"/>
      <c r="J1780" s="353"/>
    </row>
    <row r="1781" spans="9:10" x14ac:dyDescent="0.2">
      <c r="I1781" s="353"/>
      <c r="J1781" s="353"/>
    </row>
    <row r="1782" spans="9:10" x14ac:dyDescent="0.2">
      <c r="I1782" s="353"/>
      <c r="J1782" s="353"/>
    </row>
    <row r="1783" spans="9:10" x14ac:dyDescent="0.2">
      <c r="I1783" s="353"/>
      <c r="J1783" s="353"/>
    </row>
    <row r="1784" spans="9:10" x14ac:dyDescent="0.2">
      <c r="I1784" s="353"/>
      <c r="J1784" s="353"/>
    </row>
    <row r="1785" spans="9:10" x14ac:dyDescent="0.2">
      <c r="I1785" s="353"/>
      <c r="J1785" s="353"/>
    </row>
    <row r="1786" spans="9:10" x14ac:dyDescent="0.2">
      <c r="I1786" s="353"/>
      <c r="J1786" s="353"/>
    </row>
    <row r="1787" spans="9:10" x14ac:dyDescent="0.2">
      <c r="I1787" s="353"/>
      <c r="J1787" s="353"/>
    </row>
    <row r="1788" spans="9:10" x14ac:dyDescent="0.2">
      <c r="I1788" s="353"/>
      <c r="J1788" s="353"/>
    </row>
    <row r="1789" spans="9:10" x14ac:dyDescent="0.2">
      <c r="I1789" s="353"/>
      <c r="J1789" s="353"/>
    </row>
    <row r="1790" spans="9:10" x14ac:dyDescent="0.2">
      <c r="I1790" s="353"/>
      <c r="J1790" s="353"/>
    </row>
    <row r="1791" spans="9:10" x14ac:dyDescent="0.2">
      <c r="I1791" s="353"/>
      <c r="J1791" s="353"/>
    </row>
    <row r="1792" spans="9:10" x14ac:dyDescent="0.2">
      <c r="I1792" s="353"/>
      <c r="J1792" s="353"/>
    </row>
    <row r="1793" spans="9:10" x14ac:dyDescent="0.2">
      <c r="I1793" s="353"/>
      <c r="J1793" s="353"/>
    </row>
    <row r="1794" spans="9:10" x14ac:dyDescent="0.2">
      <c r="I1794" s="353"/>
      <c r="J1794" s="353"/>
    </row>
    <row r="1795" spans="9:10" x14ac:dyDescent="0.2">
      <c r="I1795" s="353"/>
      <c r="J1795" s="353"/>
    </row>
    <row r="1796" spans="9:10" x14ac:dyDescent="0.2">
      <c r="I1796" s="353"/>
      <c r="J1796" s="353"/>
    </row>
    <row r="1797" spans="9:10" x14ac:dyDescent="0.2">
      <c r="I1797" s="353"/>
      <c r="J1797" s="353"/>
    </row>
    <row r="1798" spans="9:10" x14ac:dyDescent="0.2">
      <c r="I1798" s="353"/>
      <c r="J1798" s="353"/>
    </row>
    <row r="1799" spans="9:10" x14ac:dyDescent="0.2">
      <c r="I1799" s="353"/>
      <c r="J1799" s="353"/>
    </row>
    <row r="1800" spans="9:10" x14ac:dyDescent="0.2">
      <c r="I1800" s="353"/>
      <c r="J1800" s="353"/>
    </row>
    <row r="1801" spans="9:10" x14ac:dyDescent="0.2">
      <c r="I1801" s="353"/>
      <c r="J1801" s="353"/>
    </row>
    <row r="1802" spans="9:10" x14ac:dyDescent="0.2">
      <c r="I1802" s="353"/>
      <c r="J1802" s="353"/>
    </row>
    <row r="1803" spans="9:10" x14ac:dyDescent="0.2">
      <c r="I1803" s="353"/>
      <c r="J1803" s="353"/>
    </row>
    <row r="1804" spans="9:10" x14ac:dyDescent="0.2">
      <c r="I1804" s="353"/>
      <c r="J1804" s="353"/>
    </row>
    <row r="1805" spans="9:10" x14ac:dyDescent="0.2">
      <c r="I1805" s="353"/>
      <c r="J1805" s="353"/>
    </row>
    <row r="1806" spans="9:10" x14ac:dyDescent="0.2">
      <c r="I1806" s="353"/>
      <c r="J1806" s="353"/>
    </row>
    <row r="1807" spans="9:10" x14ac:dyDescent="0.2">
      <c r="I1807" s="353"/>
      <c r="J1807" s="353"/>
    </row>
    <row r="1808" spans="9:10" x14ac:dyDescent="0.2">
      <c r="I1808" s="353"/>
      <c r="J1808" s="353"/>
    </row>
    <row r="1809" spans="9:10" x14ac:dyDescent="0.2">
      <c r="I1809" s="353"/>
      <c r="J1809" s="353"/>
    </row>
    <row r="1810" spans="9:10" x14ac:dyDescent="0.2">
      <c r="I1810" s="353"/>
      <c r="J1810" s="353"/>
    </row>
    <row r="1811" spans="9:10" x14ac:dyDescent="0.2">
      <c r="I1811" s="353"/>
      <c r="J1811" s="353"/>
    </row>
    <row r="1812" spans="9:10" x14ac:dyDescent="0.2">
      <c r="I1812" s="353"/>
      <c r="J1812" s="353"/>
    </row>
    <row r="1813" spans="9:10" x14ac:dyDescent="0.2">
      <c r="I1813" s="353"/>
      <c r="J1813" s="353"/>
    </row>
    <row r="1814" spans="9:10" x14ac:dyDescent="0.2">
      <c r="I1814" s="353"/>
      <c r="J1814" s="353"/>
    </row>
    <row r="1815" spans="9:10" x14ac:dyDescent="0.2">
      <c r="I1815" s="353"/>
      <c r="J1815" s="353"/>
    </row>
    <row r="1816" spans="9:10" x14ac:dyDescent="0.2">
      <c r="I1816" s="353"/>
      <c r="J1816" s="353"/>
    </row>
    <row r="1817" spans="9:10" x14ac:dyDescent="0.2">
      <c r="I1817" s="353"/>
      <c r="J1817" s="353"/>
    </row>
    <row r="1818" spans="9:10" x14ac:dyDescent="0.2">
      <c r="I1818" s="353"/>
      <c r="J1818" s="353"/>
    </row>
    <row r="1819" spans="9:10" x14ac:dyDescent="0.2">
      <c r="I1819" s="353"/>
      <c r="J1819" s="353"/>
    </row>
    <row r="1820" spans="9:10" x14ac:dyDescent="0.2">
      <c r="I1820" s="353"/>
      <c r="J1820" s="353"/>
    </row>
    <row r="1821" spans="9:10" x14ac:dyDescent="0.2">
      <c r="I1821" s="353"/>
      <c r="J1821" s="353"/>
    </row>
    <row r="1822" spans="9:10" x14ac:dyDescent="0.2">
      <c r="I1822" s="353"/>
      <c r="J1822" s="353"/>
    </row>
    <row r="1823" spans="9:10" x14ac:dyDescent="0.2">
      <c r="I1823" s="353"/>
      <c r="J1823" s="353"/>
    </row>
    <row r="1824" spans="9:10" x14ac:dyDescent="0.2">
      <c r="I1824" s="353"/>
      <c r="J1824" s="353"/>
    </row>
    <row r="1825" spans="9:10" x14ac:dyDescent="0.2">
      <c r="I1825" s="353"/>
      <c r="J1825" s="353"/>
    </row>
    <row r="1826" spans="9:10" x14ac:dyDescent="0.2">
      <c r="I1826" s="353"/>
      <c r="J1826" s="353"/>
    </row>
    <row r="1827" spans="9:10" x14ac:dyDescent="0.2">
      <c r="I1827" s="353"/>
      <c r="J1827" s="353"/>
    </row>
    <row r="1828" spans="9:10" x14ac:dyDescent="0.2">
      <c r="I1828" s="353"/>
      <c r="J1828" s="353"/>
    </row>
    <row r="1829" spans="9:10" x14ac:dyDescent="0.2">
      <c r="I1829" s="353"/>
      <c r="J1829" s="353"/>
    </row>
    <row r="1830" spans="9:10" x14ac:dyDescent="0.2">
      <c r="I1830" s="353"/>
      <c r="J1830" s="353"/>
    </row>
    <row r="1831" spans="9:10" x14ac:dyDescent="0.2">
      <c r="I1831" s="353"/>
      <c r="J1831" s="353"/>
    </row>
    <row r="1832" spans="9:10" x14ac:dyDescent="0.2">
      <c r="I1832" s="353"/>
      <c r="J1832" s="353"/>
    </row>
    <row r="1833" spans="9:10" x14ac:dyDescent="0.2">
      <c r="I1833" s="353"/>
      <c r="J1833" s="353"/>
    </row>
    <row r="1834" spans="9:10" x14ac:dyDescent="0.2">
      <c r="I1834" s="353"/>
      <c r="J1834" s="353"/>
    </row>
    <row r="1835" spans="9:10" x14ac:dyDescent="0.2">
      <c r="I1835" s="353"/>
      <c r="J1835" s="353"/>
    </row>
    <row r="1836" spans="9:10" x14ac:dyDescent="0.2">
      <c r="I1836" s="353"/>
      <c r="J1836" s="353"/>
    </row>
    <row r="1837" spans="9:10" x14ac:dyDescent="0.2">
      <c r="I1837" s="353"/>
      <c r="J1837" s="353"/>
    </row>
    <row r="1838" spans="9:10" x14ac:dyDescent="0.2">
      <c r="I1838" s="353"/>
      <c r="J1838" s="353"/>
    </row>
    <row r="1839" spans="9:10" x14ac:dyDescent="0.2">
      <c r="I1839" s="353"/>
      <c r="J1839" s="353"/>
    </row>
    <row r="1840" spans="9:10" x14ac:dyDescent="0.2">
      <c r="I1840" s="353"/>
      <c r="J1840" s="353"/>
    </row>
    <row r="1841" spans="9:10" x14ac:dyDescent="0.2">
      <c r="I1841" s="353"/>
      <c r="J1841" s="353"/>
    </row>
    <row r="1842" spans="9:10" x14ac:dyDescent="0.2">
      <c r="I1842" s="353"/>
      <c r="J1842" s="353"/>
    </row>
    <row r="1843" spans="9:10" x14ac:dyDescent="0.2">
      <c r="I1843" s="353"/>
      <c r="J1843" s="353"/>
    </row>
    <row r="1844" spans="9:10" x14ac:dyDescent="0.2">
      <c r="I1844" s="353"/>
      <c r="J1844" s="353"/>
    </row>
    <row r="1845" spans="9:10" x14ac:dyDescent="0.2">
      <c r="I1845" s="353"/>
      <c r="J1845" s="353"/>
    </row>
    <row r="1846" spans="9:10" x14ac:dyDescent="0.2">
      <c r="I1846" s="353"/>
      <c r="J1846" s="353"/>
    </row>
    <row r="1847" spans="9:10" x14ac:dyDescent="0.2">
      <c r="I1847" s="353"/>
      <c r="J1847" s="353"/>
    </row>
    <row r="1848" spans="9:10" x14ac:dyDescent="0.2">
      <c r="I1848" s="353"/>
      <c r="J1848" s="353"/>
    </row>
    <row r="1849" spans="9:10" x14ac:dyDescent="0.2">
      <c r="I1849" s="353"/>
      <c r="J1849" s="353"/>
    </row>
    <row r="1850" spans="9:10" x14ac:dyDescent="0.2">
      <c r="I1850" s="353"/>
      <c r="J1850" s="353"/>
    </row>
    <row r="1851" spans="9:10" x14ac:dyDescent="0.2">
      <c r="I1851" s="353"/>
      <c r="J1851" s="353"/>
    </row>
    <row r="1852" spans="9:10" x14ac:dyDescent="0.2">
      <c r="I1852" s="353"/>
      <c r="J1852" s="353"/>
    </row>
    <row r="1853" spans="9:10" x14ac:dyDescent="0.2">
      <c r="I1853" s="353"/>
      <c r="J1853" s="353"/>
    </row>
    <row r="1854" spans="9:10" x14ac:dyDescent="0.2">
      <c r="I1854" s="353"/>
      <c r="J1854" s="353"/>
    </row>
    <row r="1855" spans="9:10" x14ac:dyDescent="0.2">
      <c r="I1855" s="353"/>
      <c r="J1855" s="353"/>
    </row>
    <row r="1856" spans="9:10" x14ac:dyDescent="0.2">
      <c r="I1856" s="353"/>
      <c r="J1856" s="353"/>
    </row>
    <row r="1857" spans="9:10" x14ac:dyDescent="0.2">
      <c r="I1857" s="353"/>
      <c r="J1857" s="353"/>
    </row>
    <row r="1858" spans="9:10" x14ac:dyDescent="0.2">
      <c r="I1858" s="353"/>
      <c r="J1858" s="353"/>
    </row>
    <row r="1859" spans="9:10" x14ac:dyDescent="0.2">
      <c r="I1859" s="353"/>
      <c r="J1859" s="353"/>
    </row>
    <row r="1860" spans="9:10" x14ac:dyDescent="0.2">
      <c r="I1860" s="353"/>
      <c r="J1860" s="353"/>
    </row>
    <row r="1861" spans="9:10" x14ac:dyDescent="0.2">
      <c r="I1861" s="353"/>
      <c r="J1861" s="353"/>
    </row>
    <row r="1862" spans="9:10" x14ac:dyDescent="0.2">
      <c r="I1862" s="353"/>
      <c r="J1862" s="353"/>
    </row>
    <row r="1863" spans="9:10" x14ac:dyDescent="0.2">
      <c r="I1863" s="353"/>
      <c r="J1863" s="353"/>
    </row>
    <row r="1864" spans="9:10" x14ac:dyDescent="0.2">
      <c r="I1864" s="353"/>
      <c r="J1864" s="353"/>
    </row>
    <row r="1865" spans="9:10" x14ac:dyDescent="0.2">
      <c r="I1865" s="353"/>
      <c r="J1865" s="353"/>
    </row>
    <row r="1866" spans="9:10" x14ac:dyDescent="0.2">
      <c r="I1866" s="353"/>
      <c r="J1866" s="353"/>
    </row>
    <row r="1867" spans="9:10" x14ac:dyDescent="0.2">
      <c r="I1867" s="353"/>
      <c r="J1867" s="353"/>
    </row>
    <row r="1868" spans="9:10" x14ac:dyDescent="0.2">
      <c r="I1868" s="353"/>
      <c r="J1868" s="353"/>
    </row>
    <row r="1869" spans="9:10" x14ac:dyDescent="0.2">
      <c r="I1869" s="353"/>
      <c r="J1869" s="353"/>
    </row>
    <row r="1870" spans="9:10" x14ac:dyDescent="0.2">
      <c r="I1870" s="353"/>
      <c r="J1870" s="353"/>
    </row>
    <row r="1871" spans="9:10" x14ac:dyDescent="0.2">
      <c r="I1871" s="353"/>
      <c r="J1871" s="353"/>
    </row>
    <row r="1872" spans="9:10" x14ac:dyDescent="0.2">
      <c r="I1872" s="353"/>
      <c r="J1872" s="353"/>
    </row>
    <row r="1873" spans="9:10" x14ac:dyDescent="0.2">
      <c r="I1873" s="353"/>
      <c r="J1873" s="353"/>
    </row>
    <row r="1874" spans="9:10" x14ac:dyDescent="0.2">
      <c r="I1874" s="353"/>
      <c r="J1874" s="353"/>
    </row>
    <row r="1875" spans="9:10" x14ac:dyDescent="0.2">
      <c r="I1875" s="353"/>
      <c r="J1875" s="353"/>
    </row>
    <row r="1876" spans="9:10" x14ac:dyDescent="0.2">
      <c r="I1876" s="353"/>
      <c r="J1876" s="353"/>
    </row>
    <row r="1877" spans="9:10" x14ac:dyDescent="0.2">
      <c r="I1877" s="353"/>
      <c r="J1877" s="353"/>
    </row>
    <row r="1878" spans="9:10" x14ac:dyDescent="0.2">
      <c r="I1878" s="353"/>
      <c r="J1878" s="353"/>
    </row>
    <row r="1879" spans="9:10" x14ac:dyDescent="0.2">
      <c r="I1879" s="353"/>
      <c r="J1879" s="353"/>
    </row>
    <row r="1880" spans="9:10" x14ac:dyDescent="0.2">
      <c r="I1880" s="353"/>
      <c r="J1880" s="353"/>
    </row>
    <row r="1881" spans="9:10" x14ac:dyDescent="0.2">
      <c r="I1881" s="353"/>
      <c r="J1881" s="353"/>
    </row>
    <row r="1882" spans="9:10" x14ac:dyDescent="0.2">
      <c r="I1882" s="353"/>
      <c r="J1882" s="353"/>
    </row>
    <row r="1883" spans="9:10" x14ac:dyDescent="0.2">
      <c r="I1883" s="353"/>
      <c r="J1883" s="353"/>
    </row>
    <row r="1884" spans="9:10" x14ac:dyDescent="0.2">
      <c r="I1884" s="353"/>
      <c r="J1884" s="353"/>
    </row>
    <row r="1885" spans="9:10" x14ac:dyDescent="0.2">
      <c r="I1885" s="353"/>
      <c r="J1885" s="353"/>
    </row>
    <row r="1886" spans="9:10" x14ac:dyDescent="0.2">
      <c r="I1886" s="353"/>
      <c r="J1886" s="353"/>
    </row>
    <row r="1887" spans="9:10" x14ac:dyDescent="0.2">
      <c r="I1887" s="353"/>
      <c r="J1887" s="353"/>
    </row>
    <row r="1888" spans="9:10" x14ac:dyDescent="0.2">
      <c r="I1888" s="353"/>
      <c r="J1888" s="353"/>
    </row>
    <row r="1889" spans="9:10" x14ac:dyDescent="0.2">
      <c r="I1889" s="353"/>
      <c r="J1889" s="353"/>
    </row>
    <row r="1890" spans="9:10" x14ac:dyDescent="0.2">
      <c r="I1890" s="353"/>
      <c r="J1890" s="353"/>
    </row>
    <row r="1891" spans="9:10" x14ac:dyDescent="0.2">
      <c r="I1891" s="353"/>
      <c r="J1891" s="353"/>
    </row>
    <row r="1892" spans="9:10" x14ac:dyDescent="0.2">
      <c r="I1892" s="353"/>
      <c r="J1892" s="353"/>
    </row>
    <row r="1893" spans="9:10" x14ac:dyDescent="0.2">
      <c r="I1893" s="353"/>
      <c r="J1893" s="353"/>
    </row>
    <row r="1894" spans="9:10" x14ac:dyDescent="0.2">
      <c r="I1894" s="353"/>
      <c r="J1894" s="353"/>
    </row>
    <row r="1895" spans="9:10" x14ac:dyDescent="0.2">
      <c r="I1895" s="353"/>
      <c r="J1895" s="353"/>
    </row>
    <row r="1896" spans="9:10" x14ac:dyDescent="0.2">
      <c r="I1896" s="353"/>
      <c r="J1896" s="353"/>
    </row>
    <row r="1897" spans="9:10" x14ac:dyDescent="0.2">
      <c r="I1897" s="353"/>
      <c r="J1897" s="353"/>
    </row>
    <row r="1898" spans="9:10" x14ac:dyDescent="0.2">
      <c r="I1898" s="353"/>
      <c r="J1898" s="353"/>
    </row>
    <row r="1899" spans="9:10" x14ac:dyDescent="0.2">
      <c r="I1899" s="353"/>
      <c r="J1899" s="353"/>
    </row>
    <row r="1900" spans="9:10" x14ac:dyDescent="0.2">
      <c r="I1900" s="353"/>
      <c r="J1900" s="353"/>
    </row>
    <row r="1901" spans="9:10" x14ac:dyDescent="0.2">
      <c r="I1901" s="353"/>
      <c r="J1901" s="353"/>
    </row>
    <row r="1902" spans="9:10" x14ac:dyDescent="0.2">
      <c r="I1902" s="353"/>
      <c r="J1902" s="353"/>
    </row>
    <row r="1903" spans="9:10" x14ac:dyDescent="0.2">
      <c r="I1903" s="353"/>
      <c r="J1903" s="353"/>
    </row>
    <row r="1904" spans="9:10" x14ac:dyDescent="0.2">
      <c r="I1904" s="353"/>
      <c r="J1904" s="353"/>
    </row>
    <row r="1905" spans="9:10" x14ac:dyDescent="0.2">
      <c r="I1905" s="353"/>
      <c r="J1905" s="353"/>
    </row>
    <row r="1906" spans="9:10" x14ac:dyDescent="0.2">
      <c r="I1906" s="353"/>
      <c r="J1906" s="353"/>
    </row>
    <row r="1907" spans="9:10" x14ac:dyDescent="0.2">
      <c r="I1907" s="353"/>
      <c r="J1907" s="353"/>
    </row>
    <row r="1908" spans="9:10" x14ac:dyDescent="0.2">
      <c r="I1908" s="353"/>
      <c r="J1908" s="353"/>
    </row>
    <row r="1909" spans="9:10" x14ac:dyDescent="0.2">
      <c r="I1909" s="353"/>
      <c r="J1909" s="353"/>
    </row>
    <row r="1910" spans="9:10" x14ac:dyDescent="0.2">
      <c r="I1910" s="353"/>
      <c r="J1910" s="353"/>
    </row>
    <row r="1911" spans="9:10" x14ac:dyDescent="0.2">
      <c r="I1911" s="353"/>
      <c r="J1911" s="353"/>
    </row>
    <row r="1912" spans="9:10" x14ac:dyDescent="0.2">
      <c r="I1912" s="353"/>
      <c r="J1912" s="353"/>
    </row>
    <row r="1913" spans="9:10" x14ac:dyDescent="0.2">
      <c r="I1913" s="353"/>
      <c r="J1913" s="353"/>
    </row>
    <row r="1914" spans="9:10" x14ac:dyDescent="0.2">
      <c r="I1914" s="353"/>
      <c r="J1914" s="353"/>
    </row>
    <row r="1915" spans="9:10" x14ac:dyDescent="0.2">
      <c r="I1915" s="353"/>
      <c r="J1915" s="353"/>
    </row>
    <row r="1916" spans="9:10" x14ac:dyDescent="0.2">
      <c r="I1916" s="353"/>
      <c r="J1916" s="353"/>
    </row>
    <row r="1917" spans="9:10" x14ac:dyDescent="0.2">
      <c r="I1917" s="353"/>
      <c r="J1917" s="353"/>
    </row>
    <row r="1918" spans="9:10" x14ac:dyDescent="0.2">
      <c r="I1918" s="353"/>
      <c r="J1918" s="353"/>
    </row>
    <row r="1919" spans="9:10" x14ac:dyDescent="0.2">
      <c r="I1919" s="353"/>
      <c r="J1919" s="353"/>
    </row>
    <row r="1920" spans="9:10" x14ac:dyDescent="0.2">
      <c r="I1920" s="353"/>
      <c r="J1920" s="353"/>
    </row>
    <row r="1921" spans="9:10" x14ac:dyDescent="0.2">
      <c r="I1921" s="353"/>
      <c r="J1921" s="353"/>
    </row>
    <row r="1922" spans="9:10" x14ac:dyDescent="0.2">
      <c r="I1922" s="353"/>
      <c r="J1922" s="353"/>
    </row>
    <row r="1923" spans="9:10" x14ac:dyDescent="0.2">
      <c r="I1923" s="353"/>
      <c r="J1923" s="353"/>
    </row>
    <row r="1924" spans="9:10" x14ac:dyDescent="0.2">
      <c r="I1924" s="353"/>
      <c r="J1924" s="353"/>
    </row>
    <row r="1925" spans="9:10" x14ac:dyDescent="0.2">
      <c r="I1925" s="353"/>
      <c r="J1925" s="353"/>
    </row>
    <row r="1926" spans="9:10" x14ac:dyDescent="0.2">
      <c r="I1926" s="353"/>
      <c r="J1926" s="353"/>
    </row>
    <row r="1927" spans="9:10" x14ac:dyDescent="0.2">
      <c r="I1927" s="353"/>
      <c r="J1927" s="353"/>
    </row>
    <row r="1928" spans="9:10" x14ac:dyDescent="0.2">
      <c r="I1928" s="353"/>
      <c r="J1928" s="353"/>
    </row>
    <row r="1929" spans="9:10" x14ac:dyDescent="0.2">
      <c r="I1929" s="353"/>
      <c r="J1929" s="353"/>
    </row>
    <row r="1930" spans="9:10" x14ac:dyDescent="0.2">
      <c r="I1930" s="353"/>
      <c r="J1930" s="353"/>
    </row>
    <row r="1931" spans="9:10" x14ac:dyDescent="0.2">
      <c r="I1931" s="353"/>
      <c r="J1931" s="353"/>
    </row>
    <row r="1932" spans="9:10" x14ac:dyDescent="0.2">
      <c r="I1932" s="353"/>
      <c r="J1932" s="353"/>
    </row>
    <row r="1933" spans="9:10" x14ac:dyDescent="0.2">
      <c r="I1933" s="353"/>
      <c r="J1933" s="353"/>
    </row>
    <row r="1934" spans="9:10" x14ac:dyDescent="0.2">
      <c r="I1934" s="353"/>
      <c r="J1934" s="353"/>
    </row>
    <row r="1935" spans="9:10" x14ac:dyDescent="0.2">
      <c r="I1935" s="353"/>
      <c r="J1935" s="353"/>
    </row>
    <row r="1936" spans="9:10" x14ac:dyDescent="0.2">
      <c r="I1936" s="353"/>
      <c r="J1936" s="353"/>
    </row>
    <row r="1937" spans="9:10" x14ac:dyDescent="0.2">
      <c r="I1937" s="353"/>
      <c r="J1937" s="353"/>
    </row>
    <row r="1938" spans="9:10" x14ac:dyDescent="0.2">
      <c r="I1938" s="353"/>
      <c r="J1938" s="353"/>
    </row>
    <row r="1939" spans="9:10" x14ac:dyDescent="0.2">
      <c r="I1939" s="353"/>
      <c r="J1939" s="353"/>
    </row>
    <row r="1940" spans="9:10" x14ac:dyDescent="0.2">
      <c r="I1940" s="353"/>
      <c r="J1940" s="353"/>
    </row>
    <row r="1941" spans="9:10" x14ac:dyDescent="0.2">
      <c r="I1941" s="353"/>
      <c r="J1941" s="353"/>
    </row>
    <row r="1942" spans="9:10" x14ac:dyDescent="0.2">
      <c r="I1942" s="353"/>
      <c r="J1942" s="353"/>
    </row>
    <row r="1943" spans="9:10" x14ac:dyDescent="0.2">
      <c r="I1943" s="353"/>
      <c r="J1943" s="353"/>
    </row>
    <row r="1944" spans="9:10" x14ac:dyDescent="0.2">
      <c r="I1944" s="353"/>
      <c r="J1944" s="353"/>
    </row>
    <row r="1945" spans="9:10" x14ac:dyDescent="0.2">
      <c r="I1945" s="353"/>
      <c r="J1945" s="353"/>
    </row>
    <row r="1946" spans="9:10" x14ac:dyDescent="0.2">
      <c r="I1946" s="353"/>
      <c r="J1946" s="353"/>
    </row>
    <row r="1947" spans="9:10" x14ac:dyDescent="0.2">
      <c r="I1947" s="353"/>
      <c r="J1947" s="353"/>
    </row>
    <row r="1948" spans="9:10" x14ac:dyDescent="0.2">
      <c r="I1948" s="353"/>
      <c r="J1948" s="353"/>
    </row>
    <row r="1949" spans="9:10" x14ac:dyDescent="0.2">
      <c r="I1949" s="353"/>
      <c r="J1949" s="353"/>
    </row>
    <row r="1950" spans="9:10" x14ac:dyDescent="0.2">
      <c r="I1950" s="353"/>
      <c r="J1950" s="353"/>
    </row>
    <row r="1951" spans="9:10" x14ac:dyDescent="0.2">
      <c r="I1951" s="353"/>
      <c r="J1951" s="353"/>
    </row>
    <row r="1952" spans="9:10" x14ac:dyDescent="0.2">
      <c r="I1952" s="353"/>
      <c r="J1952" s="353"/>
    </row>
    <row r="1953" spans="9:10" x14ac:dyDescent="0.2">
      <c r="I1953" s="353"/>
      <c r="J1953" s="353"/>
    </row>
    <row r="1954" spans="9:10" x14ac:dyDescent="0.2">
      <c r="I1954" s="353"/>
      <c r="J1954" s="353"/>
    </row>
    <row r="1955" spans="9:10" x14ac:dyDescent="0.2">
      <c r="I1955" s="353"/>
      <c r="J1955" s="353"/>
    </row>
    <row r="1956" spans="9:10" x14ac:dyDescent="0.2">
      <c r="I1956" s="353"/>
      <c r="J1956" s="353"/>
    </row>
    <row r="1957" spans="9:10" x14ac:dyDescent="0.2">
      <c r="I1957" s="353"/>
      <c r="J1957" s="353"/>
    </row>
    <row r="1958" spans="9:10" x14ac:dyDescent="0.2">
      <c r="I1958" s="353"/>
      <c r="J1958" s="353"/>
    </row>
    <row r="1959" spans="9:10" x14ac:dyDescent="0.2">
      <c r="I1959" s="353"/>
      <c r="J1959" s="353"/>
    </row>
    <row r="1960" spans="9:10" x14ac:dyDescent="0.2">
      <c r="I1960" s="353"/>
      <c r="J1960" s="353"/>
    </row>
    <row r="1961" spans="9:10" x14ac:dyDescent="0.2">
      <c r="I1961" s="353"/>
      <c r="J1961" s="353"/>
    </row>
    <row r="1962" spans="9:10" x14ac:dyDescent="0.2">
      <c r="I1962" s="353"/>
      <c r="J1962" s="353"/>
    </row>
    <row r="1963" spans="9:10" x14ac:dyDescent="0.2">
      <c r="I1963" s="353"/>
      <c r="J1963" s="353"/>
    </row>
    <row r="1964" spans="9:10" x14ac:dyDescent="0.2">
      <c r="I1964" s="353"/>
      <c r="J1964" s="353"/>
    </row>
    <row r="1965" spans="9:10" x14ac:dyDescent="0.2">
      <c r="I1965" s="353"/>
      <c r="J1965" s="353"/>
    </row>
    <row r="1966" spans="9:10" x14ac:dyDescent="0.2">
      <c r="I1966" s="353"/>
      <c r="J1966" s="353"/>
    </row>
    <row r="1967" spans="9:10" x14ac:dyDescent="0.2">
      <c r="I1967" s="353"/>
      <c r="J1967" s="353"/>
    </row>
    <row r="1968" spans="9:10" x14ac:dyDescent="0.2">
      <c r="I1968" s="353"/>
      <c r="J1968" s="353"/>
    </row>
    <row r="1969" spans="9:10" x14ac:dyDescent="0.2">
      <c r="I1969" s="353"/>
      <c r="J1969" s="353"/>
    </row>
    <row r="1970" spans="9:10" x14ac:dyDescent="0.2">
      <c r="I1970" s="353"/>
      <c r="J1970" s="353"/>
    </row>
    <row r="1971" spans="9:10" x14ac:dyDescent="0.2">
      <c r="I1971" s="353"/>
      <c r="J1971" s="353"/>
    </row>
    <row r="1972" spans="9:10" x14ac:dyDescent="0.2">
      <c r="I1972" s="353"/>
      <c r="J1972" s="353"/>
    </row>
    <row r="1973" spans="9:10" x14ac:dyDescent="0.2">
      <c r="I1973" s="353"/>
      <c r="J1973" s="353"/>
    </row>
    <row r="1974" spans="9:10" x14ac:dyDescent="0.2">
      <c r="I1974" s="353"/>
      <c r="J1974" s="353"/>
    </row>
    <row r="1975" spans="9:10" x14ac:dyDescent="0.2">
      <c r="I1975" s="353"/>
      <c r="J1975" s="353"/>
    </row>
    <row r="1976" spans="9:10" x14ac:dyDescent="0.2">
      <c r="I1976" s="353"/>
      <c r="J1976" s="353"/>
    </row>
    <row r="1977" spans="9:10" x14ac:dyDescent="0.2">
      <c r="I1977" s="353"/>
      <c r="J1977" s="353"/>
    </row>
    <row r="1978" spans="9:10" x14ac:dyDescent="0.2">
      <c r="I1978" s="353"/>
      <c r="J1978" s="353"/>
    </row>
    <row r="1979" spans="9:10" x14ac:dyDescent="0.2">
      <c r="I1979" s="353"/>
      <c r="J1979" s="353"/>
    </row>
    <row r="1980" spans="9:10" x14ac:dyDescent="0.2">
      <c r="I1980" s="353"/>
      <c r="J1980" s="353"/>
    </row>
    <row r="1981" spans="9:10" x14ac:dyDescent="0.2">
      <c r="I1981" s="353"/>
      <c r="J1981" s="353"/>
    </row>
    <row r="1982" spans="9:10" x14ac:dyDescent="0.2">
      <c r="I1982" s="353"/>
      <c r="J1982" s="353"/>
    </row>
    <row r="1983" spans="9:10" x14ac:dyDescent="0.2">
      <c r="I1983" s="353"/>
      <c r="J1983" s="353"/>
    </row>
    <row r="1984" spans="9:10" x14ac:dyDescent="0.2">
      <c r="I1984" s="353"/>
      <c r="J1984" s="353"/>
    </row>
    <row r="1985" spans="9:10" x14ac:dyDescent="0.2">
      <c r="I1985" s="353"/>
      <c r="J1985" s="353"/>
    </row>
    <row r="1986" spans="9:10" x14ac:dyDescent="0.2">
      <c r="I1986" s="353"/>
      <c r="J1986" s="353"/>
    </row>
    <row r="1987" spans="9:10" x14ac:dyDescent="0.2">
      <c r="I1987" s="353"/>
      <c r="J1987" s="353"/>
    </row>
    <row r="1988" spans="9:10" x14ac:dyDescent="0.2">
      <c r="I1988" s="353"/>
      <c r="J1988" s="353"/>
    </row>
    <row r="1989" spans="9:10" x14ac:dyDescent="0.2">
      <c r="I1989" s="353"/>
      <c r="J1989" s="353"/>
    </row>
    <row r="1990" spans="9:10" x14ac:dyDescent="0.2">
      <c r="I1990" s="353"/>
      <c r="J1990" s="353"/>
    </row>
    <row r="1991" spans="9:10" x14ac:dyDescent="0.2">
      <c r="I1991" s="353"/>
      <c r="J1991" s="353"/>
    </row>
    <row r="1992" spans="9:10" x14ac:dyDescent="0.2">
      <c r="I1992" s="353"/>
      <c r="J1992" s="353"/>
    </row>
    <row r="1993" spans="9:10" x14ac:dyDescent="0.2">
      <c r="I1993" s="353"/>
      <c r="J1993" s="353"/>
    </row>
    <row r="1994" spans="9:10" x14ac:dyDescent="0.2">
      <c r="I1994" s="353"/>
      <c r="J1994" s="353"/>
    </row>
    <row r="1995" spans="9:10" x14ac:dyDescent="0.2">
      <c r="I1995" s="353"/>
      <c r="J1995" s="353"/>
    </row>
    <row r="1996" spans="9:10" x14ac:dyDescent="0.2">
      <c r="I1996" s="353"/>
      <c r="J1996" s="353"/>
    </row>
    <row r="1997" spans="9:10" x14ac:dyDescent="0.2">
      <c r="I1997" s="353"/>
      <c r="J1997" s="353"/>
    </row>
    <row r="1998" spans="9:10" x14ac:dyDescent="0.2">
      <c r="I1998" s="353"/>
      <c r="J1998" s="353"/>
    </row>
    <row r="1999" spans="9:10" x14ac:dyDescent="0.2">
      <c r="I1999" s="353"/>
      <c r="J1999" s="353"/>
    </row>
    <row r="2000" spans="9:10" x14ac:dyDescent="0.2">
      <c r="I2000" s="353"/>
      <c r="J2000" s="353"/>
    </row>
    <row r="2001" spans="9:10" x14ac:dyDescent="0.2">
      <c r="I2001" s="353"/>
      <c r="J2001" s="353"/>
    </row>
    <row r="2002" spans="9:10" x14ac:dyDescent="0.2">
      <c r="I2002" s="353"/>
      <c r="J2002" s="353"/>
    </row>
    <row r="2003" spans="9:10" x14ac:dyDescent="0.2">
      <c r="I2003" s="353"/>
      <c r="J2003" s="353"/>
    </row>
    <row r="2004" spans="9:10" x14ac:dyDescent="0.2">
      <c r="I2004" s="353"/>
      <c r="J2004" s="353"/>
    </row>
    <row r="2005" spans="9:10" x14ac:dyDescent="0.2">
      <c r="I2005" s="353"/>
      <c r="J2005" s="353"/>
    </row>
    <row r="2006" spans="9:10" x14ac:dyDescent="0.2">
      <c r="I2006" s="353"/>
      <c r="J2006" s="353"/>
    </row>
    <row r="2007" spans="9:10" x14ac:dyDescent="0.2">
      <c r="I2007" s="353"/>
      <c r="J2007" s="353"/>
    </row>
    <row r="2008" spans="9:10" x14ac:dyDescent="0.2">
      <c r="I2008" s="353"/>
      <c r="J2008" s="353"/>
    </row>
    <row r="2009" spans="9:10" x14ac:dyDescent="0.2">
      <c r="I2009" s="353"/>
      <c r="J2009" s="353"/>
    </row>
    <row r="2010" spans="9:10" x14ac:dyDescent="0.2">
      <c r="I2010" s="353"/>
      <c r="J2010" s="353"/>
    </row>
    <row r="2011" spans="9:10" x14ac:dyDescent="0.2">
      <c r="I2011" s="353"/>
      <c r="J2011" s="353"/>
    </row>
    <row r="2012" spans="9:10" x14ac:dyDescent="0.2">
      <c r="I2012" s="353"/>
      <c r="J2012" s="353"/>
    </row>
    <row r="2013" spans="9:10" x14ac:dyDescent="0.2">
      <c r="I2013" s="353"/>
      <c r="J2013" s="353"/>
    </row>
    <row r="2014" spans="9:10" x14ac:dyDescent="0.2">
      <c r="I2014" s="353"/>
      <c r="J2014" s="353"/>
    </row>
    <row r="2015" spans="9:10" x14ac:dyDescent="0.2">
      <c r="I2015" s="353"/>
      <c r="J2015" s="353"/>
    </row>
    <row r="2016" spans="9:10" x14ac:dyDescent="0.2">
      <c r="I2016" s="353"/>
      <c r="J2016" s="353"/>
    </row>
    <row r="2017" spans="9:10" x14ac:dyDescent="0.2">
      <c r="I2017" s="353"/>
      <c r="J2017" s="353"/>
    </row>
    <row r="2018" spans="9:10" x14ac:dyDescent="0.2">
      <c r="I2018" s="353"/>
      <c r="J2018" s="353"/>
    </row>
    <row r="2019" spans="9:10" x14ac:dyDescent="0.2">
      <c r="I2019" s="353"/>
      <c r="J2019" s="353"/>
    </row>
    <row r="2020" spans="9:10" x14ac:dyDescent="0.2">
      <c r="I2020" s="353"/>
      <c r="J2020" s="353"/>
    </row>
    <row r="2021" spans="9:10" x14ac:dyDescent="0.2">
      <c r="I2021" s="353"/>
      <c r="J2021" s="353"/>
    </row>
    <row r="2022" spans="9:10" x14ac:dyDescent="0.2">
      <c r="I2022" s="353"/>
      <c r="J2022" s="353"/>
    </row>
    <row r="2023" spans="9:10" x14ac:dyDescent="0.2">
      <c r="I2023" s="353"/>
      <c r="J2023" s="353"/>
    </row>
    <row r="2024" spans="9:10" x14ac:dyDescent="0.2">
      <c r="I2024" s="353"/>
      <c r="J2024" s="353"/>
    </row>
    <row r="2025" spans="9:10" x14ac:dyDescent="0.2">
      <c r="I2025" s="353"/>
      <c r="J2025" s="353"/>
    </row>
    <row r="2026" spans="9:10" x14ac:dyDescent="0.2">
      <c r="I2026" s="353"/>
      <c r="J2026" s="353"/>
    </row>
    <row r="2027" spans="9:10" x14ac:dyDescent="0.2">
      <c r="I2027" s="353"/>
      <c r="J2027" s="353"/>
    </row>
    <row r="2028" spans="9:10" x14ac:dyDescent="0.2">
      <c r="I2028" s="353"/>
      <c r="J2028" s="353"/>
    </row>
    <row r="2029" spans="9:10" x14ac:dyDescent="0.2">
      <c r="I2029" s="353"/>
      <c r="J2029" s="353"/>
    </row>
    <row r="2030" spans="9:10" x14ac:dyDescent="0.2">
      <c r="I2030" s="353"/>
      <c r="J2030" s="353"/>
    </row>
    <row r="2031" spans="9:10" x14ac:dyDescent="0.2">
      <c r="I2031" s="353"/>
      <c r="J2031" s="353"/>
    </row>
    <row r="2032" spans="9:10" x14ac:dyDescent="0.2">
      <c r="I2032" s="353"/>
      <c r="J2032" s="353"/>
    </row>
    <row r="2033" spans="9:10" x14ac:dyDescent="0.2">
      <c r="I2033" s="353"/>
      <c r="J2033" s="353"/>
    </row>
    <row r="2034" spans="9:10" x14ac:dyDescent="0.2">
      <c r="I2034" s="353"/>
      <c r="J2034" s="353"/>
    </row>
    <row r="2035" spans="9:10" x14ac:dyDescent="0.2">
      <c r="I2035" s="353"/>
      <c r="J2035" s="353"/>
    </row>
    <row r="2036" spans="9:10" x14ac:dyDescent="0.2">
      <c r="I2036" s="353"/>
      <c r="J2036" s="353"/>
    </row>
    <row r="2037" spans="9:10" x14ac:dyDescent="0.2">
      <c r="I2037" s="353"/>
      <c r="J2037" s="353"/>
    </row>
    <row r="2038" spans="9:10" x14ac:dyDescent="0.2">
      <c r="I2038" s="353"/>
      <c r="J2038" s="353"/>
    </row>
    <row r="2039" spans="9:10" x14ac:dyDescent="0.2">
      <c r="I2039" s="353"/>
      <c r="J2039" s="353"/>
    </row>
    <row r="2040" spans="9:10" x14ac:dyDescent="0.2">
      <c r="I2040" s="353"/>
      <c r="J2040" s="353"/>
    </row>
    <row r="2041" spans="9:10" x14ac:dyDescent="0.2">
      <c r="I2041" s="353"/>
      <c r="J2041" s="353"/>
    </row>
    <row r="2042" spans="9:10" x14ac:dyDescent="0.2">
      <c r="I2042" s="353"/>
      <c r="J2042" s="353"/>
    </row>
    <row r="2043" spans="9:10" x14ac:dyDescent="0.2">
      <c r="I2043" s="353"/>
      <c r="J2043" s="353"/>
    </row>
    <row r="2044" spans="9:10" x14ac:dyDescent="0.2">
      <c r="I2044" s="353"/>
      <c r="J2044" s="353"/>
    </row>
    <row r="2045" spans="9:10" x14ac:dyDescent="0.2">
      <c r="I2045" s="353"/>
      <c r="J2045" s="353"/>
    </row>
    <row r="2046" spans="9:10" x14ac:dyDescent="0.2">
      <c r="I2046" s="353"/>
      <c r="J2046" s="353"/>
    </row>
    <row r="2047" spans="9:10" x14ac:dyDescent="0.2">
      <c r="I2047" s="353"/>
      <c r="J2047" s="353"/>
    </row>
    <row r="2048" spans="9:10" x14ac:dyDescent="0.2">
      <c r="I2048" s="353"/>
      <c r="J2048" s="353"/>
    </row>
    <row r="2049" spans="9:10" x14ac:dyDescent="0.2">
      <c r="I2049" s="353"/>
      <c r="J2049" s="353"/>
    </row>
    <row r="2050" spans="9:10" x14ac:dyDescent="0.2">
      <c r="I2050" s="353"/>
      <c r="J2050" s="353"/>
    </row>
    <row r="2051" spans="9:10" x14ac:dyDescent="0.2">
      <c r="I2051" s="353"/>
      <c r="J2051" s="353"/>
    </row>
    <row r="2052" spans="9:10" x14ac:dyDescent="0.2">
      <c r="I2052" s="353"/>
      <c r="J2052" s="353"/>
    </row>
    <row r="2053" spans="9:10" x14ac:dyDescent="0.2">
      <c r="I2053" s="353"/>
      <c r="J2053" s="353"/>
    </row>
    <row r="2054" spans="9:10" x14ac:dyDescent="0.2">
      <c r="I2054" s="353"/>
      <c r="J2054" s="353"/>
    </row>
    <row r="2055" spans="9:10" x14ac:dyDescent="0.2">
      <c r="I2055" s="353"/>
      <c r="J2055" s="353"/>
    </row>
    <row r="2056" spans="9:10" x14ac:dyDescent="0.2">
      <c r="I2056" s="353"/>
      <c r="J2056" s="353"/>
    </row>
    <row r="2057" spans="9:10" x14ac:dyDescent="0.2">
      <c r="I2057" s="353"/>
      <c r="J2057" s="353"/>
    </row>
    <row r="2058" spans="9:10" x14ac:dyDescent="0.2">
      <c r="I2058" s="353"/>
      <c r="J2058" s="353"/>
    </row>
    <row r="2059" spans="9:10" x14ac:dyDescent="0.2">
      <c r="I2059" s="353"/>
      <c r="J2059" s="353"/>
    </row>
    <row r="2060" spans="9:10" x14ac:dyDescent="0.2">
      <c r="I2060" s="353"/>
      <c r="J2060" s="353"/>
    </row>
    <row r="2061" spans="9:10" x14ac:dyDescent="0.2">
      <c r="I2061" s="353"/>
      <c r="J2061" s="353"/>
    </row>
    <row r="2062" spans="9:10" x14ac:dyDescent="0.2">
      <c r="I2062" s="353"/>
      <c r="J2062" s="353"/>
    </row>
    <row r="2063" spans="9:10" x14ac:dyDescent="0.2">
      <c r="I2063" s="353"/>
      <c r="J2063" s="353"/>
    </row>
    <row r="2064" spans="9:10" x14ac:dyDescent="0.2">
      <c r="I2064" s="353"/>
      <c r="J2064" s="353"/>
    </row>
    <row r="2065" spans="9:10" x14ac:dyDescent="0.2">
      <c r="I2065" s="353"/>
      <c r="J2065" s="353"/>
    </row>
    <row r="2066" spans="9:10" x14ac:dyDescent="0.2">
      <c r="I2066" s="353"/>
      <c r="J2066" s="353"/>
    </row>
    <row r="2067" spans="9:10" x14ac:dyDescent="0.2">
      <c r="I2067" s="353"/>
      <c r="J2067" s="353"/>
    </row>
    <row r="2068" spans="9:10" x14ac:dyDescent="0.2">
      <c r="I2068" s="353"/>
      <c r="J2068" s="353"/>
    </row>
    <row r="2069" spans="9:10" x14ac:dyDescent="0.2">
      <c r="I2069" s="353"/>
      <c r="J2069" s="353"/>
    </row>
    <row r="2070" spans="9:10" x14ac:dyDescent="0.2">
      <c r="I2070" s="353"/>
      <c r="J2070" s="353"/>
    </row>
    <row r="2071" spans="9:10" x14ac:dyDescent="0.2">
      <c r="I2071" s="353"/>
      <c r="J2071" s="353"/>
    </row>
    <row r="2072" spans="9:10" x14ac:dyDescent="0.2">
      <c r="I2072" s="353"/>
      <c r="J2072" s="353"/>
    </row>
    <row r="2073" spans="9:10" x14ac:dyDescent="0.2">
      <c r="I2073" s="353"/>
      <c r="J2073" s="353"/>
    </row>
    <row r="2074" spans="9:10" x14ac:dyDescent="0.2">
      <c r="I2074" s="353"/>
      <c r="J2074" s="353"/>
    </row>
    <row r="2075" spans="9:10" x14ac:dyDescent="0.2">
      <c r="I2075" s="353"/>
      <c r="J2075" s="353"/>
    </row>
    <row r="2076" spans="9:10" x14ac:dyDescent="0.2">
      <c r="I2076" s="353"/>
      <c r="J2076" s="353"/>
    </row>
    <row r="2077" spans="9:10" x14ac:dyDescent="0.2">
      <c r="I2077" s="353"/>
      <c r="J2077" s="353"/>
    </row>
    <row r="2078" spans="9:10" x14ac:dyDescent="0.2">
      <c r="I2078" s="353"/>
      <c r="J2078" s="353"/>
    </row>
    <row r="2079" spans="9:10" x14ac:dyDescent="0.2">
      <c r="I2079" s="353"/>
      <c r="J2079" s="353"/>
    </row>
    <row r="2080" spans="9:10" x14ac:dyDescent="0.2">
      <c r="I2080" s="353"/>
      <c r="J2080" s="353"/>
    </row>
    <row r="2081" spans="9:10" x14ac:dyDescent="0.2">
      <c r="I2081" s="353"/>
      <c r="J2081" s="353"/>
    </row>
    <row r="2082" spans="9:10" x14ac:dyDescent="0.2">
      <c r="I2082" s="353"/>
      <c r="J2082" s="353"/>
    </row>
    <row r="2083" spans="9:10" x14ac:dyDescent="0.2">
      <c r="I2083" s="353"/>
      <c r="J2083" s="353"/>
    </row>
    <row r="2084" spans="9:10" x14ac:dyDescent="0.2">
      <c r="I2084" s="353"/>
      <c r="J2084" s="353"/>
    </row>
    <row r="2085" spans="9:10" x14ac:dyDescent="0.2">
      <c r="I2085" s="353"/>
      <c r="J2085" s="353"/>
    </row>
    <row r="2086" spans="9:10" x14ac:dyDescent="0.2">
      <c r="I2086" s="353"/>
      <c r="J2086" s="353"/>
    </row>
    <row r="2087" spans="9:10" x14ac:dyDescent="0.2">
      <c r="I2087" s="353"/>
      <c r="J2087" s="353"/>
    </row>
    <row r="2088" spans="9:10" x14ac:dyDescent="0.2">
      <c r="I2088" s="353"/>
      <c r="J2088" s="353"/>
    </row>
    <row r="2089" spans="9:10" x14ac:dyDescent="0.2">
      <c r="I2089" s="353"/>
      <c r="J2089" s="353"/>
    </row>
    <row r="2090" spans="9:10" x14ac:dyDescent="0.2">
      <c r="I2090" s="353"/>
      <c r="J2090" s="353"/>
    </row>
    <row r="2091" spans="9:10" x14ac:dyDescent="0.2">
      <c r="I2091" s="353"/>
      <c r="J2091" s="353"/>
    </row>
    <row r="2092" spans="9:10" x14ac:dyDescent="0.2">
      <c r="I2092" s="353"/>
      <c r="J2092" s="353"/>
    </row>
    <row r="2093" spans="9:10" x14ac:dyDescent="0.2">
      <c r="I2093" s="353"/>
      <c r="J2093" s="353"/>
    </row>
    <row r="2094" spans="9:10" x14ac:dyDescent="0.2">
      <c r="I2094" s="353"/>
      <c r="J2094" s="353"/>
    </row>
    <row r="2095" spans="9:10" x14ac:dyDescent="0.2">
      <c r="I2095" s="353"/>
      <c r="J2095" s="353"/>
    </row>
    <row r="2096" spans="9:10" x14ac:dyDescent="0.2">
      <c r="I2096" s="353"/>
      <c r="J2096" s="353"/>
    </row>
    <row r="2097" spans="9:10" x14ac:dyDescent="0.2">
      <c r="I2097" s="353"/>
      <c r="J2097" s="353"/>
    </row>
    <row r="2098" spans="9:10" x14ac:dyDescent="0.2">
      <c r="I2098" s="353"/>
      <c r="J2098" s="353"/>
    </row>
    <row r="2099" spans="9:10" x14ac:dyDescent="0.2">
      <c r="I2099" s="353"/>
      <c r="J2099" s="353"/>
    </row>
    <row r="2100" spans="9:10" x14ac:dyDescent="0.2">
      <c r="I2100" s="353"/>
      <c r="J2100" s="353"/>
    </row>
    <row r="2101" spans="9:10" x14ac:dyDescent="0.2">
      <c r="I2101" s="353"/>
      <c r="J2101" s="353"/>
    </row>
    <row r="2102" spans="9:10" x14ac:dyDescent="0.2">
      <c r="I2102" s="353"/>
      <c r="J2102" s="353"/>
    </row>
    <row r="2103" spans="9:10" x14ac:dyDescent="0.2">
      <c r="I2103" s="353"/>
      <c r="J2103" s="353"/>
    </row>
    <row r="2104" spans="9:10" x14ac:dyDescent="0.2">
      <c r="I2104" s="353"/>
      <c r="J2104" s="353"/>
    </row>
    <row r="2105" spans="9:10" x14ac:dyDescent="0.2">
      <c r="I2105" s="353"/>
      <c r="J2105" s="353"/>
    </row>
    <row r="2106" spans="9:10" x14ac:dyDescent="0.2">
      <c r="I2106" s="353"/>
      <c r="J2106" s="353"/>
    </row>
    <row r="2107" spans="9:10" x14ac:dyDescent="0.2">
      <c r="I2107" s="353"/>
      <c r="J2107" s="353"/>
    </row>
    <row r="2108" spans="9:10" x14ac:dyDescent="0.2">
      <c r="I2108" s="353"/>
      <c r="J2108" s="353"/>
    </row>
    <row r="2109" spans="9:10" x14ac:dyDescent="0.2">
      <c r="I2109" s="353"/>
      <c r="J2109" s="353"/>
    </row>
    <row r="2110" spans="9:10" x14ac:dyDescent="0.2">
      <c r="I2110" s="353"/>
      <c r="J2110" s="353"/>
    </row>
    <row r="2111" spans="9:10" x14ac:dyDescent="0.2">
      <c r="I2111" s="353"/>
      <c r="J2111" s="353"/>
    </row>
    <row r="2112" spans="9:10" x14ac:dyDescent="0.2">
      <c r="I2112" s="353"/>
      <c r="J2112" s="353"/>
    </row>
    <row r="2113" spans="9:10" x14ac:dyDescent="0.2">
      <c r="I2113" s="353"/>
      <c r="J2113" s="353"/>
    </row>
    <row r="2114" spans="9:10" x14ac:dyDescent="0.2">
      <c r="I2114" s="353"/>
      <c r="J2114" s="353"/>
    </row>
    <row r="2115" spans="9:10" x14ac:dyDescent="0.2">
      <c r="I2115" s="353"/>
      <c r="J2115" s="353"/>
    </row>
    <row r="2116" spans="9:10" x14ac:dyDescent="0.2">
      <c r="I2116" s="353"/>
      <c r="J2116" s="353"/>
    </row>
    <row r="2117" spans="9:10" x14ac:dyDescent="0.2">
      <c r="I2117" s="353"/>
      <c r="J2117" s="353"/>
    </row>
    <row r="2118" spans="9:10" x14ac:dyDescent="0.2">
      <c r="I2118" s="353"/>
      <c r="J2118" s="353"/>
    </row>
    <row r="2119" spans="9:10" x14ac:dyDescent="0.2">
      <c r="I2119" s="353"/>
      <c r="J2119" s="353"/>
    </row>
    <row r="2120" spans="9:10" x14ac:dyDescent="0.2">
      <c r="I2120" s="353"/>
      <c r="J2120" s="353"/>
    </row>
    <row r="2121" spans="9:10" x14ac:dyDescent="0.2">
      <c r="I2121" s="353"/>
      <c r="J2121" s="353"/>
    </row>
    <row r="2122" spans="9:10" x14ac:dyDescent="0.2">
      <c r="I2122" s="353"/>
      <c r="J2122" s="353"/>
    </row>
    <row r="2123" spans="9:10" x14ac:dyDescent="0.2">
      <c r="I2123" s="353"/>
      <c r="J2123" s="353"/>
    </row>
    <row r="2124" spans="9:10" x14ac:dyDescent="0.2">
      <c r="I2124" s="353"/>
      <c r="J2124" s="353"/>
    </row>
    <row r="2125" spans="9:10" x14ac:dyDescent="0.2">
      <c r="I2125" s="353"/>
      <c r="J2125" s="353"/>
    </row>
    <row r="2126" spans="9:10" x14ac:dyDescent="0.2">
      <c r="I2126" s="353"/>
      <c r="J2126" s="353"/>
    </row>
    <row r="2127" spans="9:10" x14ac:dyDescent="0.2">
      <c r="I2127" s="353"/>
      <c r="J2127" s="353"/>
    </row>
    <row r="2128" spans="9:10" x14ac:dyDescent="0.2">
      <c r="I2128" s="353"/>
      <c r="J2128" s="353"/>
    </row>
    <row r="2129" spans="9:10" x14ac:dyDescent="0.2">
      <c r="I2129" s="353"/>
      <c r="J2129" s="353"/>
    </row>
    <row r="2130" spans="9:10" x14ac:dyDescent="0.2">
      <c r="I2130" s="353"/>
      <c r="J2130" s="353"/>
    </row>
    <row r="2131" spans="9:10" x14ac:dyDescent="0.2">
      <c r="I2131" s="353"/>
      <c r="J2131" s="353"/>
    </row>
    <row r="2132" spans="9:10" x14ac:dyDescent="0.2">
      <c r="I2132" s="353"/>
      <c r="J2132" s="353"/>
    </row>
    <row r="2133" spans="9:10" x14ac:dyDescent="0.2">
      <c r="I2133" s="353"/>
      <c r="J2133" s="353"/>
    </row>
    <row r="2134" spans="9:10" x14ac:dyDescent="0.2">
      <c r="I2134" s="353"/>
      <c r="J2134" s="353"/>
    </row>
    <row r="2135" spans="9:10" x14ac:dyDescent="0.2">
      <c r="I2135" s="353"/>
      <c r="J2135" s="353"/>
    </row>
    <row r="2136" spans="9:10" x14ac:dyDescent="0.2">
      <c r="I2136" s="353"/>
      <c r="J2136" s="353"/>
    </row>
    <row r="2137" spans="9:10" x14ac:dyDescent="0.2">
      <c r="I2137" s="353"/>
      <c r="J2137" s="353"/>
    </row>
    <row r="2138" spans="9:10" x14ac:dyDescent="0.2">
      <c r="I2138" s="353"/>
      <c r="J2138" s="353"/>
    </row>
    <row r="2139" spans="9:10" x14ac:dyDescent="0.2">
      <c r="I2139" s="353"/>
      <c r="J2139" s="353"/>
    </row>
    <row r="2140" spans="9:10" x14ac:dyDescent="0.2">
      <c r="I2140" s="353"/>
      <c r="J2140" s="353"/>
    </row>
    <row r="2141" spans="9:10" x14ac:dyDescent="0.2">
      <c r="I2141" s="353"/>
      <c r="J2141" s="353"/>
    </row>
    <row r="2142" spans="9:10" x14ac:dyDescent="0.2">
      <c r="I2142" s="353"/>
      <c r="J2142" s="353"/>
    </row>
    <row r="2143" spans="9:10" x14ac:dyDescent="0.2">
      <c r="I2143" s="353"/>
      <c r="J2143" s="353"/>
    </row>
    <row r="2144" spans="9:10" x14ac:dyDescent="0.2">
      <c r="I2144" s="353"/>
      <c r="J2144" s="353"/>
    </row>
    <row r="2145" spans="9:10" x14ac:dyDescent="0.2">
      <c r="I2145" s="353"/>
      <c r="J2145" s="353"/>
    </row>
    <row r="2146" spans="9:10" x14ac:dyDescent="0.2">
      <c r="I2146" s="353"/>
      <c r="J2146" s="353"/>
    </row>
    <row r="2147" spans="9:10" x14ac:dyDescent="0.2">
      <c r="I2147" s="353"/>
      <c r="J2147" s="353"/>
    </row>
    <row r="2148" spans="9:10" x14ac:dyDescent="0.2">
      <c r="I2148" s="353"/>
      <c r="J2148" s="353"/>
    </row>
    <row r="2149" spans="9:10" x14ac:dyDescent="0.2">
      <c r="I2149" s="353"/>
      <c r="J2149" s="353"/>
    </row>
    <row r="2150" spans="9:10" x14ac:dyDescent="0.2">
      <c r="I2150" s="353"/>
      <c r="J2150" s="353"/>
    </row>
    <row r="2151" spans="9:10" x14ac:dyDescent="0.2">
      <c r="I2151" s="353"/>
      <c r="J2151" s="353"/>
    </row>
    <row r="2152" spans="9:10" x14ac:dyDescent="0.2">
      <c r="I2152" s="353"/>
      <c r="J2152" s="353"/>
    </row>
    <row r="2153" spans="9:10" x14ac:dyDescent="0.2">
      <c r="I2153" s="353"/>
      <c r="J2153" s="353"/>
    </row>
    <row r="2154" spans="9:10" x14ac:dyDescent="0.2">
      <c r="I2154" s="353"/>
      <c r="J2154" s="353"/>
    </row>
    <row r="2155" spans="9:10" x14ac:dyDescent="0.2">
      <c r="I2155" s="353"/>
      <c r="J2155" s="353"/>
    </row>
    <row r="2156" spans="9:10" x14ac:dyDescent="0.2">
      <c r="I2156" s="353"/>
      <c r="J2156" s="353"/>
    </row>
    <row r="2157" spans="9:10" x14ac:dyDescent="0.2">
      <c r="I2157" s="353"/>
      <c r="J2157" s="353"/>
    </row>
    <row r="2158" spans="9:10" x14ac:dyDescent="0.2">
      <c r="I2158" s="353"/>
      <c r="J2158" s="353"/>
    </row>
    <row r="2159" spans="9:10" x14ac:dyDescent="0.2">
      <c r="I2159" s="353"/>
      <c r="J2159" s="353"/>
    </row>
    <row r="2160" spans="9:10" x14ac:dyDescent="0.2">
      <c r="I2160" s="353"/>
      <c r="J2160" s="353"/>
    </row>
    <row r="2161" spans="9:10" x14ac:dyDescent="0.2">
      <c r="I2161" s="353"/>
      <c r="J2161" s="353"/>
    </row>
    <row r="2162" spans="9:10" x14ac:dyDescent="0.2">
      <c r="I2162" s="353"/>
      <c r="J2162" s="353"/>
    </row>
    <row r="2163" spans="9:10" x14ac:dyDescent="0.2">
      <c r="I2163" s="353"/>
      <c r="J2163" s="353"/>
    </row>
    <row r="2164" spans="9:10" x14ac:dyDescent="0.2">
      <c r="I2164" s="353"/>
      <c r="J2164" s="353"/>
    </row>
    <row r="2165" spans="9:10" x14ac:dyDescent="0.2">
      <c r="I2165" s="353"/>
      <c r="J2165" s="353"/>
    </row>
    <row r="2166" spans="9:10" x14ac:dyDescent="0.2">
      <c r="I2166" s="353"/>
      <c r="J2166" s="353"/>
    </row>
    <row r="2167" spans="9:10" x14ac:dyDescent="0.2">
      <c r="I2167" s="353"/>
      <c r="J2167" s="353"/>
    </row>
    <row r="2168" spans="9:10" x14ac:dyDescent="0.2">
      <c r="I2168" s="353"/>
      <c r="J2168" s="353"/>
    </row>
    <row r="2169" spans="9:10" x14ac:dyDescent="0.2">
      <c r="I2169" s="353"/>
      <c r="J2169" s="353"/>
    </row>
    <row r="2170" spans="9:10" x14ac:dyDescent="0.2">
      <c r="I2170" s="353"/>
      <c r="J2170" s="353"/>
    </row>
    <row r="2171" spans="9:10" x14ac:dyDescent="0.2">
      <c r="I2171" s="353"/>
      <c r="J2171" s="353"/>
    </row>
    <row r="2172" spans="9:10" x14ac:dyDescent="0.2">
      <c r="I2172" s="353"/>
      <c r="J2172" s="353"/>
    </row>
    <row r="2173" spans="9:10" x14ac:dyDescent="0.2">
      <c r="I2173" s="353"/>
      <c r="J2173" s="353"/>
    </row>
    <row r="2174" spans="9:10" x14ac:dyDescent="0.2">
      <c r="I2174" s="353"/>
      <c r="J2174" s="353"/>
    </row>
    <row r="2175" spans="9:10" x14ac:dyDescent="0.2">
      <c r="I2175" s="353"/>
      <c r="J2175" s="353"/>
    </row>
    <row r="2176" spans="9:10" x14ac:dyDescent="0.2">
      <c r="I2176" s="353"/>
      <c r="J2176" s="353"/>
    </row>
    <row r="2177" spans="9:10" x14ac:dyDescent="0.2">
      <c r="I2177" s="353"/>
      <c r="J2177" s="353"/>
    </row>
    <row r="2178" spans="9:10" x14ac:dyDescent="0.2">
      <c r="I2178" s="353"/>
      <c r="J2178" s="353"/>
    </row>
    <row r="2179" spans="9:10" x14ac:dyDescent="0.2">
      <c r="I2179" s="353"/>
      <c r="J2179" s="353"/>
    </row>
    <row r="2180" spans="9:10" x14ac:dyDescent="0.2">
      <c r="I2180" s="353"/>
      <c r="J2180" s="353"/>
    </row>
    <row r="2181" spans="9:10" x14ac:dyDescent="0.2">
      <c r="I2181" s="353"/>
      <c r="J2181" s="353"/>
    </row>
    <row r="2182" spans="9:10" x14ac:dyDescent="0.2">
      <c r="I2182" s="353"/>
      <c r="J2182" s="353"/>
    </row>
    <row r="2183" spans="9:10" x14ac:dyDescent="0.2">
      <c r="I2183" s="353"/>
      <c r="J2183" s="353"/>
    </row>
    <row r="2184" spans="9:10" x14ac:dyDescent="0.2">
      <c r="I2184" s="353"/>
      <c r="J2184" s="353"/>
    </row>
    <row r="2185" spans="9:10" x14ac:dyDescent="0.2">
      <c r="I2185" s="353"/>
      <c r="J2185" s="353"/>
    </row>
    <row r="2186" spans="9:10" x14ac:dyDescent="0.2">
      <c r="I2186" s="353"/>
      <c r="J2186" s="353"/>
    </row>
    <row r="2187" spans="9:10" x14ac:dyDescent="0.2">
      <c r="I2187" s="353"/>
      <c r="J2187" s="353"/>
    </row>
    <row r="2188" spans="9:10" x14ac:dyDescent="0.2">
      <c r="I2188" s="353"/>
      <c r="J2188" s="353"/>
    </row>
    <row r="2189" spans="9:10" x14ac:dyDescent="0.2">
      <c r="I2189" s="353"/>
      <c r="J2189" s="353"/>
    </row>
    <row r="2190" spans="9:10" x14ac:dyDescent="0.2">
      <c r="I2190" s="353"/>
      <c r="J2190" s="353"/>
    </row>
    <row r="2191" spans="9:10" x14ac:dyDescent="0.2">
      <c r="I2191" s="353"/>
      <c r="J2191" s="353"/>
    </row>
    <row r="2192" spans="9:10" x14ac:dyDescent="0.2">
      <c r="I2192" s="353"/>
      <c r="J2192" s="353"/>
    </row>
    <row r="2193" spans="9:10" x14ac:dyDescent="0.2">
      <c r="I2193" s="353"/>
      <c r="J2193" s="353"/>
    </row>
    <row r="2194" spans="9:10" x14ac:dyDescent="0.2">
      <c r="I2194" s="353"/>
      <c r="J2194" s="353"/>
    </row>
    <row r="2195" spans="9:10" x14ac:dyDescent="0.2">
      <c r="I2195" s="353"/>
      <c r="J2195" s="353"/>
    </row>
    <row r="2196" spans="9:10" x14ac:dyDescent="0.2">
      <c r="I2196" s="353"/>
      <c r="J2196" s="353"/>
    </row>
    <row r="2197" spans="9:10" x14ac:dyDescent="0.2">
      <c r="I2197" s="353"/>
      <c r="J2197" s="353"/>
    </row>
    <row r="2198" spans="9:10" x14ac:dyDescent="0.2">
      <c r="I2198" s="353"/>
      <c r="J2198" s="353"/>
    </row>
    <row r="2199" spans="9:10" x14ac:dyDescent="0.2">
      <c r="I2199" s="353"/>
      <c r="J2199" s="353"/>
    </row>
    <row r="2200" spans="9:10" x14ac:dyDescent="0.2">
      <c r="I2200" s="353"/>
      <c r="J2200" s="353"/>
    </row>
    <row r="2201" spans="9:10" x14ac:dyDescent="0.2">
      <c r="I2201" s="353"/>
      <c r="J2201" s="353"/>
    </row>
    <row r="2202" spans="9:10" x14ac:dyDescent="0.2">
      <c r="I2202" s="353"/>
      <c r="J2202" s="353"/>
    </row>
    <row r="2203" spans="9:10" x14ac:dyDescent="0.2">
      <c r="I2203" s="353"/>
      <c r="J2203" s="353"/>
    </row>
    <row r="2204" spans="9:10" x14ac:dyDescent="0.2">
      <c r="I2204" s="353"/>
      <c r="J2204" s="353"/>
    </row>
    <row r="2205" spans="9:10" x14ac:dyDescent="0.2">
      <c r="I2205" s="353"/>
      <c r="J2205" s="353"/>
    </row>
    <row r="2206" spans="9:10" x14ac:dyDescent="0.2">
      <c r="I2206" s="353"/>
      <c r="J2206" s="353"/>
    </row>
    <row r="2207" spans="9:10" x14ac:dyDescent="0.2">
      <c r="I2207" s="353"/>
      <c r="J2207" s="353"/>
    </row>
    <row r="2208" spans="9:10" x14ac:dyDescent="0.2">
      <c r="I2208" s="353"/>
      <c r="J2208" s="353"/>
    </row>
    <row r="2209" spans="9:10" x14ac:dyDescent="0.2">
      <c r="I2209" s="353"/>
      <c r="J2209" s="353"/>
    </row>
    <row r="2210" spans="9:10" x14ac:dyDescent="0.2">
      <c r="I2210" s="353"/>
      <c r="J2210" s="353"/>
    </row>
    <row r="2211" spans="9:10" x14ac:dyDescent="0.2">
      <c r="I2211" s="353"/>
      <c r="J2211" s="353"/>
    </row>
    <row r="2212" spans="9:10" x14ac:dyDescent="0.2">
      <c r="I2212" s="353"/>
      <c r="J2212" s="353"/>
    </row>
    <row r="2213" spans="9:10" x14ac:dyDescent="0.2">
      <c r="I2213" s="353"/>
      <c r="J2213" s="353"/>
    </row>
    <row r="2214" spans="9:10" x14ac:dyDescent="0.2">
      <c r="I2214" s="353"/>
      <c r="J2214" s="353"/>
    </row>
    <row r="2215" spans="9:10" x14ac:dyDescent="0.2">
      <c r="I2215" s="353"/>
      <c r="J2215" s="353"/>
    </row>
    <row r="2216" spans="9:10" x14ac:dyDescent="0.2">
      <c r="I2216" s="353"/>
      <c r="J2216" s="353"/>
    </row>
    <row r="2217" spans="9:10" x14ac:dyDescent="0.2">
      <c r="I2217" s="353"/>
      <c r="J2217" s="353"/>
    </row>
    <row r="2218" spans="9:10" x14ac:dyDescent="0.2">
      <c r="I2218" s="353"/>
      <c r="J2218" s="353"/>
    </row>
    <row r="2219" spans="9:10" x14ac:dyDescent="0.2">
      <c r="I2219" s="353"/>
      <c r="J2219" s="353"/>
    </row>
    <row r="2220" spans="9:10" x14ac:dyDescent="0.2">
      <c r="I2220" s="353"/>
      <c r="J2220" s="353"/>
    </row>
    <row r="2221" spans="9:10" x14ac:dyDescent="0.2">
      <c r="I2221" s="353"/>
      <c r="J2221" s="353"/>
    </row>
    <row r="2222" spans="9:10" x14ac:dyDescent="0.2">
      <c r="I2222" s="353"/>
      <c r="J2222" s="353"/>
    </row>
    <row r="2223" spans="9:10" x14ac:dyDescent="0.2">
      <c r="I2223" s="353"/>
      <c r="J2223" s="353"/>
    </row>
    <row r="2224" spans="9:10" x14ac:dyDescent="0.2">
      <c r="I2224" s="353"/>
      <c r="J2224" s="353"/>
    </row>
    <row r="2225" spans="9:10" x14ac:dyDescent="0.2">
      <c r="I2225" s="353"/>
      <c r="J2225" s="353"/>
    </row>
    <row r="2226" spans="9:10" x14ac:dyDescent="0.2">
      <c r="I2226" s="353"/>
      <c r="J2226" s="353"/>
    </row>
    <row r="2227" spans="9:10" x14ac:dyDescent="0.2">
      <c r="I2227" s="353"/>
      <c r="J2227" s="353"/>
    </row>
    <row r="2228" spans="9:10" x14ac:dyDescent="0.2">
      <c r="I2228" s="353"/>
      <c r="J2228" s="353"/>
    </row>
    <row r="2229" spans="9:10" x14ac:dyDescent="0.2">
      <c r="I2229" s="353"/>
      <c r="J2229" s="353"/>
    </row>
    <row r="2230" spans="9:10" x14ac:dyDescent="0.2">
      <c r="I2230" s="353"/>
      <c r="J2230" s="353"/>
    </row>
    <row r="2231" spans="9:10" x14ac:dyDescent="0.2">
      <c r="I2231" s="353"/>
      <c r="J2231" s="353"/>
    </row>
    <row r="2232" spans="9:10" x14ac:dyDescent="0.2">
      <c r="I2232" s="353"/>
      <c r="J2232" s="353"/>
    </row>
    <row r="2233" spans="9:10" x14ac:dyDescent="0.2">
      <c r="I2233" s="353"/>
      <c r="J2233" s="353"/>
    </row>
    <row r="2234" spans="9:10" x14ac:dyDescent="0.2">
      <c r="I2234" s="353"/>
      <c r="J2234" s="353"/>
    </row>
    <row r="2235" spans="9:10" x14ac:dyDescent="0.2">
      <c r="I2235" s="353"/>
      <c r="J2235" s="353"/>
    </row>
    <row r="2236" spans="9:10" x14ac:dyDescent="0.2">
      <c r="I2236" s="353"/>
      <c r="J2236" s="353"/>
    </row>
    <row r="2237" spans="9:10" x14ac:dyDescent="0.2">
      <c r="I2237" s="353"/>
      <c r="J2237" s="353"/>
    </row>
    <row r="2238" spans="9:10" x14ac:dyDescent="0.2">
      <c r="I2238" s="353"/>
      <c r="J2238" s="353"/>
    </row>
    <row r="2239" spans="9:10" x14ac:dyDescent="0.2">
      <c r="I2239" s="353"/>
      <c r="J2239" s="353"/>
    </row>
    <row r="2240" spans="9:10" x14ac:dyDescent="0.2">
      <c r="I2240" s="353"/>
      <c r="J2240" s="353"/>
    </row>
    <row r="2241" spans="9:10" x14ac:dyDescent="0.2">
      <c r="I2241" s="353"/>
      <c r="J2241" s="353"/>
    </row>
    <row r="2242" spans="9:10" x14ac:dyDescent="0.2">
      <c r="I2242" s="353"/>
      <c r="J2242" s="353"/>
    </row>
    <row r="2243" spans="9:10" x14ac:dyDescent="0.2">
      <c r="I2243" s="353"/>
      <c r="J2243" s="353"/>
    </row>
    <row r="2244" spans="9:10" x14ac:dyDescent="0.2">
      <c r="I2244" s="353"/>
      <c r="J2244" s="353"/>
    </row>
    <row r="2245" spans="9:10" x14ac:dyDescent="0.2">
      <c r="I2245" s="353"/>
      <c r="J2245" s="353"/>
    </row>
    <row r="2246" spans="9:10" x14ac:dyDescent="0.2">
      <c r="I2246" s="353"/>
      <c r="J2246" s="353"/>
    </row>
    <row r="2247" spans="9:10" x14ac:dyDescent="0.2">
      <c r="I2247" s="353"/>
      <c r="J2247" s="353"/>
    </row>
    <row r="2248" spans="9:10" x14ac:dyDescent="0.2">
      <c r="I2248" s="353"/>
      <c r="J2248" s="353"/>
    </row>
    <row r="2249" spans="9:10" x14ac:dyDescent="0.2">
      <c r="I2249" s="353"/>
      <c r="J2249" s="353"/>
    </row>
    <row r="2250" spans="9:10" x14ac:dyDescent="0.2">
      <c r="I2250" s="353"/>
      <c r="J2250" s="353"/>
    </row>
    <row r="2251" spans="9:10" x14ac:dyDescent="0.2">
      <c r="I2251" s="353"/>
      <c r="J2251" s="353"/>
    </row>
    <row r="2252" spans="9:10" x14ac:dyDescent="0.2">
      <c r="I2252" s="353"/>
      <c r="J2252" s="353"/>
    </row>
    <row r="2253" spans="9:10" x14ac:dyDescent="0.2">
      <c r="I2253" s="353"/>
      <c r="J2253" s="353"/>
    </row>
    <row r="2254" spans="9:10" x14ac:dyDescent="0.2">
      <c r="I2254" s="353"/>
      <c r="J2254" s="353"/>
    </row>
    <row r="2255" spans="9:10" x14ac:dyDescent="0.2">
      <c r="I2255" s="353"/>
      <c r="J2255" s="353"/>
    </row>
    <row r="2256" spans="9:10" x14ac:dyDescent="0.2">
      <c r="I2256" s="353"/>
      <c r="J2256" s="353"/>
    </row>
    <row r="2257" spans="9:10" x14ac:dyDescent="0.2">
      <c r="I2257" s="353"/>
      <c r="J2257" s="353"/>
    </row>
    <row r="2258" spans="9:10" x14ac:dyDescent="0.2">
      <c r="I2258" s="353"/>
      <c r="J2258" s="353"/>
    </row>
    <row r="2259" spans="9:10" x14ac:dyDescent="0.2">
      <c r="I2259" s="353"/>
      <c r="J2259" s="353"/>
    </row>
    <row r="2260" spans="9:10" x14ac:dyDescent="0.2">
      <c r="I2260" s="353"/>
      <c r="J2260" s="353"/>
    </row>
    <row r="2261" spans="9:10" x14ac:dyDescent="0.2">
      <c r="I2261" s="353"/>
      <c r="J2261" s="353"/>
    </row>
    <row r="2262" spans="9:10" x14ac:dyDescent="0.2">
      <c r="I2262" s="353"/>
      <c r="J2262" s="353"/>
    </row>
    <row r="2263" spans="9:10" x14ac:dyDescent="0.2">
      <c r="I2263" s="353"/>
      <c r="J2263" s="353"/>
    </row>
    <row r="2264" spans="9:10" x14ac:dyDescent="0.2">
      <c r="I2264" s="353"/>
      <c r="J2264" s="353"/>
    </row>
    <row r="2265" spans="9:10" x14ac:dyDescent="0.2">
      <c r="I2265" s="353"/>
      <c r="J2265" s="353"/>
    </row>
    <row r="2266" spans="9:10" x14ac:dyDescent="0.2">
      <c r="I2266" s="353"/>
      <c r="J2266" s="353"/>
    </row>
    <row r="2267" spans="9:10" x14ac:dyDescent="0.2">
      <c r="I2267" s="353"/>
      <c r="J2267" s="353"/>
    </row>
    <row r="2268" spans="9:10" x14ac:dyDescent="0.2">
      <c r="I2268" s="353"/>
      <c r="J2268" s="353"/>
    </row>
    <row r="2269" spans="9:10" x14ac:dyDescent="0.2">
      <c r="I2269" s="353"/>
      <c r="J2269" s="353"/>
    </row>
    <row r="2270" spans="9:10" x14ac:dyDescent="0.2">
      <c r="I2270" s="353"/>
      <c r="J2270" s="353"/>
    </row>
    <row r="2271" spans="9:10" x14ac:dyDescent="0.2">
      <c r="I2271" s="353"/>
      <c r="J2271" s="353"/>
    </row>
    <row r="2272" spans="9:10" x14ac:dyDescent="0.2">
      <c r="I2272" s="353"/>
      <c r="J2272" s="353"/>
    </row>
    <row r="2273" spans="9:10" x14ac:dyDescent="0.2">
      <c r="I2273" s="353"/>
      <c r="J2273" s="353"/>
    </row>
    <row r="2274" spans="9:10" x14ac:dyDescent="0.2">
      <c r="I2274" s="353"/>
      <c r="J2274" s="353"/>
    </row>
    <row r="2275" spans="9:10" x14ac:dyDescent="0.2">
      <c r="I2275" s="353"/>
      <c r="J2275" s="353"/>
    </row>
    <row r="2276" spans="9:10" x14ac:dyDescent="0.2">
      <c r="I2276" s="353"/>
      <c r="J2276" s="353"/>
    </row>
    <row r="2277" spans="9:10" x14ac:dyDescent="0.2">
      <c r="I2277" s="353"/>
      <c r="J2277" s="353"/>
    </row>
    <row r="2278" spans="9:10" x14ac:dyDescent="0.2">
      <c r="I2278" s="353"/>
      <c r="J2278" s="353"/>
    </row>
    <row r="2279" spans="9:10" x14ac:dyDescent="0.2">
      <c r="I2279" s="353"/>
      <c r="J2279" s="353"/>
    </row>
    <row r="2280" spans="9:10" x14ac:dyDescent="0.2">
      <c r="I2280" s="353"/>
      <c r="J2280" s="353"/>
    </row>
    <row r="2281" spans="9:10" x14ac:dyDescent="0.2">
      <c r="I2281" s="353"/>
      <c r="J2281" s="353"/>
    </row>
    <row r="2282" spans="9:10" x14ac:dyDescent="0.2">
      <c r="I2282" s="353"/>
      <c r="J2282" s="353"/>
    </row>
    <row r="2283" spans="9:10" x14ac:dyDescent="0.2">
      <c r="I2283" s="353"/>
      <c r="J2283" s="353"/>
    </row>
    <row r="2284" spans="9:10" x14ac:dyDescent="0.2">
      <c r="I2284" s="353"/>
      <c r="J2284" s="353"/>
    </row>
    <row r="2285" spans="9:10" x14ac:dyDescent="0.2">
      <c r="I2285" s="353"/>
      <c r="J2285" s="353"/>
    </row>
    <row r="2286" spans="9:10" x14ac:dyDescent="0.2">
      <c r="I2286" s="353"/>
      <c r="J2286" s="353"/>
    </row>
    <row r="2287" spans="9:10" x14ac:dyDescent="0.2">
      <c r="I2287" s="353"/>
      <c r="J2287" s="353"/>
    </row>
    <row r="2288" spans="9:10" x14ac:dyDescent="0.2">
      <c r="I2288" s="353"/>
      <c r="J2288" s="353"/>
    </row>
    <row r="2289" spans="9:10" x14ac:dyDescent="0.2">
      <c r="I2289" s="353"/>
      <c r="J2289" s="353"/>
    </row>
    <row r="2290" spans="9:10" x14ac:dyDescent="0.2">
      <c r="I2290" s="353"/>
      <c r="J2290" s="353"/>
    </row>
    <row r="2291" spans="9:10" x14ac:dyDescent="0.2">
      <c r="I2291" s="353"/>
      <c r="J2291" s="353"/>
    </row>
    <row r="2292" spans="9:10" x14ac:dyDescent="0.2">
      <c r="I2292" s="353"/>
      <c r="J2292" s="353"/>
    </row>
    <row r="2293" spans="9:10" x14ac:dyDescent="0.2">
      <c r="I2293" s="353"/>
      <c r="J2293" s="353"/>
    </row>
    <row r="2294" spans="9:10" x14ac:dyDescent="0.2">
      <c r="I2294" s="353"/>
      <c r="J2294" s="353"/>
    </row>
    <row r="2295" spans="9:10" x14ac:dyDescent="0.2">
      <c r="I2295" s="353"/>
      <c r="J2295" s="353"/>
    </row>
    <row r="2296" spans="9:10" x14ac:dyDescent="0.2">
      <c r="I2296" s="353"/>
      <c r="J2296" s="353"/>
    </row>
    <row r="2297" spans="9:10" x14ac:dyDescent="0.2">
      <c r="I2297" s="353"/>
      <c r="J2297" s="353"/>
    </row>
    <row r="2298" spans="9:10" x14ac:dyDescent="0.2">
      <c r="I2298" s="353"/>
      <c r="J2298" s="353"/>
    </row>
    <row r="2299" spans="9:10" x14ac:dyDescent="0.2">
      <c r="I2299" s="353"/>
      <c r="J2299" s="353"/>
    </row>
    <row r="2300" spans="9:10" x14ac:dyDescent="0.2">
      <c r="I2300" s="353"/>
      <c r="J2300" s="353"/>
    </row>
    <row r="2301" spans="9:10" x14ac:dyDescent="0.2">
      <c r="I2301" s="353"/>
      <c r="J2301" s="353"/>
    </row>
    <row r="2302" spans="9:10" x14ac:dyDescent="0.2">
      <c r="I2302" s="353"/>
      <c r="J2302" s="353"/>
    </row>
    <row r="2303" spans="9:10" x14ac:dyDescent="0.2">
      <c r="I2303" s="353"/>
      <c r="J2303" s="353"/>
    </row>
    <row r="2304" spans="9:10" x14ac:dyDescent="0.2">
      <c r="I2304" s="353"/>
      <c r="J2304" s="353"/>
    </row>
    <row r="2305" spans="9:10" x14ac:dyDescent="0.2">
      <c r="I2305" s="353"/>
      <c r="J2305" s="353"/>
    </row>
    <row r="2306" spans="9:10" x14ac:dyDescent="0.2">
      <c r="I2306" s="353"/>
      <c r="J2306" s="353"/>
    </row>
    <row r="2307" spans="9:10" x14ac:dyDescent="0.2">
      <c r="I2307" s="353"/>
      <c r="J2307" s="353"/>
    </row>
    <row r="2308" spans="9:10" x14ac:dyDescent="0.2">
      <c r="I2308" s="353"/>
      <c r="J2308" s="353"/>
    </row>
    <row r="2309" spans="9:10" x14ac:dyDescent="0.2">
      <c r="I2309" s="353"/>
      <c r="J2309" s="353"/>
    </row>
    <row r="2310" spans="9:10" x14ac:dyDescent="0.2">
      <c r="I2310" s="353"/>
      <c r="J2310" s="353"/>
    </row>
    <row r="2311" spans="9:10" x14ac:dyDescent="0.2">
      <c r="I2311" s="353"/>
      <c r="J2311" s="353"/>
    </row>
    <row r="2312" spans="9:10" x14ac:dyDescent="0.2">
      <c r="I2312" s="353"/>
      <c r="J2312" s="353"/>
    </row>
    <row r="2313" spans="9:10" x14ac:dyDescent="0.2">
      <c r="I2313" s="353"/>
      <c r="J2313" s="353"/>
    </row>
    <row r="2314" spans="9:10" x14ac:dyDescent="0.2">
      <c r="I2314" s="353"/>
      <c r="J2314" s="353"/>
    </row>
    <row r="2315" spans="9:10" x14ac:dyDescent="0.2">
      <c r="I2315" s="353"/>
      <c r="J2315" s="353"/>
    </row>
    <row r="2316" spans="9:10" x14ac:dyDescent="0.2">
      <c r="I2316" s="353"/>
      <c r="J2316" s="353"/>
    </row>
    <row r="2317" spans="9:10" x14ac:dyDescent="0.2">
      <c r="I2317" s="353"/>
      <c r="J2317" s="353"/>
    </row>
    <row r="2318" spans="9:10" x14ac:dyDescent="0.2">
      <c r="I2318" s="353"/>
      <c r="J2318" s="353"/>
    </row>
    <row r="2319" spans="9:10" x14ac:dyDescent="0.2">
      <c r="I2319" s="353"/>
      <c r="J2319" s="353"/>
    </row>
    <row r="2320" spans="9:10" x14ac:dyDescent="0.2">
      <c r="I2320" s="353"/>
      <c r="J2320" s="353"/>
    </row>
    <row r="2321" spans="9:10" x14ac:dyDescent="0.2">
      <c r="I2321" s="353"/>
      <c r="J2321" s="353"/>
    </row>
    <row r="2322" spans="9:10" x14ac:dyDescent="0.2">
      <c r="I2322" s="353"/>
      <c r="J2322" s="353"/>
    </row>
    <row r="2323" spans="9:10" x14ac:dyDescent="0.2">
      <c r="I2323" s="353"/>
      <c r="J2323" s="353"/>
    </row>
    <row r="2324" spans="9:10" x14ac:dyDescent="0.2">
      <c r="I2324" s="353"/>
      <c r="J2324" s="353"/>
    </row>
    <row r="2325" spans="9:10" x14ac:dyDescent="0.2">
      <c r="I2325" s="353"/>
      <c r="J2325" s="353"/>
    </row>
    <row r="2326" spans="9:10" x14ac:dyDescent="0.2">
      <c r="I2326" s="353"/>
      <c r="J2326" s="353"/>
    </row>
    <row r="2327" spans="9:10" x14ac:dyDescent="0.2">
      <c r="I2327" s="353"/>
      <c r="J2327" s="353"/>
    </row>
    <row r="2328" spans="9:10" x14ac:dyDescent="0.2">
      <c r="I2328" s="353"/>
      <c r="J2328" s="353"/>
    </row>
    <row r="2329" spans="9:10" x14ac:dyDescent="0.2">
      <c r="I2329" s="353"/>
      <c r="J2329" s="353"/>
    </row>
    <row r="2330" spans="9:10" x14ac:dyDescent="0.2">
      <c r="I2330" s="353"/>
      <c r="J2330" s="353"/>
    </row>
    <row r="2331" spans="9:10" x14ac:dyDescent="0.2">
      <c r="I2331" s="353"/>
      <c r="J2331" s="353"/>
    </row>
    <row r="2332" spans="9:10" x14ac:dyDescent="0.2">
      <c r="I2332" s="353"/>
      <c r="J2332" s="353"/>
    </row>
    <row r="2333" spans="9:10" x14ac:dyDescent="0.2">
      <c r="I2333" s="353"/>
      <c r="J2333" s="353"/>
    </row>
    <row r="2334" spans="9:10" x14ac:dyDescent="0.2">
      <c r="I2334" s="353"/>
      <c r="J2334" s="353"/>
    </row>
    <row r="2335" spans="9:10" x14ac:dyDescent="0.2">
      <c r="I2335" s="353"/>
      <c r="J2335" s="353"/>
    </row>
    <row r="2336" spans="9:10" x14ac:dyDescent="0.2">
      <c r="I2336" s="353"/>
      <c r="J2336" s="353"/>
    </row>
    <row r="2337" spans="9:10" x14ac:dyDescent="0.2">
      <c r="I2337" s="353"/>
      <c r="J2337" s="353"/>
    </row>
    <row r="2338" spans="9:10" x14ac:dyDescent="0.2">
      <c r="I2338" s="353"/>
      <c r="J2338" s="353"/>
    </row>
    <row r="2339" spans="9:10" x14ac:dyDescent="0.2">
      <c r="I2339" s="353"/>
      <c r="J2339" s="353"/>
    </row>
    <row r="2340" spans="9:10" x14ac:dyDescent="0.2">
      <c r="I2340" s="353"/>
      <c r="J2340" s="353"/>
    </row>
    <row r="2341" spans="9:10" x14ac:dyDescent="0.2">
      <c r="I2341" s="353"/>
      <c r="J2341" s="353"/>
    </row>
    <row r="2342" spans="9:10" x14ac:dyDescent="0.2">
      <c r="I2342" s="353"/>
      <c r="J2342" s="353"/>
    </row>
    <row r="2343" spans="9:10" x14ac:dyDescent="0.2">
      <c r="I2343" s="353"/>
      <c r="J2343" s="353"/>
    </row>
    <row r="2344" spans="9:10" x14ac:dyDescent="0.2">
      <c r="I2344" s="353"/>
      <c r="J2344" s="353"/>
    </row>
    <row r="2345" spans="9:10" x14ac:dyDescent="0.2">
      <c r="I2345" s="353"/>
      <c r="J2345" s="353"/>
    </row>
    <row r="2346" spans="9:10" x14ac:dyDescent="0.2">
      <c r="I2346" s="353"/>
      <c r="J2346" s="353"/>
    </row>
    <row r="2347" spans="9:10" x14ac:dyDescent="0.2">
      <c r="I2347" s="353"/>
      <c r="J2347" s="353"/>
    </row>
    <row r="2348" spans="9:10" x14ac:dyDescent="0.2">
      <c r="I2348" s="353"/>
      <c r="J2348" s="353"/>
    </row>
    <row r="2349" spans="9:10" x14ac:dyDescent="0.2">
      <c r="I2349" s="353"/>
      <c r="J2349" s="353"/>
    </row>
    <row r="2350" spans="9:10" x14ac:dyDescent="0.2">
      <c r="I2350" s="353"/>
      <c r="J2350" s="353"/>
    </row>
    <row r="2351" spans="9:10" x14ac:dyDescent="0.2">
      <c r="I2351" s="353"/>
      <c r="J2351" s="353"/>
    </row>
    <row r="2352" spans="9:10" x14ac:dyDescent="0.2">
      <c r="I2352" s="353"/>
      <c r="J2352" s="353"/>
    </row>
    <row r="2353" spans="9:10" x14ac:dyDescent="0.2">
      <c r="I2353" s="353"/>
      <c r="J2353" s="353"/>
    </row>
    <row r="2354" spans="9:10" x14ac:dyDescent="0.2">
      <c r="I2354" s="353"/>
      <c r="J2354" s="353"/>
    </row>
    <row r="2355" spans="9:10" x14ac:dyDescent="0.2">
      <c r="I2355" s="353"/>
      <c r="J2355" s="353"/>
    </row>
    <row r="2356" spans="9:10" x14ac:dyDescent="0.2">
      <c r="I2356" s="353"/>
      <c r="J2356" s="353"/>
    </row>
    <row r="2357" spans="9:10" x14ac:dyDescent="0.2">
      <c r="I2357" s="353"/>
      <c r="J2357" s="353"/>
    </row>
    <row r="2358" spans="9:10" x14ac:dyDescent="0.2">
      <c r="I2358" s="353"/>
      <c r="J2358" s="353"/>
    </row>
    <row r="2359" spans="9:10" x14ac:dyDescent="0.2">
      <c r="I2359" s="353"/>
      <c r="J2359" s="353"/>
    </row>
    <row r="2360" spans="9:10" x14ac:dyDescent="0.2">
      <c r="I2360" s="353"/>
      <c r="J2360" s="353"/>
    </row>
    <row r="2361" spans="9:10" x14ac:dyDescent="0.2">
      <c r="I2361" s="353"/>
      <c r="J2361" s="353"/>
    </row>
    <row r="2362" spans="9:10" x14ac:dyDescent="0.2">
      <c r="I2362" s="353"/>
      <c r="J2362" s="353"/>
    </row>
    <row r="2363" spans="9:10" x14ac:dyDescent="0.2">
      <c r="I2363" s="353"/>
      <c r="J2363" s="353"/>
    </row>
    <row r="2364" spans="9:10" x14ac:dyDescent="0.2">
      <c r="I2364" s="353"/>
      <c r="J2364" s="353"/>
    </row>
    <row r="2365" spans="9:10" x14ac:dyDescent="0.2">
      <c r="I2365" s="353"/>
      <c r="J2365" s="353"/>
    </row>
    <row r="2366" spans="9:10" x14ac:dyDescent="0.2">
      <c r="I2366" s="353"/>
      <c r="J2366" s="353"/>
    </row>
    <row r="2367" spans="9:10" x14ac:dyDescent="0.2">
      <c r="I2367" s="353"/>
      <c r="J2367" s="353"/>
    </row>
    <row r="2368" spans="9:10" x14ac:dyDescent="0.2">
      <c r="I2368" s="353"/>
      <c r="J2368" s="353"/>
    </row>
    <row r="2369" spans="9:10" x14ac:dyDescent="0.2">
      <c r="I2369" s="353"/>
      <c r="J2369" s="353"/>
    </row>
    <row r="2370" spans="9:10" x14ac:dyDescent="0.2">
      <c r="I2370" s="353"/>
      <c r="J2370" s="353"/>
    </row>
    <row r="2371" spans="9:10" x14ac:dyDescent="0.2">
      <c r="I2371" s="353"/>
      <c r="J2371" s="353"/>
    </row>
    <row r="2372" spans="9:10" x14ac:dyDescent="0.2">
      <c r="I2372" s="353"/>
      <c r="J2372" s="353"/>
    </row>
    <row r="2373" spans="9:10" x14ac:dyDescent="0.2">
      <c r="I2373" s="353"/>
      <c r="J2373" s="353"/>
    </row>
    <row r="2374" spans="9:10" x14ac:dyDescent="0.2">
      <c r="I2374" s="353"/>
      <c r="J2374" s="353"/>
    </row>
    <row r="2375" spans="9:10" x14ac:dyDescent="0.2">
      <c r="I2375" s="353"/>
      <c r="J2375" s="353"/>
    </row>
    <row r="2376" spans="9:10" x14ac:dyDescent="0.2">
      <c r="I2376" s="353"/>
      <c r="J2376" s="353"/>
    </row>
    <row r="2377" spans="9:10" x14ac:dyDescent="0.2">
      <c r="I2377" s="353"/>
      <c r="J2377" s="353"/>
    </row>
    <row r="2378" spans="9:10" x14ac:dyDescent="0.2">
      <c r="I2378" s="353"/>
      <c r="J2378" s="353"/>
    </row>
    <row r="2379" spans="9:10" x14ac:dyDescent="0.2">
      <c r="I2379" s="353"/>
      <c r="J2379" s="353"/>
    </row>
    <row r="2380" spans="9:10" x14ac:dyDescent="0.2">
      <c r="I2380" s="353"/>
      <c r="J2380" s="353"/>
    </row>
    <row r="2381" spans="9:10" x14ac:dyDescent="0.2">
      <c r="I2381" s="353"/>
      <c r="J2381" s="353"/>
    </row>
    <row r="2382" spans="9:10" x14ac:dyDescent="0.2">
      <c r="I2382" s="353"/>
      <c r="J2382" s="353"/>
    </row>
    <row r="2383" spans="9:10" x14ac:dyDescent="0.2">
      <c r="I2383" s="353"/>
      <c r="J2383" s="353"/>
    </row>
    <row r="2384" spans="9:10" x14ac:dyDescent="0.2">
      <c r="I2384" s="353"/>
      <c r="J2384" s="353"/>
    </row>
    <row r="2385" spans="9:10" x14ac:dyDescent="0.2">
      <c r="I2385" s="353"/>
      <c r="J2385" s="353"/>
    </row>
    <row r="2386" spans="9:10" x14ac:dyDescent="0.2">
      <c r="I2386" s="353"/>
      <c r="J2386" s="353"/>
    </row>
    <row r="2387" spans="9:10" x14ac:dyDescent="0.2">
      <c r="I2387" s="353"/>
      <c r="J2387" s="353"/>
    </row>
    <row r="2388" spans="9:10" x14ac:dyDescent="0.2">
      <c r="I2388" s="353"/>
      <c r="J2388" s="353"/>
    </row>
    <row r="2389" spans="9:10" x14ac:dyDescent="0.2">
      <c r="I2389" s="353"/>
      <c r="J2389" s="353"/>
    </row>
    <row r="2390" spans="9:10" x14ac:dyDescent="0.2">
      <c r="I2390" s="353"/>
      <c r="J2390" s="353"/>
    </row>
    <row r="2391" spans="9:10" x14ac:dyDescent="0.2">
      <c r="I2391" s="353"/>
      <c r="J2391" s="353"/>
    </row>
    <row r="2392" spans="9:10" x14ac:dyDescent="0.2">
      <c r="I2392" s="353"/>
      <c r="J2392" s="353"/>
    </row>
    <row r="2393" spans="9:10" x14ac:dyDescent="0.2">
      <c r="I2393" s="353"/>
      <c r="J2393" s="353"/>
    </row>
    <row r="2394" spans="9:10" x14ac:dyDescent="0.2">
      <c r="I2394" s="353"/>
      <c r="J2394" s="353"/>
    </row>
    <row r="2395" spans="9:10" x14ac:dyDescent="0.2">
      <c r="I2395" s="353"/>
      <c r="J2395" s="353"/>
    </row>
    <row r="2396" spans="9:10" x14ac:dyDescent="0.2">
      <c r="I2396" s="353"/>
      <c r="J2396" s="353"/>
    </row>
    <row r="2397" spans="9:10" x14ac:dyDescent="0.2">
      <c r="I2397" s="353"/>
      <c r="J2397" s="353"/>
    </row>
    <row r="2398" spans="9:10" x14ac:dyDescent="0.2">
      <c r="I2398" s="353"/>
      <c r="J2398" s="353"/>
    </row>
    <row r="2399" spans="9:10" x14ac:dyDescent="0.2">
      <c r="I2399" s="353"/>
      <c r="J2399" s="353"/>
    </row>
    <row r="2400" spans="9:10" x14ac:dyDescent="0.2">
      <c r="I2400" s="353"/>
      <c r="J2400" s="353"/>
    </row>
    <row r="2401" spans="9:10" x14ac:dyDescent="0.2">
      <c r="I2401" s="353"/>
      <c r="J2401" s="353"/>
    </row>
    <row r="2402" spans="9:10" x14ac:dyDescent="0.2">
      <c r="I2402" s="353"/>
      <c r="J2402" s="353"/>
    </row>
    <row r="2403" spans="9:10" x14ac:dyDescent="0.2">
      <c r="I2403" s="353"/>
      <c r="J2403" s="353"/>
    </row>
    <row r="2404" spans="9:10" x14ac:dyDescent="0.2">
      <c r="I2404" s="353"/>
      <c r="J2404" s="353"/>
    </row>
    <row r="2405" spans="9:10" x14ac:dyDescent="0.2">
      <c r="I2405" s="353"/>
      <c r="J2405" s="353"/>
    </row>
    <row r="2406" spans="9:10" x14ac:dyDescent="0.2">
      <c r="I2406" s="353"/>
      <c r="J2406" s="353"/>
    </row>
    <row r="2407" spans="9:10" x14ac:dyDescent="0.2">
      <c r="I2407" s="353"/>
      <c r="J2407" s="353"/>
    </row>
    <row r="2408" spans="9:10" x14ac:dyDescent="0.2">
      <c r="I2408" s="353"/>
      <c r="J2408" s="353"/>
    </row>
    <row r="2409" spans="9:10" x14ac:dyDescent="0.2">
      <c r="I2409" s="353"/>
      <c r="J2409" s="353"/>
    </row>
    <row r="2410" spans="9:10" x14ac:dyDescent="0.2">
      <c r="I2410" s="353"/>
      <c r="J2410" s="353"/>
    </row>
    <row r="2411" spans="9:10" x14ac:dyDescent="0.2">
      <c r="I2411" s="353"/>
      <c r="J2411" s="353"/>
    </row>
    <row r="2412" spans="9:10" x14ac:dyDescent="0.2">
      <c r="I2412" s="353"/>
      <c r="J2412" s="353"/>
    </row>
    <row r="2413" spans="9:10" x14ac:dyDescent="0.2">
      <c r="I2413" s="353"/>
      <c r="J2413" s="353"/>
    </row>
    <row r="2414" spans="9:10" x14ac:dyDescent="0.2">
      <c r="I2414" s="353"/>
      <c r="J2414" s="353"/>
    </row>
    <row r="2415" spans="9:10" x14ac:dyDescent="0.2">
      <c r="I2415" s="353"/>
      <c r="J2415" s="353"/>
    </row>
    <row r="2416" spans="9:10" x14ac:dyDescent="0.2">
      <c r="I2416" s="353"/>
      <c r="J2416" s="353"/>
    </row>
    <row r="2417" spans="9:10" x14ac:dyDescent="0.2">
      <c r="I2417" s="353"/>
      <c r="J2417" s="353"/>
    </row>
    <row r="2418" spans="9:10" x14ac:dyDescent="0.2">
      <c r="I2418" s="353"/>
      <c r="J2418" s="353"/>
    </row>
    <row r="2419" spans="9:10" x14ac:dyDescent="0.2">
      <c r="I2419" s="353"/>
      <c r="J2419" s="353"/>
    </row>
    <row r="2420" spans="9:10" x14ac:dyDescent="0.2">
      <c r="I2420" s="353"/>
      <c r="J2420" s="353"/>
    </row>
    <row r="2421" spans="9:10" x14ac:dyDescent="0.2">
      <c r="I2421" s="353"/>
      <c r="J2421" s="353"/>
    </row>
    <row r="2422" spans="9:10" x14ac:dyDescent="0.2">
      <c r="I2422" s="353"/>
      <c r="J2422" s="353"/>
    </row>
    <row r="2423" spans="9:10" x14ac:dyDescent="0.2">
      <c r="I2423" s="353"/>
      <c r="J2423" s="353"/>
    </row>
    <row r="2424" spans="9:10" x14ac:dyDescent="0.2">
      <c r="I2424" s="353"/>
      <c r="J2424" s="353"/>
    </row>
    <row r="2425" spans="9:10" x14ac:dyDescent="0.2">
      <c r="I2425" s="353"/>
      <c r="J2425" s="353"/>
    </row>
    <row r="2426" spans="9:10" x14ac:dyDescent="0.2">
      <c r="I2426" s="353"/>
      <c r="J2426" s="353"/>
    </row>
    <row r="2427" spans="9:10" x14ac:dyDescent="0.2">
      <c r="I2427" s="353"/>
      <c r="J2427" s="353"/>
    </row>
    <row r="2428" spans="9:10" x14ac:dyDescent="0.2">
      <c r="I2428" s="353"/>
      <c r="J2428" s="353"/>
    </row>
    <row r="2429" spans="9:10" x14ac:dyDescent="0.2">
      <c r="I2429" s="353"/>
      <c r="J2429" s="353"/>
    </row>
    <row r="2430" spans="9:10" x14ac:dyDescent="0.2">
      <c r="I2430" s="353"/>
      <c r="J2430" s="353"/>
    </row>
    <row r="2431" spans="9:10" x14ac:dyDescent="0.2">
      <c r="I2431" s="353"/>
      <c r="J2431" s="353"/>
    </row>
    <row r="2432" spans="9:10" x14ac:dyDescent="0.2">
      <c r="I2432" s="353"/>
      <c r="J2432" s="353"/>
    </row>
    <row r="2433" spans="9:10" x14ac:dyDescent="0.2">
      <c r="I2433" s="353"/>
      <c r="J2433" s="353"/>
    </row>
    <row r="2434" spans="9:10" x14ac:dyDescent="0.2">
      <c r="I2434" s="353"/>
      <c r="J2434" s="353"/>
    </row>
    <row r="2435" spans="9:10" x14ac:dyDescent="0.2">
      <c r="I2435" s="353"/>
      <c r="J2435" s="353"/>
    </row>
    <row r="2436" spans="9:10" x14ac:dyDescent="0.2">
      <c r="I2436" s="353"/>
      <c r="J2436" s="353"/>
    </row>
    <row r="2437" spans="9:10" x14ac:dyDescent="0.2">
      <c r="I2437" s="353"/>
      <c r="J2437" s="353"/>
    </row>
    <row r="2438" spans="9:10" x14ac:dyDescent="0.2">
      <c r="I2438" s="353"/>
      <c r="J2438" s="353"/>
    </row>
    <row r="2439" spans="9:10" x14ac:dyDescent="0.2">
      <c r="I2439" s="353"/>
      <c r="J2439" s="353"/>
    </row>
    <row r="2440" spans="9:10" x14ac:dyDescent="0.2">
      <c r="I2440" s="353"/>
      <c r="J2440" s="353"/>
    </row>
    <row r="2441" spans="9:10" x14ac:dyDescent="0.2">
      <c r="I2441" s="353"/>
      <c r="J2441" s="353"/>
    </row>
    <row r="2442" spans="9:10" x14ac:dyDescent="0.2">
      <c r="I2442" s="353"/>
      <c r="J2442" s="353"/>
    </row>
    <row r="2443" spans="9:10" x14ac:dyDescent="0.2">
      <c r="I2443" s="353"/>
      <c r="J2443" s="353"/>
    </row>
    <row r="2444" spans="9:10" x14ac:dyDescent="0.2">
      <c r="I2444" s="353"/>
      <c r="J2444" s="353"/>
    </row>
    <row r="2445" spans="9:10" x14ac:dyDescent="0.2">
      <c r="I2445" s="353"/>
      <c r="J2445" s="353"/>
    </row>
    <row r="2446" spans="9:10" x14ac:dyDescent="0.2">
      <c r="I2446" s="353"/>
      <c r="J2446" s="353"/>
    </row>
    <row r="2447" spans="9:10" x14ac:dyDescent="0.2">
      <c r="I2447" s="353"/>
      <c r="J2447" s="353"/>
    </row>
    <row r="2448" spans="9:10" x14ac:dyDescent="0.2">
      <c r="I2448" s="353"/>
      <c r="J2448" s="353"/>
    </row>
    <row r="2449" spans="9:10" x14ac:dyDescent="0.2">
      <c r="I2449" s="353"/>
      <c r="J2449" s="353"/>
    </row>
    <row r="2450" spans="9:10" x14ac:dyDescent="0.2">
      <c r="I2450" s="353"/>
      <c r="J2450" s="353"/>
    </row>
    <row r="2451" spans="9:10" x14ac:dyDescent="0.2">
      <c r="I2451" s="353"/>
      <c r="J2451" s="353"/>
    </row>
    <row r="2452" spans="9:10" x14ac:dyDescent="0.2">
      <c r="I2452" s="353"/>
      <c r="J2452" s="353"/>
    </row>
    <row r="2453" spans="9:10" x14ac:dyDescent="0.2">
      <c r="I2453" s="353"/>
      <c r="J2453" s="353"/>
    </row>
    <row r="2454" spans="9:10" x14ac:dyDescent="0.2">
      <c r="I2454" s="353"/>
      <c r="J2454" s="353"/>
    </row>
    <row r="2455" spans="9:10" x14ac:dyDescent="0.2">
      <c r="I2455" s="353"/>
      <c r="J2455" s="353"/>
    </row>
    <row r="2456" spans="9:10" x14ac:dyDescent="0.2">
      <c r="I2456" s="353"/>
      <c r="J2456" s="353"/>
    </row>
    <row r="2457" spans="9:10" x14ac:dyDescent="0.2">
      <c r="I2457" s="353"/>
      <c r="J2457" s="353"/>
    </row>
    <row r="2458" spans="9:10" x14ac:dyDescent="0.2">
      <c r="I2458" s="353"/>
      <c r="J2458" s="353"/>
    </row>
    <row r="2459" spans="9:10" x14ac:dyDescent="0.2">
      <c r="I2459" s="353"/>
      <c r="J2459" s="353"/>
    </row>
    <row r="2460" spans="9:10" x14ac:dyDescent="0.2">
      <c r="I2460" s="353"/>
      <c r="J2460" s="353"/>
    </row>
    <row r="2461" spans="9:10" x14ac:dyDescent="0.2">
      <c r="I2461" s="353"/>
      <c r="J2461" s="353"/>
    </row>
    <row r="2462" spans="9:10" x14ac:dyDescent="0.2">
      <c r="I2462" s="353"/>
      <c r="J2462" s="353"/>
    </row>
    <row r="2463" spans="9:10" x14ac:dyDescent="0.2">
      <c r="I2463" s="353"/>
      <c r="J2463" s="353"/>
    </row>
    <row r="2464" spans="9:10" x14ac:dyDescent="0.2">
      <c r="I2464" s="353"/>
      <c r="J2464" s="353"/>
    </row>
    <row r="2465" spans="9:10" x14ac:dyDescent="0.2">
      <c r="I2465" s="353"/>
      <c r="J2465" s="353"/>
    </row>
    <row r="2466" spans="9:10" x14ac:dyDescent="0.2">
      <c r="I2466" s="353"/>
      <c r="J2466" s="353"/>
    </row>
    <row r="2467" spans="9:10" x14ac:dyDescent="0.2">
      <c r="I2467" s="353"/>
      <c r="J2467" s="353"/>
    </row>
    <row r="2468" spans="9:10" x14ac:dyDescent="0.2">
      <c r="I2468" s="353"/>
      <c r="J2468" s="353"/>
    </row>
    <row r="2469" spans="9:10" x14ac:dyDescent="0.2">
      <c r="I2469" s="353"/>
      <c r="J2469" s="353"/>
    </row>
    <row r="2470" spans="9:10" x14ac:dyDescent="0.2">
      <c r="I2470" s="353"/>
      <c r="J2470" s="353"/>
    </row>
    <row r="2471" spans="9:10" x14ac:dyDescent="0.2">
      <c r="I2471" s="353"/>
      <c r="J2471" s="353"/>
    </row>
    <row r="2472" spans="9:10" x14ac:dyDescent="0.2">
      <c r="I2472" s="353"/>
      <c r="J2472" s="353"/>
    </row>
    <row r="2473" spans="9:10" x14ac:dyDescent="0.2">
      <c r="I2473" s="353"/>
      <c r="J2473" s="353"/>
    </row>
    <row r="2474" spans="9:10" x14ac:dyDescent="0.2">
      <c r="I2474" s="353"/>
      <c r="J2474" s="353"/>
    </row>
    <row r="2475" spans="9:10" x14ac:dyDescent="0.2">
      <c r="I2475" s="353"/>
      <c r="J2475" s="353"/>
    </row>
    <row r="2476" spans="9:10" x14ac:dyDescent="0.2">
      <c r="I2476" s="353"/>
      <c r="J2476" s="353"/>
    </row>
    <row r="2477" spans="9:10" x14ac:dyDescent="0.2">
      <c r="I2477" s="353"/>
      <c r="J2477" s="353"/>
    </row>
    <row r="2478" spans="9:10" x14ac:dyDescent="0.2">
      <c r="I2478" s="353"/>
      <c r="J2478" s="353"/>
    </row>
    <row r="2479" spans="9:10" x14ac:dyDescent="0.2">
      <c r="I2479" s="353"/>
      <c r="J2479" s="353"/>
    </row>
    <row r="2480" spans="9:10" x14ac:dyDescent="0.2">
      <c r="I2480" s="353"/>
      <c r="J2480" s="353"/>
    </row>
    <row r="2481" spans="9:10" x14ac:dyDescent="0.2">
      <c r="I2481" s="353"/>
      <c r="J2481" s="353"/>
    </row>
    <row r="2482" spans="9:10" x14ac:dyDescent="0.2">
      <c r="I2482" s="353"/>
      <c r="J2482" s="353"/>
    </row>
    <row r="2483" spans="9:10" x14ac:dyDescent="0.2">
      <c r="I2483" s="353"/>
      <c r="J2483" s="353"/>
    </row>
    <row r="2484" spans="9:10" x14ac:dyDescent="0.2">
      <c r="I2484" s="353"/>
      <c r="J2484" s="353"/>
    </row>
    <row r="2485" spans="9:10" x14ac:dyDescent="0.2">
      <c r="I2485" s="353"/>
      <c r="J2485" s="353"/>
    </row>
    <row r="2486" spans="9:10" x14ac:dyDescent="0.2">
      <c r="I2486" s="353"/>
      <c r="J2486" s="353"/>
    </row>
    <row r="2487" spans="9:10" x14ac:dyDescent="0.2">
      <c r="I2487" s="353"/>
      <c r="J2487" s="353"/>
    </row>
    <row r="2488" spans="9:10" x14ac:dyDescent="0.2">
      <c r="I2488" s="353"/>
      <c r="J2488" s="353"/>
    </row>
    <row r="2489" spans="9:10" x14ac:dyDescent="0.2">
      <c r="I2489" s="353"/>
      <c r="J2489" s="353"/>
    </row>
    <row r="2490" spans="9:10" x14ac:dyDescent="0.2">
      <c r="I2490" s="353"/>
      <c r="J2490" s="353"/>
    </row>
    <row r="2491" spans="9:10" x14ac:dyDescent="0.2">
      <c r="I2491" s="353"/>
      <c r="J2491" s="353"/>
    </row>
    <row r="2492" spans="9:10" x14ac:dyDescent="0.2">
      <c r="I2492" s="353"/>
      <c r="J2492" s="353"/>
    </row>
    <row r="2493" spans="9:10" x14ac:dyDescent="0.2">
      <c r="I2493" s="353"/>
      <c r="J2493" s="353"/>
    </row>
    <row r="2494" spans="9:10" x14ac:dyDescent="0.2">
      <c r="I2494" s="353"/>
      <c r="J2494" s="353"/>
    </row>
    <row r="2495" spans="9:10" x14ac:dyDescent="0.2">
      <c r="I2495" s="353"/>
      <c r="J2495" s="353"/>
    </row>
    <row r="2496" spans="9:10" x14ac:dyDescent="0.2">
      <c r="I2496" s="353"/>
      <c r="J2496" s="353"/>
    </row>
    <row r="2497" spans="9:10" x14ac:dyDescent="0.2">
      <c r="I2497" s="353"/>
      <c r="J2497" s="353"/>
    </row>
    <row r="2498" spans="9:10" x14ac:dyDescent="0.2">
      <c r="I2498" s="353"/>
      <c r="J2498" s="353"/>
    </row>
    <row r="2499" spans="9:10" x14ac:dyDescent="0.2">
      <c r="I2499" s="353"/>
      <c r="J2499" s="353"/>
    </row>
    <row r="2500" spans="9:10" x14ac:dyDescent="0.2">
      <c r="I2500" s="353"/>
      <c r="J2500" s="353"/>
    </row>
    <row r="2501" spans="9:10" x14ac:dyDescent="0.2">
      <c r="I2501" s="353"/>
      <c r="J2501" s="353"/>
    </row>
    <row r="2502" spans="9:10" x14ac:dyDescent="0.2">
      <c r="I2502" s="353"/>
      <c r="J2502" s="353"/>
    </row>
    <row r="2503" spans="9:10" x14ac:dyDescent="0.2">
      <c r="I2503" s="353"/>
      <c r="J2503" s="353"/>
    </row>
    <row r="2504" spans="9:10" x14ac:dyDescent="0.2">
      <c r="I2504" s="353"/>
      <c r="J2504" s="353"/>
    </row>
    <row r="2505" spans="9:10" x14ac:dyDescent="0.2">
      <c r="I2505" s="353"/>
      <c r="J2505" s="353"/>
    </row>
    <row r="2506" spans="9:10" x14ac:dyDescent="0.2">
      <c r="I2506" s="353"/>
      <c r="J2506" s="353"/>
    </row>
    <row r="2507" spans="9:10" x14ac:dyDescent="0.2">
      <c r="I2507" s="353"/>
      <c r="J2507" s="353"/>
    </row>
    <row r="2508" spans="9:10" x14ac:dyDescent="0.2">
      <c r="I2508" s="353"/>
      <c r="J2508" s="353"/>
    </row>
    <row r="2509" spans="9:10" x14ac:dyDescent="0.2">
      <c r="I2509" s="353"/>
      <c r="J2509" s="353"/>
    </row>
    <row r="2510" spans="9:10" x14ac:dyDescent="0.2">
      <c r="I2510" s="353"/>
      <c r="J2510" s="353"/>
    </row>
    <row r="2511" spans="9:10" x14ac:dyDescent="0.2">
      <c r="I2511" s="353"/>
      <c r="J2511" s="353"/>
    </row>
    <row r="2512" spans="9:10" x14ac:dyDescent="0.2">
      <c r="I2512" s="353"/>
      <c r="J2512" s="353"/>
    </row>
    <row r="2513" spans="9:10" x14ac:dyDescent="0.2">
      <c r="I2513" s="353"/>
      <c r="J2513" s="353"/>
    </row>
    <row r="2514" spans="9:10" x14ac:dyDescent="0.2">
      <c r="I2514" s="353"/>
      <c r="J2514" s="353"/>
    </row>
    <row r="2515" spans="9:10" x14ac:dyDescent="0.2">
      <c r="I2515" s="353"/>
      <c r="J2515" s="353"/>
    </row>
    <row r="2516" spans="9:10" x14ac:dyDescent="0.2">
      <c r="I2516" s="353"/>
      <c r="J2516" s="353"/>
    </row>
    <row r="2517" spans="9:10" x14ac:dyDescent="0.2">
      <c r="I2517" s="353"/>
      <c r="J2517" s="353"/>
    </row>
    <row r="2518" spans="9:10" x14ac:dyDescent="0.2">
      <c r="I2518" s="353"/>
      <c r="J2518" s="353"/>
    </row>
    <row r="2519" spans="9:10" x14ac:dyDescent="0.2">
      <c r="I2519" s="353"/>
      <c r="J2519" s="353"/>
    </row>
    <row r="2520" spans="9:10" x14ac:dyDescent="0.2">
      <c r="I2520" s="353"/>
      <c r="J2520" s="353"/>
    </row>
    <row r="2521" spans="9:10" x14ac:dyDescent="0.2">
      <c r="I2521" s="353"/>
      <c r="J2521" s="353"/>
    </row>
    <row r="2522" spans="9:10" x14ac:dyDescent="0.2">
      <c r="I2522" s="353"/>
      <c r="J2522" s="353"/>
    </row>
    <row r="2523" spans="9:10" x14ac:dyDescent="0.2">
      <c r="I2523" s="353"/>
      <c r="J2523" s="353"/>
    </row>
    <row r="2524" spans="9:10" x14ac:dyDescent="0.2">
      <c r="I2524" s="353"/>
      <c r="J2524" s="353"/>
    </row>
    <row r="2525" spans="9:10" x14ac:dyDescent="0.2">
      <c r="I2525" s="353"/>
      <c r="J2525" s="353"/>
    </row>
    <row r="2526" spans="9:10" x14ac:dyDescent="0.2">
      <c r="I2526" s="353"/>
      <c r="J2526" s="353"/>
    </row>
    <row r="2527" spans="9:10" x14ac:dyDescent="0.2">
      <c r="I2527" s="353"/>
      <c r="J2527" s="353"/>
    </row>
    <row r="2528" spans="9:10" x14ac:dyDescent="0.2">
      <c r="I2528" s="353"/>
      <c r="J2528" s="353"/>
    </row>
    <row r="2529" spans="9:10" x14ac:dyDescent="0.2">
      <c r="I2529" s="353"/>
      <c r="J2529" s="353"/>
    </row>
    <row r="2530" spans="9:10" x14ac:dyDescent="0.2">
      <c r="I2530" s="353"/>
      <c r="J2530" s="353"/>
    </row>
    <row r="2531" spans="9:10" x14ac:dyDescent="0.2">
      <c r="I2531" s="353"/>
      <c r="J2531" s="353"/>
    </row>
    <row r="2532" spans="9:10" x14ac:dyDescent="0.2">
      <c r="I2532" s="353"/>
      <c r="J2532" s="353"/>
    </row>
    <row r="2533" spans="9:10" x14ac:dyDescent="0.2">
      <c r="I2533" s="353"/>
      <c r="J2533" s="353"/>
    </row>
    <row r="2534" spans="9:10" x14ac:dyDescent="0.2">
      <c r="I2534" s="353"/>
      <c r="J2534" s="353"/>
    </row>
    <row r="2535" spans="9:10" x14ac:dyDescent="0.2">
      <c r="I2535" s="353"/>
      <c r="J2535" s="353"/>
    </row>
    <row r="2536" spans="9:10" x14ac:dyDescent="0.2">
      <c r="I2536" s="353"/>
      <c r="J2536" s="353"/>
    </row>
    <row r="2537" spans="9:10" x14ac:dyDescent="0.2">
      <c r="I2537" s="353"/>
      <c r="J2537" s="353"/>
    </row>
    <row r="2538" spans="9:10" x14ac:dyDescent="0.2">
      <c r="I2538" s="353"/>
      <c r="J2538" s="353"/>
    </row>
    <row r="2539" spans="9:10" x14ac:dyDescent="0.2">
      <c r="I2539" s="353"/>
      <c r="J2539" s="353"/>
    </row>
    <row r="2540" spans="9:10" x14ac:dyDescent="0.2">
      <c r="I2540" s="353"/>
      <c r="J2540" s="353"/>
    </row>
    <row r="2541" spans="9:10" x14ac:dyDescent="0.2">
      <c r="I2541" s="353"/>
      <c r="J2541" s="353"/>
    </row>
    <row r="2542" spans="9:10" x14ac:dyDescent="0.2">
      <c r="I2542" s="353"/>
      <c r="J2542" s="353"/>
    </row>
    <row r="2543" spans="9:10" x14ac:dyDescent="0.2">
      <c r="I2543" s="353"/>
      <c r="J2543" s="353"/>
    </row>
    <row r="2544" spans="9:10" x14ac:dyDescent="0.2">
      <c r="I2544" s="353"/>
      <c r="J2544" s="353"/>
    </row>
    <row r="2545" spans="9:10" x14ac:dyDescent="0.2">
      <c r="I2545" s="353"/>
      <c r="J2545" s="353"/>
    </row>
    <row r="2546" spans="9:10" x14ac:dyDescent="0.2">
      <c r="I2546" s="353"/>
      <c r="J2546" s="353"/>
    </row>
    <row r="2547" spans="9:10" x14ac:dyDescent="0.2">
      <c r="I2547" s="353"/>
      <c r="J2547" s="353"/>
    </row>
    <row r="2548" spans="9:10" x14ac:dyDescent="0.2">
      <c r="I2548" s="353"/>
      <c r="J2548" s="353"/>
    </row>
    <row r="2549" spans="9:10" x14ac:dyDescent="0.2">
      <c r="I2549" s="353"/>
      <c r="J2549" s="353"/>
    </row>
    <row r="2550" spans="9:10" x14ac:dyDescent="0.2">
      <c r="I2550" s="353"/>
      <c r="J2550" s="353"/>
    </row>
    <row r="2551" spans="9:10" x14ac:dyDescent="0.2">
      <c r="I2551" s="353"/>
      <c r="J2551" s="353"/>
    </row>
    <row r="2552" spans="9:10" x14ac:dyDescent="0.2">
      <c r="I2552" s="353"/>
      <c r="J2552" s="353"/>
    </row>
    <row r="2553" spans="9:10" x14ac:dyDescent="0.2">
      <c r="I2553" s="353"/>
      <c r="J2553" s="353"/>
    </row>
    <row r="2554" spans="9:10" x14ac:dyDescent="0.2">
      <c r="I2554" s="353"/>
      <c r="J2554" s="353"/>
    </row>
    <row r="2555" spans="9:10" x14ac:dyDescent="0.2">
      <c r="I2555" s="353"/>
      <c r="J2555" s="353"/>
    </row>
    <row r="2556" spans="9:10" x14ac:dyDescent="0.2">
      <c r="I2556" s="353"/>
      <c r="J2556" s="353"/>
    </row>
    <row r="2557" spans="9:10" x14ac:dyDescent="0.2">
      <c r="I2557" s="353"/>
      <c r="J2557" s="353"/>
    </row>
    <row r="2558" spans="9:10" x14ac:dyDescent="0.2">
      <c r="I2558" s="353"/>
      <c r="J2558" s="353"/>
    </row>
    <row r="2559" spans="9:10" x14ac:dyDescent="0.2">
      <c r="I2559" s="353"/>
      <c r="J2559" s="353"/>
    </row>
    <row r="2560" spans="9:10" x14ac:dyDescent="0.2">
      <c r="I2560" s="353"/>
      <c r="J2560" s="353"/>
    </row>
    <row r="2561" spans="9:10" x14ac:dyDescent="0.2">
      <c r="I2561" s="353"/>
      <c r="J2561" s="353"/>
    </row>
    <row r="2562" spans="9:10" x14ac:dyDescent="0.2">
      <c r="I2562" s="353"/>
      <c r="J2562" s="353"/>
    </row>
    <row r="2563" spans="9:10" x14ac:dyDescent="0.2">
      <c r="I2563" s="353"/>
      <c r="J2563" s="353"/>
    </row>
    <row r="2564" spans="9:10" x14ac:dyDescent="0.2">
      <c r="I2564" s="353"/>
      <c r="J2564" s="353"/>
    </row>
    <row r="2565" spans="9:10" x14ac:dyDescent="0.2">
      <c r="I2565" s="353"/>
      <c r="J2565" s="353"/>
    </row>
    <row r="2566" spans="9:10" x14ac:dyDescent="0.2">
      <c r="I2566" s="353"/>
      <c r="J2566" s="353"/>
    </row>
    <row r="2567" spans="9:10" x14ac:dyDescent="0.2">
      <c r="I2567" s="353"/>
      <c r="J2567" s="353"/>
    </row>
    <row r="2568" spans="9:10" x14ac:dyDescent="0.2">
      <c r="I2568" s="353"/>
      <c r="J2568" s="353"/>
    </row>
    <row r="2569" spans="9:10" x14ac:dyDescent="0.2">
      <c r="I2569" s="353"/>
      <c r="J2569" s="353"/>
    </row>
    <row r="2570" spans="9:10" x14ac:dyDescent="0.2">
      <c r="I2570" s="353"/>
      <c r="J2570" s="353"/>
    </row>
    <row r="2571" spans="9:10" x14ac:dyDescent="0.2">
      <c r="I2571" s="353"/>
      <c r="J2571" s="353"/>
    </row>
    <row r="2572" spans="9:10" x14ac:dyDescent="0.2">
      <c r="I2572" s="353"/>
      <c r="J2572" s="353"/>
    </row>
    <row r="2573" spans="9:10" x14ac:dyDescent="0.2">
      <c r="I2573" s="353"/>
      <c r="J2573" s="353"/>
    </row>
    <row r="2574" spans="9:10" x14ac:dyDescent="0.2">
      <c r="I2574" s="353"/>
      <c r="J2574" s="353"/>
    </row>
    <row r="2575" spans="9:10" x14ac:dyDescent="0.2">
      <c r="I2575" s="353"/>
      <c r="J2575" s="353"/>
    </row>
    <row r="2576" spans="9:10" x14ac:dyDescent="0.2">
      <c r="I2576" s="353"/>
      <c r="J2576" s="353"/>
    </row>
    <row r="2577" spans="9:10" x14ac:dyDescent="0.2">
      <c r="I2577" s="353"/>
      <c r="J2577" s="353"/>
    </row>
    <row r="2578" spans="9:10" x14ac:dyDescent="0.2">
      <c r="I2578" s="353"/>
      <c r="J2578" s="353"/>
    </row>
    <row r="2579" spans="9:10" x14ac:dyDescent="0.2">
      <c r="I2579" s="353"/>
      <c r="J2579" s="353"/>
    </row>
    <row r="2580" spans="9:10" x14ac:dyDescent="0.2">
      <c r="I2580" s="353"/>
      <c r="J2580" s="353"/>
    </row>
    <row r="2581" spans="9:10" x14ac:dyDescent="0.2">
      <c r="I2581" s="353"/>
      <c r="J2581" s="353"/>
    </row>
    <row r="2582" spans="9:10" x14ac:dyDescent="0.2">
      <c r="I2582" s="353"/>
      <c r="J2582" s="353"/>
    </row>
    <row r="2583" spans="9:10" x14ac:dyDescent="0.2">
      <c r="I2583" s="353"/>
      <c r="J2583" s="353"/>
    </row>
    <row r="2584" spans="9:10" x14ac:dyDescent="0.2">
      <c r="I2584" s="353"/>
      <c r="J2584" s="353"/>
    </row>
    <row r="2585" spans="9:10" x14ac:dyDescent="0.2">
      <c r="I2585" s="353"/>
      <c r="J2585" s="353"/>
    </row>
    <row r="2586" spans="9:10" x14ac:dyDescent="0.2">
      <c r="I2586" s="353"/>
      <c r="J2586" s="353"/>
    </row>
    <row r="2587" spans="9:10" x14ac:dyDescent="0.2">
      <c r="I2587" s="353"/>
      <c r="J2587" s="353"/>
    </row>
    <row r="2588" spans="9:10" x14ac:dyDescent="0.2">
      <c r="I2588" s="353"/>
      <c r="J2588" s="353"/>
    </row>
    <row r="2589" spans="9:10" x14ac:dyDescent="0.2">
      <c r="I2589" s="353"/>
      <c r="J2589" s="353"/>
    </row>
    <row r="2590" spans="9:10" x14ac:dyDescent="0.2">
      <c r="I2590" s="353"/>
      <c r="J2590" s="353"/>
    </row>
    <row r="2591" spans="9:10" x14ac:dyDescent="0.2">
      <c r="I2591" s="353"/>
      <c r="J2591" s="353"/>
    </row>
    <row r="2592" spans="9:10" x14ac:dyDescent="0.2">
      <c r="I2592" s="353"/>
      <c r="J2592" s="353"/>
    </row>
    <row r="2593" spans="9:10" x14ac:dyDescent="0.2">
      <c r="I2593" s="353"/>
      <c r="J2593" s="353"/>
    </row>
    <row r="2594" spans="9:10" x14ac:dyDescent="0.2">
      <c r="I2594" s="353"/>
      <c r="J2594" s="353"/>
    </row>
    <row r="2595" spans="9:10" x14ac:dyDescent="0.2">
      <c r="I2595" s="353"/>
      <c r="J2595" s="353"/>
    </row>
    <row r="2596" spans="9:10" x14ac:dyDescent="0.2">
      <c r="I2596" s="353"/>
      <c r="J2596" s="353"/>
    </row>
    <row r="2597" spans="9:10" x14ac:dyDescent="0.2">
      <c r="I2597" s="353"/>
      <c r="J2597" s="353"/>
    </row>
    <row r="2598" spans="9:10" x14ac:dyDescent="0.2">
      <c r="I2598" s="353"/>
      <c r="J2598" s="353"/>
    </row>
    <row r="2599" spans="9:10" x14ac:dyDescent="0.2">
      <c r="I2599" s="353"/>
      <c r="J2599" s="353"/>
    </row>
    <row r="2600" spans="9:10" x14ac:dyDescent="0.2">
      <c r="I2600" s="353"/>
      <c r="J2600" s="353"/>
    </row>
    <row r="2601" spans="9:10" x14ac:dyDescent="0.2">
      <c r="I2601" s="353"/>
      <c r="J2601" s="353"/>
    </row>
    <row r="2602" spans="9:10" x14ac:dyDescent="0.2">
      <c r="I2602" s="353"/>
      <c r="J2602" s="353"/>
    </row>
    <row r="2603" spans="9:10" x14ac:dyDescent="0.2">
      <c r="I2603" s="353"/>
      <c r="J2603" s="353"/>
    </row>
    <row r="2604" spans="9:10" x14ac:dyDescent="0.2">
      <c r="I2604" s="353"/>
      <c r="J2604" s="353"/>
    </row>
    <row r="2605" spans="9:10" x14ac:dyDescent="0.2">
      <c r="I2605" s="353"/>
      <c r="J2605" s="353"/>
    </row>
    <row r="2606" spans="9:10" x14ac:dyDescent="0.2">
      <c r="I2606" s="353"/>
      <c r="J2606" s="353"/>
    </row>
    <row r="2607" spans="9:10" x14ac:dyDescent="0.2">
      <c r="I2607" s="353"/>
      <c r="J2607" s="353"/>
    </row>
    <row r="2608" spans="9:10" x14ac:dyDescent="0.2">
      <c r="I2608" s="353"/>
      <c r="J2608" s="353"/>
    </row>
    <row r="2609" spans="9:10" x14ac:dyDescent="0.2">
      <c r="I2609" s="353"/>
      <c r="J2609" s="353"/>
    </row>
    <row r="2610" spans="9:10" x14ac:dyDescent="0.2">
      <c r="I2610" s="353"/>
      <c r="J2610" s="353"/>
    </row>
    <row r="2611" spans="9:10" x14ac:dyDescent="0.2">
      <c r="I2611" s="353"/>
      <c r="J2611" s="353"/>
    </row>
    <row r="2612" spans="9:10" x14ac:dyDescent="0.2">
      <c r="I2612" s="353"/>
      <c r="J2612" s="353"/>
    </row>
    <row r="2613" spans="9:10" x14ac:dyDescent="0.2">
      <c r="I2613" s="353"/>
      <c r="J2613" s="353"/>
    </row>
    <row r="2614" spans="9:10" x14ac:dyDescent="0.2">
      <c r="I2614" s="353"/>
      <c r="J2614" s="353"/>
    </row>
    <row r="2615" spans="9:10" x14ac:dyDescent="0.2">
      <c r="I2615" s="353"/>
      <c r="J2615" s="353"/>
    </row>
    <row r="2616" spans="9:10" x14ac:dyDescent="0.2">
      <c r="I2616" s="353"/>
      <c r="J2616" s="353"/>
    </row>
    <row r="2617" spans="9:10" x14ac:dyDescent="0.2">
      <c r="I2617" s="353"/>
      <c r="J2617" s="353"/>
    </row>
    <row r="2618" spans="9:10" x14ac:dyDescent="0.2">
      <c r="I2618" s="353"/>
      <c r="J2618" s="353"/>
    </row>
    <row r="2619" spans="9:10" x14ac:dyDescent="0.2">
      <c r="I2619" s="353"/>
      <c r="J2619" s="353"/>
    </row>
    <row r="2620" spans="9:10" x14ac:dyDescent="0.2">
      <c r="I2620" s="353"/>
      <c r="J2620" s="353"/>
    </row>
    <row r="2621" spans="9:10" x14ac:dyDescent="0.2">
      <c r="I2621" s="353"/>
      <c r="J2621" s="353"/>
    </row>
    <row r="2622" spans="9:10" x14ac:dyDescent="0.2">
      <c r="I2622" s="353"/>
      <c r="J2622" s="353"/>
    </row>
    <row r="2623" spans="9:10" x14ac:dyDescent="0.2">
      <c r="I2623" s="353"/>
      <c r="J2623" s="353"/>
    </row>
    <row r="2624" spans="9:10" x14ac:dyDescent="0.2">
      <c r="I2624" s="353"/>
      <c r="J2624" s="353"/>
    </row>
    <row r="2625" spans="9:10" x14ac:dyDescent="0.2">
      <c r="I2625" s="353"/>
      <c r="J2625" s="353"/>
    </row>
    <row r="2626" spans="9:10" x14ac:dyDescent="0.2">
      <c r="I2626" s="353"/>
      <c r="J2626" s="353"/>
    </row>
    <row r="2627" spans="9:10" x14ac:dyDescent="0.2">
      <c r="I2627" s="353"/>
      <c r="J2627" s="353"/>
    </row>
    <row r="2628" spans="9:10" x14ac:dyDescent="0.2">
      <c r="I2628" s="353"/>
      <c r="J2628" s="353"/>
    </row>
    <row r="2629" spans="9:10" x14ac:dyDescent="0.2">
      <c r="I2629" s="353"/>
      <c r="J2629" s="353"/>
    </row>
    <row r="2630" spans="9:10" x14ac:dyDescent="0.2">
      <c r="I2630" s="353"/>
      <c r="J2630" s="353"/>
    </row>
    <row r="2631" spans="9:10" x14ac:dyDescent="0.2">
      <c r="I2631" s="353"/>
      <c r="J2631" s="353"/>
    </row>
    <row r="2632" spans="9:10" x14ac:dyDescent="0.2">
      <c r="I2632" s="353"/>
      <c r="J2632" s="353"/>
    </row>
    <row r="2633" spans="9:10" x14ac:dyDescent="0.2">
      <c r="I2633" s="353"/>
      <c r="J2633" s="353"/>
    </row>
    <row r="2634" spans="9:10" x14ac:dyDescent="0.2">
      <c r="I2634" s="353"/>
      <c r="J2634" s="353"/>
    </row>
    <row r="2635" spans="9:10" x14ac:dyDescent="0.2">
      <c r="I2635" s="353"/>
      <c r="J2635" s="353"/>
    </row>
    <row r="2636" spans="9:10" x14ac:dyDescent="0.2">
      <c r="I2636" s="353"/>
      <c r="J2636" s="353"/>
    </row>
    <row r="2637" spans="9:10" x14ac:dyDescent="0.2">
      <c r="I2637" s="353"/>
      <c r="J2637" s="353"/>
    </row>
    <row r="2638" spans="9:10" x14ac:dyDescent="0.2">
      <c r="I2638" s="353"/>
      <c r="J2638" s="353"/>
    </row>
    <row r="2639" spans="9:10" x14ac:dyDescent="0.2">
      <c r="I2639" s="353"/>
      <c r="J2639" s="353"/>
    </row>
    <row r="2640" spans="9:10" x14ac:dyDescent="0.2">
      <c r="I2640" s="353"/>
      <c r="J2640" s="353"/>
    </row>
    <row r="2641" spans="9:10" x14ac:dyDescent="0.2">
      <c r="I2641" s="353"/>
      <c r="J2641" s="353"/>
    </row>
    <row r="2642" spans="9:10" x14ac:dyDescent="0.2">
      <c r="I2642" s="353"/>
      <c r="J2642" s="353"/>
    </row>
    <row r="2643" spans="9:10" x14ac:dyDescent="0.2">
      <c r="I2643" s="353"/>
      <c r="J2643" s="353"/>
    </row>
    <row r="2644" spans="9:10" x14ac:dyDescent="0.2">
      <c r="I2644" s="353"/>
      <c r="J2644" s="353"/>
    </row>
    <row r="2645" spans="9:10" x14ac:dyDescent="0.2">
      <c r="I2645" s="353"/>
      <c r="J2645" s="353"/>
    </row>
    <row r="2646" spans="9:10" x14ac:dyDescent="0.2">
      <c r="I2646" s="353"/>
      <c r="J2646" s="353"/>
    </row>
    <row r="2647" spans="9:10" x14ac:dyDescent="0.2">
      <c r="I2647" s="353"/>
      <c r="J2647" s="353"/>
    </row>
    <row r="2648" spans="9:10" x14ac:dyDescent="0.2">
      <c r="I2648" s="353"/>
      <c r="J2648" s="353"/>
    </row>
    <row r="2649" spans="9:10" x14ac:dyDescent="0.2">
      <c r="I2649" s="353"/>
      <c r="J2649" s="353"/>
    </row>
    <row r="2650" spans="9:10" x14ac:dyDescent="0.2">
      <c r="I2650" s="353"/>
      <c r="J2650" s="353"/>
    </row>
    <row r="2651" spans="9:10" x14ac:dyDescent="0.2">
      <c r="I2651" s="353"/>
      <c r="J2651" s="353"/>
    </row>
    <row r="2652" spans="9:10" x14ac:dyDescent="0.2">
      <c r="I2652" s="353"/>
      <c r="J2652" s="353"/>
    </row>
    <row r="2653" spans="9:10" x14ac:dyDescent="0.2">
      <c r="I2653" s="353"/>
      <c r="J2653" s="353"/>
    </row>
    <row r="2654" spans="9:10" x14ac:dyDescent="0.2">
      <c r="I2654" s="353"/>
      <c r="J2654" s="353"/>
    </row>
    <row r="2655" spans="9:10" x14ac:dyDescent="0.2">
      <c r="I2655" s="353"/>
      <c r="J2655" s="353"/>
    </row>
    <row r="2656" spans="9:10" x14ac:dyDescent="0.2">
      <c r="I2656" s="353"/>
      <c r="J2656" s="353"/>
    </row>
    <row r="2657" spans="9:10" x14ac:dyDescent="0.2">
      <c r="I2657" s="353"/>
      <c r="J2657" s="353"/>
    </row>
    <row r="2658" spans="9:10" x14ac:dyDescent="0.2">
      <c r="I2658" s="353"/>
      <c r="J2658" s="353"/>
    </row>
    <row r="2659" spans="9:10" x14ac:dyDescent="0.2">
      <c r="I2659" s="353"/>
      <c r="J2659" s="353"/>
    </row>
    <row r="2660" spans="9:10" x14ac:dyDescent="0.2">
      <c r="I2660" s="353"/>
      <c r="J2660" s="353"/>
    </row>
    <row r="2661" spans="9:10" x14ac:dyDescent="0.2">
      <c r="I2661" s="353"/>
      <c r="J2661" s="353"/>
    </row>
    <row r="2662" spans="9:10" x14ac:dyDescent="0.2">
      <c r="I2662" s="353"/>
      <c r="J2662" s="353"/>
    </row>
    <row r="2663" spans="9:10" x14ac:dyDescent="0.2">
      <c r="I2663" s="353"/>
      <c r="J2663" s="353"/>
    </row>
    <row r="2664" spans="9:10" x14ac:dyDescent="0.2">
      <c r="I2664" s="353"/>
      <c r="J2664" s="353"/>
    </row>
    <row r="2665" spans="9:10" x14ac:dyDescent="0.2">
      <c r="I2665" s="353"/>
      <c r="J2665" s="353"/>
    </row>
    <row r="2666" spans="9:10" x14ac:dyDescent="0.2">
      <c r="I2666" s="353"/>
      <c r="J2666" s="353"/>
    </row>
    <row r="2667" spans="9:10" x14ac:dyDescent="0.2">
      <c r="I2667" s="353"/>
      <c r="J2667" s="353"/>
    </row>
    <row r="2668" spans="9:10" x14ac:dyDescent="0.2">
      <c r="I2668" s="353"/>
      <c r="J2668" s="353"/>
    </row>
    <row r="2669" spans="9:10" x14ac:dyDescent="0.2">
      <c r="I2669" s="353"/>
      <c r="J2669" s="353"/>
    </row>
    <row r="2670" spans="9:10" x14ac:dyDescent="0.2">
      <c r="I2670" s="353"/>
      <c r="J2670" s="353"/>
    </row>
    <row r="2671" spans="9:10" x14ac:dyDescent="0.2">
      <c r="I2671" s="353"/>
      <c r="J2671" s="353"/>
    </row>
    <row r="2672" spans="9:10" x14ac:dyDescent="0.2">
      <c r="I2672" s="353"/>
      <c r="J2672" s="353"/>
    </row>
    <row r="2673" spans="9:10" x14ac:dyDescent="0.2">
      <c r="I2673" s="353"/>
      <c r="J2673" s="353"/>
    </row>
    <row r="2674" spans="9:10" x14ac:dyDescent="0.2">
      <c r="I2674" s="353"/>
      <c r="J2674" s="353"/>
    </row>
    <row r="2675" spans="9:10" x14ac:dyDescent="0.2">
      <c r="I2675" s="353"/>
      <c r="J2675" s="353"/>
    </row>
    <row r="2676" spans="9:10" x14ac:dyDescent="0.2">
      <c r="I2676" s="353"/>
      <c r="J2676" s="353"/>
    </row>
    <row r="2677" spans="9:10" x14ac:dyDescent="0.2">
      <c r="I2677" s="353"/>
      <c r="J2677" s="353"/>
    </row>
    <row r="2678" spans="9:10" x14ac:dyDescent="0.2">
      <c r="I2678" s="353"/>
      <c r="J2678" s="353"/>
    </row>
    <row r="2679" spans="9:10" x14ac:dyDescent="0.2">
      <c r="I2679" s="353"/>
      <c r="J2679" s="353"/>
    </row>
    <row r="2680" spans="9:10" x14ac:dyDescent="0.2">
      <c r="I2680" s="353"/>
      <c r="J2680" s="353"/>
    </row>
    <row r="2681" spans="9:10" x14ac:dyDescent="0.2">
      <c r="I2681" s="353"/>
      <c r="J2681" s="353"/>
    </row>
    <row r="2682" spans="9:10" x14ac:dyDescent="0.2">
      <c r="I2682" s="353"/>
      <c r="J2682" s="353"/>
    </row>
    <row r="2683" spans="9:10" x14ac:dyDescent="0.2">
      <c r="I2683" s="353"/>
      <c r="J2683" s="353"/>
    </row>
    <row r="2684" spans="9:10" x14ac:dyDescent="0.2">
      <c r="I2684" s="353"/>
      <c r="J2684" s="353"/>
    </row>
    <row r="2685" spans="9:10" x14ac:dyDescent="0.2">
      <c r="I2685" s="353"/>
      <c r="J2685" s="353"/>
    </row>
    <row r="2686" spans="9:10" x14ac:dyDescent="0.2">
      <c r="I2686" s="353"/>
      <c r="J2686" s="353"/>
    </row>
    <row r="2687" spans="9:10" x14ac:dyDescent="0.2">
      <c r="I2687" s="353"/>
      <c r="J2687" s="353"/>
    </row>
    <row r="2688" spans="9:10" x14ac:dyDescent="0.2">
      <c r="I2688" s="353"/>
      <c r="J2688" s="353"/>
    </row>
    <row r="2689" spans="9:10" x14ac:dyDescent="0.2">
      <c r="I2689" s="353"/>
      <c r="J2689" s="353"/>
    </row>
    <row r="2690" spans="9:10" x14ac:dyDescent="0.2">
      <c r="I2690" s="353"/>
      <c r="J2690" s="353"/>
    </row>
    <row r="2691" spans="9:10" x14ac:dyDescent="0.2">
      <c r="I2691" s="353"/>
      <c r="J2691" s="353"/>
    </row>
    <row r="2692" spans="9:10" x14ac:dyDescent="0.2">
      <c r="I2692" s="353"/>
      <c r="J2692" s="353"/>
    </row>
    <row r="2693" spans="9:10" x14ac:dyDescent="0.2">
      <c r="I2693" s="353"/>
      <c r="J2693" s="353"/>
    </row>
    <row r="2694" spans="9:10" x14ac:dyDescent="0.2">
      <c r="I2694" s="353"/>
      <c r="J2694" s="353"/>
    </row>
    <row r="2695" spans="9:10" x14ac:dyDescent="0.2">
      <c r="I2695" s="353"/>
      <c r="J2695" s="353"/>
    </row>
    <row r="2696" spans="9:10" x14ac:dyDescent="0.2">
      <c r="I2696" s="353"/>
      <c r="J2696" s="353"/>
    </row>
    <row r="2697" spans="9:10" x14ac:dyDescent="0.2">
      <c r="I2697" s="353"/>
      <c r="J2697" s="353"/>
    </row>
    <row r="2698" spans="9:10" x14ac:dyDescent="0.2">
      <c r="I2698" s="353"/>
      <c r="J2698" s="353"/>
    </row>
    <row r="2699" spans="9:10" x14ac:dyDescent="0.2">
      <c r="I2699" s="353"/>
      <c r="J2699" s="353"/>
    </row>
    <row r="2700" spans="9:10" x14ac:dyDescent="0.2">
      <c r="I2700" s="353"/>
      <c r="J2700" s="353"/>
    </row>
    <row r="2701" spans="9:10" x14ac:dyDescent="0.2">
      <c r="I2701" s="353"/>
      <c r="J2701" s="353"/>
    </row>
    <row r="2702" spans="9:10" x14ac:dyDescent="0.2">
      <c r="I2702" s="353"/>
      <c r="J2702" s="353"/>
    </row>
    <row r="2703" spans="9:10" x14ac:dyDescent="0.2">
      <c r="I2703" s="353"/>
      <c r="J2703" s="353"/>
    </row>
    <row r="2704" spans="9:10" x14ac:dyDescent="0.2">
      <c r="I2704" s="353"/>
      <c r="J2704" s="353"/>
    </row>
    <row r="2705" spans="9:10" x14ac:dyDescent="0.2">
      <c r="I2705" s="353"/>
      <c r="J2705" s="353"/>
    </row>
    <row r="2706" spans="9:10" x14ac:dyDescent="0.2">
      <c r="I2706" s="353"/>
      <c r="J2706" s="353"/>
    </row>
    <row r="2707" spans="9:10" x14ac:dyDescent="0.2">
      <c r="I2707" s="353"/>
      <c r="J2707" s="353"/>
    </row>
    <row r="2708" spans="9:10" x14ac:dyDescent="0.2">
      <c r="I2708" s="353"/>
      <c r="J2708" s="353"/>
    </row>
    <row r="2709" spans="9:10" x14ac:dyDescent="0.2">
      <c r="I2709" s="353"/>
      <c r="J2709" s="353"/>
    </row>
    <row r="2710" spans="9:10" x14ac:dyDescent="0.2">
      <c r="I2710" s="353"/>
      <c r="J2710" s="353"/>
    </row>
    <row r="2711" spans="9:10" x14ac:dyDescent="0.2">
      <c r="I2711" s="353"/>
      <c r="J2711" s="353"/>
    </row>
    <row r="2712" spans="9:10" x14ac:dyDescent="0.2">
      <c r="I2712" s="353"/>
      <c r="J2712" s="353"/>
    </row>
    <row r="2713" spans="9:10" x14ac:dyDescent="0.2">
      <c r="I2713" s="353"/>
      <c r="J2713" s="353"/>
    </row>
    <row r="2714" spans="9:10" x14ac:dyDescent="0.2">
      <c r="I2714" s="353"/>
      <c r="J2714" s="353"/>
    </row>
    <row r="2715" spans="9:10" x14ac:dyDescent="0.2">
      <c r="I2715" s="353"/>
      <c r="J2715" s="353"/>
    </row>
    <row r="2716" spans="9:10" x14ac:dyDescent="0.2">
      <c r="I2716" s="353"/>
      <c r="J2716" s="353"/>
    </row>
    <row r="2717" spans="9:10" x14ac:dyDescent="0.2">
      <c r="I2717" s="353"/>
      <c r="J2717" s="353"/>
    </row>
    <row r="2718" spans="9:10" x14ac:dyDescent="0.2">
      <c r="I2718" s="353"/>
      <c r="J2718" s="353"/>
    </row>
    <row r="2719" spans="9:10" x14ac:dyDescent="0.2">
      <c r="I2719" s="353"/>
      <c r="J2719" s="353"/>
    </row>
    <row r="2720" spans="9:10" x14ac:dyDescent="0.2">
      <c r="I2720" s="353"/>
      <c r="J2720" s="353"/>
    </row>
    <row r="2721" spans="9:10" x14ac:dyDescent="0.2">
      <c r="I2721" s="353"/>
      <c r="J2721" s="353"/>
    </row>
    <row r="2722" spans="9:10" x14ac:dyDescent="0.2">
      <c r="I2722" s="353"/>
      <c r="J2722" s="353"/>
    </row>
    <row r="2723" spans="9:10" x14ac:dyDescent="0.2">
      <c r="I2723" s="353"/>
      <c r="J2723" s="353"/>
    </row>
    <row r="2724" spans="9:10" x14ac:dyDescent="0.2">
      <c r="I2724" s="353"/>
      <c r="J2724" s="353"/>
    </row>
    <row r="2725" spans="9:10" x14ac:dyDescent="0.2">
      <c r="I2725" s="353"/>
      <c r="J2725" s="353"/>
    </row>
    <row r="2726" spans="9:10" x14ac:dyDescent="0.2">
      <c r="I2726" s="353"/>
      <c r="J2726" s="353"/>
    </row>
    <row r="2727" spans="9:10" x14ac:dyDescent="0.2">
      <c r="I2727" s="353"/>
      <c r="J2727" s="353"/>
    </row>
    <row r="2728" spans="9:10" x14ac:dyDescent="0.2">
      <c r="I2728" s="353"/>
      <c r="J2728" s="353"/>
    </row>
    <row r="2729" spans="9:10" x14ac:dyDescent="0.2">
      <c r="I2729" s="353"/>
      <c r="J2729" s="353"/>
    </row>
    <row r="2730" spans="9:10" x14ac:dyDescent="0.2">
      <c r="I2730" s="353"/>
      <c r="J2730" s="353"/>
    </row>
    <row r="2731" spans="9:10" x14ac:dyDescent="0.2">
      <c r="I2731" s="353"/>
      <c r="J2731" s="353"/>
    </row>
    <row r="2732" spans="9:10" x14ac:dyDescent="0.2">
      <c r="I2732" s="353"/>
      <c r="J2732" s="353"/>
    </row>
    <row r="2733" spans="9:10" x14ac:dyDescent="0.2">
      <c r="I2733" s="353"/>
      <c r="J2733" s="353"/>
    </row>
    <row r="2734" spans="9:10" x14ac:dyDescent="0.2">
      <c r="I2734" s="353"/>
      <c r="J2734" s="353"/>
    </row>
    <row r="2735" spans="9:10" x14ac:dyDescent="0.2">
      <c r="I2735" s="353"/>
      <c r="J2735" s="353"/>
    </row>
    <row r="2736" spans="9:10" x14ac:dyDescent="0.2">
      <c r="I2736" s="353"/>
      <c r="J2736" s="353"/>
    </row>
    <row r="2737" spans="9:10" x14ac:dyDescent="0.2">
      <c r="I2737" s="353"/>
      <c r="J2737" s="353"/>
    </row>
    <row r="2738" spans="9:10" x14ac:dyDescent="0.2">
      <c r="I2738" s="353"/>
      <c r="J2738" s="353"/>
    </row>
    <row r="2739" spans="9:10" x14ac:dyDescent="0.2">
      <c r="I2739" s="353"/>
      <c r="J2739" s="353"/>
    </row>
    <row r="2740" spans="9:10" x14ac:dyDescent="0.2">
      <c r="I2740" s="353"/>
      <c r="J2740" s="353"/>
    </row>
    <row r="2741" spans="9:10" x14ac:dyDescent="0.2">
      <c r="I2741" s="353"/>
      <c r="J2741" s="353"/>
    </row>
    <row r="2742" spans="9:10" x14ac:dyDescent="0.2">
      <c r="I2742" s="353"/>
      <c r="J2742" s="353"/>
    </row>
    <row r="2743" spans="9:10" x14ac:dyDescent="0.2">
      <c r="I2743" s="353"/>
      <c r="J2743" s="353"/>
    </row>
    <row r="2744" spans="9:10" x14ac:dyDescent="0.2">
      <c r="I2744" s="353"/>
      <c r="J2744" s="353"/>
    </row>
    <row r="2745" spans="9:10" x14ac:dyDescent="0.2">
      <c r="I2745" s="353"/>
      <c r="J2745" s="353"/>
    </row>
    <row r="2746" spans="9:10" x14ac:dyDescent="0.2">
      <c r="I2746" s="353"/>
      <c r="J2746" s="353"/>
    </row>
    <row r="2747" spans="9:10" x14ac:dyDescent="0.2">
      <c r="I2747" s="353"/>
      <c r="J2747" s="353"/>
    </row>
    <row r="2748" spans="9:10" x14ac:dyDescent="0.2">
      <c r="I2748" s="353"/>
      <c r="J2748" s="353"/>
    </row>
    <row r="2749" spans="9:10" x14ac:dyDescent="0.2">
      <c r="I2749" s="353"/>
      <c r="J2749" s="353"/>
    </row>
    <row r="2750" spans="9:10" x14ac:dyDescent="0.2">
      <c r="I2750" s="353"/>
      <c r="J2750" s="353"/>
    </row>
    <row r="2751" spans="9:10" x14ac:dyDescent="0.2">
      <c r="I2751" s="353"/>
      <c r="J2751" s="353"/>
    </row>
    <row r="2752" spans="9:10" x14ac:dyDescent="0.2">
      <c r="I2752" s="353"/>
      <c r="J2752" s="353"/>
    </row>
    <row r="2753" spans="9:10" x14ac:dyDescent="0.2">
      <c r="I2753" s="353"/>
      <c r="J2753" s="353"/>
    </row>
    <row r="2754" spans="9:10" x14ac:dyDescent="0.2">
      <c r="I2754" s="353"/>
      <c r="J2754" s="353"/>
    </row>
    <row r="2755" spans="9:10" x14ac:dyDescent="0.2">
      <c r="I2755" s="353"/>
      <c r="J2755" s="353"/>
    </row>
    <row r="2756" spans="9:10" x14ac:dyDescent="0.2">
      <c r="I2756" s="353"/>
      <c r="J2756" s="353"/>
    </row>
    <row r="2757" spans="9:10" x14ac:dyDescent="0.2">
      <c r="I2757" s="353"/>
      <c r="J2757" s="353"/>
    </row>
    <row r="2758" spans="9:10" x14ac:dyDescent="0.2">
      <c r="I2758" s="353"/>
      <c r="J2758" s="353"/>
    </row>
    <row r="2759" spans="9:10" x14ac:dyDescent="0.2">
      <c r="I2759" s="353"/>
      <c r="J2759" s="353"/>
    </row>
    <row r="2760" spans="9:10" x14ac:dyDescent="0.2">
      <c r="I2760" s="353"/>
      <c r="J2760" s="353"/>
    </row>
    <row r="2761" spans="9:10" x14ac:dyDescent="0.2">
      <c r="I2761" s="353"/>
      <c r="J2761" s="353"/>
    </row>
    <row r="2762" spans="9:10" x14ac:dyDescent="0.2">
      <c r="I2762" s="353"/>
      <c r="J2762" s="353"/>
    </row>
    <row r="2763" spans="9:10" x14ac:dyDescent="0.2">
      <c r="I2763" s="353"/>
      <c r="J2763" s="353"/>
    </row>
    <row r="2764" spans="9:10" x14ac:dyDescent="0.2">
      <c r="I2764" s="353"/>
      <c r="J2764" s="353"/>
    </row>
    <row r="2765" spans="9:10" x14ac:dyDescent="0.2">
      <c r="I2765" s="353"/>
      <c r="J2765" s="353"/>
    </row>
    <row r="2766" spans="9:10" x14ac:dyDescent="0.2">
      <c r="I2766" s="353"/>
      <c r="J2766" s="353"/>
    </row>
    <row r="2767" spans="9:10" x14ac:dyDescent="0.2">
      <c r="I2767" s="353"/>
      <c r="J2767" s="353"/>
    </row>
    <row r="2768" spans="9:10" x14ac:dyDescent="0.2">
      <c r="I2768" s="353"/>
      <c r="J2768" s="353"/>
    </row>
    <row r="2769" spans="9:10" x14ac:dyDescent="0.2">
      <c r="I2769" s="353"/>
      <c r="J2769" s="353"/>
    </row>
    <row r="2770" spans="9:10" x14ac:dyDescent="0.2">
      <c r="I2770" s="353"/>
      <c r="J2770" s="353"/>
    </row>
    <row r="2771" spans="9:10" x14ac:dyDescent="0.2">
      <c r="I2771" s="353"/>
      <c r="J2771" s="353"/>
    </row>
    <row r="2772" spans="9:10" x14ac:dyDescent="0.2">
      <c r="I2772" s="353"/>
      <c r="J2772" s="353"/>
    </row>
    <row r="2773" spans="9:10" x14ac:dyDescent="0.2">
      <c r="I2773" s="353"/>
      <c r="J2773" s="353"/>
    </row>
    <row r="2774" spans="9:10" x14ac:dyDescent="0.2">
      <c r="I2774" s="353"/>
      <c r="J2774" s="353"/>
    </row>
    <row r="2775" spans="9:10" x14ac:dyDescent="0.2">
      <c r="I2775" s="353"/>
      <c r="J2775" s="353"/>
    </row>
    <row r="2776" spans="9:10" x14ac:dyDescent="0.2">
      <c r="I2776" s="353"/>
      <c r="J2776" s="353"/>
    </row>
    <row r="2777" spans="9:10" x14ac:dyDescent="0.2">
      <c r="I2777" s="353"/>
      <c r="J2777" s="353"/>
    </row>
    <row r="2778" spans="9:10" x14ac:dyDescent="0.2">
      <c r="I2778" s="353"/>
      <c r="J2778" s="353"/>
    </row>
    <row r="2779" spans="9:10" x14ac:dyDescent="0.2">
      <c r="I2779" s="353"/>
      <c r="J2779" s="353"/>
    </row>
    <row r="2780" spans="9:10" x14ac:dyDescent="0.2">
      <c r="I2780" s="353"/>
      <c r="J2780" s="353"/>
    </row>
    <row r="2781" spans="9:10" x14ac:dyDescent="0.2">
      <c r="I2781" s="353"/>
      <c r="J2781" s="353"/>
    </row>
    <row r="2782" spans="9:10" x14ac:dyDescent="0.2">
      <c r="I2782" s="353"/>
      <c r="J2782" s="353"/>
    </row>
    <row r="2783" spans="9:10" x14ac:dyDescent="0.2">
      <c r="I2783" s="353"/>
      <c r="J2783" s="353"/>
    </row>
    <row r="2784" spans="9:10" x14ac:dyDescent="0.2">
      <c r="I2784" s="353"/>
      <c r="J2784" s="353"/>
    </row>
    <row r="2785" spans="9:10" x14ac:dyDescent="0.2">
      <c r="I2785" s="353"/>
      <c r="J2785" s="353"/>
    </row>
    <row r="2786" spans="9:10" x14ac:dyDescent="0.2">
      <c r="I2786" s="353"/>
      <c r="J2786" s="353"/>
    </row>
    <row r="2787" spans="9:10" x14ac:dyDescent="0.2">
      <c r="I2787" s="353"/>
      <c r="J2787" s="353"/>
    </row>
    <row r="2788" spans="9:10" x14ac:dyDescent="0.2">
      <c r="I2788" s="353"/>
      <c r="J2788" s="353"/>
    </row>
    <row r="2789" spans="9:10" x14ac:dyDescent="0.2">
      <c r="I2789" s="353"/>
      <c r="J2789" s="353"/>
    </row>
    <row r="2790" spans="9:10" x14ac:dyDescent="0.2">
      <c r="I2790" s="353"/>
      <c r="J2790" s="353"/>
    </row>
    <row r="2791" spans="9:10" x14ac:dyDescent="0.2">
      <c r="I2791" s="353"/>
      <c r="J2791" s="353"/>
    </row>
    <row r="2792" spans="9:10" x14ac:dyDescent="0.2">
      <c r="I2792" s="353"/>
      <c r="J2792" s="353"/>
    </row>
    <row r="2793" spans="9:10" x14ac:dyDescent="0.2">
      <c r="I2793" s="353"/>
      <c r="J2793" s="353"/>
    </row>
    <row r="2794" spans="9:10" x14ac:dyDescent="0.2">
      <c r="I2794" s="353"/>
      <c r="J2794" s="353"/>
    </row>
    <row r="2795" spans="9:10" x14ac:dyDescent="0.2">
      <c r="I2795" s="353"/>
      <c r="J2795" s="353"/>
    </row>
    <row r="2796" spans="9:10" x14ac:dyDescent="0.2">
      <c r="I2796" s="353"/>
      <c r="J2796" s="353"/>
    </row>
    <row r="2797" spans="9:10" x14ac:dyDescent="0.2">
      <c r="I2797" s="353"/>
      <c r="J2797" s="353"/>
    </row>
    <row r="2798" spans="9:10" x14ac:dyDescent="0.2">
      <c r="I2798" s="353"/>
      <c r="J2798" s="353"/>
    </row>
    <row r="2799" spans="9:10" x14ac:dyDescent="0.2">
      <c r="I2799" s="353"/>
      <c r="J2799" s="353"/>
    </row>
    <row r="2800" spans="9:10" x14ac:dyDescent="0.2">
      <c r="I2800" s="353"/>
      <c r="J2800" s="353"/>
    </row>
    <row r="2801" spans="9:10" x14ac:dyDescent="0.2">
      <c r="I2801" s="353"/>
      <c r="J2801" s="353"/>
    </row>
    <row r="2802" spans="9:10" x14ac:dyDescent="0.2">
      <c r="I2802" s="353"/>
      <c r="J2802" s="353"/>
    </row>
    <row r="2803" spans="9:10" x14ac:dyDescent="0.2">
      <c r="I2803" s="353"/>
      <c r="J2803" s="353"/>
    </row>
    <row r="2804" spans="9:10" x14ac:dyDescent="0.2">
      <c r="I2804" s="353"/>
      <c r="J2804" s="353"/>
    </row>
    <row r="2805" spans="9:10" x14ac:dyDescent="0.2">
      <c r="I2805" s="353"/>
      <c r="J2805" s="353"/>
    </row>
    <row r="2806" spans="9:10" x14ac:dyDescent="0.2">
      <c r="I2806" s="353"/>
      <c r="J2806" s="353"/>
    </row>
    <row r="2807" spans="9:10" x14ac:dyDescent="0.2">
      <c r="I2807" s="353"/>
      <c r="J2807" s="353"/>
    </row>
    <row r="2808" spans="9:10" x14ac:dyDescent="0.2">
      <c r="I2808" s="353"/>
      <c r="J2808" s="353"/>
    </row>
    <row r="2809" spans="9:10" x14ac:dyDescent="0.2">
      <c r="I2809" s="353"/>
      <c r="J2809" s="353"/>
    </row>
    <row r="2810" spans="9:10" x14ac:dyDescent="0.2">
      <c r="I2810" s="353"/>
      <c r="J2810" s="353"/>
    </row>
    <row r="2811" spans="9:10" x14ac:dyDescent="0.2">
      <c r="I2811" s="353"/>
      <c r="J2811" s="353"/>
    </row>
    <row r="2812" spans="9:10" x14ac:dyDescent="0.2">
      <c r="I2812" s="353"/>
      <c r="J2812" s="353"/>
    </row>
    <row r="2813" spans="9:10" x14ac:dyDescent="0.2">
      <c r="I2813" s="353"/>
      <c r="J2813" s="353"/>
    </row>
    <row r="2814" spans="9:10" x14ac:dyDescent="0.2">
      <c r="I2814" s="353"/>
      <c r="J2814" s="353"/>
    </row>
    <row r="2815" spans="9:10" x14ac:dyDescent="0.2">
      <c r="I2815" s="353"/>
      <c r="J2815" s="353"/>
    </row>
    <row r="2816" spans="9:10" x14ac:dyDescent="0.2">
      <c r="I2816" s="353"/>
      <c r="J2816" s="353"/>
    </row>
    <row r="2817" spans="9:10" x14ac:dyDescent="0.2">
      <c r="I2817" s="353"/>
      <c r="J2817" s="353"/>
    </row>
    <row r="2818" spans="9:10" x14ac:dyDescent="0.2">
      <c r="I2818" s="353"/>
      <c r="J2818" s="353"/>
    </row>
    <row r="2819" spans="9:10" x14ac:dyDescent="0.2">
      <c r="I2819" s="353"/>
      <c r="J2819" s="353"/>
    </row>
    <row r="2820" spans="9:10" x14ac:dyDescent="0.2">
      <c r="I2820" s="353"/>
      <c r="J2820" s="353"/>
    </row>
    <row r="2821" spans="9:10" x14ac:dyDescent="0.2">
      <c r="J2821" s="353"/>
    </row>
    <row r="2822" spans="9:10" x14ac:dyDescent="0.2">
      <c r="J2822" s="353"/>
    </row>
    <row r="2823" spans="9:10" x14ac:dyDescent="0.2">
      <c r="J2823" s="353"/>
    </row>
    <row r="2824" spans="9:10" x14ac:dyDescent="0.2">
      <c r="J2824" s="353"/>
    </row>
    <row r="2825" spans="9:10" x14ac:dyDescent="0.2">
      <c r="J2825" s="353"/>
    </row>
    <row r="2826" spans="9:10" x14ac:dyDescent="0.2">
      <c r="J2826" s="353"/>
    </row>
    <row r="2827" spans="9:10" x14ac:dyDescent="0.2">
      <c r="J2827" s="353"/>
    </row>
    <row r="2828" spans="9:10" x14ac:dyDescent="0.2">
      <c r="J2828" s="353"/>
    </row>
    <row r="2829" spans="9:10" x14ac:dyDescent="0.2">
      <c r="J2829" s="353"/>
    </row>
    <row r="2830" spans="9:10" x14ac:dyDescent="0.2">
      <c r="J2830" s="353"/>
    </row>
    <row r="2831" spans="9:10" x14ac:dyDescent="0.2">
      <c r="J2831" s="353"/>
    </row>
    <row r="2832" spans="9:10" x14ac:dyDescent="0.2">
      <c r="J2832" s="353"/>
    </row>
    <row r="2833" spans="10:10" x14ac:dyDescent="0.2">
      <c r="J2833" s="353"/>
    </row>
    <row r="2834" spans="10:10" x14ac:dyDescent="0.2">
      <c r="J2834" s="353"/>
    </row>
    <row r="2835" spans="10:10" x14ac:dyDescent="0.2">
      <c r="J2835" s="353"/>
    </row>
    <row r="2836" spans="10:10" x14ac:dyDescent="0.2">
      <c r="J2836" s="353"/>
    </row>
    <row r="2837" spans="10:10" x14ac:dyDescent="0.2">
      <c r="J2837" s="353"/>
    </row>
    <row r="2838" spans="10:10" x14ac:dyDescent="0.2">
      <c r="J2838" s="353"/>
    </row>
    <row r="2839" spans="10:10" x14ac:dyDescent="0.2">
      <c r="J2839" s="353"/>
    </row>
    <row r="2840" spans="10:10" x14ac:dyDescent="0.2">
      <c r="J2840" s="353"/>
    </row>
    <row r="2841" spans="10:10" x14ac:dyDescent="0.2">
      <c r="J2841" s="353"/>
    </row>
    <row r="2842" spans="10:10" x14ac:dyDescent="0.2">
      <c r="J2842" s="353"/>
    </row>
    <row r="2843" spans="10:10" x14ac:dyDescent="0.2">
      <c r="J2843" s="353"/>
    </row>
    <row r="2844" spans="10:10" x14ac:dyDescent="0.2">
      <c r="J2844" s="353"/>
    </row>
    <row r="2845" spans="10:10" x14ac:dyDescent="0.2">
      <c r="J2845" s="353"/>
    </row>
    <row r="2846" spans="10:10" x14ac:dyDescent="0.2">
      <c r="J2846" s="353"/>
    </row>
    <row r="2847" spans="10:10" x14ac:dyDescent="0.2">
      <c r="J2847" s="353"/>
    </row>
    <row r="2848" spans="10:10" x14ac:dyDescent="0.2">
      <c r="J2848" s="353"/>
    </row>
    <row r="2849" spans="10:10" x14ac:dyDescent="0.2">
      <c r="J2849" s="353"/>
    </row>
    <row r="2850" spans="10:10" x14ac:dyDescent="0.2">
      <c r="J2850" s="353"/>
    </row>
    <row r="2851" spans="10:10" x14ac:dyDescent="0.2">
      <c r="J2851" s="353"/>
    </row>
    <row r="2852" spans="10:10" x14ac:dyDescent="0.2">
      <c r="J2852" s="353"/>
    </row>
    <row r="2853" spans="10:10" x14ac:dyDescent="0.2">
      <c r="J2853" s="353"/>
    </row>
    <row r="2854" spans="10:10" x14ac:dyDescent="0.2">
      <c r="J2854" s="353"/>
    </row>
    <row r="2855" spans="10:10" x14ac:dyDescent="0.2">
      <c r="J2855" s="353"/>
    </row>
    <row r="2856" spans="10:10" x14ac:dyDescent="0.2">
      <c r="J2856" s="353"/>
    </row>
    <row r="2857" spans="10:10" x14ac:dyDescent="0.2">
      <c r="J2857" s="353"/>
    </row>
    <row r="2858" spans="10:10" x14ac:dyDescent="0.2">
      <c r="J2858" s="353"/>
    </row>
    <row r="2859" spans="10:10" x14ac:dyDescent="0.2">
      <c r="J2859" s="353"/>
    </row>
    <row r="2860" spans="10:10" x14ac:dyDescent="0.2">
      <c r="J2860" s="353"/>
    </row>
    <row r="2861" spans="10:10" x14ac:dyDescent="0.2">
      <c r="J2861" s="353"/>
    </row>
    <row r="2862" spans="10:10" x14ac:dyDescent="0.2">
      <c r="J2862" s="353"/>
    </row>
    <row r="2863" spans="10:10" x14ac:dyDescent="0.2">
      <c r="J2863" s="353"/>
    </row>
    <row r="2864" spans="10:10" x14ac:dyDescent="0.2">
      <c r="J2864" s="353"/>
    </row>
    <row r="2865" spans="10:10" x14ac:dyDescent="0.2">
      <c r="J2865" s="353"/>
    </row>
    <row r="2866" spans="10:10" x14ac:dyDescent="0.2">
      <c r="J2866" s="353"/>
    </row>
    <row r="2867" spans="10:10" x14ac:dyDescent="0.2">
      <c r="J2867" s="353"/>
    </row>
    <row r="2868" spans="10:10" x14ac:dyDescent="0.2">
      <c r="J2868" s="353"/>
    </row>
    <row r="2869" spans="10:10" x14ac:dyDescent="0.2">
      <c r="J2869" s="353"/>
    </row>
    <row r="2870" spans="10:10" x14ac:dyDescent="0.2">
      <c r="J2870" s="353"/>
    </row>
    <row r="2871" spans="10:10" x14ac:dyDescent="0.2">
      <c r="J2871" s="353"/>
    </row>
    <row r="2872" spans="10:10" x14ac:dyDescent="0.2">
      <c r="J2872" s="353"/>
    </row>
    <row r="2873" spans="10:10" x14ac:dyDescent="0.2">
      <c r="J2873" s="353"/>
    </row>
    <row r="2874" spans="10:10" x14ac:dyDescent="0.2">
      <c r="J2874" s="353"/>
    </row>
    <row r="2875" spans="10:10" x14ac:dyDescent="0.2">
      <c r="J2875" s="353"/>
    </row>
    <row r="2876" spans="10:10" x14ac:dyDescent="0.2">
      <c r="J2876" s="353"/>
    </row>
    <row r="2877" spans="10:10" x14ac:dyDescent="0.2">
      <c r="J2877" s="353"/>
    </row>
    <row r="2878" spans="10:10" x14ac:dyDescent="0.2">
      <c r="J2878" s="353"/>
    </row>
    <row r="2879" spans="10:10" x14ac:dyDescent="0.2">
      <c r="J2879" s="353"/>
    </row>
    <row r="2880" spans="10:10" x14ac:dyDescent="0.2">
      <c r="J2880" s="353"/>
    </row>
    <row r="2881" spans="10:10" x14ac:dyDescent="0.2">
      <c r="J2881" s="353"/>
    </row>
    <row r="2882" spans="10:10" x14ac:dyDescent="0.2">
      <c r="J2882" s="353"/>
    </row>
    <row r="2883" spans="10:10" x14ac:dyDescent="0.2">
      <c r="J2883" s="353"/>
    </row>
    <row r="2884" spans="10:10" x14ac:dyDescent="0.2">
      <c r="J2884" s="353"/>
    </row>
    <row r="2885" spans="10:10" x14ac:dyDescent="0.2">
      <c r="J2885" s="353"/>
    </row>
    <row r="2886" spans="10:10" x14ac:dyDescent="0.2">
      <c r="J2886" s="353"/>
    </row>
    <row r="2887" spans="10:10" x14ac:dyDescent="0.2">
      <c r="J2887" s="353"/>
    </row>
    <row r="2888" spans="10:10" x14ac:dyDescent="0.2">
      <c r="J2888" s="353"/>
    </row>
    <row r="2889" spans="10:10" x14ac:dyDescent="0.2">
      <c r="J2889" s="353"/>
    </row>
    <row r="2890" spans="10:10" x14ac:dyDescent="0.2">
      <c r="J2890" s="353"/>
    </row>
    <row r="2891" spans="10:10" x14ac:dyDescent="0.2">
      <c r="J2891" s="353"/>
    </row>
    <row r="2892" spans="10:10" x14ac:dyDescent="0.2">
      <c r="J2892" s="353"/>
    </row>
    <row r="2893" spans="10:10" x14ac:dyDescent="0.2">
      <c r="J2893" s="353"/>
    </row>
    <row r="2894" spans="10:10" x14ac:dyDescent="0.2">
      <c r="J2894" s="353"/>
    </row>
    <row r="2895" spans="10:10" x14ac:dyDescent="0.2">
      <c r="J2895" s="353"/>
    </row>
    <row r="2896" spans="10:10" x14ac:dyDescent="0.2">
      <c r="J2896" s="353"/>
    </row>
    <row r="2897" spans="10:10" x14ac:dyDescent="0.2">
      <c r="J2897" s="353"/>
    </row>
    <row r="2898" spans="10:10" x14ac:dyDescent="0.2">
      <c r="J2898" s="353"/>
    </row>
    <row r="2899" spans="10:10" x14ac:dyDescent="0.2">
      <c r="J2899" s="353"/>
    </row>
    <row r="2900" spans="10:10" x14ac:dyDescent="0.2">
      <c r="J2900" s="353"/>
    </row>
    <row r="2901" spans="10:10" x14ac:dyDescent="0.2">
      <c r="J2901" s="353"/>
    </row>
    <row r="2902" spans="10:10" x14ac:dyDescent="0.2">
      <c r="J2902" s="353"/>
    </row>
    <row r="2903" spans="10:10" x14ac:dyDescent="0.2">
      <c r="J2903" s="353"/>
    </row>
    <row r="2904" spans="10:10" x14ac:dyDescent="0.2">
      <c r="J2904" s="353"/>
    </row>
    <row r="2905" spans="10:10" x14ac:dyDescent="0.2">
      <c r="J2905" s="353"/>
    </row>
    <row r="2906" spans="10:10" x14ac:dyDescent="0.2">
      <c r="J2906" s="353"/>
    </row>
    <row r="2907" spans="10:10" x14ac:dyDescent="0.2">
      <c r="J2907" s="353"/>
    </row>
    <row r="2908" spans="10:10" x14ac:dyDescent="0.2">
      <c r="J2908" s="353"/>
    </row>
    <row r="2909" spans="10:10" x14ac:dyDescent="0.2">
      <c r="J2909" s="353"/>
    </row>
    <row r="2910" spans="10:10" x14ac:dyDescent="0.2">
      <c r="J2910" s="353"/>
    </row>
    <row r="2911" spans="10:10" x14ac:dyDescent="0.2">
      <c r="J2911" s="353"/>
    </row>
    <row r="2912" spans="10:10" x14ac:dyDescent="0.2">
      <c r="J2912" s="353"/>
    </row>
    <row r="2913" spans="10:10" x14ac:dyDescent="0.2">
      <c r="J2913" s="353"/>
    </row>
    <row r="2914" spans="10:10" x14ac:dyDescent="0.2">
      <c r="J2914" s="353"/>
    </row>
    <row r="2915" spans="10:10" x14ac:dyDescent="0.2">
      <c r="J2915" s="353"/>
    </row>
    <row r="2916" spans="10:10" x14ac:dyDescent="0.2">
      <c r="J2916" s="353"/>
    </row>
    <row r="2917" spans="10:10" x14ac:dyDescent="0.2">
      <c r="J2917" s="353"/>
    </row>
    <row r="2918" spans="10:10" x14ac:dyDescent="0.2">
      <c r="J2918" s="353"/>
    </row>
    <row r="2919" spans="10:10" x14ac:dyDescent="0.2">
      <c r="J2919" s="353"/>
    </row>
    <row r="2920" spans="10:10" x14ac:dyDescent="0.2">
      <c r="J2920" s="353"/>
    </row>
    <row r="2921" spans="10:10" x14ac:dyDescent="0.2">
      <c r="J2921" s="353"/>
    </row>
    <row r="2922" spans="10:10" x14ac:dyDescent="0.2">
      <c r="J2922" s="353"/>
    </row>
    <row r="2923" spans="10:10" x14ac:dyDescent="0.2">
      <c r="J2923" s="353"/>
    </row>
    <row r="2924" spans="10:10" x14ac:dyDescent="0.2">
      <c r="J2924" s="353"/>
    </row>
    <row r="2925" spans="10:10" x14ac:dyDescent="0.2">
      <c r="J2925" s="353"/>
    </row>
    <row r="2926" spans="10:10" x14ac:dyDescent="0.2">
      <c r="J2926" s="353"/>
    </row>
    <row r="2927" spans="10:10" x14ac:dyDescent="0.2">
      <c r="J2927" s="353"/>
    </row>
    <row r="2928" spans="10:10" x14ac:dyDescent="0.2">
      <c r="J2928" s="353"/>
    </row>
    <row r="2929" spans="10:10" x14ac:dyDescent="0.2">
      <c r="J2929" s="353"/>
    </row>
    <row r="2930" spans="10:10" x14ac:dyDescent="0.2">
      <c r="J2930" s="353"/>
    </row>
    <row r="2931" spans="10:10" x14ac:dyDescent="0.2">
      <c r="J2931" s="353"/>
    </row>
    <row r="2932" spans="10:10" x14ac:dyDescent="0.2">
      <c r="J2932" s="353"/>
    </row>
    <row r="2933" spans="10:10" x14ac:dyDescent="0.2">
      <c r="J2933" s="353"/>
    </row>
    <row r="2934" spans="10:10" x14ac:dyDescent="0.2">
      <c r="J2934" s="353"/>
    </row>
    <row r="2935" spans="10:10" x14ac:dyDescent="0.2">
      <c r="J2935" s="353"/>
    </row>
    <row r="2936" spans="10:10" x14ac:dyDescent="0.2">
      <c r="J2936" s="353"/>
    </row>
    <row r="2937" spans="10:10" x14ac:dyDescent="0.2">
      <c r="J2937" s="353"/>
    </row>
    <row r="2938" spans="10:10" x14ac:dyDescent="0.2">
      <c r="J2938" s="353"/>
    </row>
    <row r="2939" spans="10:10" x14ac:dyDescent="0.2">
      <c r="J2939" s="353"/>
    </row>
    <row r="2940" spans="10:10" x14ac:dyDescent="0.2">
      <c r="J2940" s="353"/>
    </row>
    <row r="2941" spans="10:10" x14ac:dyDescent="0.2">
      <c r="J2941" s="353"/>
    </row>
    <row r="2942" spans="10:10" x14ac:dyDescent="0.2">
      <c r="J2942" s="353"/>
    </row>
    <row r="2943" spans="10:10" x14ac:dyDescent="0.2">
      <c r="J2943" s="353"/>
    </row>
    <row r="2944" spans="10:10" x14ac:dyDescent="0.2">
      <c r="J2944" s="353"/>
    </row>
    <row r="2945" spans="10:10" x14ac:dyDescent="0.2">
      <c r="J2945" s="353"/>
    </row>
    <row r="2946" spans="10:10" x14ac:dyDescent="0.2">
      <c r="J2946" s="353"/>
    </row>
    <row r="2947" spans="10:10" x14ac:dyDescent="0.2">
      <c r="J2947" s="353"/>
    </row>
    <row r="2948" spans="10:10" x14ac:dyDescent="0.2">
      <c r="J2948" s="353"/>
    </row>
    <row r="2949" spans="10:10" x14ac:dyDescent="0.2">
      <c r="J2949" s="353"/>
    </row>
    <row r="2950" spans="10:10" x14ac:dyDescent="0.2">
      <c r="J2950" s="353"/>
    </row>
    <row r="2951" spans="10:10" x14ac:dyDescent="0.2">
      <c r="J2951" s="353"/>
    </row>
    <row r="2952" spans="10:10" x14ac:dyDescent="0.2">
      <c r="J2952" s="353"/>
    </row>
    <row r="2953" spans="10:10" x14ac:dyDescent="0.2">
      <c r="J2953" s="353"/>
    </row>
    <row r="2954" spans="10:10" x14ac:dyDescent="0.2">
      <c r="J2954" s="353"/>
    </row>
    <row r="2955" spans="10:10" x14ac:dyDescent="0.2">
      <c r="J2955" s="353"/>
    </row>
    <row r="2956" spans="10:10" x14ac:dyDescent="0.2">
      <c r="J2956" s="353"/>
    </row>
    <row r="2957" spans="10:10" x14ac:dyDescent="0.2">
      <c r="J2957" s="353"/>
    </row>
    <row r="2958" spans="10:10" x14ac:dyDescent="0.2">
      <c r="J2958" s="353"/>
    </row>
    <row r="2959" spans="10:10" x14ac:dyDescent="0.2">
      <c r="J2959" s="353"/>
    </row>
    <row r="2960" spans="10:10" x14ac:dyDescent="0.2">
      <c r="J2960" s="353"/>
    </row>
    <row r="2961" spans="10:10" x14ac:dyDescent="0.2">
      <c r="J2961" s="353"/>
    </row>
    <row r="2962" spans="10:10" x14ac:dyDescent="0.2">
      <c r="J2962" s="353"/>
    </row>
    <row r="2963" spans="10:10" x14ac:dyDescent="0.2">
      <c r="J2963" s="353"/>
    </row>
    <row r="2964" spans="10:10" x14ac:dyDescent="0.2">
      <c r="J2964" s="353"/>
    </row>
    <row r="2965" spans="10:10" x14ac:dyDescent="0.2">
      <c r="J2965" s="353"/>
    </row>
    <row r="2966" spans="10:10" x14ac:dyDescent="0.2">
      <c r="J2966" s="353"/>
    </row>
    <row r="2967" spans="10:10" x14ac:dyDescent="0.2">
      <c r="J2967" s="353"/>
    </row>
    <row r="2968" spans="10:10" x14ac:dyDescent="0.2">
      <c r="J2968" s="353"/>
    </row>
    <row r="2969" spans="10:10" x14ac:dyDescent="0.2">
      <c r="J2969" s="353"/>
    </row>
    <row r="2970" spans="10:10" x14ac:dyDescent="0.2">
      <c r="J2970" s="353"/>
    </row>
    <row r="2971" spans="10:10" x14ac:dyDescent="0.2">
      <c r="J2971" s="353"/>
    </row>
    <row r="2972" spans="10:10" x14ac:dyDescent="0.2">
      <c r="J2972" s="353"/>
    </row>
    <row r="2973" spans="10:10" x14ac:dyDescent="0.2">
      <c r="J2973" s="353"/>
    </row>
    <row r="2974" spans="10:10" x14ac:dyDescent="0.2">
      <c r="J2974" s="353"/>
    </row>
    <row r="2975" spans="10:10" x14ac:dyDescent="0.2">
      <c r="J2975" s="353"/>
    </row>
    <row r="2976" spans="10:10" x14ac:dyDescent="0.2">
      <c r="J2976" s="353"/>
    </row>
    <row r="2977" spans="10:10" x14ac:dyDescent="0.2">
      <c r="J2977" s="353"/>
    </row>
    <row r="2978" spans="10:10" x14ac:dyDescent="0.2">
      <c r="J2978" s="353"/>
    </row>
    <row r="2979" spans="10:10" x14ac:dyDescent="0.2">
      <c r="J2979" s="353"/>
    </row>
    <row r="2980" spans="10:10" x14ac:dyDescent="0.2">
      <c r="J2980" s="353"/>
    </row>
    <row r="2981" spans="10:10" x14ac:dyDescent="0.2">
      <c r="J2981" s="353"/>
    </row>
    <row r="2982" spans="10:10" x14ac:dyDescent="0.2">
      <c r="J2982" s="353"/>
    </row>
    <row r="2983" spans="10:10" x14ac:dyDescent="0.2">
      <c r="J2983" s="353"/>
    </row>
    <row r="2984" spans="10:10" x14ac:dyDescent="0.2">
      <c r="J2984" s="353"/>
    </row>
    <row r="2985" spans="10:10" x14ac:dyDescent="0.2">
      <c r="J2985" s="353"/>
    </row>
    <row r="2986" spans="10:10" x14ac:dyDescent="0.2">
      <c r="J2986" s="353"/>
    </row>
    <row r="2987" spans="10:10" x14ac:dyDescent="0.2">
      <c r="J2987" s="353"/>
    </row>
    <row r="2988" spans="10:10" x14ac:dyDescent="0.2">
      <c r="J2988" s="353"/>
    </row>
    <row r="2989" spans="10:10" x14ac:dyDescent="0.2">
      <c r="J2989" s="353"/>
    </row>
    <row r="2990" spans="10:10" x14ac:dyDescent="0.2">
      <c r="J2990" s="353"/>
    </row>
    <row r="2991" spans="10:10" x14ac:dyDescent="0.2">
      <c r="J2991" s="353"/>
    </row>
    <row r="2992" spans="10:10" x14ac:dyDescent="0.2">
      <c r="J2992" s="353"/>
    </row>
    <row r="2993" spans="10:10" x14ac:dyDescent="0.2">
      <c r="J2993" s="353"/>
    </row>
    <row r="2994" spans="10:10" x14ac:dyDescent="0.2">
      <c r="J2994" s="353"/>
    </row>
    <row r="2995" spans="10:10" x14ac:dyDescent="0.2">
      <c r="J2995" s="353"/>
    </row>
    <row r="2996" spans="10:10" x14ac:dyDescent="0.2">
      <c r="J2996" s="353"/>
    </row>
    <row r="2997" spans="10:10" x14ac:dyDescent="0.2">
      <c r="J2997" s="353"/>
    </row>
    <row r="2998" spans="10:10" x14ac:dyDescent="0.2">
      <c r="J2998" s="353"/>
    </row>
    <row r="2999" spans="10:10" x14ac:dyDescent="0.2">
      <c r="J2999" s="353"/>
    </row>
    <row r="3000" spans="10:10" x14ac:dyDescent="0.2">
      <c r="J3000" s="353"/>
    </row>
    <row r="3001" spans="10:10" x14ac:dyDescent="0.2">
      <c r="J3001" s="353"/>
    </row>
    <row r="3002" spans="10:10" x14ac:dyDescent="0.2">
      <c r="J3002" s="353"/>
    </row>
    <row r="3003" spans="10:10" x14ac:dyDescent="0.2">
      <c r="J3003" s="353"/>
    </row>
    <row r="3004" spans="10:10" x14ac:dyDescent="0.2">
      <c r="J3004" s="353"/>
    </row>
    <row r="3005" spans="10:10" x14ac:dyDescent="0.2">
      <c r="J3005" s="353"/>
    </row>
    <row r="3006" spans="10:10" x14ac:dyDescent="0.2">
      <c r="J3006" s="353"/>
    </row>
    <row r="3007" spans="10:10" x14ac:dyDescent="0.2">
      <c r="J3007" s="353"/>
    </row>
    <row r="3008" spans="10:10" x14ac:dyDescent="0.2">
      <c r="J3008" s="353"/>
    </row>
    <row r="3009" spans="10:10" x14ac:dyDescent="0.2">
      <c r="J3009" s="353"/>
    </row>
    <row r="3010" spans="10:10" x14ac:dyDescent="0.2">
      <c r="J3010" s="353"/>
    </row>
    <row r="3011" spans="10:10" x14ac:dyDescent="0.2">
      <c r="J3011" s="353"/>
    </row>
    <row r="3012" spans="10:10" x14ac:dyDescent="0.2">
      <c r="J3012" s="353"/>
    </row>
    <row r="3013" spans="10:10" x14ac:dyDescent="0.2">
      <c r="J3013" s="353"/>
    </row>
    <row r="3014" spans="10:10" x14ac:dyDescent="0.2">
      <c r="J3014" s="353"/>
    </row>
    <row r="3015" spans="10:10" x14ac:dyDescent="0.2">
      <c r="J3015" s="353"/>
    </row>
    <row r="3016" spans="10:10" x14ac:dyDescent="0.2">
      <c r="J3016" s="353"/>
    </row>
    <row r="3017" spans="10:10" x14ac:dyDescent="0.2">
      <c r="J3017" s="353"/>
    </row>
    <row r="3018" spans="10:10" x14ac:dyDescent="0.2">
      <c r="J3018" s="353"/>
    </row>
    <row r="3019" spans="10:10" x14ac:dyDescent="0.2">
      <c r="J3019" s="353"/>
    </row>
    <row r="3020" spans="10:10" x14ac:dyDescent="0.2">
      <c r="J3020" s="353"/>
    </row>
    <row r="3021" spans="10:10" x14ac:dyDescent="0.2">
      <c r="J3021" s="353"/>
    </row>
    <row r="3022" spans="10:10" x14ac:dyDescent="0.2">
      <c r="J3022" s="353"/>
    </row>
    <row r="3023" spans="10:10" x14ac:dyDescent="0.2">
      <c r="J3023" s="353"/>
    </row>
    <row r="3024" spans="10:10" x14ac:dyDescent="0.2">
      <c r="J3024" s="353"/>
    </row>
    <row r="3025" spans="10:10" x14ac:dyDescent="0.2">
      <c r="J3025" s="353"/>
    </row>
    <row r="3026" spans="10:10" x14ac:dyDescent="0.2">
      <c r="J3026" s="353"/>
    </row>
    <row r="3027" spans="10:10" x14ac:dyDescent="0.2">
      <c r="J3027" s="353"/>
    </row>
    <row r="3028" spans="10:10" x14ac:dyDescent="0.2">
      <c r="J3028" s="353"/>
    </row>
    <row r="3029" spans="10:10" x14ac:dyDescent="0.2">
      <c r="J3029" s="353"/>
    </row>
    <row r="3030" spans="10:10" x14ac:dyDescent="0.2">
      <c r="J3030" s="353"/>
    </row>
    <row r="3031" spans="10:10" x14ac:dyDescent="0.2">
      <c r="J3031" s="353"/>
    </row>
    <row r="3032" spans="10:10" x14ac:dyDescent="0.2">
      <c r="J3032" s="353"/>
    </row>
    <row r="3033" spans="10:10" x14ac:dyDescent="0.2">
      <c r="J3033" s="353"/>
    </row>
    <row r="3034" spans="10:10" x14ac:dyDescent="0.2">
      <c r="J3034" s="353"/>
    </row>
    <row r="3035" spans="10:10" x14ac:dyDescent="0.2">
      <c r="J3035" s="353"/>
    </row>
    <row r="3036" spans="10:10" x14ac:dyDescent="0.2">
      <c r="J3036" s="353"/>
    </row>
    <row r="3037" spans="10:10" x14ac:dyDescent="0.2">
      <c r="J3037" s="353"/>
    </row>
    <row r="3038" spans="10:10" x14ac:dyDescent="0.2">
      <c r="J3038" s="353"/>
    </row>
    <row r="3039" spans="10:10" x14ac:dyDescent="0.2">
      <c r="J3039" s="353"/>
    </row>
    <row r="3040" spans="10:10" x14ac:dyDescent="0.2">
      <c r="J3040" s="353"/>
    </row>
    <row r="3041" spans="10:10" x14ac:dyDescent="0.2">
      <c r="J3041" s="353"/>
    </row>
    <row r="3042" spans="10:10" x14ac:dyDescent="0.2">
      <c r="J3042" s="353"/>
    </row>
    <row r="3043" spans="10:10" x14ac:dyDescent="0.2">
      <c r="J3043" s="353"/>
    </row>
    <row r="3044" spans="10:10" x14ac:dyDescent="0.2">
      <c r="J3044" s="353"/>
    </row>
    <row r="3045" spans="10:10" x14ac:dyDescent="0.2">
      <c r="J3045" s="353"/>
    </row>
    <row r="3046" spans="10:10" x14ac:dyDescent="0.2">
      <c r="J3046" s="353"/>
    </row>
    <row r="3047" spans="10:10" x14ac:dyDescent="0.2">
      <c r="J3047" s="353"/>
    </row>
    <row r="3048" spans="10:10" x14ac:dyDescent="0.2">
      <c r="J3048" s="353"/>
    </row>
    <row r="3049" spans="10:10" x14ac:dyDescent="0.2">
      <c r="J3049" s="353"/>
    </row>
    <row r="3050" spans="10:10" x14ac:dyDescent="0.2">
      <c r="J3050" s="353"/>
    </row>
    <row r="3051" spans="10:10" x14ac:dyDescent="0.2">
      <c r="J3051" s="353"/>
    </row>
    <row r="3052" spans="10:10" x14ac:dyDescent="0.2">
      <c r="J3052" s="353"/>
    </row>
    <row r="3053" spans="10:10" x14ac:dyDescent="0.2">
      <c r="J3053" s="353"/>
    </row>
    <row r="3054" spans="10:10" x14ac:dyDescent="0.2">
      <c r="J3054" s="353"/>
    </row>
    <row r="3055" spans="10:10" x14ac:dyDescent="0.2">
      <c r="J3055" s="353"/>
    </row>
    <row r="3056" spans="10:10" x14ac:dyDescent="0.2">
      <c r="J3056" s="353"/>
    </row>
    <row r="3057" spans="10:10" x14ac:dyDescent="0.2">
      <c r="J3057" s="353"/>
    </row>
    <row r="3058" spans="10:10" x14ac:dyDescent="0.2">
      <c r="J3058" s="353"/>
    </row>
    <row r="3059" spans="10:10" x14ac:dyDescent="0.2">
      <c r="J3059" s="353"/>
    </row>
    <row r="3060" spans="10:10" x14ac:dyDescent="0.2">
      <c r="J3060" s="353"/>
    </row>
    <row r="3061" spans="10:10" x14ac:dyDescent="0.2">
      <c r="J3061" s="353"/>
    </row>
    <row r="3062" spans="10:10" x14ac:dyDescent="0.2">
      <c r="J3062" s="353"/>
    </row>
    <row r="3063" spans="10:10" x14ac:dyDescent="0.2">
      <c r="J3063" s="353"/>
    </row>
    <row r="3064" spans="10:10" x14ac:dyDescent="0.2">
      <c r="J3064" s="353"/>
    </row>
    <row r="3065" spans="10:10" x14ac:dyDescent="0.2">
      <c r="J3065" s="353"/>
    </row>
    <row r="3066" spans="10:10" x14ac:dyDescent="0.2">
      <c r="J3066" s="353"/>
    </row>
    <row r="3067" spans="10:10" x14ac:dyDescent="0.2">
      <c r="J3067" s="353"/>
    </row>
    <row r="3068" spans="10:10" x14ac:dyDescent="0.2">
      <c r="J3068" s="353"/>
    </row>
    <row r="3069" spans="10:10" x14ac:dyDescent="0.2">
      <c r="J3069" s="353"/>
    </row>
    <row r="3070" spans="10:10" x14ac:dyDescent="0.2">
      <c r="J3070" s="353"/>
    </row>
    <row r="3071" spans="10:10" x14ac:dyDescent="0.2">
      <c r="J3071" s="353"/>
    </row>
    <row r="3072" spans="10:10" x14ac:dyDescent="0.2">
      <c r="J3072" s="353"/>
    </row>
    <row r="3073" spans="10:10" x14ac:dyDescent="0.2">
      <c r="J3073" s="353"/>
    </row>
    <row r="3074" spans="10:10" x14ac:dyDescent="0.2">
      <c r="J3074" s="353"/>
    </row>
    <row r="3075" spans="10:10" x14ac:dyDescent="0.2">
      <c r="J3075" s="353"/>
    </row>
    <row r="3076" spans="10:10" x14ac:dyDescent="0.2">
      <c r="J3076" s="353"/>
    </row>
    <row r="3077" spans="10:10" x14ac:dyDescent="0.2">
      <c r="J3077" s="353"/>
    </row>
    <row r="3078" spans="10:10" x14ac:dyDescent="0.2">
      <c r="J3078" s="353"/>
    </row>
    <row r="3079" spans="10:10" x14ac:dyDescent="0.2">
      <c r="J3079" s="353"/>
    </row>
    <row r="3080" spans="10:10" x14ac:dyDescent="0.2">
      <c r="J3080" s="353"/>
    </row>
    <row r="3081" spans="10:10" x14ac:dyDescent="0.2">
      <c r="J3081" s="353"/>
    </row>
    <row r="3082" spans="10:10" x14ac:dyDescent="0.2">
      <c r="J3082" s="353"/>
    </row>
    <row r="3083" spans="10:10" x14ac:dyDescent="0.2">
      <c r="J3083" s="353"/>
    </row>
    <row r="3084" spans="10:10" x14ac:dyDescent="0.2">
      <c r="J3084" s="353"/>
    </row>
    <row r="3085" spans="10:10" x14ac:dyDescent="0.2">
      <c r="J3085" s="353"/>
    </row>
    <row r="3086" spans="10:10" x14ac:dyDescent="0.2">
      <c r="J3086" s="353"/>
    </row>
    <row r="3087" spans="10:10" x14ac:dyDescent="0.2">
      <c r="J3087" s="353"/>
    </row>
    <row r="3088" spans="10:10" x14ac:dyDescent="0.2">
      <c r="J3088" s="353"/>
    </row>
    <row r="3089" spans="10:10" x14ac:dyDescent="0.2">
      <c r="J3089" s="353"/>
    </row>
    <row r="3090" spans="10:10" x14ac:dyDescent="0.2">
      <c r="J3090" s="353"/>
    </row>
    <row r="3091" spans="10:10" x14ac:dyDescent="0.2">
      <c r="J3091" s="353"/>
    </row>
    <row r="3092" spans="10:10" x14ac:dyDescent="0.2">
      <c r="J3092" s="353"/>
    </row>
    <row r="3093" spans="10:10" x14ac:dyDescent="0.2">
      <c r="J3093" s="353"/>
    </row>
    <row r="3094" spans="10:10" x14ac:dyDescent="0.2">
      <c r="J3094" s="353"/>
    </row>
    <row r="3095" spans="10:10" x14ac:dyDescent="0.2">
      <c r="J3095" s="353"/>
    </row>
  </sheetData>
  <printOptions horizontalCentered="1" verticalCentered="1"/>
  <pageMargins left="0" right="0" top="0.43307086614173229" bottom="0" header="3.937007874015748E-2" footer="0"/>
  <pageSetup paperSize="9" scale="79"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B3487"/>
  <sheetViews>
    <sheetView zoomScaleNormal="100" zoomScaleSheetLayoutView="90" workbookViewId="0">
      <selection activeCell="EF19" sqref="EF19"/>
    </sheetView>
  </sheetViews>
  <sheetFormatPr defaultRowHeight="15" x14ac:dyDescent="0.25"/>
  <cols>
    <col min="1" max="1" width="54.5703125" style="172" customWidth="1"/>
    <col min="2" max="2" width="11.140625" style="172" hidden="1" customWidth="1"/>
    <col min="3" max="3" width="11.5703125" style="172" hidden="1" customWidth="1"/>
    <col min="4" max="4" width="12" style="172" hidden="1" customWidth="1"/>
    <col min="5" max="5" width="9.140625" style="172" hidden="1" customWidth="1"/>
    <col min="6" max="6" width="10.7109375" style="172" hidden="1" customWidth="1"/>
    <col min="7" max="7" width="9.140625" style="172" hidden="1" customWidth="1"/>
    <col min="8" max="8" width="10.42578125" style="172" hidden="1" customWidth="1"/>
    <col min="9" max="13" width="9.140625" style="172" hidden="1" customWidth="1"/>
    <col min="14" max="14" width="10.28515625" style="172" hidden="1" customWidth="1"/>
    <col min="15" max="15" width="10.42578125" style="172" hidden="1" customWidth="1"/>
    <col min="16" max="16" width="10.140625" style="172" hidden="1" customWidth="1"/>
    <col min="17" max="19" width="9.140625" style="172" hidden="1" customWidth="1"/>
    <col min="20" max="20" width="10.42578125" style="172" hidden="1" customWidth="1"/>
    <col min="21" max="25" width="9.140625" style="172" hidden="1" customWidth="1"/>
    <col min="26" max="26" width="10.28515625" style="172" hidden="1" customWidth="1"/>
    <col min="27" max="31" width="9.140625" style="172" hidden="1" customWidth="1"/>
    <col min="32" max="32" width="10.42578125" style="172" hidden="1" customWidth="1"/>
    <col min="33" max="34" width="9.140625" style="172" hidden="1" customWidth="1"/>
    <col min="35" max="37" width="8.85546875" style="172" hidden="1" customWidth="1"/>
    <col min="38" max="38" width="10" style="172" hidden="1" customWidth="1"/>
    <col min="39" max="39" width="9.140625" style="172" hidden="1" customWidth="1"/>
    <col min="40" max="41" width="9.7109375" style="172" hidden="1" customWidth="1"/>
    <col min="42" max="43" width="9.140625" style="172" hidden="1" customWidth="1"/>
    <col min="44" max="45" width="11.140625" style="172" hidden="1" customWidth="1"/>
    <col min="46" max="46" width="10" style="172" hidden="1" customWidth="1"/>
    <col min="47" max="47" width="10.5703125" style="172" hidden="1" customWidth="1"/>
    <col min="48" max="48" width="10.7109375" style="172" hidden="1" customWidth="1"/>
    <col min="49" max="49" width="9.7109375" style="172" hidden="1" customWidth="1"/>
    <col min="50" max="50" width="10.5703125" style="172" hidden="1" customWidth="1"/>
    <col min="51" max="51" width="10.42578125" style="172" hidden="1" customWidth="1"/>
    <col min="52" max="54" width="9.140625" style="172" hidden="1" customWidth="1"/>
    <col min="55" max="55" width="9.5703125" style="172" hidden="1" customWidth="1"/>
    <col min="56" max="56" width="9.140625" style="172" hidden="1" customWidth="1"/>
    <col min="57" max="57" width="15.7109375" style="172" hidden="1" customWidth="1"/>
    <col min="58" max="58" width="0.28515625" style="172" hidden="1" customWidth="1"/>
    <col min="59" max="69" width="15.7109375" style="172" hidden="1" customWidth="1"/>
    <col min="70" max="70" width="14.42578125" style="172" hidden="1" customWidth="1"/>
    <col min="71" max="75" width="13.5703125" style="172" hidden="1" customWidth="1"/>
    <col min="76" max="94" width="12.5703125" style="172" hidden="1" customWidth="1"/>
    <col min="95" max="95" width="11" style="172" hidden="1" customWidth="1"/>
    <col min="96" max="118" width="12.28515625" style="172" hidden="1" customWidth="1"/>
    <col min="119" max="119" width="12.42578125" style="172" hidden="1" customWidth="1"/>
    <col min="120" max="132" width="11.140625" style="172" customWidth="1"/>
    <col min="133" max="16384" width="9.140625" style="172"/>
  </cols>
  <sheetData>
    <row r="1" spans="1:132" ht="18.75" x14ac:dyDescent="0.3">
      <c r="A1" s="396" t="s">
        <v>371</v>
      </c>
    </row>
    <row r="2" spans="1:132" ht="15.75" thickBot="1" x14ac:dyDescent="0.3">
      <c r="A2" s="173"/>
      <c r="D2" s="397"/>
      <c r="F2" s="397"/>
      <c r="G2" s="397"/>
      <c r="I2" s="397"/>
      <c r="P2" s="397"/>
      <c r="AC2" s="397"/>
      <c r="AE2" s="397"/>
      <c r="AF2" s="397"/>
      <c r="AK2" s="397"/>
      <c r="AN2" s="397"/>
      <c r="AR2" s="260"/>
      <c r="AV2" s="260"/>
      <c r="AW2" s="398"/>
      <c r="AX2" s="398"/>
      <c r="AY2" s="398"/>
      <c r="AZ2" s="398"/>
      <c r="BA2" s="398"/>
      <c r="BB2" s="398"/>
      <c r="BC2" s="398"/>
      <c r="BD2" s="398"/>
      <c r="BE2" s="398"/>
      <c r="BF2" s="398"/>
      <c r="BH2" s="398"/>
      <c r="BJ2" s="398"/>
      <c r="BK2" s="398"/>
      <c r="BL2" s="398"/>
      <c r="BN2" s="398"/>
      <c r="BQ2" s="398"/>
      <c r="BR2" s="398"/>
      <c r="BS2" s="398"/>
      <c r="BT2" s="398"/>
      <c r="BU2" s="398"/>
      <c r="BV2" s="398"/>
      <c r="BW2" s="398"/>
      <c r="BX2" s="398"/>
      <c r="BY2" s="398"/>
      <c r="BZ2" s="398"/>
      <c r="CA2" s="398"/>
      <c r="CB2" s="398"/>
      <c r="CC2" s="399"/>
      <c r="CD2" s="400"/>
      <c r="CE2" s="400"/>
      <c r="CF2" s="400"/>
      <c r="CG2" s="400"/>
      <c r="CH2" s="400"/>
      <c r="CI2" s="399"/>
      <c r="CJ2" s="399"/>
      <c r="CK2" s="398"/>
      <c r="CL2" s="398"/>
      <c r="CM2" s="398"/>
      <c r="CN2" s="398"/>
      <c r="CO2" s="398"/>
      <c r="CP2" s="398"/>
      <c r="CQ2" s="398"/>
      <c r="DB2" s="260"/>
      <c r="DE2" s="260"/>
      <c r="DH2" s="260"/>
      <c r="DK2" s="260"/>
      <c r="EB2" s="260" t="s">
        <v>73</v>
      </c>
    </row>
    <row r="3" spans="1:132" ht="20.25" customHeight="1" thickTop="1" thickBot="1" x14ac:dyDescent="0.3">
      <c r="A3" s="401" t="s">
        <v>262</v>
      </c>
      <c r="B3" s="402">
        <v>38504</v>
      </c>
      <c r="C3" s="403">
        <v>38534</v>
      </c>
      <c r="D3" s="404">
        <v>38565</v>
      </c>
      <c r="E3" s="405">
        <v>38596</v>
      </c>
      <c r="F3" s="404">
        <v>38626</v>
      </c>
      <c r="G3" s="404">
        <v>38657</v>
      </c>
      <c r="H3" s="404">
        <v>38687</v>
      </c>
      <c r="I3" s="404">
        <v>38718</v>
      </c>
      <c r="J3" s="404">
        <v>38749</v>
      </c>
      <c r="K3" s="405">
        <v>38777</v>
      </c>
      <c r="L3" s="404">
        <v>38808</v>
      </c>
      <c r="M3" s="404">
        <v>38838</v>
      </c>
      <c r="N3" s="404">
        <v>38869</v>
      </c>
      <c r="O3" s="405">
        <v>38899</v>
      </c>
      <c r="P3" s="404">
        <v>38930</v>
      </c>
      <c r="Q3" s="404">
        <v>38961</v>
      </c>
      <c r="R3" s="405">
        <v>38991</v>
      </c>
      <c r="S3" s="404">
        <v>39022</v>
      </c>
      <c r="T3" s="404">
        <v>39052</v>
      </c>
      <c r="U3" s="406">
        <v>39083</v>
      </c>
      <c r="V3" s="406">
        <v>39114</v>
      </c>
      <c r="W3" s="406">
        <v>39142</v>
      </c>
      <c r="X3" s="406">
        <v>39173</v>
      </c>
      <c r="Y3" s="406">
        <v>39203</v>
      </c>
      <c r="Z3" s="406">
        <v>39234</v>
      </c>
      <c r="AA3" s="406">
        <v>39264</v>
      </c>
      <c r="AB3" s="406">
        <v>39295</v>
      </c>
      <c r="AC3" s="406">
        <v>39326</v>
      </c>
      <c r="AD3" s="406">
        <v>39356</v>
      </c>
      <c r="AE3" s="406">
        <v>39387</v>
      </c>
      <c r="AF3" s="406">
        <v>39417</v>
      </c>
      <c r="AG3" s="406">
        <v>39448</v>
      </c>
      <c r="AH3" s="406">
        <v>39479</v>
      </c>
      <c r="AI3" s="406">
        <v>39508</v>
      </c>
      <c r="AJ3" s="406">
        <v>39539</v>
      </c>
      <c r="AK3" s="406">
        <v>39569</v>
      </c>
      <c r="AL3" s="406">
        <v>39600</v>
      </c>
      <c r="AM3" s="406">
        <v>39630</v>
      </c>
      <c r="AN3" s="406">
        <v>39661</v>
      </c>
      <c r="AO3" s="406">
        <v>39692</v>
      </c>
      <c r="AP3" s="406">
        <v>39722</v>
      </c>
      <c r="AQ3" s="406">
        <v>39753</v>
      </c>
      <c r="AR3" s="402">
        <v>39783</v>
      </c>
      <c r="AS3" s="402">
        <v>39814</v>
      </c>
      <c r="AT3" s="402">
        <v>39853</v>
      </c>
      <c r="AU3" s="402">
        <v>39881</v>
      </c>
      <c r="AV3" s="402">
        <v>39912</v>
      </c>
      <c r="AW3" s="407">
        <v>39942</v>
      </c>
      <c r="AX3" s="407">
        <v>39973</v>
      </c>
      <c r="AY3" s="407">
        <v>40003</v>
      </c>
      <c r="AZ3" s="407">
        <v>40034</v>
      </c>
      <c r="BA3" s="407">
        <v>40065</v>
      </c>
      <c r="BB3" s="407">
        <v>40095</v>
      </c>
      <c r="BC3" s="407">
        <v>40126</v>
      </c>
      <c r="BD3" s="407">
        <v>40156</v>
      </c>
      <c r="BE3" s="407">
        <v>40187</v>
      </c>
      <c r="BF3" s="407">
        <v>40218</v>
      </c>
      <c r="BG3" s="407">
        <v>40246</v>
      </c>
      <c r="BH3" s="407">
        <v>40277</v>
      </c>
      <c r="BI3" s="407">
        <v>40307</v>
      </c>
      <c r="BJ3" s="407">
        <v>40338</v>
      </c>
      <c r="BK3" s="407">
        <v>40368</v>
      </c>
      <c r="BL3" s="407">
        <v>40399</v>
      </c>
      <c r="BM3" s="407">
        <v>40430</v>
      </c>
      <c r="BN3" s="408" t="s">
        <v>235</v>
      </c>
      <c r="BO3" s="408" t="s">
        <v>372</v>
      </c>
      <c r="BP3" s="408" t="s">
        <v>373</v>
      </c>
      <c r="BQ3" s="408" t="s">
        <v>374</v>
      </c>
      <c r="BR3" s="408">
        <v>40575</v>
      </c>
      <c r="BS3" s="408">
        <v>40603</v>
      </c>
      <c r="BT3" s="408">
        <v>40634</v>
      </c>
      <c r="BU3" s="408">
        <v>40664</v>
      </c>
      <c r="BV3" s="408">
        <v>40695</v>
      </c>
      <c r="BW3" s="408">
        <v>40725</v>
      </c>
      <c r="BX3" s="408">
        <v>40756</v>
      </c>
      <c r="BY3" s="408">
        <v>40787</v>
      </c>
      <c r="BZ3" s="408">
        <v>40817</v>
      </c>
      <c r="CA3" s="408">
        <v>40848</v>
      </c>
      <c r="CB3" s="408">
        <v>40878</v>
      </c>
      <c r="CC3" s="408">
        <v>40909</v>
      </c>
      <c r="CD3" s="408">
        <v>40940</v>
      </c>
      <c r="CE3" s="408">
        <v>40969</v>
      </c>
      <c r="CF3" s="408">
        <v>41000</v>
      </c>
      <c r="CG3" s="408">
        <v>41030</v>
      </c>
      <c r="CH3" s="408">
        <v>41061</v>
      </c>
      <c r="CI3" s="408">
        <v>41091</v>
      </c>
      <c r="CJ3" s="408">
        <v>41122</v>
      </c>
      <c r="CK3" s="408">
        <v>41153</v>
      </c>
      <c r="CL3" s="408">
        <v>41183</v>
      </c>
      <c r="CM3" s="408">
        <v>41214</v>
      </c>
      <c r="CN3" s="408">
        <v>41244</v>
      </c>
      <c r="CO3" s="408">
        <v>41275</v>
      </c>
      <c r="CP3" s="409">
        <v>41306</v>
      </c>
      <c r="CQ3" s="409" t="s">
        <v>375</v>
      </c>
      <c r="CR3" s="408" t="s">
        <v>376</v>
      </c>
      <c r="CS3" s="408" t="s">
        <v>377</v>
      </c>
      <c r="CT3" s="408" t="s">
        <v>378</v>
      </c>
      <c r="CU3" s="408" t="s">
        <v>379</v>
      </c>
      <c r="CV3" s="408" t="s">
        <v>380</v>
      </c>
      <c r="CW3" s="408" t="s">
        <v>381</v>
      </c>
      <c r="CX3" s="408" t="s">
        <v>382</v>
      </c>
      <c r="CY3" s="408">
        <v>41579</v>
      </c>
      <c r="CZ3" s="408">
        <v>41609</v>
      </c>
      <c r="DA3" s="408">
        <v>41640</v>
      </c>
      <c r="DB3" s="408" t="s">
        <v>383</v>
      </c>
      <c r="DC3" s="408" t="s">
        <v>384</v>
      </c>
      <c r="DD3" s="408" t="s">
        <v>385</v>
      </c>
      <c r="DE3" s="408" t="s">
        <v>386</v>
      </c>
      <c r="DF3" s="408" t="s">
        <v>387</v>
      </c>
      <c r="DG3" s="408" t="s">
        <v>388</v>
      </c>
      <c r="DH3" s="408">
        <v>41865</v>
      </c>
      <c r="DI3" s="408">
        <v>41896</v>
      </c>
      <c r="DJ3" s="408">
        <v>41926</v>
      </c>
      <c r="DK3" s="408">
        <v>41957</v>
      </c>
      <c r="DL3" s="408">
        <v>41987</v>
      </c>
      <c r="DM3" s="408">
        <v>42018</v>
      </c>
      <c r="DN3" s="408">
        <v>42049</v>
      </c>
      <c r="DO3" s="408">
        <v>42077</v>
      </c>
      <c r="DP3" s="408">
        <v>42108</v>
      </c>
      <c r="DQ3" s="408">
        <v>42138</v>
      </c>
      <c r="DR3" s="408">
        <v>42169</v>
      </c>
      <c r="DS3" s="408">
        <v>42199</v>
      </c>
      <c r="DT3" s="408">
        <v>42230</v>
      </c>
      <c r="DU3" s="408">
        <v>42261</v>
      </c>
      <c r="DV3" s="408">
        <v>42291</v>
      </c>
      <c r="DW3" s="408">
        <v>42322</v>
      </c>
      <c r="DX3" s="408">
        <v>42352</v>
      </c>
      <c r="DY3" s="408">
        <v>42383</v>
      </c>
      <c r="DZ3" s="408">
        <v>42414</v>
      </c>
      <c r="EA3" s="408">
        <v>42443</v>
      </c>
      <c r="EB3" s="408">
        <v>42474</v>
      </c>
    </row>
    <row r="4" spans="1:132" ht="21" customHeight="1" thickTop="1" x14ac:dyDescent="0.25">
      <c r="A4" s="410" t="s">
        <v>273</v>
      </c>
      <c r="B4" s="411">
        <f>SUM(B6:B14)</f>
        <v>7345.4913986934589</v>
      </c>
      <c r="C4" s="412">
        <f>SUM(C6:C14)</f>
        <v>7531.8395667485602</v>
      </c>
      <c r="D4" s="215">
        <f>SUM(D6:D14)</f>
        <v>7335.7852072345695</v>
      </c>
      <c r="E4" s="227">
        <f>SUM(E6:E14)</f>
        <v>7904.6126914552005</v>
      </c>
      <c r="F4" s="215">
        <v>7848.7531799304998</v>
      </c>
      <c r="G4" s="215">
        <v>7623.2581692748108</v>
      </c>
      <c r="H4" s="412">
        <v>7989.5967294912807</v>
      </c>
      <c r="I4" s="412">
        <v>7999.8353108993188</v>
      </c>
      <c r="J4" s="215">
        <v>7598.7227322044992</v>
      </c>
      <c r="K4" s="227">
        <v>7574.7225746160748</v>
      </c>
      <c r="L4" s="215">
        <v>7452.7798256555943</v>
      </c>
      <c r="M4" s="215">
        <v>7438.3021187001723</v>
      </c>
      <c r="N4" s="215">
        <v>7844.4049486156382</v>
      </c>
      <c r="O4" s="227">
        <v>8514.6616202365913</v>
      </c>
      <c r="P4" s="215">
        <v>8540.3393322357224</v>
      </c>
      <c r="Q4" s="215">
        <v>7870.6834208845994</v>
      </c>
      <c r="R4" s="413">
        <v>7049.2249522224993</v>
      </c>
      <c r="S4" s="215">
        <v>7247.5642858422998</v>
      </c>
      <c r="T4" s="215">
        <v>7736.2856641049993</v>
      </c>
      <c r="U4" s="217">
        <v>7323.1811838683789</v>
      </c>
      <c r="V4" s="217">
        <v>7145.0940294786169</v>
      </c>
      <c r="W4" s="217">
        <v>6723.0958649366003</v>
      </c>
      <c r="X4" s="217">
        <v>6764.686924614879</v>
      </c>
      <c r="Y4" s="217">
        <v>6746.6737972092178</v>
      </c>
      <c r="Z4" s="217">
        <v>6851.7240930283997</v>
      </c>
      <c r="AA4" s="217">
        <v>7038.2681390582566</v>
      </c>
      <c r="AB4" s="217">
        <v>7209.1246228901327</v>
      </c>
      <c r="AC4" s="217">
        <v>6835.0073988716013</v>
      </c>
      <c r="AD4" s="217">
        <v>7347.0733112097014</v>
      </c>
      <c r="AE4" s="217">
        <v>7207.6971087416669</v>
      </c>
      <c r="AF4" s="217">
        <v>9504.8579286612512</v>
      </c>
      <c r="AG4" s="217">
        <v>9077.6021887352017</v>
      </c>
      <c r="AH4" s="217">
        <v>8367.9104018260005</v>
      </c>
      <c r="AI4" s="217">
        <v>8777.3273127571974</v>
      </c>
      <c r="AJ4" s="217">
        <v>9148.1078086604011</v>
      </c>
      <c r="AK4" s="217">
        <v>9141.4265807759984</v>
      </c>
      <c r="AL4" s="217">
        <v>9248.1128217293008</v>
      </c>
      <c r="AM4" s="296">
        <v>9826.1113371430019</v>
      </c>
      <c r="AN4" s="296">
        <v>9211.2912869184001</v>
      </c>
      <c r="AO4" s="296">
        <v>10040.610854071101</v>
      </c>
      <c r="AP4" s="296">
        <v>11042.825340053099</v>
      </c>
      <c r="AQ4" s="296">
        <v>11337.249227759512</v>
      </c>
      <c r="AR4" s="411">
        <v>12033.491818864621</v>
      </c>
      <c r="AS4" s="411">
        <v>11603.658607119998</v>
      </c>
      <c r="AT4" s="411">
        <v>10732.4054462524</v>
      </c>
      <c r="AU4" s="411">
        <v>11768.312493008001</v>
      </c>
      <c r="AV4" s="411">
        <v>11497.417782589002</v>
      </c>
      <c r="AW4" s="414">
        <v>11537.362559857598</v>
      </c>
      <c r="AX4" s="414">
        <v>12221.6180075764</v>
      </c>
      <c r="AY4" s="414">
        <v>12342.1656849789</v>
      </c>
      <c r="AZ4" s="414">
        <v>13258.842710158204</v>
      </c>
      <c r="BA4" s="414">
        <v>12299.813742014601</v>
      </c>
      <c r="BB4" s="414">
        <v>12388.7715043427</v>
      </c>
      <c r="BC4" s="414">
        <v>12433.54086759544</v>
      </c>
      <c r="BD4" s="414">
        <v>12678.566889178202</v>
      </c>
      <c r="BE4" s="414">
        <v>12967.775489326299</v>
      </c>
      <c r="BF4" s="414">
        <v>13131.523268157775</v>
      </c>
      <c r="BG4" s="414">
        <v>13182.25941531872</v>
      </c>
      <c r="BH4" s="414">
        <v>13063.836328450601</v>
      </c>
      <c r="BI4" s="414">
        <v>13386.798435317798</v>
      </c>
      <c r="BJ4" s="414">
        <v>14560.199880812777</v>
      </c>
      <c r="BK4" s="414">
        <v>12976.340279048389</v>
      </c>
      <c r="BL4" s="414">
        <v>14172.241080191134</v>
      </c>
      <c r="BM4" s="414">
        <v>14685.688135307433</v>
      </c>
      <c r="BN4" s="414">
        <v>15005.716175792335</v>
      </c>
      <c r="BO4" s="414">
        <v>15003.464583781033</v>
      </c>
      <c r="BP4" s="414">
        <v>14468.138209593166</v>
      </c>
      <c r="BQ4" s="414">
        <v>13689.370093494466</v>
      </c>
      <c r="BR4" s="414">
        <v>13876.200949639491</v>
      </c>
      <c r="BS4" s="414">
        <v>13919.254869353617</v>
      </c>
      <c r="BT4" s="414">
        <v>14594.908170461689</v>
      </c>
      <c r="BU4" s="414">
        <v>14388.642019590179</v>
      </c>
      <c r="BV4" s="414">
        <v>13726.883930169755</v>
      </c>
      <c r="BW4" s="414">
        <v>15353.413558884475</v>
      </c>
      <c r="BX4" s="414">
        <v>15699.156513783499</v>
      </c>
      <c r="BY4" s="414">
        <v>15795.0750797745</v>
      </c>
      <c r="BZ4" s="414">
        <v>15878.9</v>
      </c>
      <c r="CA4" s="414">
        <v>15789.186492460702</v>
      </c>
      <c r="CB4" s="414">
        <v>16126.0886783144</v>
      </c>
      <c r="CC4" s="414">
        <v>16599.675062896946</v>
      </c>
      <c r="CD4" s="414">
        <v>16340.584549594476</v>
      </c>
      <c r="CE4" s="414">
        <v>15017.889985251633</v>
      </c>
      <c r="CF4" s="414">
        <v>15029.613866499927</v>
      </c>
      <c r="CG4" s="414">
        <v>15369.276232010279</v>
      </c>
      <c r="CH4" s="414">
        <v>15681.410294747</v>
      </c>
      <c r="CI4" s="414">
        <v>16320.642602344422</v>
      </c>
      <c r="CJ4" s="414">
        <v>16412.937692386644</v>
      </c>
      <c r="CK4" s="414">
        <v>16795.060683477899</v>
      </c>
      <c r="CL4" s="414">
        <v>16473.038777185153</v>
      </c>
      <c r="CM4" s="414">
        <v>17314.672810717457</v>
      </c>
      <c r="CN4" s="414">
        <v>18064.141561415308</v>
      </c>
      <c r="CO4" s="414">
        <v>17507.095010699031</v>
      </c>
      <c r="CP4" s="415">
        <v>17151.629329744275</v>
      </c>
      <c r="CQ4" s="415">
        <v>17569.393295721475</v>
      </c>
      <c r="CR4" s="415">
        <v>17702.011842234984</v>
      </c>
      <c r="CS4" s="415">
        <v>16881.620324176922</v>
      </c>
      <c r="CT4" s="415">
        <v>17135.534504086343</v>
      </c>
      <c r="CU4" s="415">
        <v>17192.939233003413</v>
      </c>
      <c r="CV4" s="415">
        <v>17767.299772989772</v>
      </c>
      <c r="CW4" s="415">
        <v>18196.518901591691</v>
      </c>
      <c r="CX4" s="415">
        <v>18130.254285864259</v>
      </c>
      <c r="CY4" s="415">
        <v>18560.12981877823</v>
      </c>
      <c r="CZ4" s="415">
        <v>18963.31411910502</v>
      </c>
      <c r="DA4" s="415">
        <v>18910.28315050896</v>
      </c>
      <c r="DB4" s="416">
        <v>19375.502609499152</v>
      </c>
      <c r="DC4" s="416">
        <v>19662.870553718116</v>
      </c>
      <c r="DD4" s="416">
        <v>18743.12457340831</v>
      </c>
      <c r="DE4" s="416">
        <v>18487.378129915021</v>
      </c>
      <c r="DF4" s="416">
        <v>18347.194333163425</v>
      </c>
      <c r="DG4" s="416">
        <v>18503.111565147261</v>
      </c>
      <c r="DH4" s="416">
        <v>18105.364593600923</v>
      </c>
      <c r="DI4" s="416">
        <v>17563.206395161589</v>
      </c>
      <c r="DJ4" s="416">
        <v>18087.177848366733</v>
      </c>
      <c r="DK4" s="416">
        <v>18967.010917435819</v>
      </c>
      <c r="DL4" s="416">
        <v>19087.746335728185</v>
      </c>
      <c r="DM4" s="416">
        <v>18868.086467469853</v>
      </c>
      <c r="DN4" s="416">
        <v>18664.558790564934</v>
      </c>
      <c r="DO4" s="416">
        <v>17955.571531790854</v>
      </c>
      <c r="DP4" s="416">
        <v>17635.612176366871</v>
      </c>
      <c r="DQ4" s="416">
        <v>18380.623903723743</v>
      </c>
      <c r="DR4" s="416">
        <v>17667.383780248281</v>
      </c>
      <c r="DS4" s="416">
        <v>18561.518038531474</v>
      </c>
      <c r="DT4" s="416">
        <v>19125.449849701785</v>
      </c>
      <c r="DU4" s="416">
        <v>18638.780380054533</v>
      </c>
      <c r="DV4" s="416">
        <v>18522.58047762045</v>
      </c>
      <c r="DW4" s="416">
        <v>19619.95166837221</v>
      </c>
      <c r="DX4" s="416">
        <v>21394.552881111413</v>
      </c>
      <c r="DY4" s="416">
        <v>21541.067821394976</v>
      </c>
      <c r="DZ4" s="416">
        <v>22370.900507815961</v>
      </c>
      <c r="EA4" s="416">
        <v>21566.219271202001</v>
      </c>
      <c r="EB4" s="416">
        <v>21879.345988237961</v>
      </c>
    </row>
    <row r="5" spans="1:132" ht="15.95" customHeight="1" x14ac:dyDescent="0.25">
      <c r="A5" s="417" t="s">
        <v>274</v>
      </c>
      <c r="B5" s="418"/>
      <c r="C5" s="295"/>
      <c r="D5" s="295"/>
      <c r="E5" s="224"/>
      <c r="F5" s="295"/>
      <c r="G5" s="295"/>
      <c r="H5" s="295"/>
      <c r="I5" s="295"/>
      <c r="J5" s="295"/>
      <c r="K5" s="224"/>
      <c r="L5" s="295"/>
      <c r="M5" s="295"/>
      <c r="N5" s="295"/>
      <c r="O5" s="224"/>
      <c r="P5" s="295"/>
      <c r="Q5" s="295"/>
      <c r="R5" s="224"/>
      <c r="S5" s="295"/>
      <c r="T5" s="295"/>
      <c r="U5" s="419"/>
      <c r="V5" s="419"/>
      <c r="W5" s="419"/>
      <c r="X5" s="419"/>
      <c r="Y5" s="419"/>
      <c r="Z5" s="419"/>
      <c r="AA5" s="419"/>
      <c r="AB5" s="419"/>
      <c r="AC5" s="419"/>
      <c r="AD5" s="419"/>
      <c r="AE5" s="419"/>
      <c r="AF5" s="419"/>
      <c r="AG5" s="419"/>
      <c r="AH5" s="419"/>
      <c r="AI5" s="419"/>
      <c r="AJ5" s="419"/>
      <c r="AK5" s="419"/>
      <c r="AL5" s="419"/>
      <c r="AM5" s="296"/>
      <c r="AN5" s="296"/>
      <c r="AO5" s="296"/>
      <c r="AP5" s="296"/>
      <c r="AQ5" s="296"/>
      <c r="AR5" s="418"/>
      <c r="AS5" s="418"/>
      <c r="AT5" s="418"/>
      <c r="AU5" s="418"/>
      <c r="AV5" s="418"/>
      <c r="AW5" s="218"/>
      <c r="AX5" s="218"/>
      <c r="AY5" s="218"/>
      <c r="AZ5" s="218"/>
      <c r="BA5" s="218"/>
      <c r="BB5" s="218"/>
      <c r="BC5" s="218"/>
      <c r="BD5" s="218"/>
      <c r="BE5" s="218"/>
      <c r="BF5" s="218"/>
      <c r="BG5" s="218"/>
      <c r="BH5" s="218"/>
      <c r="BI5" s="218"/>
      <c r="BJ5" s="218"/>
      <c r="BK5" s="218"/>
      <c r="BL5" s="414"/>
      <c r="BM5" s="414"/>
      <c r="BN5" s="414"/>
      <c r="BO5" s="414"/>
      <c r="BP5" s="414"/>
      <c r="BQ5" s="414"/>
      <c r="BR5" s="414"/>
      <c r="BS5" s="414"/>
      <c r="BT5" s="414"/>
      <c r="BU5" s="414"/>
      <c r="BV5" s="414"/>
      <c r="BW5" s="414"/>
      <c r="BX5" s="414"/>
      <c r="BY5" s="414"/>
      <c r="BZ5" s="414"/>
      <c r="CA5" s="414"/>
      <c r="CB5" s="414"/>
      <c r="CC5" s="414"/>
      <c r="CD5" s="414"/>
      <c r="CE5" s="414"/>
      <c r="CF5" s="414"/>
      <c r="CG5" s="414"/>
      <c r="CH5" s="414"/>
      <c r="CI5" s="414"/>
      <c r="CJ5" s="414"/>
      <c r="CK5" s="414"/>
      <c r="CL5" s="414"/>
      <c r="CM5" s="414"/>
      <c r="CN5" s="414"/>
      <c r="CO5" s="414"/>
      <c r="CP5" s="414"/>
      <c r="CQ5" s="414"/>
      <c r="CR5" s="414"/>
      <c r="CS5" s="414"/>
      <c r="CT5" s="414"/>
      <c r="CU5" s="414"/>
      <c r="CV5" s="414"/>
      <c r="CW5" s="414"/>
      <c r="CX5" s="414"/>
      <c r="CY5" s="414"/>
      <c r="CZ5" s="414"/>
      <c r="DA5" s="414"/>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row>
    <row r="6" spans="1:132" ht="15.95" customHeight="1" x14ac:dyDescent="0.25">
      <c r="A6" s="417" t="s">
        <v>275</v>
      </c>
      <c r="B6" s="418">
        <v>4370.7299203099992</v>
      </c>
      <c r="C6" s="295">
        <v>4323.8554170199995</v>
      </c>
      <c r="D6" s="295">
        <v>4292.1159254200002</v>
      </c>
      <c r="E6" s="224">
        <v>4689.9094079102006</v>
      </c>
      <c r="F6" s="295">
        <v>4495.6720426616002</v>
      </c>
      <c r="G6" s="295">
        <v>4366.3040840202875</v>
      </c>
      <c r="H6" s="295">
        <v>4786.4868422316003</v>
      </c>
      <c r="I6" s="295">
        <v>4993.8081464247598</v>
      </c>
      <c r="J6" s="295">
        <v>4790.7005062644994</v>
      </c>
      <c r="K6" s="224">
        <v>4914.2536862087991</v>
      </c>
      <c r="L6" s="295">
        <v>4881.4822933305941</v>
      </c>
      <c r="M6" s="295">
        <v>4854.6419675026727</v>
      </c>
      <c r="N6" s="295">
        <v>5105.3808355556384</v>
      </c>
      <c r="O6" s="224">
        <v>5474.2172920265921</v>
      </c>
      <c r="P6" s="295">
        <v>5536.0967956957229</v>
      </c>
      <c r="Q6" s="295">
        <v>4862.4684583595999</v>
      </c>
      <c r="R6" s="224">
        <v>4465.7456297024992</v>
      </c>
      <c r="S6" s="295">
        <v>4312.9186979797996</v>
      </c>
      <c r="T6" s="295">
        <v>4556.131249905</v>
      </c>
      <c r="U6" s="419">
        <v>4720.5797024283802</v>
      </c>
      <c r="V6" s="419">
        <v>4707.1345624486175</v>
      </c>
      <c r="W6" s="419">
        <v>4215.6078598466001</v>
      </c>
      <c r="X6" s="419">
        <v>4272.5918114948781</v>
      </c>
      <c r="Y6" s="419">
        <v>4035.038303729219</v>
      </c>
      <c r="Z6" s="419">
        <v>4128.9577768183999</v>
      </c>
      <c r="AA6" s="419">
        <v>4103.7642567882549</v>
      </c>
      <c r="AB6" s="419">
        <v>4025.1771553201324</v>
      </c>
      <c r="AC6" s="419">
        <v>3780.3828302116003</v>
      </c>
      <c r="AD6" s="419">
        <v>3899.8604576597004</v>
      </c>
      <c r="AE6" s="419">
        <v>3872.8509141516665</v>
      </c>
      <c r="AF6" s="419">
        <v>5375.2728675512508</v>
      </c>
      <c r="AG6" s="419">
        <v>5636.7090192952001</v>
      </c>
      <c r="AH6" s="419">
        <v>5201.4440444659995</v>
      </c>
      <c r="AI6" s="419">
        <v>4996.4140955471994</v>
      </c>
      <c r="AJ6" s="419">
        <v>5390.5534820503999</v>
      </c>
      <c r="AK6" s="419">
        <v>5377.043477706</v>
      </c>
      <c r="AL6" s="419">
        <v>5487.7118382393001</v>
      </c>
      <c r="AM6" s="297">
        <v>5552.1091964430007</v>
      </c>
      <c r="AN6" s="297">
        <v>5216.9822497083996</v>
      </c>
      <c r="AO6" s="297">
        <v>5447.3569319177004</v>
      </c>
      <c r="AP6" s="297">
        <v>5668.3898299978</v>
      </c>
      <c r="AQ6" s="297">
        <v>5930.9691786439998</v>
      </c>
      <c r="AR6" s="418">
        <v>6551.8138669764003</v>
      </c>
      <c r="AS6" s="418">
        <v>6479.8904258999992</v>
      </c>
      <c r="AT6" s="418">
        <v>6403.119384983599</v>
      </c>
      <c r="AU6" s="418">
        <v>7157.0655215983998</v>
      </c>
      <c r="AV6" s="418">
        <v>6882.3367099530014</v>
      </c>
      <c r="AW6" s="218">
        <v>6613.5759396931999</v>
      </c>
      <c r="AX6" s="218">
        <v>7036.3608777972004</v>
      </c>
      <c r="AY6" s="218">
        <v>7009.8077130161009</v>
      </c>
      <c r="AZ6" s="218">
        <v>7132.8145208325004</v>
      </c>
      <c r="BA6" s="218">
        <v>6251.2562820278008</v>
      </c>
      <c r="BB6" s="218">
        <v>6093.6134419927994</v>
      </c>
      <c r="BC6" s="218">
        <v>6100.6264666391999</v>
      </c>
      <c r="BD6" s="218">
        <v>6654.8429190156012</v>
      </c>
      <c r="BE6" s="218">
        <v>6943.3987936104013</v>
      </c>
      <c r="BF6" s="218">
        <v>6782.731771522499</v>
      </c>
      <c r="BG6" s="218">
        <v>6807.7454515099998</v>
      </c>
      <c r="BH6" s="218">
        <v>6475.6326600967004</v>
      </c>
      <c r="BI6" s="218">
        <v>6500.6610102193008</v>
      </c>
      <c r="BJ6" s="218">
        <v>6584.1377497066005</v>
      </c>
      <c r="BK6" s="218">
        <v>6329.3304995195995</v>
      </c>
      <c r="BL6" s="218">
        <v>6576.4615278647007</v>
      </c>
      <c r="BM6" s="218">
        <v>6479.6058624232001</v>
      </c>
      <c r="BN6" s="218">
        <v>6561.3156319817999</v>
      </c>
      <c r="BO6" s="218">
        <v>6477.0626906327998</v>
      </c>
      <c r="BP6" s="218">
        <v>6528.7985947214001</v>
      </c>
      <c r="BQ6" s="218">
        <v>6589.5129304363991</v>
      </c>
      <c r="BR6" s="218">
        <v>6559.5246140866993</v>
      </c>
      <c r="BS6" s="218">
        <v>6658.1929827439999</v>
      </c>
      <c r="BT6" s="218">
        <v>6662.0088622149497</v>
      </c>
      <c r="BU6" s="218">
        <v>6066.9568600943994</v>
      </c>
      <c r="BV6" s="218">
        <v>6124.3831808054001</v>
      </c>
      <c r="BW6" s="218">
        <v>6529.1913200449999</v>
      </c>
      <c r="BX6" s="218">
        <v>6600.9464487944997</v>
      </c>
      <c r="BY6" s="218">
        <v>6364.4998691746996</v>
      </c>
      <c r="BZ6" s="218">
        <v>6349.7</v>
      </c>
      <c r="CA6" s="218">
        <v>6308.0139900163995</v>
      </c>
      <c r="CB6" s="218">
        <v>6044.1974124824001</v>
      </c>
      <c r="CC6" s="218">
        <v>6341.9923835599993</v>
      </c>
      <c r="CD6" s="218">
        <v>6285.2277418739404</v>
      </c>
      <c r="CE6" s="218">
        <v>6082.926019859975</v>
      </c>
      <c r="CF6" s="218">
        <v>6335.7700357709609</v>
      </c>
      <c r="CG6" s="218">
        <v>6716.4708608245674</v>
      </c>
      <c r="CH6" s="218">
        <v>7097.3893903238404</v>
      </c>
      <c r="CI6" s="218">
        <v>7571.9813189940069</v>
      </c>
      <c r="CJ6" s="218">
        <v>7442.0839899803805</v>
      </c>
      <c r="CK6" s="218">
        <v>7142.8922370595901</v>
      </c>
      <c r="CL6" s="218">
        <v>6869.9380813100006</v>
      </c>
      <c r="CM6" s="218">
        <v>7192.52901587</v>
      </c>
      <c r="CN6" s="218">
        <v>7114.0137198900002</v>
      </c>
      <c r="CO6" s="218">
        <v>6883.8815633599988</v>
      </c>
      <c r="CP6" s="218">
        <v>6810.6534626441999</v>
      </c>
      <c r="CQ6" s="218">
        <v>7024.7370861399995</v>
      </c>
      <c r="CR6" s="218">
        <v>7264.7614756800003</v>
      </c>
      <c r="CS6" s="218">
        <v>7087.1171652499997</v>
      </c>
      <c r="CT6" s="218">
        <v>7247.2063637399997</v>
      </c>
      <c r="CU6" s="218">
        <v>6919.0764716300009</v>
      </c>
      <c r="CV6" s="218">
        <v>6676.0607484399998</v>
      </c>
      <c r="CW6" s="218">
        <v>6814.6567555399988</v>
      </c>
      <c r="CX6" s="218">
        <v>6825.7617843899989</v>
      </c>
      <c r="CY6" s="218">
        <v>6843.997188790001</v>
      </c>
      <c r="CZ6" s="218">
        <v>7002.1169684299994</v>
      </c>
      <c r="DA6" s="218">
        <v>7446.1643054899996</v>
      </c>
      <c r="DB6" s="421">
        <v>7529.3587611499997</v>
      </c>
      <c r="DC6" s="421">
        <v>7602.34439845</v>
      </c>
      <c r="DD6" s="421">
        <v>7694.6431382999999</v>
      </c>
      <c r="DE6" s="421">
        <v>7698.5189493499993</v>
      </c>
      <c r="DF6" s="421">
        <v>8000.7818561299991</v>
      </c>
      <c r="DG6" s="421">
        <v>8202.1251248400004</v>
      </c>
      <c r="DH6" s="421">
        <v>8255.4369417300004</v>
      </c>
      <c r="DI6" s="421">
        <v>7946.9189571400002</v>
      </c>
      <c r="DJ6" s="421">
        <v>7872.9595007500002</v>
      </c>
      <c r="DK6" s="421">
        <v>6973.5069436499998</v>
      </c>
      <c r="DL6" s="421">
        <v>7360.8988018499995</v>
      </c>
      <c r="DM6" s="421">
        <v>7234.9400248500006</v>
      </c>
      <c r="DN6" s="421">
        <v>7117.6037073500011</v>
      </c>
      <c r="DO6" s="421">
        <v>6951.6137688599993</v>
      </c>
      <c r="DP6" s="421">
        <v>6759.6659475600009</v>
      </c>
      <c r="DQ6" s="421">
        <v>6782.1101982500004</v>
      </c>
      <c r="DR6" s="421">
        <v>7112.6793703900003</v>
      </c>
      <c r="DS6" s="421">
        <v>7794.8613997000002</v>
      </c>
      <c r="DT6" s="421">
        <v>7874.5377965600001</v>
      </c>
      <c r="DU6" s="421">
        <v>7791.6029663600002</v>
      </c>
      <c r="DV6" s="421">
        <v>8098.8987568899993</v>
      </c>
      <c r="DW6" s="421">
        <v>8664.5333422399999</v>
      </c>
      <c r="DX6" s="421">
        <v>9579.4237576199994</v>
      </c>
      <c r="DY6" s="421">
        <v>10172.190159060001</v>
      </c>
      <c r="DZ6" s="421">
        <v>11338.307384570002</v>
      </c>
      <c r="EA6" s="421">
        <v>11319.95574404</v>
      </c>
      <c r="EB6" s="421">
        <v>11041.06126022</v>
      </c>
    </row>
    <row r="7" spans="1:132" ht="15.95" customHeight="1" x14ac:dyDescent="0.25">
      <c r="A7" s="417" t="s">
        <v>276</v>
      </c>
      <c r="B7" s="418">
        <v>947.71407808999993</v>
      </c>
      <c r="C7" s="295">
        <v>888.25672714999996</v>
      </c>
      <c r="D7" s="295">
        <v>894.59133156999997</v>
      </c>
      <c r="E7" s="224">
        <v>808.46376236000015</v>
      </c>
      <c r="F7" s="295">
        <v>760.30456875999994</v>
      </c>
      <c r="G7" s="295">
        <v>691.09963296000001</v>
      </c>
      <c r="H7" s="295">
        <v>703.49796226000001</v>
      </c>
      <c r="I7" s="295">
        <v>1100.5213783199999</v>
      </c>
      <c r="J7" s="295">
        <v>846.72288403999994</v>
      </c>
      <c r="K7" s="224">
        <v>880.52077351000003</v>
      </c>
      <c r="L7" s="295">
        <v>935.92604272000005</v>
      </c>
      <c r="M7" s="295">
        <v>722.06079064999994</v>
      </c>
      <c r="N7" s="295">
        <v>706.18664161000004</v>
      </c>
      <c r="O7" s="224">
        <v>813.69968423</v>
      </c>
      <c r="P7" s="295">
        <v>731.17343831999995</v>
      </c>
      <c r="Q7" s="295">
        <v>743.58479609000005</v>
      </c>
      <c r="R7" s="224">
        <v>670.50531777999993</v>
      </c>
      <c r="S7" s="295">
        <v>647.10581165999997</v>
      </c>
      <c r="T7" s="295">
        <v>899.91180695000003</v>
      </c>
      <c r="U7" s="419">
        <v>660.67174766999995</v>
      </c>
      <c r="V7" s="419">
        <v>595.99635827999998</v>
      </c>
      <c r="W7" s="419">
        <v>790.72846633999995</v>
      </c>
      <c r="X7" s="419">
        <v>768.83103670000003</v>
      </c>
      <c r="Y7" s="419">
        <v>760.86141576</v>
      </c>
      <c r="Z7" s="419">
        <v>608.70071227999995</v>
      </c>
      <c r="AA7" s="419">
        <v>686.03519133000009</v>
      </c>
      <c r="AB7" s="419">
        <v>638.57694258000004</v>
      </c>
      <c r="AC7" s="419">
        <v>625.02238913999997</v>
      </c>
      <c r="AD7" s="419">
        <v>572.14731293</v>
      </c>
      <c r="AE7" s="419">
        <v>588.39648282000019</v>
      </c>
      <c r="AF7" s="419">
        <v>561.94402072000003</v>
      </c>
      <c r="AG7" s="419">
        <v>491.69037447000005</v>
      </c>
      <c r="AH7" s="419">
        <v>404.17246085000005</v>
      </c>
      <c r="AI7" s="419">
        <v>1052.8532324</v>
      </c>
      <c r="AJ7" s="419">
        <v>1079.00945247</v>
      </c>
      <c r="AK7" s="419">
        <v>1028.23917175</v>
      </c>
      <c r="AL7" s="419">
        <v>992.26630272</v>
      </c>
      <c r="AM7" s="297">
        <v>1010.10531451</v>
      </c>
      <c r="AN7" s="297">
        <v>1056.9215584400001</v>
      </c>
      <c r="AO7" s="297">
        <v>1026.3791025200001</v>
      </c>
      <c r="AP7" s="297">
        <v>1210.84515521</v>
      </c>
      <c r="AQ7" s="297">
        <v>1417.8552750300003</v>
      </c>
      <c r="AR7" s="418">
        <v>666.98173649519993</v>
      </c>
      <c r="AS7" s="418">
        <v>762.87199767999994</v>
      </c>
      <c r="AT7" s="418">
        <v>736.79466325999999</v>
      </c>
      <c r="AU7" s="418">
        <v>1016.7911232228</v>
      </c>
      <c r="AV7" s="418">
        <v>1017.8522659400001</v>
      </c>
      <c r="AW7" s="218">
        <v>986.7281722724</v>
      </c>
      <c r="AX7" s="218">
        <v>1090.0841711399999</v>
      </c>
      <c r="AY7" s="218">
        <v>1117.5570805899999</v>
      </c>
      <c r="AZ7" s="218">
        <v>1242.1857621718998</v>
      </c>
      <c r="BA7" s="218">
        <v>1130.6207459157999</v>
      </c>
      <c r="BB7" s="218">
        <v>1180.9600675199999</v>
      </c>
      <c r="BC7" s="218">
        <v>1179.2927186999998</v>
      </c>
      <c r="BD7" s="218">
        <v>1194.4314657499999</v>
      </c>
      <c r="BE7" s="218">
        <v>1283.3959922957001</v>
      </c>
      <c r="BF7" s="218">
        <v>1170.1192027449999</v>
      </c>
      <c r="BG7" s="218">
        <v>1037.2159888900001</v>
      </c>
      <c r="BH7" s="218">
        <v>977.25371406560009</v>
      </c>
      <c r="BI7" s="218">
        <v>973.93286234000004</v>
      </c>
      <c r="BJ7" s="218">
        <v>1609.17291312</v>
      </c>
      <c r="BK7" s="218">
        <v>1343.6732333334</v>
      </c>
      <c r="BL7" s="218">
        <v>1380.5472245097001</v>
      </c>
      <c r="BM7" s="218">
        <v>1585.4924234523999</v>
      </c>
      <c r="BN7" s="218">
        <v>1401.6625373600002</v>
      </c>
      <c r="BO7" s="218">
        <v>1356.8478927136002</v>
      </c>
      <c r="BP7" s="218">
        <v>1259.7261644150999</v>
      </c>
      <c r="BQ7" s="218">
        <v>1236.5469993167001</v>
      </c>
      <c r="BR7" s="218">
        <v>1297.8113549047998</v>
      </c>
      <c r="BS7" s="218">
        <v>1254.7770420416</v>
      </c>
      <c r="BT7" s="218">
        <v>2359.4374312179998</v>
      </c>
      <c r="BU7" s="218">
        <v>2492.8735255574061</v>
      </c>
      <c r="BV7" s="218">
        <v>2596.1876437210285</v>
      </c>
      <c r="BW7" s="218">
        <v>2592.3674039123198</v>
      </c>
      <c r="BX7" s="218">
        <v>2737.081852884</v>
      </c>
      <c r="BY7" s="218">
        <v>2671.7097182817001</v>
      </c>
      <c r="BZ7" s="218">
        <v>2644.4</v>
      </c>
      <c r="CA7" s="218">
        <v>2608.12796746</v>
      </c>
      <c r="CB7" s="218">
        <v>2547.7241215800004</v>
      </c>
      <c r="CC7" s="218">
        <v>2605.7748322424</v>
      </c>
      <c r="CD7" s="218">
        <v>2581.5688966204902</v>
      </c>
      <c r="CE7" s="218">
        <v>1922.9857331599999</v>
      </c>
      <c r="CF7" s="218">
        <v>1851.1474936136021</v>
      </c>
      <c r="CG7" s="218">
        <v>1823.2372807956165</v>
      </c>
      <c r="CH7" s="218">
        <v>1863.3675000000001</v>
      </c>
      <c r="CI7" s="218">
        <v>1995.3255854899999</v>
      </c>
      <c r="CJ7" s="218">
        <v>1971.91117252</v>
      </c>
      <c r="CK7" s="218">
        <v>1869.7525880599999</v>
      </c>
      <c r="CL7" s="218">
        <v>1778.58311007</v>
      </c>
      <c r="CM7" s="218">
        <v>1799.8706586599997</v>
      </c>
      <c r="CN7" s="218">
        <v>1849.45383186</v>
      </c>
      <c r="CO7" s="218">
        <v>1850.2427751099999</v>
      </c>
      <c r="CP7" s="218">
        <v>1788.3412914</v>
      </c>
      <c r="CQ7" s="218">
        <v>1856.30235322</v>
      </c>
      <c r="CR7" s="218">
        <v>1848.6942909299999</v>
      </c>
      <c r="CS7" s="218">
        <v>1851.8845406800001</v>
      </c>
      <c r="CT7" s="218">
        <v>2437.9259930400003</v>
      </c>
      <c r="CU7" s="218">
        <v>2683.4749029</v>
      </c>
      <c r="CV7" s="218">
        <v>2873.5351473399996</v>
      </c>
      <c r="CW7" s="218">
        <v>2863.6323328399999</v>
      </c>
      <c r="CX7" s="218">
        <v>2932.6817921300003</v>
      </c>
      <c r="CY7" s="218">
        <v>2892.3364387200004</v>
      </c>
      <c r="CZ7" s="218">
        <v>3018.0717435300003</v>
      </c>
      <c r="DA7" s="218">
        <v>3040.81866416</v>
      </c>
      <c r="DB7" s="421">
        <v>3061.71292352</v>
      </c>
      <c r="DC7" s="421">
        <v>3017.5393533399997</v>
      </c>
      <c r="DD7" s="421">
        <v>3036.47316796</v>
      </c>
      <c r="DE7" s="421">
        <v>3082.6068864899999</v>
      </c>
      <c r="DF7" s="421">
        <v>2924.1876803240234</v>
      </c>
      <c r="DG7" s="421">
        <v>3008.8082769877651</v>
      </c>
      <c r="DH7" s="421">
        <v>3029.8981704463072</v>
      </c>
      <c r="DI7" s="421">
        <v>3460.9018560058003</v>
      </c>
      <c r="DJ7" s="421">
        <v>3310.3038027049051</v>
      </c>
      <c r="DK7" s="421">
        <v>2998.397979581709</v>
      </c>
      <c r="DL7" s="421">
        <v>2929.3319966965787</v>
      </c>
      <c r="DM7" s="421">
        <v>3145.4756887137537</v>
      </c>
      <c r="DN7" s="421">
        <v>3197.1587873879798</v>
      </c>
      <c r="DO7" s="421">
        <v>3428.7045279499998</v>
      </c>
      <c r="DP7" s="421">
        <v>3462.4791880799999</v>
      </c>
      <c r="DQ7" s="421">
        <v>3471.4170574600003</v>
      </c>
      <c r="DR7" s="421">
        <v>3431.1554657299998</v>
      </c>
      <c r="DS7" s="421">
        <v>3372.67180822</v>
      </c>
      <c r="DT7" s="421">
        <v>3354.8645674600002</v>
      </c>
      <c r="DU7" s="421">
        <v>3404.5860795799999</v>
      </c>
      <c r="DV7" s="421">
        <v>2519.3904190249</v>
      </c>
      <c r="DW7" s="421">
        <v>2343.4389200200003</v>
      </c>
      <c r="DX7" s="421">
        <v>2464.2943949</v>
      </c>
      <c r="DY7" s="421">
        <v>2455.8135256400005</v>
      </c>
      <c r="DZ7" s="421">
        <v>2488.4626059966499</v>
      </c>
      <c r="EA7" s="421">
        <v>2414.8799825100004</v>
      </c>
      <c r="EB7" s="421">
        <v>2933.4423263992999</v>
      </c>
    </row>
    <row r="8" spans="1:132" ht="15.95" customHeight="1" x14ac:dyDescent="0.25">
      <c r="A8" s="417" t="s">
        <v>277</v>
      </c>
      <c r="B8" s="418">
        <v>14.049424</v>
      </c>
      <c r="C8" s="295">
        <v>12.630751</v>
      </c>
      <c r="D8" s="295">
        <v>13.428654000000002</v>
      </c>
      <c r="E8" s="224">
        <v>15.132339000000002</v>
      </c>
      <c r="F8" s="295">
        <v>15.919357</v>
      </c>
      <c r="G8" s="295">
        <v>16.155488000000002</v>
      </c>
      <c r="H8" s="295">
        <v>18.95864688</v>
      </c>
      <c r="I8" s="295">
        <v>16.23104</v>
      </c>
      <c r="J8" s="295">
        <v>18.155421829999998</v>
      </c>
      <c r="K8" s="224">
        <v>19.179758240000002</v>
      </c>
      <c r="L8" s="295">
        <v>14.546299400000001</v>
      </c>
      <c r="M8" s="295">
        <v>18.68868582</v>
      </c>
      <c r="N8" s="295">
        <v>17.235568000000001</v>
      </c>
      <c r="O8" s="224">
        <v>19.27239694</v>
      </c>
      <c r="P8" s="295">
        <v>20.66539998</v>
      </c>
      <c r="Q8" s="295">
        <v>21.927378019999999</v>
      </c>
      <c r="R8" s="224">
        <v>22.397614709999999</v>
      </c>
      <c r="S8" s="295">
        <v>23.981740869999999</v>
      </c>
      <c r="T8" s="295">
        <v>20.001068149999998</v>
      </c>
      <c r="U8" s="419">
        <v>24.183884350000003</v>
      </c>
      <c r="V8" s="419">
        <v>24.915300250000001</v>
      </c>
      <c r="W8" s="419">
        <v>22.119072719999998</v>
      </c>
      <c r="X8" s="419">
        <v>21.157603429999998</v>
      </c>
      <c r="Y8" s="419">
        <v>19.039158240000003</v>
      </c>
      <c r="Z8" s="419">
        <v>17.498148050000001</v>
      </c>
      <c r="AA8" s="419">
        <v>19.131903319999999</v>
      </c>
      <c r="AB8" s="419">
        <v>20.453608450000001</v>
      </c>
      <c r="AC8" s="419">
        <v>14.772791420000001</v>
      </c>
      <c r="AD8" s="419">
        <v>15.45467451</v>
      </c>
      <c r="AE8" s="419">
        <v>17.127844370000002</v>
      </c>
      <c r="AF8" s="419">
        <v>17.43549646</v>
      </c>
      <c r="AG8" s="419">
        <v>16.568486069999999</v>
      </c>
      <c r="AH8" s="419">
        <v>19.166698499999999</v>
      </c>
      <c r="AI8" s="419">
        <v>18.96211533</v>
      </c>
      <c r="AJ8" s="419">
        <v>19.512489689999999</v>
      </c>
      <c r="AK8" s="419">
        <v>19.53939733</v>
      </c>
      <c r="AL8" s="419">
        <v>18.170410780000001</v>
      </c>
      <c r="AM8" s="297">
        <v>16.670075489999999</v>
      </c>
      <c r="AN8" s="297">
        <v>16.5553715</v>
      </c>
      <c r="AO8" s="297">
        <v>16.17877979</v>
      </c>
      <c r="AP8" s="297">
        <v>17.015526240000003</v>
      </c>
      <c r="AQ8" s="297">
        <v>17.004971179999998</v>
      </c>
      <c r="AR8" s="418">
        <v>16.321624359999998</v>
      </c>
      <c r="AS8" s="418">
        <v>15.42724069</v>
      </c>
      <c r="AT8" s="418">
        <v>14.555907769999999</v>
      </c>
      <c r="AU8" s="418">
        <v>15.6637319</v>
      </c>
      <c r="AV8" s="418">
        <v>15.142991530000002</v>
      </c>
      <c r="AW8" s="218">
        <v>62.480838718800001</v>
      </c>
      <c r="AX8" s="218">
        <v>62.640613819999999</v>
      </c>
      <c r="AY8" s="218">
        <v>64.983649409999998</v>
      </c>
      <c r="AZ8" s="218">
        <v>65.705261149999998</v>
      </c>
      <c r="BA8" s="218">
        <v>65.608467560000008</v>
      </c>
      <c r="BB8" s="218">
        <v>67.104993690000001</v>
      </c>
      <c r="BC8" s="218">
        <v>65.936608300000003</v>
      </c>
      <c r="BD8" s="218">
        <v>66.269063799999998</v>
      </c>
      <c r="BE8" s="218">
        <v>67.142427653699997</v>
      </c>
      <c r="BF8" s="218">
        <v>66.769846042500006</v>
      </c>
      <c r="BG8" s="218">
        <v>16.314983609999999</v>
      </c>
      <c r="BH8" s="218">
        <v>15.66918912</v>
      </c>
      <c r="BI8" s="218">
        <v>14.70712675</v>
      </c>
      <c r="BJ8" s="218">
        <v>14.14735907</v>
      </c>
      <c r="BK8" s="218">
        <v>12.02554349</v>
      </c>
      <c r="BL8" s="218">
        <v>11.767226539999999</v>
      </c>
      <c r="BM8" s="218">
        <v>12.49390421</v>
      </c>
      <c r="BN8" s="218">
        <v>10.334915929999999</v>
      </c>
      <c r="BO8" s="218">
        <v>11.426193269999999</v>
      </c>
      <c r="BP8" s="218">
        <v>11.68602375</v>
      </c>
      <c r="BQ8" s="218">
        <v>12.068280640000001</v>
      </c>
      <c r="BR8" s="218">
        <v>11.92550069</v>
      </c>
      <c r="BS8" s="218">
        <v>11.200466629999999</v>
      </c>
      <c r="BT8" s="218">
        <v>9.2935320500000014</v>
      </c>
      <c r="BU8" s="218">
        <v>10.469897289999999</v>
      </c>
      <c r="BV8" s="218">
        <v>11.684196596219998</v>
      </c>
      <c r="BW8" s="218">
        <v>11.23606889</v>
      </c>
      <c r="BX8" s="218">
        <v>10.350129000000001</v>
      </c>
      <c r="BY8" s="218">
        <v>11.4813106123</v>
      </c>
      <c r="BZ8" s="218">
        <v>11.5</v>
      </c>
      <c r="CA8" s="218">
        <v>9.9080165299999994</v>
      </c>
      <c r="CB8" s="218">
        <v>13.356135</v>
      </c>
      <c r="CC8" s="218">
        <v>13.194072049727998</v>
      </c>
      <c r="CD8" s="218">
        <v>13.667905460907999</v>
      </c>
      <c r="CE8" s="218">
        <v>14.509243358094825</v>
      </c>
      <c r="CF8" s="218">
        <v>15.483963649663997</v>
      </c>
      <c r="CG8" s="218">
        <v>12.491698636283333</v>
      </c>
      <c r="CH8" s="218">
        <v>12.567417749999999</v>
      </c>
      <c r="CI8" s="218">
        <v>11.97007224</v>
      </c>
      <c r="CJ8" s="218">
        <v>10.528653850000001</v>
      </c>
      <c r="CK8" s="218">
        <v>9.1565461500000005</v>
      </c>
      <c r="CL8" s="218">
        <v>8.4030496899999996</v>
      </c>
      <c r="CM8" s="218">
        <v>10.43707256442779</v>
      </c>
      <c r="CN8" s="218">
        <v>12.215941920000001</v>
      </c>
      <c r="CO8" s="218">
        <v>11.37133736</v>
      </c>
      <c r="CP8" s="218">
        <v>11.904212170000001</v>
      </c>
      <c r="CQ8" s="218">
        <v>10.313248960000001</v>
      </c>
      <c r="CR8" s="218">
        <v>11.145040190000001</v>
      </c>
      <c r="CS8" s="218">
        <v>10.38853761</v>
      </c>
      <c r="CT8" s="218">
        <v>10.063368109999999</v>
      </c>
      <c r="CU8" s="218">
        <v>10.23378862</v>
      </c>
      <c r="CV8" s="218">
        <v>10.28510065</v>
      </c>
      <c r="CW8" s="218">
        <v>10.065354390000001</v>
      </c>
      <c r="CX8" s="218">
        <v>9.8054173999999978</v>
      </c>
      <c r="CY8" s="218">
        <v>11.144426939999999</v>
      </c>
      <c r="CZ8" s="218">
        <v>11.79465038</v>
      </c>
      <c r="DA8" s="218">
        <v>10.78413991</v>
      </c>
      <c r="DB8" s="421">
        <v>10.59136505</v>
      </c>
      <c r="DC8" s="421">
        <v>8.2615560000000006</v>
      </c>
      <c r="DD8" s="421">
        <v>8.154205769999999</v>
      </c>
      <c r="DE8" s="421">
        <v>8.0235489999999992</v>
      </c>
      <c r="DF8" s="421">
        <v>8.8039190000000005</v>
      </c>
      <c r="DG8" s="421">
        <v>7.9038370000000002</v>
      </c>
      <c r="DH8" s="421">
        <v>8.6971988400000004</v>
      </c>
      <c r="DI8" s="421">
        <v>9.2084595900000004</v>
      </c>
      <c r="DJ8" s="421">
        <v>9.1416863399999997</v>
      </c>
      <c r="DK8" s="421">
        <v>10.513641</v>
      </c>
      <c r="DL8" s="421">
        <v>9.8508040000000001</v>
      </c>
      <c r="DM8" s="421">
        <v>10.099980960000002</v>
      </c>
      <c r="DN8" s="421">
        <v>9.30554989</v>
      </c>
      <c r="DO8" s="421">
        <v>11.051081</v>
      </c>
      <c r="DP8" s="421">
        <v>11.42057417</v>
      </c>
      <c r="DQ8" s="421">
        <v>11.169676190000001</v>
      </c>
      <c r="DR8" s="421">
        <v>12.1093288</v>
      </c>
      <c r="DS8" s="421">
        <v>11.49443383</v>
      </c>
      <c r="DT8" s="421">
        <v>11.830401199999999</v>
      </c>
      <c r="DU8" s="421">
        <v>11.221654300000001</v>
      </c>
      <c r="DV8" s="421">
        <v>13.49133159</v>
      </c>
      <c r="DW8" s="421">
        <v>13.47984705</v>
      </c>
      <c r="DX8" s="421">
        <v>12.800818699999999</v>
      </c>
      <c r="DY8" s="421">
        <v>15.9265135</v>
      </c>
      <c r="DZ8" s="421">
        <v>16.56402843</v>
      </c>
      <c r="EA8" s="421">
        <v>15.147899429999999</v>
      </c>
      <c r="EB8" s="421">
        <v>14.61571644</v>
      </c>
    </row>
    <row r="9" spans="1:132" ht="15.95" customHeight="1" x14ac:dyDescent="0.25">
      <c r="A9" s="417" t="s">
        <v>278</v>
      </c>
      <c r="B9" s="418">
        <v>19.434546000000001</v>
      </c>
      <c r="C9" s="295">
        <v>21.991353700000001</v>
      </c>
      <c r="D9" s="295">
        <v>24.904605510000003</v>
      </c>
      <c r="E9" s="224">
        <v>20.44278006</v>
      </c>
      <c r="F9" s="295">
        <v>26.744178240000004</v>
      </c>
      <c r="G9" s="295">
        <v>27.471033890000001</v>
      </c>
      <c r="H9" s="295">
        <v>31.25423623</v>
      </c>
      <c r="I9" s="295">
        <v>14.37098275</v>
      </c>
      <c r="J9" s="295">
        <v>14.743625040000001</v>
      </c>
      <c r="K9" s="224">
        <v>15.38837155</v>
      </c>
      <c r="L9" s="295">
        <v>14.317133999999999</v>
      </c>
      <c r="M9" s="295">
        <v>15.369480529999999</v>
      </c>
      <c r="N9" s="295">
        <v>14.123897019999999</v>
      </c>
      <c r="O9" s="224">
        <v>13.827830909999999</v>
      </c>
      <c r="P9" s="295">
        <v>15.908692479999999</v>
      </c>
      <c r="Q9" s="295">
        <v>14.163014530000002</v>
      </c>
      <c r="R9" s="224">
        <v>15.938348299999999</v>
      </c>
      <c r="S9" s="295">
        <v>14.927327640000001</v>
      </c>
      <c r="T9" s="295">
        <v>15.37474287</v>
      </c>
      <c r="U9" s="419">
        <v>16.239639539999999</v>
      </c>
      <c r="V9" s="419">
        <v>15.00314176</v>
      </c>
      <c r="W9" s="419">
        <v>15.303271949999999</v>
      </c>
      <c r="X9" s="419">
        <v>13.790674790000001</v>
      </c>
      <c r="Y9" s="419">
        <v>12.73285454</v>
      </c>
      <c r="Z9" s="419">
        <v>13.541893530000001</v>
      </c>
      <c r="AA9" s="419">
        <v>12.95515335</v>
      </c>
      <c r="AB9" s="419">
        <v>16.082966370000001</v>
      </c>
      <c r="AC9" s="419">
        <v>14.496600379999999</v>
      </c>
      <c r="AD9" s="419">
        <v>12.776230910000001</v>
      </c>
      <c r="AE9" s="419">
        <v>15.368706900000001</v>
      </c>
      <c r="AF9" s="419">
        <v>13.117615220000001</v>
      </c>
      <c r="AG9" s="419">
        <v>12.448867310000001</v>
      </c>
      <c r="AH9" s="419">
        <v>11.553555950000002</v>
      </c>
      <c r="AI9" s="419">
        <v>13.22084695</v>
      </c>
      <c r="AJ9" s="419">
        <v>12.993818859999999</v>
      </c>
      <c r="AK9" s="419">
        <v>11.6259444</v>
      </c>
      <c r="AL9" s="419">
        <v>9.9342030099999992</v>
      </c>
      <c r="AM9" s="297">
        <v>8.7160712100000008</v>
      </c>
      <c r="AN9" s="297">
        <v>9.0718181500000004</v>
      </c>
      <c r="AO9" s="297">
        <v>8.9005056099999997</v>
      </c>
      <c r="AP9" s="297">
        <v>9.6434757500000003</v>
      </c>
      <c r="AQ9" s="297">
        <v>10.434982339999999</v>
      </c>
      <c r="AR9" s="418">
        <v>11.25451874</v>
      </c>
      <c r="AS9" s="418">
        <v>17.118735280000003</v>
      </c>
      <c r="AT9" s="418">
        <v>13.757401400000001</v>
      </c>
      <c r="AU9" s="418">
        <v>16.082168519999996</v>
      </c>
      <c r="AV9" s="418">
        <v>17.78960064</v>
      </c>
      <c r="AW9" s="218">
        <v>20.382275069999999</v>
      </c>
      <c r="AX9" s="218">
        <v>18.270174609999994</v>
      </c>
      <c r="AY9" s="218">
        <v>3.2451047400000004</v>
      </c>
      <c r="AZ9" s="218">
        <v>3.3936212000000001</v>
      </c>
      <c r="BA9" s="218">
        <v>3.9056801300000004</v>
      </c>
      <c r="BB9" s="218">
        <v>4.0478866499999997</v>
      </c>
      <c r="BC9" s="218">
        <v>0.98379643000000006</v>
      </c>
      <c r="BD9" s="218">
        <v>0.91681897000000001</v>
      </c>
      <c r="BE9" s="218">
        <v>0.90502258999999996</v>
      </c>
      <c r="BF9" s="218">
        <v>0.96775080000000002</v>
      </c>
      <c r="BG9" s="218">
        <v>0.94771501999999996</v>
      </c>
      <c r="BH9" s="218">
        <v>0.95334095000000008</v>
      </c>
      <c r="BI9" s="218">
        <v>2.5305252299999998</v>
      </c>
      <c r="BJ9" s="218">
        <v>2.8388067100000001</v>
      </c>
      <c r="BK9" s="218">
        <v>3.3241337799999999</v>
      </c>
      <c r="BL9" s="218">
        <v>3.9113232999999998</v>
      </c>
      <c r="BM9" s="218">
        <v>3.8188926200000002</v>
      </c>
      <c r="BN9" s="218">
        <v>4.0777373199999998</v>
      </c>
      <c r="BO9" s="218">
        <v>2.33587794</v>
      </c>
      <c r="BP9" s="218">
        <v>2.79008491</v>
      </c>
      <c r="BQ9" s="218">
        <v>2.7442425799999999</v>
      </c>
      <c r="BR9" s="218">
        <v>2.8827066400000003</v>
      </c>
      <c r="BS9" s="218">
        <v>2.5677454800000001</v>
      </c>
      <c r="BT9" s="218">
        <v>3.3443891299999997</v>
      </c>
      <c r="BU9" s="218">
        <v>3.4035821400000001</v>
      </c>
      <c r="BV9" s="218">
        <v>3.2135207000000001</v>
      </c>
      <c r="BW9" s="218">
        <v>3.0636965799999998</v>
      </c>
      <c r="BX9" s="218">
        <v>2.8388852999999998</v>
      </c>
      <c r="BY9" s="218">
        <v>3.4044560099999996</v>
      </c>
      <c r="BZ9" s="218">
        <v>2.5</v>
      </c>
      <c r="CA9" s="218">
        <v>0.30669008999999997</v>
      </c>
      <c r="CB9" s="218">
        <v>0.64684775000000005</v>
      </c>
      <c r="CC9" s="218">
        <v>2.1253180631701722</v>
      </c>
      <c r="CD9" s="218">
        <v>1.16510812</v>
      </c>
      <c r="CE9" s="218">
        <v>2.0125944200000001</v>
      </c>
      <c r="CF9" s="218">
        <v>1.3303883700000001</v>
      </c>
      <c r="CG9" s="218">
        <v>5.16278478</v>
      </c>
      <c r="CH9" s="218">
        <v>5.2631020900000003</v>
      </c>
      <c r="CI9" s="218">
        <v>4.95825491</v>
      </c>
      <c r="CJ9" s="218">
        <v>5.3599682500000005</v>
      </c>
      <c r="CK9" s="218">
        <v>5.4523421099999991</v>
      </c>
      <c r="CL9" s="218">
        <v>7.8116119999999983E-2</v>
      </c>
      <c r="CM9" s="218">
        <v>3.4598458700000001</v>
      </c>
      <c r="CN9" s="218">
        <v>4.1738916999999995</v>
      </c>
      <c r="CO9" s="218">
        <v>3.9772062699999999</v>
      </c>
      <c r="CP9" s="218">
        <v>4.1524078800000002</v>
      </c>
      <c r="CQ9" s="218">
        <v>4.7565606100000002</v>
      </c>
      <c r="CR9" s="218">
        <v>4.5584625499999998</v>
      </c>
      <c r="CS9" s="218">
        <v>5.2777096999999999</v>
      </c>
      <c r="CT9" s="218">
        <v>5.1532224100000006</v>
      </c>
      <c r="CU9" s="218">
        <v>4.6853471600000001</v>
      </c>
      <c r="CV9" s="218">
        <v>5.2171206900000007</v>
      </c>
      <c r="CW9" s="218">
        <v>4.9632806799999996</v>
      </c>
      <c r="CX9" s="218">
        <v>0.24762703</v>
      </c>
      <c r="CY9" s="218">
        <v>0.35176181000000001</v>
      </c>
      <c r="CZ9" s="218">
        <v>1.9020433700000001</v>
      </c>
      <c r="DA9" s="218">
        <v>2.3745214400000001</v>
      </c>
      <c r="DB9" s="421">
        <v>2.59855825</v>
      </c>
      <c r="DC9" s="421">
        <v>2.79837179</v>
      </c>
      <c r="DD9" s="421">
        <v>2.9983843800000001</v>
      </c>
      <c r="DE9" s="421">
        <v>3.3022728399999997</v>
      </c>
      <c r="DF9" s="421">
        <v>3.9923136699999993</v>
      </c>
      <c r="DG9" s="421">
        <v>0.13833100000000001</v>
      </c>
      <c r="DH9" s="421">
        <v>0.139875</v>
      </c>
      <c r="DI9" s="421">
        <v>0.14137976000000002</v>
      </c>
      <c r="DJ9" s="421">
        <v>0.14307640000000002</v>
      </c>
      <c r="DK9" s="421">
        <v>0.14447099999999999</v>
      </c>
      <c r="DL9" s="421">
        <v>0.14605785000000002</v>
      </c>
      <c r="DM9" s="421">
        <v>0.14765608</v>
      </c>
      <c r="DN9" s="421">
        <v>0.14910975000000001</v>
      </c>
      <c r="DO9" s="421">
        <v>0.150729</v>
      </c>
      <c r="DP9" s="421">
        <v>0.15230769</v>
      </c>
      <c r="DQ9" s="421">
        <v>0.15394969</v>
      </c>
      <c r="DR9" s="421">
        <v>0.15554988</v>
      </c>
      <c r="DS9" s="421">
        <v>0.31970758999999999</v>
      </c>
      <c r="DT9" s="421">
        <v>0.15889098999999998</v>
      </c>
      <c r="DU9" s="421">
        <v>0.16244425000000001</v>
      </c>
      <c r="DV9" s="421">
        <v>0.16222426999999998</v>
      </c>
      <c r="DW9" s="421">
        <v>0.16388054999999999</v>
      </c>
      <c r="DX9" s="421">
        <v>0.16560364999999999</v>
      </c>
      <c r="DY9" s="421">
        <v>0.16733424</v>
      </c>
      <c r="DZ9" s="421">
        <v>0.16896433999999999</v>
      </c>
      <c r="EA9" s="421">
        <v>0.17071826000000001</v>
      </c>
      <c r="EB9" s="421">
        <v>0.17242745000000001</v>
      </c>
    </row>
    <row r="10" spans="1:132" ht="15.95" customHeight="1" x14ac:dyDescent="0.25">
      <c r="A10" s="417" t="s">
        <v>279</v>
      </c>
      <c r="B10" s="418">
        <v>680.74645148000002</v>
      </c>
      <c r="C10" s="295">
        <v>669.58498656000006</v>
      </c>
      <c r="D10" s="295">
        <v>721.68721933000006</v>
      </c>
      <c r="E10" s="224">
        <v>704.17222448999996</v>
      </c>
      <c r="F10" s="295">
        <v>689.42629768999996</v>
      </c>
      <c r="G10" s="295">
        <v>678.83808231000012</v>
      </c>
      <c r="H10" s="295">
        <v>671.85362325000006</v>
      </c>
      <c r="I10" s="295">
        <v>678.17775860999984</v>
      </c>
      <c r="J10" s="295">
        <v>659.00284986999998</v>
      </c>
      <c r="K10" s="224">
        <v>624.54959976999999</v>
      </c>
      <c r="L10" s="295">
        <v>623.39722935999998</v>
      </c>
      <c r="M10" s="295">
        <v>635.91024102999995</v>
      </c>
      <c r="N10" s="295">
        <v>626.03130603</v>
      </c>
      <c r="O10" s="224">
        <v>654.03063631000009</v>
      </c>
      <c r="P10" s="295">
        <v>667.06512477000001</v>
      </c>
      <c r="Q10" s="295">
        <v>637.90905760999999</v>
      </c>
      <c r="R10" s="224">
        <v>653.09075022000002</v>
      </c>
      <c r="S10" s="295">
        <v>666.38343436000014</v>
      </c>
      <c r="T10" s="295">
        <v>734.75414365000006</v>
      </c>
      <c r="U10" s="419">
        <v>704.01534222999999</v>
      </c>
      <c r="V10" s="419">
        <v>684.69541763999996</v>
      </c>
      <c r="W10" s="419">
        <v>691.91620799999998</v>
      </c>
      <c r="X10" s="419">
        <v>683.57086580999999</v>
      </c>
      <c r="Y10" s="419">
        <v>698.22884531999989</v>
      </c>
      <c r="Z10" s="419">
        <v>708.16269356999999</v>
      </c>
      <c r="AA10" s="419">
        <v>648.46042792000003</v>
      </c>
      <c r="AB10" s="419">
        <v>616.73928117999992</v>
      </c>
      <c r="AC10" s="419">
        <v>591.97554236999997</v>
      </c>
      <c r="AD10" s="419">
        <v>605.11727158000008</v>
      </c>
      <c r="AE10" s="419">
        <v>610.58692802999997</v>
      </c>
      <c r="AF10" s="419">
        <v>769.48864221000008</v>
      </c>
      <c r="AG10" s="419">
        <v>759.57411053999999</v>
      </c>
      <c r="AH10" s="419">
        <v>701.56265627999994</v>
      </c>
      <c r="AI10" s="419">
        <v>669.39741194999988</v>
      </c>
      <c r="AJ10" s="419">
        <v>740.11895875999994</v>
      </c>
      <c r="AK10" s="419">
        <v>698.99451021000004</v>
      </c>
      <c r="AL10" s="419">
        <v>692.32486569000002</v>
      </c>
      <c r="AM10" s="297">
        <v>764.58137678000003</v>
      </c>
      <c r="AN10" s="297">
        <v>761.36681661000011</v>
      </c>
      <c r="AO10" s="297">
        <v>796.97338425999999</v>
      </c>
      <c r="AP10" s="297">
        <v>858.12948381460001</v>
      </c>
      <c r="AQ10" s="297">
        <v>897.0049568206</v>
      </c>
      <c r="AR10" s="418">
        <v>1457.9946032740002</v>
      </c>
      <c r="AS10" s="418">
        <v>1296.6949313599998</v>
      </c>
      <c r="AT10" s="418">
        <v>1332.3579162115998</v>
      </c>
      <c r="AU10" s="418">
        <v>1317.9513012627999</v>
      </c>
      <c r="AV10" s="418">
        <v>1339.421396531</v>
      </c>
      <c r="AW10" s="218">
        <v>1357.3729559440001</v>
      </c>
      <c r="AX10" s="218">
        <v>1471.3503510420001</v>
      </c>
      <c r="AY10" s="218">
        <v>1404.8140691218998</v>
      </c>
      <c r="AZ10" s="218">
        <v>1434.9690486898999</v>
      </c>
      <c r="BA10" s="218">
        <v>1380.0718601475999</v>
      </c>
      <c r="BB10" s="218">
        <v>1407.801637795</v>
      </c>
      <c r="BC10" s="218">
        <v>1410.7351433904</v>
      </c>
      <c r="BD10" s="218">
        <v>1357.7031272818001</v>
      </c>
      <c r="BE10" s="218">
        <v>1425.9896374364002</v>
      </c>
      <c r="BF10" s="218">
        <v>1394.7213508025</v>
      </c>
      <c r="BG10" s="218">
        <v>1289.646278312</v>
      </c>
      <c r="BH10" s="218">
        <v>1279.9922310587999</v>
      </c>
      <c r="BI10" s="218">
        <v>1333.6415901597002</v>
      </c>
      <c r="BJ10" s="218">
        <v>1347.8243981810001</v>
      </c>
      <c r="BK10" s="218">
        <v>1333.1018977438002</v>
      </c>
      <c r="BL10" s="218">
        <v>1057.4966753783999</v>
      </c>
      <c r="BM10" s="218">
        <v>1085.7487767309999</v>
      </c>
      <c r="BN10" s="218">
        <v>1055.0548767943999</v>
      </c>
      <c r="BO10" s="218">
        <v>1055.8706959776</v>
      </c>
      <c r="BP10" s="218">
        <v>1062.2065091504001</v>
      </c>
      <c r="BQ10" s="218">
        <v>934.55127172570008</v>
      </c>
      <c r="BR10" s="218">
        <v>954.87956761839996</v>
      </c>
      <c r="BS10" s="218">
        <v>994.19406403279993</v>
      </c>
      <c r="BT10" s="218">
        <v>996.61983492583488</v>
      </c>
      <c r="BU10" s="218">
        <v>934.16697285658597</v>
      </c>
      <c r="BV10" s="218">
        <v>1038.2528140550039</v>
      </c>
      <c r="BW10" s="218">
        <v>1019.210718515685</v>
      </c>
      <c r="BX10" s="218">
        <v>982.39189505050001</v>
      </c>
      <c r="BY10" s="218">
        <v>1000.3535430119</v>
      </c>
      <c r="BZ10" s="218">
        <v>926.1</v>
      </c>
      <c r="CA10" s="218">
        <v>911.28902409290004</v>
      </c>
      <c r="CB10" s="218">
        <v>1415.3755182940001</v>
      </c>
      <c r="CC10" s="218">
        <v>1411.178157913281</v>
      </c>
      <c r="CD10" s="218">
        <v>1415.0680699612901</v>
      </c>
      <c r="CE10" s="218">
        <v>1512.4050718441963</v>
      </c>
      <c r="CF10" s="218">
        <v>1612.6384349413279</v>
      </c>
      <c r="CG10" s="218">
        <v>1560.1921296366065</v>
      </c>
      <c r="CH10" s="218">
        <v>1921.6772129017158</v>
      </c>
      <c r="CI10" s="218">
        <v>1889.8323416632547</v>
      </c>
      <c r="CJ10" s="218">
        <v>1929.002978808642</v>
      </c>
      <c r="CK10" s="218">
        <v>1860.8523967775998</v>
      </c>
      <c r="CL10" s="218">
        <v>1729.0895120966359</v>
      </c>
      <c r="CM10" s="218">
        <v>1871.0706141359376</v>
      </c>
      <c r="CN10" s="218">
        <v>1897.3329362216323</v>
      </c>
      <c r="CO10" s="218">
        <v>1783.0843833568979</v>
      </c>
      <c r="CP10" s="218">
        <v>1818.9197389677997</v>
      </c>
      <c r="CQ10" s="218">
        <v>1820.5650165017969</v>
      </c>
      <c r="CR10" s="218">
        <v>1905.03961284248</v>
      </c>
      <c r="CS10" s="218">
        <v>2035.454992654574</v>
      </c>
      <c r="CT10" s="218">
        <v>1977.9474160685861</v>
      </c>
      <c r="CU10" s="218">
        <v>2060.6577598549343</v>
      </c>
      <c r="CV10" s="218">
        <v>1998.1475605456549</v>
      </c>
      <c r="CW10" s="218">
        <v>1875.1870264667264</v>
      </c>
      <c r="CX10" s="218">
        <v>1927.302425281245</v>
      </c>
      <c r="CY10" s="218">
        <v>2040.8718431972336</v>
      </c>
      <c r="CZ10" s="218">
        <v>1685.5726706356654</v>
      </c>
      <c r="DA10" s="218">
        <v>1687.2878435593709</v>
      </c>
      <c r="DB10" s="421">
        <v>1641.9856447748562</v>
      </c>
      <c r="DC10" s="421">
        <v>1602.3277001903218</v>
      </c>
      <c r="DD10" s="421">
        <v>1741.4639121718922</v>
      </c>
      <c r="DE10" s="421">
        <v>1759.3451526683202</v>
      </c>
      <c r="DF10" s="421">
        <v>1954.2794249108147</v>
      </c>
      <c r="DG10" s="421">
        <v>1936.7004222544319</v>
      </c>
      <c r="DH10" s="421">
        <v>1844.8591813064256</v>
      </c>
      <c r="DI10" s="421">
        <v>1885.1577173768001</v>
      </c>
      <c r="DJ10" s="421">
        <v>1810.1586972076836</v>
      </c>
      <c r="DK10" s="421">
        <v>2658.2699941391384</v>
      </c>
      <c r="DL10" s="421">
        <v>2625.7545606245894</v>
      </c>
      <c r="DM10" s="421">
        <v>2610.509855099921</v>
      </c>
      <c r="DN10" s="421">
        <v>2595.2221733924453</v>
      </c>
      <c r="DO10" s="421">
        <v>2545.9626818540423</v>
      </c>
      <c r="DP10" s="421">
        <v>2660.2313683960247</v>
      </c>
      <c r="DQ10" s="421">
        <v>2655.5943279265298</v>
      </c>
      <c r="DR10" s="421">
        <v>2773.6355953840352</v>
      </c>
      <c r="DS10" s="421">
        <v>2627.5710560058396</v>
      </c>
      <c r="DT10" s="421">
        <v>2567.228159759185</v>
      </c>
      <c r="DU10" s="421">
        <v>2507.9032406951524</v>
      </c>
      <c r="DV10" s="421">
        <v>2382.2034614028153</v>
      </c>
      <c r="DW10" s="421">
        <v>2427.4707511407469</v>
      </c>
      <c r="DX10" s="421">
        <v>2371.4739442288242</v>
      </c>
      <c r="DY10" s="421">
        <v>2494.1150552459285</v>
      </c>
      <c r="DZ10" s="421">
        <v>2467.3586957277689</v>
      </c>
      <c r="EA10" s="421">
        <v>2485.2136870897825</v>
      </c>
      <c r="EB10" s="421">
        <v>2933.1726098484987</v>
      </c>
    </row>
    <row r="11" spans="1:132" ht="15.95" customHeight="1" x14ac:dyDescent="0.25">
      <c r="A11" s="417" t="s">
        <v>280</v>
      </c>
      <c r="B11" s="418">
        <v>57.798629949999999</v>
      </c>
      <c r="C11" s="295">
        <v>51.700971169999995</v>
      </c>
      <c r="D11" s="295">
        <v>49.256198470000008</v>
      </c>
      <c r="E11" s="224">
        <v>49.36767734</v>
      </c>
      <c r="F11" s="295">
        <v>50.872078359999996</v>
      </c>
      <c r="G11" s="295">
        <v>54.562780589999996</v>
      </c>
      <c r="H11" s="295">
        <v>58.534968980000002</v>
      </c>
      <c r="I11" s="295">
        <v>59.416303890000002</v>
      </c>
      <c r="J11" s="295">
        <v>63.125296670000004</v>
      </c>
      <c r="K11" s="224">
        <v>62.886076810000006</v>
      </c>
      <c r="L11" s="295">
        <v>50.058069839999987</v>
      </c>
      <c r="M11" s="295">
        <v>51.92119254</v>
      </c>
      <c r="N11" s="295">
        <v>48.029054439999996</v>
      </c>
      <c r="O11" s="224">
        <v>49.198509870000002</v>
      </c>
      <c r="P11" s="295">
        <v>48.009204990000001</v>
      </c>
      <c r="Q11" s="295">
        <v>43.050701940000003</v>
      </c>
      <c r="R11" s="224">
        <v>48.613263120000006</v>
      </c>
      <c r="S11" s="295">
        <v>47.472828039999996</v>
      </c>
      <c r="T11" s="295">
        <v>53.312322280000004</v>
      </c>
      <c r="U11" s="419">
        <v>51.812994189999998</v>
      </c>
      <c r="V11" s="419">
        <v>51.391255610000002</v>
      </c>
      <c r="W11" s="419">
        <v>44.031219050000004</v>
      </c>
      <c r="X11" s="419">
        <v>42.034925229999999</v>
      </c>
      <c r="Y11" s="419">
        <v>43.431987530000001</v>
      </c>
      <c r="Z11" s="419">
        <v>52.73871504000001</v>
      </c>
      <c r="AA11" s="419">
        <v>55.471890520000002</v>
      </c>
      <c r="AB11" s="419">
        <v>55.895976870000005</v>
      </c>
      <c r="AC11" s="419">
        <v>53.713909140000005</v>
      </c>
      <c r="AD11" s="419">
        <v>59.263937799999994</v>
      </c>
      <c r="AE11" s="419">
        <v>58.65993094000001</v>
      </c>
      <c r="AF11" s="419">
        <v>62.744424140000007</v>
      </c>
      <c r="AG11" s="419">
        <v>73.224120570000011</v>
      </c>
      <c r="AH11" s="419">
        <v>82.383440840000006</v>
      </c>
      <c r="AI11" s="419">
        <v>92.614042930000011</v>
      </c>
      <c r="AJ11" s="419">
        <v>96.124649969999993</v>
      </c>
      <c r="AK11" s="419">
        <v>99.667327090000001</v>
      </c>
      <c r="AL11" s="419">
        <v>114.18458379999998</v>
      </c>
      <c r="AM11" s="297">
        <v>110.61494218000001</v>
      </c>
      <c r="AN11" s="297">
        <v>108.29413239</v>
      </c>
      <c r="AO11" s="297">
        <v>117.71123702</v>
      </c>
      <c r="AP11" s="297">
        <v>122.22364185520001</v>
      </c>
      <c r="AQ11" s="297">
        <v>125.19706089</v>
      </c>
      <c r="AR11" s="418">
        <v>141.73660931560002</v>
      </c>
      <c r="AS11" s="418">
        <v>137.56350472</v>
      </c>
      <c r="AT11" s="418">
        <v>140.07364025999999</v>
      </c>
      <c r="AU11" s="418">
        <v>132.19475150380001</v>
      </c>
      <c r="AV11" s="418">
        <v>135.71728740900002</v>
      </c>
      <c r="AW11" s="218">
        <v>133.7734744384</v>
      </c>
      <c r="AX11" s="218">
        <v>135.0620454168</v>
      </c>
      <c r="AY11" s="218">
        <v>132.00445559080001</v>
      </c>
      <c r="AZ11" s="218">
        <v>130.7704204115</v>
      </c>
      <c r="BA11" s="218">
        <v>127.47570119480001</v>
      </c>
      <c r="BB11" s="218">
        <v>127.08448812859999</v>
      </c>
      <c r="BC11" s="218">
        <v>133.39653014960001</v>
      </c>
      <c r="BD11" s="218">
        <v>124.53656030579999</v>
      </c>
      <c r="BE11" s="218">
        <v>127.72038237570001</v>
      </c>
      <c r="BF11" s="218">
        <v>114.779105735</v>
      </c>
      <c r="BG11" s="218">
        <v>118.75586125600002</v>
      </c>
      <c r="BH11" s="218">
        <v>117.03129830920003</v>
      </c>
      <c r="BI11" s="218">
        <v>121.24610390220001</v>
      </c>
      <c r="BJ11" s="218">
        <v>138.6959368613</v>
      </c>
      <c r="BK11" s="218">
        <v>139.9814070255</v>
      </c>
      <c r="BL11" s="218">
        <v>142.58327622070001</v>
      </c>
      <c r="BM11" s="218">
        <v>142.02858426219998</v>
      </c>
      <c r="BN11" s="218">
        <v>211.901367908</v>
      </c>
      <c r="BO11" s="218">
        <v>216.39152313199997</v>
      </c>
      <c r="BP11" s="218">
        <v>222.77367906120003</v>
      </c>
      <c r="BQ11" s="218">
        <v>210.76319128770001</v>
      </c>
      <c r="BR11" s="218">
        <v>222.58779522530003</v>
      </c>
      <c r="BS11" s="218">
        <v>216.09899116839995</v>
      </c>
      <c r="BT11" s="218">
        <v>220.52534513946497</v>
      </c>
      <c r="BU11" s="218">
        <v>215.80126499413001</v>
      </c>
      <c r="BV11" s="218">
        <v>215.738260927336</v>
      </c>
      <c r="BW11" s="218">
        <v>224.41069014882004</v>
      </c>
      <c r="BX11" s="218">
        <v>231.87547430749999</v>
      </c>
      <c r="BY11" s="218">
        <v>212.5</v>
      </c>
      <c r="BZ11" s="218">
        <v>209.4</v>
      </c>
      <c r="CA11" s="218">
        <v>192.1683350234</v>
      </c>
      <c r="CB11" s="218">
        <v>192.10295291720001</v>
      </c>
      <c r="CC11" s="218">
        <v>188.83597411753999</v>
      </c>
      <c r="CD11" s="218">
        <v>194.081023142324</v>
      </c>
      <c r="CE11" s="218">
        <v>196.57433001807919</v>
      </c>
      <c r="CF11" s="218">
        <v>183.32370457449662</v>
      </c>
      <c r="CG11" s="218">
        <v>187.46372827056564</v>
      </c>
      <c r="CH11" s="218">
        <v>197.593067813549</v>
      </c>
      <c r="CI11" s="218">
        <v>191.01849727684083</v>
      </c>
      <c r="CJ11" s="218">
        <v>176.34674955509598</v>
      </c>
      <c r="CK11" s="218">
        <v>176.14991748109898</v>
      </c>
      <c r="CL11" s="218">
        <v>140.219479282344</v>
      </c>
      <c r="CM11" s="218">
        <v>140.80877388959249</v>
      </c>
      <c r="CN11" s="218">
        <v>136.64911419256532</v>
      </c>
      <c r="CO11" s="218">
        <v>169.48792703671199</v>
      </c>
      <c r="CP11" s="218">
        <v>218.912331893925</v>
      </c>
      <c r="CQ11" s="218">
        <v>227.78715636140552</v>
      </c>
      <c r="CR11" s="218">
        <v>190.45751965391005</v>
      </c>
      <c r="CS11" s="218">
        <v>202.9059953908349</v>
      </c>
      <c r="CT11" s="218">
        <v>116.58267620582745</v>
      </c>
      <c r="CU11" s="218">
        <v>119.00965620758149</v>
      </c>
      <c r="CV11" s="218">
        <v>120.44847847</v>
      </c>
      <c r="CW11" s="218">
        <v>112.66419506000001</v>
      </c>
      <c r="CX11" s="218">
        <v>103.52121041750294</v>
      </c>
      <c r="CY11" s="218">
        <v>102.79530289358992</v>
      </c>
      <c r="CZ11" s="218">
        <v>114.35201755838585</v>
      </c>
      <c r="DA11" s="218">
        <v>103.78674190568019</v>
      </c>
      <c r="DB11" s="421">
        <v>106.66028520171564</v>
      </c>
      <c r="DC11" s="421">
        <v>120.83106183548647</v>
      </c>
      <c r="DD11" s="421">
        <v>115.86672542413162</v>
      </c>
      <c r="DE11" s="421">
        <v>119.90542714872896</v>
      </c>
      <c r="DF11" s="421">
        <v>119.8113614616951</v>
      </c>
      <c r="DG11" s="421">
        <v>122.96423357773978</v>
      </c>
      <c r="DH11" s="421">
        <v>127.06176914244497</v>
      </c>
      <c r="DI11" s="421">
        <v>128.17230616831932</v>
      </c>
      <c r="DJ11" s="421">
        <v>125.6215945890438</v>
      </c>
      <c r="DK11" s="421">
        <v>119.19119082320908</v>
      </c>
      <c r="DL11" s="421">
        <v>118.25735678999999</v>
      </c>
      <c r="DM11" s="421">
        <v>118.7753537</v>
      </c>
      <c r="DN11" s="421">
        <v>113.06764705838269</v>
      </c>
      <c r="DO11" s="421">
        <v>122.58327354348984</v>
      </c>
      <c r="DP11" s="421">
        <v>128.39460924057127</v>
      </c>
      <c r="DQ11" s="421">
        <v>121.47832875385228</v>
      </c>
      <c r="DR11" s="421">
        <v>126.63001284568</v>
      </c>
      <c r="DS11" s="421">
        <v>115.72484694261311</v>
      </c>
      <c r="DT11" s="421">
        <v>117.12983561280471</v>
      </c>
      <c r="DU11" s="421">
        <v>116.41887350123336</v>
      </c>
      <c r="DV11" s="421">
        <v>123.31978439607137</v>
      </c>
      <c r="DW11" s="421">
        <v>120.54419034391877</v>
      </c>
      <c r="DX11" s="421">
        <v>116.71821837781457</v>
      </c>
      <c r="DY11" s="421">
        <v>111.80209276331297</v>
      </c>
      <c r="DZ11" s="421">
        <v>108.86369116336159</v>
      </c>
      <c r="EA11" s="421">
        <v>110.72521405684805</v>
      </c>
      <c r="EB11" s="421">
        <v>110.0041448180565</v>
      </c>
    </row>
    <row r="12" spans="1:132" ht="15.95" customHeight="1" x14ac:dyDescent="0.25">
      <c r="A12" s="417" t="s">
        <v>281</v>
      </c>
      <c r="B12" s="418">
        <v>736.55948827000009</v>
      </c>
      <c r="C12" s="295">
        <v>733.52918764999993</v>
      </c>
      <c r="D12" s="295">
        <v>732.15930138999988</v>
      </c>
      <c r="E12" s="224">
        <v>718.26600730999996</v>
      </c>
      <c r="F12" s="295">
        <v>741.51070261999996</v>
      </c>
      <c r="G12" s="295">
        <v>699.68836633000012</v>
      </c>
      <c r="H12" s="295">
        <v>723.17987817999983</v>
      </c>
      <c r="I12" s="295">
        <v>715.33115117</v>
      </c>
      <c r="J12" s="295">
        <v>649.21072432000005</v>
      </c>
      <c r="K12" s="224">
        <v>662.48318692000009</v>
      </c>
      <c r="L12" s="295">
        <v>659.55422504000001</v>
      </c>
      <c r="M12" s="295">
        <v>652.43408654999996</v>
      </c>
      <c r="N12" s="295">
        <v>684.40910025000005</v>
      </c>
      <c r="O12" s="224">
        <v>681.76122988999998</v>
      </c>
      <c r="P12" s="295">
        <v>655.08935042999997</v>
      </c>
      <c r="Q12" s="295">
        <v>672.50805530000002</v>
      </c>
      <c r="R12" s="224">
        <v>629.89446720000001</v>
      </c>
      <c r="S12" s="295">
        <v>642.35362208000004</v>
      </c>
      <c r="T12" s="295">
        <v>645.46264953999992</v>
      </c>
      <c r="U12" s="419">
        <v>644.42085243999998</v>
      </c>
      <c r="V12" s="419">
        <v>659.30571644000008</v>
      </c>
      <c r="W12" s="419">
        <v>652.08803773</v>
      </c>
      <c r="X12" s="419">
        <v>666.60781406000001</v>
      </c>
      <c r="Y12" s="419">
        <v>612.23725543000012</v>
      </c>
      <c r="Z12" s="419">
        <v>606.74979399000006</v>
      </c>
      <c r="AA12" s="419">
        <v>658.20387760000017</v>
      </c>
      <c r="AB12" s="419">
        <v>634.25186406000012</v>
      </c>
      <c r="AC12" s="419">
        <v>621.77348896000001</v>
      </c>
      <c r="AD12" s="419">
        <v>597.18443334000017</v>
      </c>
      <c r="AE12" s="419">
        <v>604.06508178000001</v>
      </c>
      <c r="AF12" s="419">
        <v>592.73015972999997</v>
      </c>
      <c r="AG12" s="419">
        <v>586.53402099000004</v>
      </c>
      <c r="AH12" s="419">
        <v>559.58719701999996</v>
      </c>
      <c r="AI12" s="419">
        <v>476.72935605999993</v>
      </c>
      <c r="AJ12" s="419">
        <v>502.93494873999998</v>
      </c>
      <c r="AK12" s="419">
        <v>537.31934782999997</v>
      </c>
      <c r="AL12" s="419">
        <v>553.25571288000003</v>
      </c>
      <c r="AM12" s="297">
        <v>540.59114454999997</v>
      </c>
      <c r="AN12" s="297">
        <v>534.92488765999997</v>
      </c>
      <c r="AO12" s="297">
        <v>563.67607465000003</v>
      </c>
      <c r="AP12" s="297">
        <v>572.62253351940001</v>
      </c>
      <c r="AQ12" s="297">
        <v>620.83133577800004</v>
      </c>
      <c r="AR12" s="418">
        <v>635.01948180479997</v>
      </c>
      <c r="AS12" s="418">
        <v>629.05823623000003</v>
      </c>
      <c r="AT12" s="418">
        <v>636.79703982039985</v>
      </c>
      <c r="AU12" s="418">
        <v>647.02661767480004</v>
      </c>
      <c r="AV12" s="418">
        <v>684.62955795499988</v>
      </c>
      <c r="AW12" s="218">
        <v>719.73253946999989</v>
      </c>
      <c r="AX12" s="218">
        <v>742.39140043880013</v>
      </c>
      <c r="AY12" s="218">
        <v>731.42000312129994</v>
      </c>
      <c r="AZ12" s="218">
        <v>744.22710117619999</v>
      </c>
      <c r="BA12" s="218">
        <v>739.24643505360007</v>
      </c>
      <c r="BB12" s="218">
        <v>770.79922536080005</v>
      </c>
      <c r="BC12" s="218">
        <v>705.54872499199985</v>
      </c>
      <c r="BD12" s="218">
        <v>740.56789657180002</v>
      </c>
      <c r="BE12" s="218">
        <v>708.05870449049996</v>
      </c>
      <c r="BF12" s="218">
        <v>747.56181083499996</v>
      </c>
      <c r="BG12" s="218">
        <v>707.116794196</v>
      </c>
      <c r="BH12" s="218">
        <v>749.76267161210001</v>
      </c>
      <c r="BI12" s="218">
        <v>725.81760791569991</v>
      </c>
      <c r="BJ12" s="218">
        <v>709.43820582499995</v>
      </c>
      <c r="BK12" s="218">
        <v>712.46557459990015</v>
      </c>
      <c r="BL12" s="218">
        <v>725.25088453220008</v>
      </c>
      <c r="BM12" s="218">
        <v>727.1123359828</v>
      </c>
      <c r="BN12" s="218">
        <v>725.70540007039995</v>
      </c>
      <c r="BO12" s="218">
        <v>717.79814981079994</v>
      </c>
      <c r="BP12" s="218">
        <v>687.52573383869992</v>
      </c>
      <c r="BQ12" s="218">
        <v>702.98647806710005</v>
      </c>
      <c r="BR12" s="218">
        <v>715.6634967798999</v>
      </c>
      <c r="BS12" s="218">
        <v>670.98375989599992</v>
      </c>
      <c r="BT12" s="218">
        <v>682.25407335522493</v>
      </c>
      <c r="BU12" s="218">
        <v>648.51952493912597</v>
      </c>
      <c r="BV12" s="218">
        <v>680.94136569235604</v>
      </c>
      <c r="BW12" s="218">
        <v>668.99178862628514</v>
      </c>
      <c r="BX12" s="218">
        <v>672.07739708100007</v>
      </c>
      <c r="BY12" s="218">
        <v>668.64570158989989</v>
      </c>
      <c r="BZ12" s="218">
        <v>649.6</v>
      </c>
      <c r="CA12" s="218">
        <v>660.89445722499988</v>
      </c>
      <c r="CB12" s="218">
        <v>680.24610450759997</v>
      </c>
      <c r="CC12" s="218">
        <v>678.06300706501997</v>
      </c>
      <c r="CD12" s="218">
        <v>664.99371280055595</v>
      </c>
      <c r="CE12" s="218">
        <v>682.06778971792824</v>
      </c>
      <c r="CF12" s="218">
        <v>768.32163354912802</v>
      </c>
      <c r="CG12" s="218">
        <v>806.29086588268001</v>
      </c>
      <c r="CH12" s="218">
        <v>820.32353652082361</v>
      </c>
      <c r="CI12" s="218">
        <v>819.4342101903311</v>
      </c>
      <c r="CJ12" s="218">
        <v>842.94216275869996</v>
      </c>
      <c r="CK12" s="218">
        <v>879.73007721813997</v>
      </c>
      <c r="CL12" s="218">
        <v>982.22519685475902</v>
      </c>
      <c r="CM12" s="218">
        <v>1034.298166190423</v>
      </c>
      <c r="CN12" s="218">
        <v>1036.6675062895583</v>
      </c>
      <c r="CO12" s="218">
        <v>1005.5915681087619</v>
      </c>
      <c r="CP12" s="218">
        <v>891.66864325229983</v>
      </c>
      <c r="CQ12" s="218">
        <v>875.46833347534846</v>
      </c>
      <c r="CR12" s="218">
        <v>906.30182693497989</v>
      </c>
      <c r="CS12" s="218">
        <v>914.29830622496991</v>
      </c>
      <c r="CT12" s="218">
        <v>898.70724081440994</v>
      </c>
      <c r="CU12" s="218">
        <v>950.05777717988053</v>
      </c>
      <c r="CV12" s="218">
        <v>951.42601543539502</v>
      </c>
      <c r="CW12" s="218">
        <v>935.31379661003177</v>
      </c>
      <c r="CX12" s="218">
        <v>973.72164043961288</v>
      </c>
      <c r="CY12" s="218">
        <v>970.40394054576996</v>
      </c>
      <c r="CZ12" s="218">
        <v>1007.5184488307416</v>
      </c>
      <c r="DA12" s="218">
        <v>999.96493527729262</v>
      </c>
      <c r="DB12" s="421">
        <v>960.50794897962146</v>
      </c>
      <c r="DC12" s="421">
        <v>988.4980782215996</v>
      </c>
      <c r="DD12" s="421">
        <v>950.58382686681318</v>
      </c>
      <c r="DE12" s="421">
        <v>947.97168910487039</v>
      </c>
      <c r="DF12" s="421">
        <v>992.63086626953668</v>
      </c>
      <c r="DG12" s="421">
        <v>974.95889274269439</v>
      </c>
      <c r="DH12" s="421">
        <v>962.81158473508174</v>
      </c>
      <c r="DI12" s="421">
        <v>938.3828113152266</v>
      </c>
      <c r="DJ12" s="421">
        <v>992.87891214469539</v>
      </c>
      <c r="DK12" s="421">
        <v>1017.1025718131103</v>
      </c>
      <c r="DL12" s="421">
        <v>1034.2513457203527</v>
      </c>
      <c r="DM12" s="421">
        <v>985.77481133666811</v>
      </c>
      <c r="DN12" s="421">
        <v>949.95254809438882</v>
      </c>
      <c r="DO12" s="421">
        <v>891.19758090999983</v>
      </c>
      <c r="DP12" s="421">
        <v>914.24748335558752</v>
      </c>
      <c r="DQ12" s="421">
        <v>887.29418059602199</v>
      </c>
      <c r="DR12" s="421">
        <v>863.12850195491001</v>
      </c>
      <c r="DS12" s="421">
        <v>850.04507472066018</v>
      </c>
      <c r="DT12" s="421">
        <v>828.03391909770221</v>
      </c>
      <c r="DU12" s="421">
        <v>857.04645372989944</v>
      </c>
      <c r="DV12" s="421">
        <v>893.44635477454995</v>
      </c>
      <c r="DW12" s="421">
        <v>882.87033434691932</v>
      </c>
      <c r="DX12" s="421">
        <v>867.37951788574674</v>
      </c>
      <c r="DY12" s="421">
        <v>843.00776550006401</v>
      </c>
      <c r="DZ12" s="421">
        <v>843.04670227855036</v>
      </c>
      <c r="EA12" s="421">
        <v>810.1623284399999</v>
      </c>
      <c r="EB12" s="421">
        <v>798.57371261000003</v>
      </c>
    </row>
    <row r="13" spans="1:132" ht="15.95" customHeight="1" x14ac:dyDescent="0.25">
      <c r="A13" s="417" t="s">
        <v>282</v>
      </c>
      <c r="B13" s="418">
        <v>124.99176263000001</v>
      </c>
      <c r="C13" s="295">
        <v>100.59934063</v>
      </c>
      <c r="D13" s="295">
        <v>96.104119199999985</v>
      </c>
      <c r="E13" s="224">
        <v>96.434326549999994</v>
      </c>
      <c r="F13" s="295">
        <v>102.57009767999999</v>
      </c>
      <c r="G13" s="295">
        <v>111.20738567000002</v>
      </c>
      <c r="H13" s="295">
        <v>108.26677868</v>
      </c>
      <c r="I13" s="295">
        <v>95.878963939999991</v>
      </c>
      <c r="J13" s="295">
        <v>96.056776199999987</v>
      </c>
      <c r="K13" s="224">
        <v>82.736083859999979</v>
      </c>
      <c r="L13" s="295">
        <v>94.30735731</v>
      </c>
      <c r="M13" s="295">
        <v>85.249180559999999</v>
      </c>
      <c r="N13" s="295">
        <v>84.315589570000014</v>
      </c>
      <c r="O13" s="224">
        <v>81.524654609999999</v>
      </c>
      <c r="P13" s="295">
        <v>81.552380179999986</v>
      </c>
      <c r="Q13" s="295">
        <v>70.030845889999995</v>
      </c>
      <c r="R13" s="224">
        <v>82.14990997999999</v>
      </c>
      <c r="S13" s="295">
        <v>95.893809729999987</v>
      </c>
      <c r="T13" s="295">
        <v>99.634526409999992</v>
      </c>
      <c r="U13" s="419">
        <v>82.180210620000011</v>
      </c>
      <c r="V13" s="419">
        <v>85.123405480000002</v>
      </c>
      <c r="W13" s="419">
        <v>82.378181710000007</v>
      </c>
      <c r="X13" s="419">
        <v>83.383140409999996</v>
      </c>
      <c r="Y13" s="419">
        <v>83.189585030000003</v>
      </c>
      <c r="Z13" s="419">
        <v>203.43200723999999</v>
      </c>
      <c r="AA13" s="419">
        <v>210.60283288999997</v>
      </c>
      <c r="AB13" s="419">
        <v>327.30192291999998</v>
      </c>
      <c r="AC13" s="419">
        <v>340.70001848999999</v>
      </c>
      <c r="AD13" s="419">
        <v>364.2029410099999</v>
      </c>
      <c r="AE13" s="419">
        <v>414.12622721000002</v>
      </c>
      <c r="AF13" s="419">
        <v>366.37088190999998</v>
      </c>
      <c r="AG13" s="419">
        <v>366.22597855000004</v>
      </c>
      <c r="AH13" s="419">
        <v>376.10401789999997</v>
      </c>
      <c r="AI13" s="419">
        <v>261.87489035999999</v>
      </c>
      <c r="AJ13" s="419">
        <v>258.90894800000001</v>
      </c>
      <c r="AK13" s="419">
        <v>267.37542157000001</v>
      </c>
      <c r="AL13" s="419">
        <v>253.91107115</v>
      </c>
      <c r="AM13" s="297">
        <v>306.93055080999994</v>
      </c>
      <c r="AN13" s="297">
        <v>310.25036755000002</v>
      </c>
      <c r="AO13" s="297">
        <v>304.63853637</v>
      </c>
      <c r="AP13" s="297">
        <v>381.22095930250003</v>
      </c>
      <c r="AQ13" s="297">
        <v>375.82525960859999</v>
      </c>
      <c r="AR13" s="418">
        <v>397.97667611240007</v>
      </c>
      <c r="AS13" s="418">
        <v>345.01958476999999</v>
      </c>
      <c r="AT13" s="418">
        <v>383.71042763759999</v>
      </c>
      <c r="AU13" s="418">
        <v>392.25145249920001</v>
      </c>
      <c r="AV13" s="418">
        <v>394.06686827499999</v>
      </c>
      <c r="AW13" s="218">
        <v>396.89350050080003</v>
      </c>
      <c r="AX13" s="218">
        <v>381.26019078359997</v>
      </c>
      <c r="AY13" s="218">
        <v>432.2654234963</v>
      </c>
      <c r="AZ13" s="218">
        <v>462.09608323589998</v>
      </c>
      <c r="BA13" s="218">
        <v>432.05621180100002</v>
      </c>
      <c r="BB13" s="218">
        <v>432.62795254669999</v>
      </c>
      <c r="BC13" s="218">
        <v>424.6698621004</v>
      </c>
      <c r="BD13" s="218">
        <v>422.19112018859994</v>
      </c>
      <c r="BE13" s="218">
        <v>418.29761927589999</v>
      </c>
      <c r="BF13" s="218">
        <v>427.33094676999997</v>
      </c>
      <c r="BG13" s="218">
        <v>424.25368464000013</v>
      </c>
      <c r="BH13" s="218">
        <v>431.18664024780003</v>
      </c>
      <c r="BI13" s="218">
        <v>421.68830201479994</v>
      </c>
      <c r="BJ13" s="218">
        <v>404.74183823589999</v>
      </c>
      <c r="BK13" s="218">
        <v>382.35444202460002</v>
      </c>
      <c r="BL13" s="218">
        <v>367.32697576689992</v>
      </c>
      <c r="BM13" s="218">
        <v>369.04821826259996</v>
      </c>
      <c r="BN13" s="218">
        <v>367.74702733149934</v>
      </c>
      <c r="BO13" s="218">
        <v>353.2147062528</v>
      </c>
      <c r="BP13" s="218">
        <v>361.21162379259999</v>
      </c>
      <c r="BQ13" s="218">
        <v>360.46925125820002</v>
      </c>
      <c r="BR13" s="218">
        <v>364.30881772500004</v>
      </c>
      <c r="BS13" s="218">
        <v>364.58810433759999</v>
      </c>
      <c r="BT13" s="218">
        <v>349.76246279848658</v>
      </c>
      <c r="BU13" s="218">
        <v>371.95163168112396</v>
      </c>
      <c r="BV13" s="218">
        <v>355.24788302362998</v>
      </c>
      <c r="BW13" s="218">
        <v>358.34234129950005</v>
      </c>
      <c r="BX13" s="218">
        <v>349.4097120655</v>
      </c>
      <c r="BY13" s="218">
        <v>342.20560558789998</v>
      </c>
      <c r="BZ13" s="218">
        <v>331.7</v>
      </c>
      <c r="CA13" s="218">
        <v>339.21530205670007</v>
      </c>
      <c r="CB13" s="218">
        <v>313.04275183919992</v>
      </c>
      <c r="CC13" s="218">
        <v>421.38628428000004</v>
      </c>
      <c r="CD13" s="218">
        <v>431.76649684064597</v>
      </c>
      <c r="CE13" s="218">
        <v>412.15124626731057</v>
      </c>
      <c r="CF13" s="218">
        <v>443.99343500499992</v>
      </c>
      <c r="CG13" s="218">
        <v>435.97044923314991</v>
      </c>
      <c r="CH13" s="218">
        <v>390.56419416065233</v>
      </c>
      <c r="CI13" s="218">
        <v>376.15364261080305</v>
      </c>
      <c r="CJ13" s="218">
        <v>371.62584581360994</v>
      </c>
      <c r="CK13" s="218">
        <v>365.94107834347204</v>
      </c>
      <c r="CL13" s="218">
        <v>395.12587268021218</v>
      </c>
      <c r="CM13" s="218">
        <v>397.74819277674101</v>
      </c>
      <c r="CN13" s="218">
        <v>366.99379088711333</v>
      </c>
      <c r="CO13" s="218">
        <v>422.02499986979905</v>
      </c>
      <c r="CP13" s="218">
        <v>413.503276135075</v>
      </c>
      <c r="CQ13" s="218">
        <v>423.90404593540893</v>
      </c>
      <c r="CR13" s="218">
        <v>433.22844366882498</v>
      </c>
      <c r="CS13" s="218">
        <v>440.91617557981198</v>
      </c>
      <c r="CT13" s="218">
        <v>423.43850975871959</v>
      </c>
      <c r="CU13" s="218">
        <v>431.39361691292703</v>
      </c>
      <c r="CV13" s="218">
        <v>412.19564667041578</v>
      </c>
      <c r="CW13" s="218">
        <v>412.30273892722812</v>
      </c>
      <c r="CX13" s="218">
        <v>414.38086648057794</v>
      </c>
      <c r="CY13" s="218">
        <v>416.19998192350062</v>
      </c>
      <c r="CZ13" s="218">
        <v>417.25254964791799</v>
      </c>
      <c r="DA13" s="218">
        <v>413.08895877299142</v>
      </c>
      <c r="DB13" s="421">
        <v>412.49198634627476</v>
      </c>
      <c r="DC13" s="421">
        <v>408.00137499597787</v>
      </c>
      <c r="DD13" s="421">
        <v>409.91363689839898</v>
      </c>
      <c r="DE13" s="421">
        <v>403.39275494376005</v>
      </c>
      <c r="DF13" s="421">
        <v>399.48887823892949</v>
      </c>
      <c r="DG13" s="421">
        <v>393.7657895479054</v>
      </c>
      <c r="DH13" s="421">
        <v>390.00805050497604</v>
      </c>
      <c r="DI13" s="421">
        <v>384.52409409626671</v>
      </c>
      <c r="DJ13" s="421">
        <v>381.84007063397235</v>
      </c>
      <c r="DK13" s="421">
        <v>337.90875849061797</v>
      </c>
      <c r="DL13" s="421">
        <v>327.59980410638173</v>
      </c>
      <c r="DM13" s="421">
        <v>317.11926855910798</v>
      </c>
      <c r="DN13" s="421">
        <v>359.67576656216494</v>
      </c>
      <c r="DO13" s="421">
        <v>294.87254833666339</v>
      </c>
      <c r="DP13" s="421">
        <v>245.05960490818751</v>
      </c>
      <c r="DQ13" s="421">
        <v>241.09421751891699</v>
      </c>
      <c r="DR13" s="421">
        <v>234.02470287958349</v>
      </c>
      <c r="DS13" s="421">
        <v>233.59004879927835</v>
      </c>
      <c r="DT13" s="421">
        <v>279.62682295734993</v>
      </c>
      <c r="DU13" s="421">
        <v>259.99438039</v>
      </c>
      <c r="DV13" s="421">
        <v>255.27056271999996</v>
      </c>
      <c r="DW13" s="421">
        <v>250.81978692000001</v>
      </c>
      <c r="DX13" s="421">
        <v>250.57649771000001</v>
      </c>
      <c r="DY13" s="421">
        <v>250.11633612134142</v>
      </c>
      <c r="DZ13" s="421">
        <v>242.7960085713531</v>
      </c>
      <c r="EA13" s="421">
        <v>245.82959550270667</v>
      </c>
      <c r="EB13" s="421">
        <v>239.07567952000005</v>
      </c>
    </row>
    <row r="14" spans="1:132" ht="15.95" customHeight="1" x14ac:dyDescent="0.25">
      <c r="A14" s="417" t="s">
        <v>283</v>
      </c>
      <c r="B14" s="418">
        <v>393.46709796345954</v>
      </c>
      <c r="C14" s="295">
        <v>729.69083186856005</v>
      </c>
      <c r="D14" s="295">
        <v>511.53785234457001</v>
      </c>
      <c r="E14" s="224">
        <v>802.42416643500007</v>
      </c>
      <c r="F14" s="295">
        <v>965.73385734999999</v>
      </c>
      <c r="G14" s="295">
        <v>977.93131550452119</v>
      </c>
      <c r="H14" s="295">
        <v>887.56379279967996</v>
      </c>
      <c r="I14" s="295">
        <v>326.09958579455997</v>
      </c>
      <c r="J14" s="295">
        <v>461.00464797000001</v>
      </c>
      <c r="K14" s="224">
        <v>312.725037747275</v>
      </c>
      <c r="L14" s="295">
        <v>179.191174655</v>
      </c>
      <c r="M14" s="295">
        <v>402.0264935175</v>
      </c>
      <c r="N14" s="295">
        <v>558.69295613999998</v>
      </c>
      <c r="O14" s="224">
        <v>727.12938545000009</v>
      </c>
      <c r="P14" s="295">
        <v>784.7789453900001</v>
      </c>
      <c r="Q14" s="295">
        <v>805.04111314499994</v>
      </c>
      <c r="R14" s="224">
        <v>460.8896512099999</v>
      </c>
      <c r="S14" s="295">
        <v>796.52701348250002</v>
      </c>
      <c r="T14" s="295">
        <v>711.70315434999998</v>
      </c>
      <c r="U14" s="419">
        <v>419.0768104</v>
      </c>
      <c r="V14" s="419">
        <v>321.52887156999998</v>
      </c>
      <c r="W14" s="419">
        <v>208.92354759</v>
      </c>
      <c r="X14" s="419">
        <v>212.71905268999998</v>
      </c>
      <c r="Y14" s="419">
        <v>481.91439163000001</v>
      </c>
      <c r="Z14" s="419">
        <v>511.94235250999998</v>
      </c>
      <c r="AA14" s="419">
        <v>643.64260533999993</v>
      </c>
      <c r="AB14" s="419">
        <v>874.64490513999988</v>
      </c>
      <c r="AC14" s="419">
        <v>792.16982875999997</v>
      </c>
      <c r="AD14" s="419">
        <v>1221.0660514700003</v>
      </c>
      <c r="AE14" s="419">
        <v>1026.5149925400001</v>
      </c>
      <c r="AF14" s="419">
        <v>1745.7538207200002</v>
      </c>
      <c r="AG14" s="419">
        <v>1134.6272109400002</v>
      </c>
      <c r="AH14" s="419">
        <v>1011.93633002</v>
      </c>
      <c r="AI14" s="419">
        <v>1195.26132123</v>
      </c>
      <c r="AJ14" s="419">
        <v>1047.95106012</v>
      </c>
      <c r="AK14" s="419">
        <v>1101.6219828899998</v>
      </c>
      <c r="AL14" s="419">
        <v>1126.35383346</v>
      </c>
      <c r="AM14" s="297">
        <v>1515.79266517</v>
      </c>
      <c r="AN14" s="297">
        <v>1196.9240849099999</v>
      </c>
      <c r="AO14" s="297">
        <v>1758.7963019334002</v>
      </c>
      <c r="AP14" s="297">
        <v>2202.7347343635997</v>
      </c>
      <c r="AQ14" s="297">
        <v>1942.12620746831</v>
      </c>
      <c r="AR14" s="418">
        <v>2154.3927017862202</v>
      </c>
      <c r="AS14" s="418">
        <v>1920.0139504899998</v>
      </c>
      <c r="AT14" s="418">
        <v>1071.2390649091999</v>
      </c>
      <c r="AU14" s="418">
        <v>1073.2858248262</v>
      </c>
      <c r="AV14" s="418">
        <v>1010.4611043560001</v>
      </c>
      <c r="AW14" s="218">
        <v>1246.42286375</v>
      </c>
      <c r="AX14" s="218">
        <v>1284.198182528</v>
      </c>
      <c r="AY14" s="218">
        <v>1446.0681858925</v>
      </c>
      <c r="AZ14" s="218">
        <v>2042.6808912903</v>
      </c>
      <c r="BA14" s="218">
        <v>2169.5723581840002</v>
      </c>
      <c r="BB14" s="218">
        <v>2304.7318106588</v>
      </c>
      <c r="BC14" s="218">
        <v>2412.351016893841</v>
      </c>
      <c r="BD14" s="218">
        <v>2117.1079172946002</v>
      </c>
      <c r="BE14" s="218">
        <v>1992.8669095979999</v>
      </c>
      <c r="BF14" s="218">
        <v>2426.5414829052747</v>
      </c>
      <c r="BG14" s="218">
        <v>2780.2626578847203</v>
      </c>
      <c r="BH14" s="218">
        <v>3016.3545829903978</v>
      </c>
      <c r="BI14" s="218">
        <v>3292.5733067860956</v>
      </c>
      <c r="BJ14" s="218">
        <v>3749.202673102976</v>
      </c>
      <c r="BK14" s="218">
        <v>2720.0835475315939</v>
      </c>
      <c r="BL14" s="218">
        <v>3906.8959660785349</v>
      </c>
      <c r="BM14" s="218">
        <v>4280.3391373632367</v>
      </c>
      <c r="BN14" s="218">
        <v>4667.9166810962361</v>
      </c>
      <c r="BO14" s="218">
        <v>4812.5168540514314</v>
      </c>
      <c r="BP14" s="218">
        <v>4331.4197959537687</v>
      </c>
      <c r="BQ14" s="218">
        <v>3639.7274481826666</v>
      </c>
      <c r="BR14" s="218">
        <v>3746.6170959693918</v>
      </c>
      <c r="BS14" s="218">
        <v>3746.651713023216</v>
      </c>
      <c r="BT14" s="218">
        <v>3311.6622396297294</v>
      </c>
      <c r="BU14" s="218">
        <v>3644.4987600374097</v>
      </c>
      <c r="BV14" s="218">
        <v>2701.1350646487799</v>
      </c>
      <c r="BW14" s="218">
        <v>3946.4995308668658</v>
      </c>
      <c r="BX14" s="218">
        <v>4112.0847193005002</v>
      </c>
      <c r="BY14" s="218">
        <v>4520.2751633702992</v>
      </c>
      <c r="BZ14" s="218">
        <v>4753.8999999999996</v>
      </c>
      <c r="CA14" s="218">
        <v>4759.2627099663005</v>
      </c>
      <c r="CB14" s="218">
        <v>4919.3968339439998</v>
      </c>
      <c r="CC14" s="218">
        <v>4937.1250336058083</v>
      </c>
      <c r="CD14" s="218">
        <v>4753.0455947743221</v>
      </c>
      <c r="CE14" s="218">
        <v>4192.2579566060494</v>
      </c>
      <c r="CF14" s="218">
        <v>3817.6047770257474</v>
      </c>
      <c r="CG14" s="218">
        <v>3821.9964339508133</v>
      </c>
      <c r="CH14" s="218">
        <v>3372.6648731864179</v>
      </c>
      <c r="CI14" s="218">
        <v>3459.9686789691864</v>
      </c>
      <c r="CJ14" s="218">
        <v>3663.1361708502159</v>
      </c>
      <c r="CK14" s="218">
        <v>4485.1335002779979</v>
      </c>
      <c r="CL14" s="218">
        <v>4569.3763590812014</v>
      </c>
      <c r="CM14" s="218">
        <v>4864.4504707603373</v>
      </c>
      <c r="CN14" s="218">
        <v>5646.6408284544377</v>
      </c>
      <c r="CO14" s="218">
        <v>5377.4332502268617</v>
      </c>
      <c r="CP14" s="218">
        <v>5193.5739654009749</v>
      </c>
      <c r="CQ14" s="218">
        <v>5325.5594945175153</v>
      </c>
      <c r="CR14" s="218">
        <v>5137.82516978479</v>
      </c>
      <c r="CS14" s="218">
        <v>4333.3769010867318</v>
      </c>
      <c r="CT14" s="218">
        <v>4018.5097139388017</v>
      </c>
      <c r="CU14" s="218">
        <v>4014.3499125380899</v>
      </c>
      <c r="CV14" s="218">
        <v>4719.9839547483089</v>
      </c>
      <c r="CW14" s="218">
        <v>5167.7334210777035</v>
      </c>
      <c r="CX14" s="218">
        <v>4942.8315222953206</v>
      </c>
      <c r="CY14" s="218">
        <v>5282.0289339581359</v>
      </c>
      <c r="CZ14" s="218">
        <v>5704.7330267223051</v>
      </c>
      <c r="DA14" s="218">
        <v>5206.0130399936243</v>
      </c>
      <c r="DB14" s="421">
        <v>5649.5951362266851</v>
      </c>
      <c r="DC14" s="421">
        <v>5912.2686588947299</v>
      </c>
      <c r="DD14" s="421">
        <v>4783.0275756370729</v>
      </c>
      <c r="DE14" s="421">
        <v>4464.3114483693407</v>
      </c>
      <c r="DF14" s="421">
        <v>3943.2180331584295</v>
      </c>
      <c r="DG14" s="421">
        <v>3855.7466571967225</v>
      </c>
      <c r="DH14" s="421">
        <v>3486.451821895686</v>
      </c>
      <c r="DI14" s="421">
        <v>2809.7988137091788</v>
      </c>
      <c r="DJ14" s="421">
        <v>3584.1305075964351</v>
      </c>
      <c r="DK14" s="421">
        <v>4851.9753669380352</v>
      </c>
      <c r="DL14" s="421">
        <v>4681.6556080902801</v>
      </c>
      <c r="DM14" s="421">
        <v>4445.2438281704008</v>
      </c>
      <c r="DN14" s="421">
        <v>4322.4235010795737</v>
      </c>
      <c r="DO14" s="421">
        <v>3709.4353403366622</v>
      </c>
      <c r="DP14" s="421">
        <v>3453.9610929664991</v>
      </c>
      <c r="DQ14" s="421">
        <v>4210.3119673384235</v>
      </c>
      <c r="DR14" s="421">
        <v>3113.8652523840701</v>
      </c>
      <c r="DS14" s="421">
        <v>3555.2396627230837</v>
      </c>
      <c r="DT14" s="421">
        <v>4092.0394560647446</v>
      </c>
      <c r="DU14" s="421">
        <v>3689.8442872482469</v>
      </c>
      <c r="DV14" s="421">
        <v>4236.3975825521138</v>
      </c>
      <c r="DW14" s="421">
        <v>4916.6306157606277</v>
      </c>
      <c r="DX14" s="421">
        <v>5731.7201280390273</v>
      </c>
      <c r="DY14" s="421">
        <v>5197.9290393243282</v>
      </c>
      <c r="DZ14" s="421">
        <v>4865.3324267382732</v>
      </c>
      <c r="EA14" s="421">
        <v>4164.1341018726571</v>
      </c>
      <c r="EB14" s="421">
        <v>3809.2281109321079</v>
      </c>
    </row>
    <row r="15" spans="1:132" ht="7.7" customHeight="1" x14ac:dyDescent="0.25">
      <c r="A15" s="410"/>
      <c r="B15" s="411"/>
      <c r="C15" s="215"/>
      <c r="D15" s="215"/>
      <c r="E15" s="227"/>
      <c r="F15" s="215"/>
      <c r="G15" s="215"/>
      <c r="H15" s="295"/>
      <c r="I15" s="295"/>
      <c r="J15" s="295"/>
      <c r="K15" s="224"/>
      <c r="L15" s="295"/>
      <c r="M15" s="295"/>
      <c r="N15" s="295"/>
      <c r="O15" s="224"/>
      <c r="P15" s="295"/>
      <c r="Q15" s="295"/>
      <c r="R15" s="224"/>
      <c r="S15" s="295"/>
      <c r="T15" s="295"/>
      <c r="U15" s="419"/>
      <c r="V15" s="419"/>
      <c r="W15" s="419"/>
      <c r="X15" s="419"/>
      <c r="Y15" s="419"/>
      <c r="Z15" s="419"/>
      <c r="AA15" s="419"/>
      <c r="AB15" s="419"/>
      <c r="AC15" s="419"/>
      <c r="AD15" s="419"/>
      <c r="AE15" s="419"/>
      <c r="AF15" s="419"/>
      <c r="AG15" s="419"/>
      <c r="AH15" s="419"/>
      <c r="AI15" s="419"/>
      <c r="AJ15" s="419"/>
      <c r="AK15" s="419"/>
      <c r="AL15" s="419"/>
      <c r="AM15" s="296"/>
      <c r="AN15" s="296"/>
      <c r="AO15" s="296"/>
      <c r="AP15" s="296"/>
      <c r="AQ15" s="296"/>
      <c r="AR15" s="411"/>
      <c r="AS15" s="411"/>
      <c r="AT15" s="411"/>
      <c r="AU15" s="411"/>
      <c r="AV15" s="411"/>
      <c r="AW15" s="414"/>
      <c r="AX15" s="414"/>
      <c r="AY15" s="414"/>
      <c r="AZ15" s="414"/>
      <c r="BA15" s="414"/>
      <c r="BB15" s="414"/>
      <c r="BC15" s="414"/>
      <c r="BD15" s="414"/>
      <c r="BE15" s="414"/>
      <c r="BF15" s="414"/>
      <c r="BG15" s="414"/>
      <c r="BH15" s="414"/>
      <c r="BI15" s="414"/>
      <c r="BJ15" s="414"/>
      <c r="BK15" s="414"/>
      <c r="BL15" s="414"/>
      <c r="BM15" s="414"/>
      <c r="BN15" s="414"/>
      <c r="BO15" s="414"/>
      <c r="BP15" s="414"/>
      <c r="BQ15" s="414"/>
      <c r="BR15" s="414"/>
      <c r="BS15" s="414"/>
      <c r="BT15" s="414"/>
      <c r="BU15" s="414"/>
      <c r="BV15" s="414"/>
      <c r="BW15" s="414"/>
      <c r="BX15" s="414"/>
      <c r="BY15" s="414"/>
      <c r="BZ15" s="414"/>
      <c r="CA15" s="414"/>
      <c r="CB15" s="414"/>
      <c r="CC15" s="414"/>
      <c r="CD15" s="414"/>
      <c r="CE15" s="414"/>
      <c r="CF15" s="414"/>
      <c r="CG15" s="414"/>
      <c r="CH15" s="414"/>
      <c r="CI15" s="414"/>
      <c r="CJ15" s="414"/>
      <c r="CK15" s="414"/>
      <c r="CL15" s="414"/>
      <c r="CM15" s="414"/>
      <c r="CN15" s="414"/>
      <c r="CO15" s="414"/>
      <c r="CP15" s="414"/>
      <c r="CQ15" s="414"/>
      <c r="CR15" s="414"/>
      <c r="CS15" s="414"/>
      <c r="CT15" s="414"/>
      <c r="CU15" s="414"/>
      <c r="CV15" s="414"/>
      <c r="CW15" s="414"/>
      <c r="CX15" s="414"/>
      <c r="CY15" s="414"/>
      <c r="CZ15" s="414"/>
      <c r="DA15" s="414"/>
      <c r="DB15" s="421"/>
      <c r="DC15" s="421"/>
      <c r="DD15" s="421"/>
      <c r="DE15" s="421"/>
      <c r="DF15" s="421"/>
      <c r="DG15" s="421"/>
      <c r="DH15" s="421"/>
      <c r="DI15" s="421"/>
      <c r="DJ15" s="421"/>
      <c r="DK15" s="421"/>
      <c r="DL15" s="421"/>
      <c r="DM15" s="421"/>
      <c r="DN15" s="421"/>
      <c r="DO15" s="421"/>
      <c r="DP15" s="421"/>
      <c r="DQ15" s="421"/>
      <c r="DR15" s="421"/>
      <c r="DS15" s="421"/>
      <c r="DT15" s="421"/>
      <c r="DU15" s="421"/>
      <c r="DV15" s="421"/>
      <c r="DW15" s="421"/>
      <c r="DX15" s="421"/>
      <c r="DY15" s="421"/>
      <c r="DZ15" s="421"/>
      <c r="EA15" s="421"/>
      <c r="EB15" s="421"/>
    </row>
    <row r="16" spans="1:132" x14ac:dyDescent="0.25">
      <c r="A16" s="410" t="s">
        <v>284</v>
      </c>
      <c r="B16" s="411">
        <f>SUM(B18:B34)</f>
        <v>14397.702758701704</v>
      </c>
      <c r="C16" s="215">
        <f>SUM(C18:C34)</f>
        <v>14563.462937684602</v>
      </c>
      <c r="D16" s="215">
        <f>SUM(D18:D34)</f>
        <v>14472.510563321543</v>
      </c>
      <c r="E16" s="227">
        <f>SUM(E18:E34)</f>
        <v>14474.722307242801</v>
      </c>
      <c r="F16" s="215">
        <v>14676.282794245801</v>
      </c>
      <c r="G16" s="215">
        <v>14528.859925789762</v>
      </c>
      <c r="H16" s="215">
        <v>14752.448025040005</v>
      </c>
      <c r="I16" s="215">
        <v>14765.763216959047</v>
      </c>
      <c r="J16" s="215">
        <v>14912.580981303501</v>
      </c>
      <c r="K16" s="227">
        <v>14682.895543182678</v>
      </c>
      <c r="L16" s="215">
        <v>14882.106521112893</v>
      </c>
      <c r="M16" s="215">
        <v>15050.517765799295</v>
      </c>
      <c r="N16" s="215">
        <v>14975.836911448299</v>
      </c>
      <c r="O16" s="227">
        <v>15133.933188828225</v>
      </c>
      <c r="P16" s="215">
        <v>15122.114728785033</v>
      </c>
      <c r="Q16" s="215">
        <v>15077.721255990416</v>
      </c>
      <c r="R16" s="227">
        <v>15025.212989781701</v>
      </c>
      <c r="S16" s="215">
        <v>15041.424354925799</v>
      </c>
      <c r="T16" s="215">
        <v>15217.004064520437</v>
      </c>
      <c r="U16" s="217">
        <v>15241.599663304485</v>
      </c>
      <c r="V16" s="217">
        <v>15498.465158734349</v>
      </c>
      <c r="W16" s="217">
        <v>15270.149565517795</v>
      </c>
      <c r="X16" s="217">
        <v>15615.984538204531</v>
      </c>
      <c r="Y16" s="217">
        <v>15224.697446500923</v>
      </c>
      <c r="Z16" s="217">
        <v>14944.946969909397</v>
      </c>
      <c r="AA16" s="217">
        <v>14548.691784253941</v>
      </c>
      <c r="AB16" s="217">
        <v>14921.44589574569</v>
      </c>
      <c r="AC16" s="217">
        <v>14607.599237262431</v>
      </c>
      <c r="AD16" s="217">
        <v>15290.082207660482</v>
      </c>
      <c r="AE16" s="217">
        <v>15167.591749738871</v>
      </c>
      <c r="AF16" s="217">
        <v>16091.480954991712</v>
      </c>
      <c r="AG16" s="217">
        <v>16556.187443218758</v>
      </c>
      <c r="AH16" s="217">
        <v>16794.42328766064</v>
      </c>
      <c r="AI16" s="217">
        <v>17055.484155719409</v>
      </c>
      <c r="AJ16" s="217">
        <v>17284.657231407644</v>
      </c>
      <c r="AK16" s="217">
        <v>17240.73411076728</v>
      </c>
      <c r="AL16" s="217">
        <v>17304.474743809158</v>
      </c>
      <c r="AM16" s="296">
        <v>17566.017126143288</v>
      </c>
      <c r="AN16" s="296">
        <v>17744.17903489892</v>
      </c>
      <c r="AO16" s="296">
        <v>17813.335701909473</v>
      </c>
      <c r="AP16" s="296">
        <v>18173.430967658791</v>
      </c>
      <c r="AQ16" s="296">
        <v>17710.176963903075</v>
      </c>
      <c r="AR16" s="411">
        <v>18312.458554939876</v>
      </c>
      <c r="AS16" s="411">
        <v>18362.431617292001</v>
      </c>
      <c r="AT16" s="411">
        <v>18040.682518560487</v>
      </c>
      <c r="AU16" s="411">
        <v>18332.824024042882</v>
      </c>
      <c r="AV16" s="411">
        <v>18418.686036869203</v>
      </c>
      <c r="AW16" s="414">
        <v>18304.094176246159</v>
      </c>
      <c r="AX16" s="414">
        <v>18042.488859817357</v>
      </c>
      <c r="AY16" s="414">
        <v>18380.367824377303</v>
      </c>
      <c r="AZ16" s="414">
        <v>17689.675412525783</v>
      </c>
      <c r="BA16" s="414">
        <v>16794.68587281249</v>
      </c>
      <c r="BB16" s="414">
        <v>16663.181123100254</v>
      </c>
      <c r="BC16" s="414">
        <v>16832.802247679443</v>
      </c>
      <c r="BD16" s="414">
        <v>17641.896696754182</v>
      </c>
      <c r="BE16" s="414">
        <v>17337.28331738713</v>
      </c>
      <c r="BF16" s="414">
        <v>17027.196857685653</v>
      </c>
      <c r="BG16" s="414">
        <v>17208.825495829649</v>
      </c>
      <c r="BH16" s="414">
        <v>17328.763866388719</v>
      </c>
      <c r="BI16" s="414">
        <v>17732.235850287918</v>
      </c>
      <c r="BJ16" s="414">
        <v>17667.271328935018</v>
      </c>
      <c r="BK16" s="414">
        <v>17368.374724600464</v>
      </c>
      <c r="BL16" s="414">
        <v>17439.685550028644</v>
      </c>
      <c r="BM16" s="414">
        <v>16571.563763933595</v>
      </c>
      <c r="BN16" s="414">
        <v>16581.344802860585</v>
      </c>
      <c r="BO16" s="414">
        <v>17318.910047721074</v>
      </c>
      <c r="BP16" s="414">
        <v>17889.427473524574</v>
      </c>
      <c r="BQ16" s="414">
        <v>17666.337489129019</v>
      </c>
      <c r="BR16" s="414">
        <v>17897.869212677637</v>
      </c>
      <c r="BS16" s="414">
        <v>17239.688573105897</v>
      </c>
      <c r="BT16" s="414">
        <v>17689.790007494168</v>
      </c>
      <c r="BU16" s="414">
        <v>17370.685373160471</v>
      </c>
      <c r="BV16" s="414">
        <v>18187.009044939608</v>
      </c>
      <c r="BW16" s="414">
        <v>17969.011446690689</v>
      </c>
      <c r="BX16" s="414">
        <v>17894.282418790499</v>
      </c>
      <c r="BY16" s="414">
        <v>17887.590081791597</v>
      </c>
      <c r="BZ16" s="414">
        <v>17730.8</v>
      </c>
      <c r="CA16" s="414">
        <v>18238.233616766498</v>
      </c>
      <c r="CB16" s="414">
        <v>18200.154738766221</v>
      </c>
      <c r="CC16" s="414">
        <v>18225.265376002375</v>
      </c>
      <c r="CD16" s="414">
        <v>17911.535468539587</v>
      </c>
      <c r="CE16" s="422">
        <v>18336.599999999999</v>
      </c>
      <c r="CF16" s="422">
        <v>18860.857220203667</v>
      </c>
      <c r="CG16" s="422">
        <v>18724.284276744344</v>
      </c>
      <c r="CH16" s="422">
        <v>18993.828575017273</v>
      </c>
      <c r="CI16" s="422">
        <v>18856.082224317812</v>
      </c>
      <c r="CJ16" s="422">
        <v>18226.248924643169</v>
      </c>
      <c r="CK16" s="422">
        <v>17922.009393716118</v>
      </c>
      <c r="CL16" s="422">
        <v>18449.240533725009</v>
      </c>
      <c r="CM16" s="422">
        <v>18406.742793950925</v>
      </c>
      <c r="CN16" s="422">
        <v>18851.370357228552</v>
      </c>
      <c r="CO16" s="422">
        <v>18820.777822266718</v>
      </c>
      <c r="CP16" s="422">
        <v>18693.191711211723</v>
      </c>
      <c r="CQ16" s="422">
        <v>18183.992482762478</v>
      </c>
      <c r="CR16" s="422">
        <v>17877.751643222364</v>
      </c>
      <c r="CS16" s="422">
        <v>17823.429700260869</v>
      </c>
      <c r="CT16" s="422">
        <v>18351.830482071215</v>
      </c>
      <c r="CU16" s="422">
        <v>18598.848188523989</v>
      </c>
      <c r="CV16" s="422">
        <v>18379.344708436111</v>
      </c>
      <c r="CW16" s="422">
        <v>18330.238589575372</v>
      </c>
      <c r="CX16" s="422">
        <v>18440.358206516274</v>
      </c>
      <c r="CY16" s="422">
        <v>18894.183212561518</v>
      </c>
      <c r="CZ16" s="422">
        <v>19259.761815730901</v>
      </c>
      <c r="DA16" s="422">
        <v>18997.031180972597</v>
      </c>
      <c r="DB16" s="423">
        <v>18898.470708671637</v>
      </c>
      <c r="DC16" s="423">
        <v>18945.616429488109</v>
      </c>
      <c r="DD16" s="423">
        <v>17912.264895579603</v>
      </c>
      <c r="DE16" s="423">
        <v>17496.837767628309</v>
      </c>
      <c r="DF16" s="423">
        <v>18108.74757185343</v>
      </c>
      <c r="DG16" s="423">
        <v>17934.633366012738</v>
      </c>
      <c r="DH16" s="423">
        <v>17838.11865534055</v>
      </c>
      <c r="DI16" s="423">
        <v>18132.965736516107</v>
      </c>
      <c r="DJ16" s="423">
        <v>18449.287691422407</v>
      </c>
      <c r="DK16" s="423">
        <v>18492.855223703871</v>
      </c>
      <c r="DL16" s="423">
        <v>18835.989325802708</v>
      </c>
      <c r="DM16" s="423">
        <v>18868.702648661667</v>
      </c>
      <c r="DN16" s="423">
        <v>19001.087390248966</v>
      </c>
      <c r="DO16" s="423">
        <v>21134.499541008798</v>
      </c>
      <c r="DP16" s="423">
        <v>19943.899495790978</v>
      </c>
      <c r="DQ16" s="423">
        <v>19496.039510610968</v>
      </c>
      <c r="DR16" s="423">
        <v>19952.488031717963</v>
      </c>
      <c r="DS16" s="423">
        <v>21091.691666615228</v>
      </c>
      <c r="DT16" s="423">
        <v>20545.925762574661</v>
      </c>
      <c r="DU16" s="423">
        <v>19987.724283096344</v>
      </c>
      <c r="DV16" s="423">
        <v>20199.802640320384</v>
      </c>
      <c r="DW16" s="423">
        <v>19939.904107656854</v>
      </c>
      <c r="DX16" s="423">
        <v>21095.665118913937</v>
      </c>
      <c r="DY16" s="423">
        <v>21044.482617984482</v>
      </c>
      <c r="DZ16" s="423">
        <v>20908.397786204023</v>
      </c>
      <c r="EA16" s="423">
        <v>21880.519754925848</v>
      </c>
      <c r="EB16" s="423">
        <v>21645.206207473715</v>
      </c>
    </row>
    <row r="17" spans="1:132" ht="15.95" customHeight="1" x14ac:dyDescent="0.25">
      <c r="A17" s="417" t="s">
        <v>274</v>
      </c>
      <c r="B17" s="411"/>
      <c r="C17" s="215"/>
      <c r="D17" s="215"/>
      <c r="E17" s="227"/>
      <c r="F17" s="215"/>
      <c r="G17" s="215"/>
      <c r="H17" s="295"/>
      <c r="I17" s="295"/>
      <c r="J17" s="295"/>
      <c r="K17" s="224"/>
      <c r="L17" s="295"/>
      <c r="M17" s="295"/>
      <c r="N17" s="295"/>
      <c r="O17" s="224"/>
      <c r="P17" s="295"/>
      <c r="Q17" s="295"/>
      <c r="R17" s="224"/>
      <c r="S17" s="295"/>
      <c r="T17" s="295"/>
      <c r="U17" s="419"/>
      <c r="V17" s="419"/>
      <c r="W17" s="419"/>
      <c r="X17" s="419"/>
      <c r="Y17" s="419"/>
      <c r="Z17" s="419"/>
      <c r="AA17" s="419"/>
      <c r="AB17" s="419"/>
      <c r="AC17" s="419"/>
      <c r="AD17" s="419"/>
      <c r="AE17" s="419"/>
      <c r="AF17" s="419"/>
      <c r="AG17" s="419"/>
      <c r="AH17" s="419"/>
      <c r="AI17" s="419"/>
      <c r="AJ17" s="419"/>
      <c r="AK17" s="419"/>
      <c r="AL17" s="419"/>
      <c r="AM17" s="296"/>
      <c r="AN17" s="296"/>
      <c r="AO17" s="296"/>
      <c r="AP17" s="296"/>
      <c r="AQ17" s="296"/>
      <c r="AR17" s="411"/>
      <c r="AS17" s="411"/>
      <c r="AT17" s="411"/>
      <c r="AU17" s="411"/>
      <c r="AV17" s="411"/>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21"/>
      <c r="DC17" s="421"/>
      <c r="DD17" s="421"/>
      <c r="DE17" s="421"/>
      <c r="DF17" s="421"/>
      <c r="DG17" s="421"/>
      <c r="DH17" s="421"/>
      <c r="DI17" s="421"/>
      <c r="DJ17" s="421"/>
      <c r="DK17" s="421"/>
      <c r="DL17" s="421"/>
      <c r="DM17" s="421"/>
      <c r="DN17" s="421"/>
      <c r="DO17" s="421"/>
      <c r="DP17" s="421"/>
      <c r="DQ17" s="421"/>
      <c r="DR17" s="421"/>
      <c r="DS17" s="421"/>
      <c r="DT17" s="421"/>
      <c r="DU17" s="421"/>
      <c r="DV17" s="421"/>
      <c r="DW17" s="421"/>
      <c r="DX17" s="421"/>
      <c r="DY17" s="421"/>
      <c r="DZ17" s="421"/>
      <c r="EA17" s="421"/>
      <c r="EB17" s="421"/>
    </row>
    <row r="18" spans="1:132" ht="15.95" customHeight="1" x14ac:dyDescent="0.25">
      <c r="A18" s="417" t="s">
        <v>285</v>
      </c>
      <c r="B18" s="418">
        <v>6421.5669358070018</v>
      </c>
      <c r="C18" s="295">
        <v>6324.8184922919991</v>
      </c>
      <c r="D18" s="295">
        <v>6371.0477290004001</v>
      </c>
      <c r="E18" s="224">
        <v>6554.8259338320004</v>
      </c>
      <c r="F18" s="295">
        <v>6648.9115428212008</v>
      </c>
      <c r="G18" s="295">
        <v>6566.3850310941998</v>
      </c>
      <c r="H18" s="295">
        <v>6642.6921455748006</v>
      </c>
      <c r="I18" s="295">
        <v>6604.9865242252445</v>
      </c>
      <c r="J18" s="295">
        <v>6822.0359224335007</v>
      </c>
      <c r="K18" s="224">
        <v>6689.3096847376</v>
      </c>
      <c r="L18" s="295">
        <v>6721.9565971809998</v>
      </c>
      <c r="M18" s="295">
        <v>6862.5780050755002</v>
      </c>
      <c r="N18" s="295">
        <v>6820.5352194177094</v>
      </c>
      <c r="O18" s="224">
        <v>6819.1119500296691</v>
      </c>
      <c r="P18" s="295">
        <v>6886.3012160430526</v>
      </c>
      <c r="Q18" s="295">
        <v>6843.6949376955008</v>
      </c>
      <c r="R18" s="224">
        <v>6554.6688527165006</v>
      </c>
      <c r="S18" s="295">
        <v>6517.0629405798009</v>
      </c>
      <c r="T18" s="295">
        <v>6568.8573449567493</v>
      </c>
      <c r="U18" s="419">
        <v>6516.1230905130424</v>
      </c>
      <c r="V18" s="419">
        <v>6520.1931501356066</v>
      </c>
      <c r="W18" s="419">
        <v>6629.6218291027453</v>
      </c>
      <c r="X18" s="419">
        <v>6810.5689520588994</v>
      </c>
      <c r="Y18" s="419">
        <v>6700.0719927361843</v>
      </c>
      <c r="Z18" s="419">
        <v>6548.0026839607963</v>
      </c>
      <c r="AA18" s="419">
        <v>6314.7983003977479</v>
      </c>
      <c r="AB18" s="419">
        <v>6408.6252358217107</v>
      </c>
      <c r="AC18" s="419">
        <v>6255.3272419045661</v>
      </c>
      <c r="AD18" s="419">
        <v>6429.6105864651399</v>
      </c>
      <c r="AE18" s="419">
        <v>6357.2907393572859</v>
      </c>
      <c r="AF18" s="419">
        <v>7361.6034084000376</v>
      </c>
      <c r="AG18" s="419">
        <v>7270.1615865240356</v>
      </c>
      <c r="AH18" s="419">
        <v>7623.1731606270005</v>
      </c>
      <c r="AI18" s="419">
        <v>8037.3410016076441</v>
      </c>
      <c r="AJ18" s="419">
        <v>8212.9837632107647</v>
      </c>
      <c r="AK18" s="419">
        <v>8161.7759606005493</v>
      </c>
      <c r="AL18" s="419">
        <v>8152.5967676630316</v>
      </c>
      <c r="AM18" s="297">
        <v>8059.8936745689307</v>
      </c>
      <c r="AN18" s="297">
        <v>8031.350902160355</v>
      </c>
      <c r="AO18" s="297">
        <v>7974.3109327657749</v>
      </c>
      <c r="AP18" s="297">
        <v>7821.4871787800812</v>
      </c>
      <c r="AQ18" s="297">
        <v>7787.2960040641483</v>
      </c>
      <c r="AR18" s="418">
        <v>7867.5998575879366</v>
      </c>
      <c r="AS18" s="418">
        <v>8061.4666057450013</v>
      </c>
      <c r="AT18" s="418">
        <v>7780.0449218222884</v>
      </c>
      <c r="AU18" s="418">
        <v>8106.7174095898663</v>
      </c>
      <c r="AV18" s="418">
        <v>7937.2986054946632</v>
      </c>
      <c r="AW18" s="218">
        <v>8007.4023657049584</v>
      </c>
      <c r="AX18" s="218">
        <v>7529.9051182653884</v>
      </c>
      <c r="AY18" s="218">
        <v>7214.8248920225087</v>
      </c>
      <c r="AZ18" s="218">
        <v>6927.5923620349549</v>
      </c>
      <c r="BA18" s="218">
        <v>5994.527374635627</v>
      </c>
      <c r="BB18" s="218">
        <v>6045.0747059950345</v>
      </c>
      <c r="BC18" s="218">
        <v>6085.9102960288637</v>
      </c>
      <c r="BD18" s="218">
        <v>6405.9975328534301</v>
      </c>
      <c r="BE18" s="218">
        <v>6244.6843003303948</v>
      </c>
      <c r="BF18" s="218">
        <v>6397.8654384449483</v>
      </c>
      <c r="BG18" s="218">
        <v>6226.9517763919494</v>
      </c>
      <c r="BH18" s="218">
        <v>6190.4963562449038</v>
      </c>
      <c r="BI18" s="218">
        <v>6810.3479113568246</v>
      </c>
      <c r="BJ18" s="218">
        <v>6590.4276584183735</v>
      </c>
      <c r="BK18" s="218">
        <v>6442.2696922167615</v>
      </c>
      <c r="BL18" s="218">
        <v>6455.2528551067753</v>
      </c>
      <c r="BM18" s="218">
        <v>5759.2007563906336</v>
      </c>
      <c r="BN18" s="218">
        <v>5721.1899039115324</v>
      </c>
      <c r="BO18" s="218">
        <v>5817.4626954150817</v>
      </c>
      <c r="BP18" s="218">
        <v>5971.2514640402314</v>
      </c>
      <c r="BQ18" s="218">
        <v>5788.0685281992774</v>
      </c>
      <c r="BR18" s="218">
        <v>6156.854308899965</v>
      </c>
      <c r="BS18" s="218">
        <v>5401.1851574942084</v>
      </c>
      <c r="BT18" s="218">
        <v>5531.6975477769574</v>
      </c>
      <c r="BU18" s="218">
        <v>5626.458207612528</v>
      </c>
      <c r="BV18" s="218">
        <v>5766.7220968955589</v>
      </c>
      <c r="BW18" s="218">
        <v>5590.0182437192234</v>
      </c>
      <c r="BX18" s="218">
        <v>5567.5620432105006</v>
      </c>
      <c r="BY18" s="218">
        <v>5364.3451603548001</v>
      </c>
      <c r="BZ18" s="218">
        <v>5557.7</v>
      </c>
      <c r="CA18" s="218">
        <v>5629.8125112545495</v>
      </c>
      <c r="CB18" s="218">
        <v>5588.2290762989933</v>
      </c>
      <c r="CC18" s="218">
        <v>5999.9534053156622</v>
      </c>
      <c r="CD18" s="218">
        <v>6027.8838510367423</v>
      </c>
      <c r="CE18" s="218">
        <v>6017.9516201170054</v>
      </c>
      <c r="CF18" s="218">
        <v>5970.0875244988547</v>
      </c>
      <c r="CG18" s="218">
        <v>6078.982363871939</v>
      </c>
      <c r="CH18" s="218">
        <v>5906.6396216331241</v>
      </c>
      <c r="CI18" s="218">
        <v>5754.7191249039515</v>
      </c>
      <c r="CJ18" s="218">
        <v>5437.9036514713725</v>
      </c>
      <c r="CK18" s="218">
        <v>5522.3246382217003</v>
      </c>
      <c r="CL18" s="218">
        <v>5409.1874846480841</v>
      </c>
      <c r="CM18" s="218">
        <v>5621.3093491614281</v>
      </c>
      <c r="CN18" s="218">
        <v>5628.5579339821779</v>
      </c>
      <c r="CO18" s="218">
        <v>5577.9067141799442</v>
      </c>
      <c r="CP18" s="218">
        <v>5846.4138055297499</v>
      </c>
      <c r="CQ18" s="218">
        <v>5376.6466365788601</v>
      </c>
      <c r="CR18" s="218">
        <v>5268.9813880271158</v>
      </c>
      <c r="CS18" s="218">
        <v>5515.3447045863149</v>
      </c>
      <c r="CT18" s="218">
        <v>5332.0431792948821</v>
      </c>
      <c r="CU18" s="218">
        <v>5548.9957340258079</v>
      </c>
      <c r="CV18" s="218">
        <v>5240.8112366379055</v>
      </c>
      <c r="CW18" s="218">
        <v>5508.0639393387619</v>
      </c>
      <c r="CX18" s="218">
        <v>5845.6062411162366</v>
      </c>
      <c r="CY18" s="218">
        <v>5716.2689330805952</v>
      </c>
      <c r="CZ18" s="218">
        <v>5987.1794932808461</v>
      </c>
      <c r="DA18" s="218">
        <v>5943.3327978067628</v>
      </c>
      <c r="DB18" s="421">
        <v>6022.3232889861911</v>
      </c>
      <c r="DC18" s="421">
        <v>6014.3638641690941</v>
      </c>
      <c r="DD18" s="421">
        <v>5640.1668837138841</v>
      </c>
      <c r="DE18" s="421">
        <v>5477.9973898309509</v>
      </c>
      <c r="DF18" s="421">
        <v>5507.6387590288032</v>
      </c>
      <c r="DG18" s="421">
        <v>5475.6829797614246</v>
      </c>
      <c r="DH18" s="421">
        <v>5316.795482217678</v>
      </c>
      <c r="DI18" s="421">
        <v>5502.443078696213</v>
      </c>
      <c r="DJ18" s="421">
        <v>5700.9788599859075</v>
      </c>
      <c r="DK18" s="421">
        <v>5685.2054800530332</v>
      </c>
      <c r="DL18" s="421">
        <v>5691.5172930590652</v>
      </c>
      <c r="DM18" s="421">
        <v>5733.2722162396058</v>
      </c>
      <c r="DN18" s="421">
        <v>5736.2876202191928</v>
      </c>
      <c r="DO18" s="421">
        <v>6145.5599656222976</v>
      </c>
      <c r="DP18" s="421">
        <v>5626.3476017651483</v>
      </c>
      <c r="DQ18" s="421">
        <v>5736.8161179448589</v>
      </c>
      <c r="DR18" s="421">
        <v>5559.9406235019305</v>
      </c>
      <c r="DS18" s="421">
        <v>6366.5892743927934</v>
      </c>
      <c r="DT18" s="421">
        <v>5670.2415534521715</v>
      </c>
      <c r="DU18" s="421">
        <v>5367.7798787482143</v>
      </c>
      <c r="DV18" s="421">
        <v>5409.0630519975166</v>
      </c>
      <c r="DW18" s="421">
        <v>5163.5030410404916</v>
      </c>
      <c r="DX18" s="421">
        <v>5457.1100087304558</v>
      </c>
      <c r="DY18" s="421">
        <v>5603.2119470043881</v>
      </c>
      <c r="DZ18" s="421">
        <v>5518.2768032938884</v>
      </c>
      <c r="EA18" s="421">
        <v>5380.2569896405903</v>
      </c>
      <c r="EB18" s="421">
        <v>5198.5015207757569</v>
      </c>
    </row>
    <row r="19" spans="1:132" ht="15.95" customHeight="1" x14ac:dyDescent="0.25">
      <c r="A19" s="417" t="s">
        <v>286</v>
      </c>
      <c r="B19" s="418">
        <v>138.85489210999998</v>
      </c>
      <c r="C19" s="295">
        <v>148.27613513999998</v>
      </c>
      <c r="D19" s="295">
        <v>134.61671380000001</v>
      </c>
      <c r="E19" s="224">
        <v>212.21990994000004</v>
      </c>
      <c r="F19" s="295">
        <v>203.86604867000003</v>
      </c>
      <c r="G19" s="295">
        <v>195.07282011000001</v>
      </c>
      <c r="H19" s="295">
        <v>194.46434327</v>
      </c>
      <c r="I19" s="295">
        <v>182.35921720000002</v>
      </c>
      <c r="J19" s="295">
        <v>187.11961367000001</v>
      </c>
      <c r="K19" s="224">
        <v>186.248871044634</v>
      </c>
      <c r="L19" s="295">
        <v>186.83081534621698</v>
      </c>
      <c r="M19" s="295">
        <v>261.26687662272701</v>
      </c>
      <c r="N19" s="295">
        <v>251.97590023405999</v>
      </c>
      <c r="O19" s="224">
        <v>250.42081688153598</v>
      </c>
      <c r="P19" s="295">
        <v>245.74961753455798</v>
      </c>
      <c r="Q19" s="295">
        <v>253.9876882717553</v>
      </c>
      <c r="R19" s="224">
        <v>246.27251674849072</v>
      </c>
      <c r="S19" s="295">
        <v>258.24201954692779</v>
      </c>
      <c r="T19" s="295">
        <v>285.54596537306321</v>
      </c>
      <c r="U19" s="419">
        <v>291.70370172516505</v>
      </c>
      <c r="V19" s="419">
        <v>289.30634968537498</v>
      </c>
      <c r="W19" s="419">
        <v>281.54203621612021</v>
      </c>
      <c r="X19" s="419">
        <v>277.71979933924433</v>
      </c>
      <c r="Y19" s="419">
        <v>273.06253809039998</v>
      </c>
      <c r="Z19" s="419">
        <v>275.55471638</v>
      </c>
      <c r="AA19" s="419">
        <v>279.48515727999995</v>
      </c>
      <c r="AB19" s="419">
        <v>273.79721754000002</v>
      </c>
      <c r="AC19" s="419">
        <v>274.85158557</v>
      </c>
      <c r="AD19" s="419">
        <v>277.61515961999999</v>
      </c>
      <c r="AE19" s="419">
        <v>280.64877481000002</v>
      </c>
      <c r="AF19" s="419">
        <v>259.23729545999998</v>
      </c>
      <c r="AG19" s="419">
        <v>263.80886972000002</v>
      </c>
      <c r="AH19" s="419">
        <v>278.75498353999996</v>
      </c>
      <c r="AI19" s="419">
        <v>272.14435952999997</v>
      </c>
      <c r="AJ19" s="419">
        <v>284.53463255999998</v>
      </c>
      <c r="AK19" s="419">
        <v>292.99033835</v>
      </c>
      <c r="AL19" s="419">
        <v>301.15040127000003</v>
      </c>
      <c r="AM19" s="297">
        <v>303.41409723999999</v>
      </c>
      <c r="AN19" s="297">
        <v>313.75466595999995</v>
      </c>
      <c r="AO19" s="297">
        <v>333.50107079999998</v>
      </c>
      <c r="AP19" s="297">
        <v>333.93883268000002</v>
      </c>
      <c r="AQ19" s="297">
        <v>336.66601273999999</v>
      </c>
      <c r="AR19" s="418">
        <v>347.86006934999995</v>
      </c>
      <c r="AS19" s="418">
        <v>343.27714986000001</v>
      </c>
      <c r="AT19" s="418">
        <v>351.28159313999998</v>
      </c>
      <c r="AU19" s="418">
        <v>353.17584396999996</v>
      </c>
      <c r="AV19" s="418">
        <v>329.26821924000001</v>
      </c>
      <c r="AW19" s="218">
        <v>319.52140267999999</v>
      </c>
      <c r="AX19" s="218">
        <v>318.31586227999998</v>
      </c>
      <c r="AY19" s="218">
        <v>299.70672017999999</v>
      </c>
      <c r="AZ19" s="218">
        <v>296.46223694999998</v>
      </c>
      <c r="BA19" s="218">
        <v>346.90650737999999</v>
      </c>
      <c r="BB19" s="218">
        <v>334.84625619000008</v>
      </c>
      <c r="BC19" s="218">
        <v>332.80006118000006</v>
      </c>
      <c r="BD19" s="218">
        <v>328.18962663000002</v>
      </c>
      <c r="BE19" s="218">
        <v>329.87078210999994</v>
      </c>
      <c r="BF19" s="218">
        <v>330.90261285000003</v>
      </c>
      <c r="BG19" s="218">
        <v>321.10917204000003</v>
      </c>
      <c r="BH19" s="218">
        <v>313.49613416000005</v>
      </c>
      <c r="BI19" s="218">
        <v>318.70521374000003</v>
      </c>
      <c r="BJ19" s="218">
        <v>319.53355345000006</v>
      </c>
      <c r="BK19" s="218">
        <v>323.04984411999999</v>
      </c>
      <c r="BL19" s="218">
        <v>316.07159110000003</v>
      </c>
      <c r="BM19" s="218">
        <v>312.38706424999998</v>
      </c>
      <c r="BN19" s="218">
        <v>304.43262015000005</v>
      </c>
      <c r="BO19" s="218">
        <v>319.20538561000001</v>
      </c>
      <c r="BP19" s="218">
        <v>313.23055116</v>
      </c>
      <c r="BQ19" s="218">
        <v>308.35861617</v>
      </c>
      <c r="BR19" s="218">
        <v>305.43852349000002</v>
      </c>
      <c r="BS19" s="218">
        <v>292.23232858999995</v>
      </c>
      <c r="BT19" s="218">
        <v>314.92990200999998</v>
      </c>
      <c r="BU19" s="218">
        <v>303.39258532999997</v>
      </c>
      <c r="BV19" s="218">
        <v>302.99810619000004</v>
      </c>
      <c r="BW19" s="218">
        <v>308.04860961000003</v>
      </c>
      <c r="BX19" s="218">
        <v>300.13066400000002</v>
      </c>
      <c r="BY19" s="218">
        <v>298.19146899999998</v>
      </c>
      <c r="BZ19" s="218">
        <v>300.2</v>
      </c>
      <c r="CA19" s="218">
        <v>290.87225574000001</v>
      </c>
      <c r="CB19" s="218">
        <v>298.00061706999998</v>
      </c>
      <c r="CC19" s="218">
        <v>308.50319135000007</v>
      </c>
      <c r="CD19" s="218">
        <v>280.54186390000007</v>
      </c>
      <c r="CE19" s="218">
        <v>277.91630965339851</v>
      </c>
      <c r="CF19" s="218">
        <v>280.25982320999998</v>
      </c>
      <c r="CG19" s="218">
        <v>287.12474550000007</v>
      </c>
      <c r="CH19" s="218">
        <v>290.47107575000001</v>
      </c>
      <c r="CI19" s="218">
        <v>280.67816888999999</v>
      </c>
      <c r="CJ19" s="218">
        <v>289.21275774999998</v>
      </c>
      <c r="CK19" s="218">
        <v>293.32046170000001</v>
      </c>
      <c r="CL19" s="218">
        <v>290.97091080000001</v>
      </c>
      <c r="CM19" s="218">
        <v>337.16702921000001</v>
      </c>
      <c r="CN19" s="218">
        <v>332.18999671</v>
      </c>
      <c r="CO19" s="218">
        <v>320.54604092999995</v>
      </c>
      <c r="CP19" s="218">
        <v>332.86818944999999</v>
      </c>
      <c r="CQ19" s="218">
        <v>336.57144024000002</v>
      </c>
      <c r="CR19" s="218">
        <v>335.99884419</v>
      </c>
      <c r="CS19" s="218">
        <v>328.35041749999999</v>
      </c>
      <c r="CT19" s="218">
        <v>333.62281708</v>
      </c>
      <c r="CU19" s="218">
        <v>343.08930430000004</v>
      </c>
      <c r="CV19" s="218">
        <v>341.66049967000004</v>
      </c>
      <c r="CW19" s="218">
        <v>421.73452457000002</v>
      </c>
      <c r="CX19" s="218">
        <v>396.39289667795003</v>
      </c>
      <c r="CY19" s="218">
        <v>360.80222709000077</v>
      </c>
      <c r="CZ19" s="218">
        <v>355.14369025999997</v>
      </c>
      <c r="DA19" s="218">
        <v>355.13411808999996</v>
      </c>
      <c r="DB19" s="421">
        <v>344.58496890999999</v>
      </c>
      <c r="DC19" s="421">
        <v>343.31268928999998</v>
      </c>
      <c r="DD19" s="421">
        <v>345.48150771999997</v>
      </c>
      <c r="DE19" s="421">
        <v>345.53046938</v>
      </c>
      <c r="DF19" s="421">
        <v>439.13224400809634</v>
      </c>
      <c r="DG19" s="421">
        <v>442.54314749936265</v>
      </c>
      <c r="DH19" s="421">
        <v>443.90767742808902</v>
      </c>
      <c r="DI19" s="421">
        <v>433.72441759523326</v>
      </c>
      <c r="DJ19" s="421">
        <v>441.12266202745661</v>
      </c>
      <c r="DK19" s="421">
        <v>438.34322847324336</v>
      </c>
      <c r="DL19" s="421">
        <v>421.1729382495663</v>
      </c>
      <c r="DM19" s="421">
        <v>407.23393486603999</v>
      </c>
      <c r="DN19" s="421">
        <v>395.86789376091997</v>
      </c>
      <c r="DO19" s="421">
        <v>257.68350261850395</v>
      </c>
      <c r="DP19" s="421">
        <v>306.81398545748505</v>
      </c>
      <c r="DQ19" s="421">
        <v>255.92058400706927</v>
      </c>
      <c r="DR19" s="421">
        <v>259.40996277034458</v>
      </c>
      <c r="DS19" s="421">
        <v>333.95997922293293</v>
      </c>
      <c r="DT19" s="421">
        <v>331.62472249156997</v>
      </c>
      <c r="DU19" s="421">
        <v>324.88841950647384</v>
      </c>
      <c r="DV19" s="421">
        <v>348.67474229461004</v>
      </c>
      <c r="DW19" s="421">
        <v>446.57172680502498</v>
      </c>
      <c r="DX19" s="421">
        <v>312.4096835865235</v>
      </c>
      <c r="DY19" s="421">
        <v>294.126452076764</v>
      </c>
      <c r="DZ19" s="421">
        <v>317.18841981121034</v>
      </c>
      <c r="EA19" s="421">
        <v>593.50854840680881</v>
      </c>
      <c r="EB19" s="421">
        <v>673.71432012833031</v>
      </c>
    </row>
    <row r="20" spans="1:132" ht="15.95" customHeight="1" x14ac:dyDescent="0.25">
      <c r="A20" s="417" t="s">
        <v>287</v>
      </c>
      <c r="B20" s="418">
        <v>276.44491083000003</v>
      </c>
      <c r="C20" s="295">
        <v>306.37750648000002</v>
      </c>
      <c r="D20" s="295">
        <v>243.57221333999999</v>
      </c>
      <c r="E20" s="224">
        <v>312.08794169000004</v>
      </c>
      <c r="F20" s="295">
        <v>257.62005626000001</v>
      </c>
      <c r="G20" s="295">
        <v>258.52928133999995</v>
      </c>
      <c r="H20" s="295">
        <v>241.98951268000002</v>
      </c>
      <c r="I20" s="295">
        <v>268.19179783999999</v>
      </c>
      <c r="J20" s="295">
        <v>271.56523262999997</v>
      </c>
      <c r="K20" s="224">
        <v>275.36472774999999</v>
      </c>
      <c r="L20" s="295">
        <v>273.00855947000002</v>
      </c>
      <c r="M20" s="295">
        <v>251.21573462999999</v>
      </c>
      <c r="N20" s="295">
        <v>261.69274497999999</v>
      </c>
      <c r="O20" s="224">
        <v>244.57882626999998</v>
      </c>
      <c r="P20" s="295">
        <v>247.15877481999999</v>
      </c>
      <c r="Q20" s="295">
        <v>242.4983488</v>
      </c>
      <c r="R20" s="224">
        <v>215.29967088999999</v>
      </c>
      <c r="S20" s="295">
        <v>231.59919538999998</v>
      </c>
      <c r="T20" s="295">
        <v>221.87802015</v>
      </c>
      <c r="U20" s="419">
        <v>221.94243396999997</v>
      </c>
      <c r="V20" s="419">
        <v>218.45564302999998</v>
      </c>
      <c r="W20" s="419">
        <v>225.60243971</v>
      </c>
      <c r="X20" s="419">
        <v>243.12970761999998</v>
      </c>
      <c r="Y20" s="419">
        <v>208.83149059000002</v>
      </c>
      <c r="Z20" s="419">
        <v>213.14265925999999</v>
      </c>
      <c r="AA20" s="419">
        <v>193.02688688999999</v>
      </c>
      <c r="AB20" s="419">
        <v>184.71315658999998</v>
      </c>
      <c r="AC20" s="419">
        <v>184.38120856</v>
      </c>
      <c r="AD20" s="419">
        <v>196.54537557</v>
      </c>
      <c r="AE20" s="419">
        <v>175.26371760000001</v>
      </c>
      <c r="AF20" s="419">
        <v>180.53157415999999</v>
      </c>
      <c r="AG20" s="419">
        <v>176.39680085000001</v>
      </c>
      <c r="AH20" s="419">
        <v>161.96219213000001</v>
      </c>
      <c r="AI20" s="419">
        <v>146.83943991000001</v>
      </c>
      <c r="AJ20" s="419">
        <v>140.25392563</v>
      </c>
      <c r="AK20" s="419">
        <v>169.75915180999999</v>
      </c>
      <c r="AL20" s="419">
        <v>122.29730456999999</v>
      </c>
      <c r="AM20" s="297">
        <v>129.57640012000002</v>
      </c>
      <c r="AN20" s="297">
        <v>138.44886511999999</v>
      </c>
      <c r="AO20" s="297">
        <v>131.93976994000002</v>
      </c>
      <c r="AP20" s="297">
        <v>190.75842560640001</v>
      </c>
      <c r="AQ20" s="297">
        <v>145.63941756559998</v>
      </c>
      <c r="AR20" s="418">
        <v>180.75238203399999</v>
      </c>
      <c r="AS20" s="418">
        <v>199.89060917</v>
      </c>
      <c r="AT20" s="418">
        <v>157.22392909279998</v>
      </c>
      <c r="AU20" s="418">
        <v>148.55100460719999</v>
      </c>
      <c r="AV20" s="418">
        <v>141.68522031500001</v>
      </c>
      <c r="AW20" s="218">
        <v>138.00797469919996</v>
      </c>
      <c r="AX20" s="218">
        <v>144.03070833840002</v>
      </c>
      <c r="AY20" s="218">
        <v>132.16810322700002</v>
      </c>
      <c r="AZ20" s="218">
        <v>132.93069107860001</v>
      </c>
      <c r="BA20" s="218">
        <v>120.0495119334</v>
      </c>
      <c r="BB20" s="218">
        <v>143.6611872606</v>
      </c>
      <c r="BC20" s="218">
        <v>125.2573348836</v>
      </c>
      <c r="BD20" s="218">
        <v>129.90427214179999</v>
      </c>
      <c r="BE20" s="218">
        <v>131.7232828464</v>
      </c>
      <c r="BF20" s="218">
        <v>138.23574976499998</v>
      </c>
      <c r="BG20" s="218">
        <v>134.48523317600001</v>
      </c>
      <c r="BH20" s="218">
        <v>131.6389728966</v>
      </c>
      <c r="BI20" s="218">
        <v>133.76119466109998</v>
      </c>
      <c r="BJ20" s="218">
        <v>132.67537961599999</v>
      </c>
      <c r="BK20" s="218">
        <v>122.1311442624</v>
      </c>
      <c r="BL20" s="218">
        <v>120.9588318551</v>
      </c>
      <c r="BM20" s="218">
        <v>165.34910955439997</v>
      </c>
      <c r="BN20" s="218">
        <v>127.77340628764999</v>
      </c>
      <c r="BO20" s="218">
        <v>141.08880407999999</v>
      </c>
      <c r="BP20" s="218">
        <v>133.22813752940002</v>
      </c>
      <c r="BQ20" s="218">
        <v>146.51341037620003</v>
      </c>
      <c r="BR20" s="218">
        <v>127.8827389123</v>
      </c>
      <c r="BS20" s="218">
        <v>105.11272488319999</v>
      </c>
      <c r="BT20" s="218">
        <v>136.940728540815</v>
      </c>
      <c r="BU20" s="218">
        <v>136.51535997118</v>
      </c>
      <c r="BV20" s="218">
        <v>106.550901257608</v>
      </c>
      <c r="BW20" s="218">
        <v>102.339795572185</v>
      </c>
      <c r="BX20" s="218">
        <v>155.47867213699999</v>
      </c>
      <c r="BY20" s="218">
        <v>91.68703838479999</v>
      </c>
      <c r="BZ20" s="218">
        <v>98.7</v>
      </c>
      <c r="CA20" s="218">
        <v>128.0294903315</v>
      </c>
      <c r="CB20" s="218">
        <v>137.38499084599999</v>
      </c>
      <c r="CC20" s="218">
        <v>114.37812670229999</v>
      </c>
      <c r="CD20" s="218">
        <v>117.72582863228601</v>
      </c>
      <c r="CE20" s="218">
        <v>172.62476131544253</v>
      </c>
      <c r="CF20" s="218">
        <v>175.64843573153996</v>
      </c>
      <c r="CG20" s="218">
        <v>181.36596354</v>
      </c>
      <c r="CH20" s="218">
        <v>170.23130646999999</v>
      </c>
      <c r="CI20" s="218">
        <v>184.36512755999996</v>
      </c>
      <c r="CJ20" s="218">
        <v>173.68868190999999</v>
      </c>
      <c r="CK20" s="218">
        <v>143.40061158999998</v>
      </c>
      <c r="CL20" s="218">
        <v>149.84601866</v>
      </c>
      <c r="CM20" s="218">
        <v>136.75497342</v>
      </c>
      <c r="CN20" s="218">
        <v>134.60706868</v>
      </c>
      <c r="CO20" s="218">
        <v>135.42411009</v>
      </c>
      <c r="CP20" s="218">
        <v>135.70315432000001</v>
      </c>
      <c r="CQ20" s="218">
        <v>136.04548943</v>
      </c>
      <c r="CR20" s="218">
        <v>137.84617222999998</v>
      </c>
      <c r="CS20" s="218">
        <v>124.14902909</v>
      </c>
      <c r="CT20" s="218">
        <v>41.954821370000005</v>
      </c>
      <c r="CU20" s="218">
        <v>38.448148930000002</v>
      </c>
      <c r="CV20" s="218">
        <v>43.288369060000001</v>
      </c>
      <c r="CW20" s="218">
        <v>49.770474329999999</v>
      </c>
      <c r="CX20" s="218">
        <v>39.737164829999998</v>
      </c>
      <c r="CY20" s="218">
        <v>44.202998799999996</v>
      </c>
      <c r="CZ20" s="218">
        <v>48.233946809999999</v>
      </c>
      <c r="DA20" s="218">
        <v>50.665850950000006</v>
      </c>
      <c r="DB20" s="421">
        <v>43.092771230000004</v>
      </c>
      <c r="DC20" s="421">
        <v>41.055546120000002</v>
      </c>
      <c r="DD20" s="421">
        <v>40.725070420000002</v>
      </c>
      <c r="DE20" s="421">
        <v>39.299167329999996</v>
      </c>
      <c r="DF20" s="421">
        <v>43.473477240000001</v>
      </c>
      <c r="DG20" s="421">
        <v>45.722003590000007</v>
      </c>
      <c r="DH20" s="421">
        <v>42.850456940000001</v>
      </c>
      <c r="DI20" s="421">
        <v>45.012002590000002</v>
      </c>
      <c r="DJ20" s="421">
        <v>46.455348220000005</v>
      </c>
      <c r="DK20" s="421">
        <v>48.546400900000009</v>
      </c>
      <c r="DL20" s="421">
        <v>49.771376500000002</v>
      </c>
      <c r="DM20" s="421">
        <v>51.029372330000001</v>
      </c>
      <c r="DN20" s="421">
        <v>44.618266010000006</v>
      </c>
      <c r="DO20" s="421">
        <v>41.573568359999996</v>
      </c>
      <c r="DP20" s="421">
        <v>40.741067739999991</v>
      </c>
      <c r="DQ20" s="421">
        <v>39.801693089999993</v>
      </c>
      <c r="DR20" s="421">
        <v>37.776185460000001</v>
      </c>
      <c r="DS20" s="421">
        <v>33.13616416</v>
      </c>
      <c r="DT20" s="421">
        <v>31.83018066</v>
      </c>
      <c r="DU20" s="421">
        <v>34.40576446</v>
      </c>
      <c r="DV20" s="421">
        <v>33.567489269999996</v>
      </c>
      <c r="DW20" s="421">
        <v>125.5227692903085</v>
      </c>
      <c r="DX20" s="421">
        <v>36.857536329999995</v>
      </c>
      <c r="DY20" s="421">
        <v>31.436744189999999</v>
      </c>
      <c r="DZ20" s="421">
        <v>30.927613390000001</v>
      </c>
      <c r="EA20" s="421">
        <v>29.415668310000001</v>
      </c>
      <c r="EB20" s="421">
        <v>33.809596939999999</v>
      </c>
    </row>
    <row r="21" spans="1:132" ht="15.95" customHeight="1" x14ac:dyDescent="0.25">
      <c r="A21" s="417" t="s">
        <v>288</v>
      </c>
      <c r="B21" s="418">
        <v>104.40851929999999</v>
      </c>
      <c r="C21" s="295">
        <v>104.55040751</v>
      </c>
      <c r="D21" s="295">
        <v>99.609989259999992</v>
      </c>
      <c r="E21" s="224">
        <v>105.21279042999998</v>
      </c>
      <c r="F21" s="295">
        <v>106.52636661</v>
      </c>
      <c r="G21" s="295">
        <v>101.78248473000001</v>
      </c>
      <c r="H21" s="295">
        <v>88.594561300000009</v>
      </c>
      <c r="I21" s="295">
        <v>88.440827249999998</v>
      </c>
      <c r="J21" s="295">
        <v>93.159487220000003</v>
      </c>
      <c r="K21" s="224">
        <v>90.942473019999994</v>
      </c>
      <c r="L21" s="295">
        <v>92.302947590000002</v>
      </c>
      <c r="M21" s="295">
        <v>86.172839010000004</v>
      </c>
      <c r="N21" s="295">
        <v>89.038623099999995</v>
      </c>
      <c r="O21" s="224">
        <v>89.623108579999993</v>
      </c>
      <c r="P21" s="295">
        <v>90.958911860000001</v>
      </c>
      <c r="Q21" s="295">
        <v>92.694062560000006</v>
      </c>
      <c r="R21" s="224">
        <v>101.79013646000001</v>
      </c>
      <c r="S21" s="295">
        <v>105.82229007000001</v>
      </c>
      <c r="T21" s="295">
        <v>101.88911985999999</v>
      </c>
      <c r="U21" s="419">
        <v>103.65953629999998</v>
      </c>
      <c r="V21" s="419">
        <v>105.28219946000002</v>
      </c>
      <c r="W21" s="419">
        <v>103.44274334000001</v>
      </c>
      <c r="X21" s="419">
        <v>117.68621528999999</v>
      </c>
      <c r="Y21" s="419">
        <v>116.94500146999999</v>
      </c>
      <c r="Z21" s="419">
        <v>107.16600543000001</v>
      </c>
      <c r="AA21" s="419">
        <v>120.31747409011601</v>
      </c>
      <c r="AB21" s="419">
        <v>104.43781644999999</v>
      </c>
      <c r="AC21" s="419">
        <v>105.22339774000001</v>
      </c>
      <c r="AD21" s="419">
        <v>113.11469551999998</v>
      </c>
      <c r="AE21" s="419">
        <v>106.51552876</v>
      </c>
      <c r="AF21" s="419">
        <v>99.130529420000016</v>
      </c>
      <c r="AG21" s="419">
        <v>90.549549930000012</v>
      </c>
      <c r="AH21" s="419">
        <v>103.08974633</v>
      </c>
      <c r="AI21" s="419">
        <v>104.77013700000001</v>
      </c>
      <c r="AJ21" s="419">
        <v>103.78381627999998</v>
      </c>
      <c r="AK21" s="419">
        <v>106.40519684</v>
      </c>
      <c r="AL21" s="419">
        <v>110.62750362</v>
      </c>
      <c r="AM21" s="297">
        <v>109.99691215999999</v>
      </c>
      <c r="AN21" s="297">
        <v>119.24129906</v>
      </c>
      <c r="AO21" s="297">
        <v>126.19268574000002</v>
      </c>
      <c r="AP21" s="297">
        <v>130.19509137890003</v>
      </c>
      <c r="AQ21" s="297">
        <v>137.41955950100001</v>
      </c>
      <c r="AR21" s="418">
        <v>134.95348494439997</v>
      </c>
      <c r="AS21" s="418">
        <v>119.36787475999999</v>
      </c>
      <c r="AT21" s="418">
        <v>138.80503167159998</v>
      </c>
      <c r="AU21" s="418">
        <v>160.85609504920001</v>
      </c>
      <c r="AV21" s="418">
        <v>187.89963060700001</v>
      </c>
      <c r="AW21" s="218">
        <v>198.8907039792</v>
      </c>
      <c r="AX21" s="218">
        <v>208.31462698159999</v>
      </c>
      <c r="AY21" s="218">
        <v>214.79564748409999</v>
      </c>
      <c r="AZ21" s="218">
        <v>223.45061589190004</v>
      </c>
      <c r="BA21" s="218">
        <v>240.51518051020003</v>
      </c>
      <c r="BB21" s="218">
        <v>242.07196230279999</v>
      </c>
      <c r="BC21" s="218">
        <v>262.89564620319999</v>
      </c>
      <c r="BD21" s="218">
        <v>263.97111212239997</v>
      </c>
      <c r="BE21" s="218">
        <v>153.41545305390002</v>
      </c>
      <c r="BF21" s="218">
        <v>187.27949836500002</v>
      </c>
      <c r="BG21" s="218">
        <v>185.63011042000002</v>
      </c>
      <c r="BH21" s="218">
        <v>221.1950818848</v>
      </c>
      <c r="BI21" s="218">
        <v>233.47199871740003</v>
      </c>
      <c r="BJ21" s="218">
        <v>253.37233183610002</v>
      </c>
      <c r="BK21" s="218">
        <v>310.5742006365</v>
      </c>
      <c r="BL21" s="218">
        <v>339.23365504960003</v>
      </c>
      <c r="BM21" s="218">
        <v>328.87973178179999</v>
      </c>
      <c r="BN21" s="218">
        <v>302.32173629719995</v>
      </c>
      <c r="BO21" s="218">
        <v>293.95450070480001</v>
      </c>
      <c r="BP21" s="218">
        <v>297.48632536280002</v>
      </c>
      <c r="BQ21" s="218">
        <v>324.12527294900002</v>
      </c>
      <c r="BR21" s="218">
        <v>316.87560830360002</v>
      </c>
      <c r="BS21" s="218">
        <v>330.63767776919997</v>
      </c>
      <c r="BT21" s="218">
        <v>327.65265361113501</v>
      </c>
      <c r="BU21" s="218">
        <v>331.20310557582002</v>
      </c>
      <c r="BV21" s="218">
        <v>334.06467780099598</v>
      </c>
      <c r="BW21" s="218">
        <v>330.22554825527504</v>
      </c>
      <c r="BX21" s="218">
        <v>330.05576037399999</v>
      </c>
      <c r="BY21" s="218">
        <v>312.96608815159993</v>
      </c>
      <c r="BZ21" s="218">
        <v>297.39999999999998</v>
      </c>
      <c r="CA21" s="218">
        <v>299.28382770249993</v>
      </c>
      <c r="CB21" s="218">
        <v>199.54072833200001</v>
      </c>
      <c r="CC21" s="218">
        <v>194.22678723857496</v>
      </c>
      <c r="CD21" s="218">
        <v>200.81396609369997</v>
      </c>
      <c r="CE21" s="218">
        <v>282.79977310974158</v>
      </c>
      <c r="CF21" s="218">
        <v>288.90716723071398</v>
      </c>
      <c r="CG21" s="218">
        <v>284.26708552843002</v>
      </c>
      <c r="CH21" s="218">
        <v>285.86565267000003</v>
      </c>
      <c r="CI21" s="218">
        <v>316.78720421000003</v>
      </c>
      <c r="CJ21" s="218">
        <v>318.78490196999996</v>
      </c>
      <c r="CK21" s="218">
        <v>322.03550030999997</v>
      </c>
      <c r="CL21" s="218">
        <v>317.66498896000002</v>
      </c>
      <c r="CM21" s="218">
        <v>290.90532217999998</v>
      </c>
      <c r="CN21" s="218">
        <v>279.58508832000001</v>
      </c>
      <c r="CO21" s="218">
        <v>292.5331597</v>
      </c>
      <c r="CP21" s="218">
        <v>280.61683574</v>
      </c>
      <c r="CQ21" s="218">
        <v>283.48370676000002</v>
      </c>
      <c r="CR21" s="218">
        <v>283.52283692999998</v>
      </c>
      <c r="CS21" s="218">
        <v>269.65853236000004</v>
      </c>
      <c r="CT21" s="218">
        <v>260.40572817999998</v>
      </c>
      <c r="CU21" s="218">
        <v>283.00367335999999</v>
      </c>
      <c r="CV21" s="218">
        <v>280.90835049999998</v>
      </c>
      <c r="CW21" s="218">
        <v>313.37198799999999</v>
      </c>
      <c r="CX21" s="218">
        <v>276.44471893999997</v>
      </c>
      <c r="CY21" s="218">
        <v>240.29859966000004</v>
      </c>
      <c r="CZ21" s="218">
        <v>229.32059407999998</v>
      </c>
      <c r="DA21" s="218">
        <v>227.33415633000001</v>
      </c>
      <c r="DB21" s="421">
        <v>249.40577575999998</v>
      </c>
      <c r="DC21" s="421">
        <v>247.17154316000003</v>
      </c>
      <c r="DD21" s="421">
        <v>226.72742823999997</v>
      </c>
      <c r="DE21" s="421">
        <v>233.86841428000002</v>
      </c>
      <c r="DF21" s="421">
        <v>251.12313660999999</v>
      </c>
      <c r="DG21" s="421">
        <v>229.80023698999997</v>
      </c>
      <c r="DH21" s="421">
        <v>243.52353178999999</v>
      </c>
      <c r="DI21" s="421">
        <v>245.38884014000004</v>
      </c>
      <c r="DJ21" s="421">
        <v>243.96969350000001</v>
      </c>
      <c r="DK21" s="421">
        <v>250.17133093999999</v>
      </c>
      <c r="DL21" s="421">
        <v>253.95410601999998</v>
      </c>
      <c r="DM21" s="421">
        <v>238.99940998000002</v>
      </c>
      <c r="DN21" s="421">
        <v>240.78370261999999</v>
      </c>
      <c r="DO21" s="421">
        <v>261.42797278</v>
      </c>
      <c r="DP21" s="421">
        <v>299.81998456999997</v>
      </c>
      <c r="DQ21" s="421">
        <v>307.97452128999998</v>
      </c>
      <c r="DR21" s="421">
        <v>309.43285763</v>
      </c>
      <c r="DS21" s="421">
        <v>282.42922734000001</v>
      </c>
      <c r="DT21" s="421">
        <v>284.68367923</v>
      </c>
      <c r="DU21" s="421">
        <v>276.99551163000001</v>
      </c>
      <c r="DV21" s="421">
        <v>303.86035009999995</v>
      </c>
      <c r="DW21" s="421">
        <v>307.31160074000002</v>
      </c>
      <c r="DX21" s="421">
        <v>315.54354321</v>
      </c>
      <c r="DY21" s="421">
        <v>291.84511737000003</v>
      </c>
      <c r="DZ21" s="421">
        <v>262.15763551999999</v>
      </c>
      <c r="EA21" s="421">
        <v>295.88632398999999</v>
      </c>
      <c r="EB21" s="421">
        <v>276.69602832000004</v>
      </c>
    </row>
    <row r="22" spans="1:132" ht="15.95" customHeight="1" x14ac:dyDescent="0.25">
      <c r="A22" s="417" t="s">
        <v>289</v>
      </c>
      <c r="B22" s="418">
        <v>0.80228100000000002</v>
      </c>
      <c r="C22" s="295">
        <v>30.47741418</v>
      </c>
      <c r="D22" s="295">
        <v>28.236809300000001</v>
      </c>
      <c r="E22" s="224">
        <v>34.175090300000001</v>
      </c>
      <c r="F22" s="295">
        <v>34.517989890000003</v>
      </c>
      <c r="G22" s="295">
        <v>30.331252599999999</v>
      </c>
      <c r="H22" s="295">
        <v>6.4989061799999996</v>
      </c>
      <c r="I22" s="295">
        <v>0.82735038000000005</v>
      </c>
      <c r="J22" s="295">
        <v>0.83010527000000001</v>
      </c>
      <c r="K22" s="224">
        <v>0.84329633999999998</v>
      </c>
      <c r="L22" s="295">
        <v>2.6548009999999997E-2</v>
      </c>
      <c r="M22" s="295">
        <v>0</v>
      </c>
      <c r="N22" s="295">
        <v>1.0000000000000001E-5</v>
      </c>
      <c r="O22" s="224">
        <v>1.0000000000000001E-5</v>
      </c>
      <c r="P22" s="295">
        <v>1.0000000000000001E-5</v>
      </c>
      <c r="Q22" s="295">
        <v>1.0000000000000001E-5</v>
      </c>
      <c r="R22" s="224">
        <v>1.0000000000000001E-5</v>
      </c>
      <c r="S22" s="295">
        <v>0</v>
      </c>
      <c r="T22" s="295">
        <v>0</v>
      </c>
      <c r="U22" s="419">
        <v>1.0000000000000001E-5</v>
      </c>
      <c r="V22" s="419">
        <v>0</v>
      </c>
      <c r="W22" s="419">
        <v>0</v>
      </c>
      <c r="X22" s="419">
        <v>1.9000000000000001E-5</v>
      </c>
      <c r="Y22" s="419">
        <v>4.5000000000000003E-5</v>
      </c>
      <c r="Z22" s="419">
        <v>1.0000000000000001E-5</v>
      </c>
      <c r="AA22" s="419">
        <v>1.0000000000000001E-5</v>
      </c>
      <c r="AB22" s="419">
        <v>1.0000000000000001E-5</v>
      </c>
      <c r="AC22" s="419">
        <v>1.0000000000000001E-5</v>
      </c>
      <c r="AD22" s="419">
        <v>6.0000000000000002E-5</v>
      </c>
      <c r="AE22" s="419">
        <v>1.0000000000000001E-5</v>
      </c>
      <c r="AF22" s="419">
        <v>1.0000000000000001E-5</v>
      </c>
      <c r="AG22" s="419">
        <v>1.3000100000000001</v>
      </c>
      <c r="AH22" s="419">
        <v>1.8382238500000001</v>
      </c>
      <c r="AI22" s="419">
        <v>1.7880243399999998</v>
      </c>
      <c r="AJ22" s="419">
        <v>1.8053049500000002</v>
      </c>
      <c r="AK22" s="419">
        <v>1.7497909599999999</v>
      </c>
      <c r="AL22" s="419">
        <v>1.7736643999999999</v>
      </c>
      <c r="AM22" s="297">
        <v>1.75069304</v>
      </c>
      <c r="AN22" s="297">
        <v>2.4556074100000003</v>
      </c>
      <c r="AO22" s="297">
        <v>1.6972376400000002</v>
      </c>
      <c r="AP22" s="297">
        <v>1.6654160999999998</v>
      </c>
      <c r="AQ22" s="297">
        <v>1.6799050499999999</v>
      </c>
      <c r="AR22" s="418">
        <v>1.63032793</v>
      </c>
      <c r="AS22" s="418">
        <v>1.59566527</v>
      </c>
      <c r="AT22" s="418">
        <v>3.4489414299999996</v>
      </c>
      <c r="AU22" s="418">
        <v>5.1512396599999999</v>
      </c>
      <c r="AV22" s="418">
        <v>5.2326767599999995</v>
      </c>
      <c r="AW22" s="218">
        <v>5.2159201699999995</v>
      </c>
      <c r="AX22" s="218">
        <v>5.04778196</v>
      </c>
      <c r="AY22" s="218">
        <v>5.0302559599999999</v>
      </c>
      <c r="AZ22" s="218">
        <v>4.765384870000001</v>
      </c>
      <c r="BA22" s="218">
        <v>4.8406996500000004</v>
      </c>
      <c r="BB22" s="218">
        <v>3.6540787400000001</v>
      </c>
      <c r="BC22" s="218">
        <v>3.2082282000000002</v>
      </c>
      <c r="BD22" s="218">
        <v>3.4738220000000002</v>
      </c>
      <c r="BE22" s="218">
        <v>3.8759674699999995</v>
      </c>
      <c r="BF22" s="218">
        <v>3.3882234799999997</v>
      </c>
      <c r="BG22" s="218">
        <v>2.5465515700000001</v>
      </c>
      <c r="BH22" s="218">
        <v>2.5474292000000003</v>
      </c>
      <c r="BI22" s="218">
        <v>2.56356121</v>
      </c>
      <c r="BJ22" s="218">
        <v>2.4115855900000001</v>
      </c>
      <c r="BK22" s="218">
        <v>3.73856067</v>
      </c>
      <c r="BL22" s="218">
        <v>2.7912285300000002</v>
      </c>
      <c r="BM22" s="218">
        <v>2.5167162800000002</v>
      </c>
      <c r="BN22" s="218">
        <v>2.2000520799999999</v>
      </c>
      <c r="BO22" s="218">
        <v>2.3533573399999996</v>
      </c>
      <c r="BP22" s="218">
        <v>1.7544579100000002</v>
      </c>
      <c r="BQ22" s="218">
        <v>2.2750947699999999</v>
      </c>
      <c r="BR22" s="218">
        <v>1.76657446</v>
      </c>
      <c r="BS22" s="218">
        <v>1.2005348900000001</v>
      </c>
      <c r="BT22" s="218">
        <v>1.19714582</v>
      </c>
      <c r="BU22" s="218">
        <v>1.2018406500000001</v>
      </c>
      <c r="BV22" s="218">
        <v>1.15193429</v>
      </c>
      <c r="BW22" s="218">
        <v>1.1729191800000001</v>
      </c>
      <c r="BX22" s="218">
        <v>1.1391100000000001</v>
      </c>
      <c r="BY22" s="218">
        <v>0.97723400000000005</v>
      </c>
      <c r="BZ22" s="218">
        <v>1</v>
      </c>
      <c r="CA22" s="218">
        <v>0.96363017000000006</v>
      </c>
      <c r="CB22" s="218">
        <v>5.1566000000000001E-2</v>
      </c>
      <c r="CC22" s="218">
        <v>2.5902000000000001E-2</v>
      </c>
      <c r="CD22" s="218">
        <v>0.65682448000000004</v>
      </c>
      <c r="CE22" s="218">
        <v>0.64907747999999998</v>
      </c>
      <c r="CF22" s="218">
        <v>0.64907747999999998</v>
      </c>
      <c r="CG22" s="218">
        <v>0.64907747999999998</v>
      </c>
      <c r="CH22" s="218">
        <v>9.9999999999999995E-7</v>
      </c>
      <c r="CI22" s="218">
        <v>9.9999999999999995E-7</v>
      </c>
      <c r="CJ22" s="218">
        <v>9.9999999999999995E-7</v>
      </c>
      <c r="CK22" s="218">
        <v>9.9999999999999995E-7</v>
      </c>
      <c r="CL22" s="218">
        <v>9.9999999999999995E-7</v>
      </c>
      <c r="CM22" s="218">
        <v>9.9999999999999995E-7</v>
      </c>
      <c r="CN22" s="218">
        <v>9.9999999999999995E-7</v>
      </c>
      <c r="CO22" s="218">
        <v>9.9999999999999995E-7</v>
      </c>
      <c r="CP22" s="218">
        <v>9.9999999999999995E-7</v>
      </c>
      <c r="CQ22" s="218">
        <v>9.9999999999999995E-7</v>
      </c>
      <c r="CR22" s="218">
        <v>9.9999999999999995E-7</v>
      </c>
      <c r="CS22" s="218">
        <v>9.9999999999999995E-7</v>
      </c>
      <c r="CT22" s="218">
        <v>9.9999999999999995E-7</v>
      </c>
      <c r="CU22" s="218">
        <v>9.9999999999999995E-7</v>
      </c>
      <c r="CV22" s="218">
        <v>9.9999999999999995E-7</v>
      </c>
      <c r="CW22" s="218">
        <v>0</v>
      </c>
      <c r="CX22" s="218">
        <v>0</v>
      </c>
      <c r="CY22" s="218">
        <v>0</v>
      </c>
      <c r="CZ22" s="218">
        <v>0</v>
      </c>
      <c r="DA22" s="218">
        <v>0</v>
      </c>
      <c r="DB22" s="421">
        <v>0</v>
      </c>
      <c r="DC22" s="421">
        <v>0</v>
      </c>
      <c r="DD22" s="421">
        <v>2.0100000000000001E-4</v>
      </c>
      <c r="DE22" s="421">
        <v>2.0100000000000001E-4</v>
      </c>
      <c r="DF22" s="421">
        <v>4.0099999999999999E-4</v>
      </c>
      <c r="DG22" s="421">
        <v>5.0100000000000003E-4</v>
      </c>
      <c r="DH22" s="421">
        <v>5.0100000000000003E-4</v>
      </c>
      <c r="DI22" s="421">
        <v>7.0100000000000002E-4</v>
      </c>
      <c r="DJ22" s="421">
        <v>8.0099999999999995E-4</v>
      </c>
      <c r="DK22" s="421">
        <v>8.0099999999999995E-4</v>
      </c>
      <c r="DL22" s="421">
        <v>1.0009999999999999E-3</v>
      </c>
      <c r="DM22" s="421">
        <v>1.0009999999999999E-3</v>
      </c>
      <c r="DN22" s="421">
        <v>1.101E-3</v>
      </c>
      <c r="DO22" s="421">
        <v>1.3010000000000001E-3</v>
      </c>
      <c r="DP22" s="421">
        <v>1.5009999999999999E-3</v>
      </c>
      <c r="DQ22" s="421">
        <v>1.5009999999999999E-3</v>
      </c>
      <c r="DR22" s="421">
        <v>1.9009999999999999E-3</v>
      </c>
      <c r="DS22" s="421">
        <v>2.101E-3</v>
      </c>
      <c r="DT22" s="421">
        <v>2.3010000000000001E-3</v>
      </c>
      <c r="DU22" s="421">
        <v>2.5010000000000002E-3</v>
      </c>
      <c r="DV22" s="421">
        <v>2.5010000000000002E-3</v>
      </c>
      <c r="DW22" s="421">
        <v>2.9009999999999999E-3</v>
      </c>
      <c r="DX22" s="421">
        <v>3.101E-3</v>
      </c>
      <c r="DY22" s="421">
        <v>3.101E-3</v>
      </c>
      <c r="DZ22" s="421">
        <v>3.5010000000000002E-3</v>
      </c>
      <c r="EA22" s="421">
        <v>3.7009999999999999E-3</v>
      </c>
      <c r="EB22" s="421">
        <v>0</v>
      </c>
    </row>
    <row r="23" spans="1:132" ht="15.95" customHeight="1" x14ac:dyDescent="0.25">
      <c r="A23" s="417" t="s">
        <v>290</v>
      </c>
      <c r="B23" s="418">
        <v>397.37325458999999</v>
      </c>
      <c r="C23" s="295">
        <v>440.0416755466</v>
      </c>
      <c r="D23" s="295">
        <v>416.84627105280003</v>
      </c>
      <c r="E23" s="224">
        <v>403.43990376530002</v>
      </c>
      <c r="F23" s="295">
        <v>389.61606318360003</v>
      </c>
      <c r="G23" s="295">
        <v>387.40364539940271</v>
      </c>
      <c r="H23" s="295">
        <v>380.80788193368005</v>
      </c>
      <c r="I23" s="295">
        <v>401.92548791999991</v>
      </c>
      <c r="J23" s="295">
        <v>417.49977844</v>
      </c>
      <c r="K23" s="224">
        <v>411.77040956999991</v>
      </c>
      <c r="L23" s="295">
        <v>421.01123243000001</v>
      </c>
      <c r="M23" s="295">
        <v>414.16137191000001</v>
      </c>
      <c r="N23" s="295">
        <v>406.80213193999998</v>
      </c>
      <c r="O23" s="224">
        <v>448.87123583999994</v>
      </c>
      <c r="P23" s="295">
        <v>434.71602054999994</v>
      </c>
      <c r="Q23" s="295">
        <v>439.26353495000001</v>
      </c>
      <c r="R23" s="224">
        <v>446.04778716999999</v>
      </c>
      <c r="S23" s="295">
        <v>424.80619050000007</v>
      </c>
      <c r="T23" s="295">
        <v>386.41341379999994</v>
      </c>
      <c r="U23" s="419">
        <v>404.75871373000001</v>
      </c>
      <c r="V23" s="419">
        <v>451.34536354999995</v>
      </c>
      <c r="W23" s="419">
        <v>432.90256550999999</v>
      </c>
      <c r="X23" s="419">
        <v>433.91339428000009</v>
      </c>
      <c r="Y23" s="419">
        <v>430.06845709000004</v>
      </c>
      <c r="Z23" s="419">
        <v>451.58788683000006</v>
      </c>
      <c r="AA23" s="419">
        <v>462.30552366000006</v>
      </c>
      <c r="AB23" s="419">
        <v>476.50485927999989</v>
      </c>
      <c r="AC23" s="419">
        <v>487.83124775000005</v>
      </c>
      <c r="AD23" s="419">
        <v>474.28347342000006</v>
      </c>
      <c r="AE23" s="419">
        <v>481.91130635000002</v>
      </c>
      <c r="AF23" s="419">
        <v>450.66651252000003</v>
      </c>
      <c r="AG23" s="419">
        <v>476.29153692999995</v>
      </c>
      <c r="AH23" s="419">
        <v>481.82690164999997</v>
      </c>
      <c r="AI23" s="419">
        <v>450.63480302999994</v>
      </c>
      <c r="AJ23" s="419">
        <v>456.31691065000007</v>
      </c>
      <c r="AK23" s="419">
        <v>442.74806686999995</v>
      </c>
      <c r="AL23" s="419">
        <v>435.75535047000011</v>
      </c>
      <c r="AM23" s="297">
        <v>434.12344214999996</v>
      </c>
      <c r="AN23" s="297">
        <v>392.83384061000004</v>
      </c>
      <c r="AO23" s="297">
        <v>300.06065562000009</v>
      </c>
      <c r="AP23" s="297">
        <v>313.47057155270005</v>
      </c>
      <c r="AQ23" s="297">
        <v>301.66235242680006</v>
      </c>
      <c r="AR23" s="418">
        <v>289.3890851868</v>
      </c>
      <c r="AS23" s="418">
        <v>299.20155597000002</v>
      </c>
      <c r="AT23" s="418">
        <v>307.84168060039997</v>
      </c>
      <c r="AU23" s="418">
        <v>315.39379493960013</v>
      </c>
      <c r="AV23" s="418">
        <v>329.30126683200001</v>
      </c>
      <c r="AW23" s="218">
        <v>288.9383625808</v>
      </c>
      <c r="AX23" s="218">
        <v>285.6641759904</v>
      </c>
      <c r="AY23" s="218">
        <v>285.52321575740001</v>
      </c>
      <c r="AZ23" s="218">
        <v>265.38096317279997</v>
      </c>
      <c r="BA23" s="218">
        <v>273.23339098180008</v>
      </c>
      <c r="BB23" s="218">
        <v>253.19607303139998</v>
      </c>
      <c r="BC23" s="218">
        <v>255.30524102480001</v>
      </c>
      <c r="BD23" s="218">
        <v>237.30354997120003</v>
      </c>
      <c r="BE23" s="218">
        <v>229.02613880929994</v>
      </c>
      <c r="BF23" s="218">
        <v>235.64916328749999</v>
      </c>
      <c r="BG23" s="218">
        <v>253.051802662</v>
      </c>
      <c r="BH23" s="218">
        <v>264.62823741969999</v>
      </c>
      <c r="BI23" s="218">
        <v>271.7334230427</v>
      </c>
      <c r="BJ23" s="218">
        <v>294.55360238010002</v>
      </c>
      <c r="BK23" s="218">
        <v>289.9087328201</v>
      </c>
      <c r="BL23" s="218">
        <v>274.11675496870004</v>
      </c>
      <c r="BM23" s="218">
        <v>271.40652114020003</v>
      </c>
      <c r="BN23" s="218">
        <v>285.87902104239998</v>
      </c>
      <c r="BO23" s="218">
        <v>293.76630642160001</v>
      </c>
      <c r="BP23" s="218">
        <v>265.2829050583</v>
      </c>
      <c r="BQ23" s="218">
        <v>275.26740752710003</v>
      </c>
      <c r="BR23" s="218">
        <v>270.47845282630004</v>
      </c>
      <c r="BS23" s="218">
        <v>271.17107371319997</v>
      </c>
      <c r="BT23" s="218">
        <v>266.89291761395998</v>
      </c>
      <c r="BU23" s="218">
        <v>260.05588035618399</v>
      </c>
      <c r="BV23" s="218">
        <v>246.45162972027003</v>
      </c>
      <c r="BW23" s="218">
        <v>236.05168733431498</v>
      </c>
      <c r="BX23" s="218">
        <v>229.08141812849999</v>
      </c>
      <c r="BY23" s="218">
        <v>212.44440123770002</v>
      </c>
      <c r="BZ23" s="218">
        <v>204.2</v>
      </c>
      <c r="CA23" s="218">
        <v>205.43826764050002</v>
      </c>
      <c r="CB23" s="218">
        <v>207.23729352519996</v>
      </c>
      <c r="CC23" s="218">
        <v>207.67818392268404</v>
      </c>
      <c r="CD23" s="218">
        <v>228.54023590715195</v>
      </c>
      <c r="CE23" s="218">
        <v>225.77899969316297</v>
      </c>
      <c r="CF23" s="218">
        <v>232.17427038175236</v>
      </c>
      <c r="CG23" s="218">
        <v>220.97420564333663</v>
      </c>
      <c r="CH23" s="218">
        <v>236.23857048615312</v>
      </c>
      <c r="CI23" s="218">
        <v>235.40662781709332</v>
      </c>
      <c r="CJ23" s="218">
        <v>219.78260889760602</v>
      </c>
      <c r="CK23" s="218">
        <v>231.18659102806001</v>
      </c>
      <c r="CL23" s="218">
        <v>232.779097414874</v>
      </c>
      <c r="CM23" s="218">
        <v>243.011401699998</v>
      </c>
      <c r="CN23" s="218">
        <v>224.30223216611734</v>
      </c>
      <c r="CO23" s="218">
        <v>249.46328228032903</v>
      </c>
      <c r="CP23" s="218">
        <v>240.853246802375</v>
      </c>
      <c r="CQ23" s="218">
        <v>234.42752488128596</v>
      </c>
      <c r="CR23" s="218">
        <v>232.81053519210499</v>
      </c>
      <c r="CS23" s="218">
        <v>225.98361406514533</v>
      </c>
      <c r="CT23" s="218">
        <v>225.7539971593485</v>
      </c>
      <c r="CU23" s="218">
        <v>217.62427764800339</v>
      </c>
      <c r="CV23" s="218">
        <v>215.38199068759542</v>
      </c>
      <c r="CW23" s="218">
        <v>211.58169805915267</v>
      </c>
      <c r="CX23" s="218">
        <v>221.3002667419012</v>
      </c>
      <c r="CY23" s="218">
        <v>265.31517758185714</v>
      </c>
      <c r="CZ23" s="218">
        <v>223.53915568379665</v>
      </c>
      <c r="DA23" s="218">
        <v>218.79633464507259</v>
      </c>
      <c r="DB23" s="421">
        <v>226.54181846133767</v>
      </c>
      <c r="DC23" s="421">
        <v>224.82256488914118</v>
      </c>
      <c r="DD23" s="421">
        <v>211.09492027164794</v>
      </c>
      <c r="DE23" s="421">
        <v>221.8107750668749</v>
      </c>
      <c r="DF23" s="421">
        <v>235.47768227692043</v>
      </c>
      <c r="DG23" s="421">
        <v>252.11700100580603</v>
      </c>
      <c r="DH23" s="421">
        <v>239.8205302032419</v>
      </c>
      <c r="DI23" s="421">
        <v>248.62359251307635</v>
      </c>
      <c r="DJ23" s="421">
        <v>238.42571844306445</v>
      </c>
      <c r="DK23" s="421">
        <v>231.80700658670455</v>
      </c>
      <c r="DL23" s="421">
        <v>237.26394013946205</v>
      </c>
      <c r="DM23" s="421">
        <v>291.32520541461258</v>
      </c>
      <c r="DN23" s="421">
        <v>281.89895708522806</v>
      </c>
      <c r="DO23" s="421">
        <v>283.80377589865128</v>
      </c>
      <c r="DP23" s="421">
        <v>281.59054073125907</v>
      </c>
      <c r="DQ23" s="421">
        <v>267.09574313314465</v>
      </c>
      <c r="DR23" s="421">
        <v>286.15104023893576</v>
      </c>
      <c r="DS23" s="421">
        <v>267.75559230615937</v>
      </c>
      <c r="DT23" s="421">
        <v>284.46689265458036</v>
      </c>
      <c r="DU23" s="421">
        <v>284.30444668009915</v>
      </c>
      <c r="DV23" s="421">
        <v>283.98495509175876</v>
      </c>
      <c r="DW23" s="421">
        <v>278.12615736697643</v>
      </c>
      <c r="DX23" s="421">
        <v>270.17619370764584</v>
      </c>
      <c r="DY23" s="421">
        <v>296.16713896298614</v>
      </c>
      <c r="DZ23" s="421">
        <v>300.7343475066728</v>
      </c>
      <c r="EA23" s="421">
        <v>278.26457759833198</v>
      </c>
      <c r="EB23" s="421">
        <v>267.68267241893705</v>
      </c>
    </row>
    <row r="24" spans="1:132" ht="15.95" customHeight="1" x14ac:dyDescent="0.25">
      <c r="A24" s="417" t="s">
        <v>291</v>
      </c>
      <c r="B24" s="418">
        <v>910.52295066000011</v>
      </c>
      <c r="C24" s="295">
        <v>946.23703324999997</v>
      </c>
      <c r="D24" s="295">
        <v>946.07028086000003</v>
      </c>
      <c r="E24" s="224">
        <v>778.97302276999994</v>
      </c>
      <c r="F24" s="295">
        <v>780.76738892999992</v>
      </c>
      <c r="G24" s="295">
        <v>836.92314060000001</v>
      </c>
      <c r="H24" s="295">
        <v>853.03320702999997</v>
      </c>
      <c r="I24" s="295">
        <v>899.80568004999998</v>
      </c>
      <c r="J24" s="295">
        <v>913.01527264000015</v>
      </c>
      <c r="K24" s="224">
        <v>895.70124750000025</v>
      </c>
      <c r="L24" s="295">
        <v>879.75268698000014</v>
      </c>
      <c r="M24" s="295">
        <v>873.79155099000002</v>
      </c>
      <c r="N24" s="295">
        <v>854.11602243000004</v>
      </c>
      <c r="O24" s="224">
        <v>871.43537901000013</v>
      </c>
      <c r="P24" s="295">
        <v>836.13967690999993</v>
      </c>
      <c r="Q24" s="295">
        <v>807.90934457999992</v>
      </c>
      <c r="R24" s="224">
        <v>795.93072956000003</v>
      </c>
      <c r="S24" s="295">
        <v>769.29634325999996</v>
      </c>
      <c r="T24" s="295">
        <v>790.82085855000003</v>
      </c>
      <c r="U24" s="419">
        <v>813.43019205999997</v>
      </c>
      <c r="V24" s="419">
        <v>804.49209078000013</v>
      </c>
      <c r="W24" s="419">
        <v>772.5942690600001</v>
      </c>
      <c r="X24" s="419">
        <v>754.09949637999989</v>
      </c>
      <c r="Y24" s="419">
        <v>711.97998602999996</v>
      </c>
      <c r="Z24" s="419">
        <v>713.79004568000005</v>
      </c>
      <c r="AA24" s="419">
        <v>750.02149987999996</v>
      </c>
      <c r="AB24" s="419">
        <v>736.94564173999993</v>
      </c>
      <c r="AC24" s="419">
        <v>724.60248029999991</v>
      </c>
      <c r="AD24" s="419">
        <v>711.62751149999986</v>
      </c>
      <c r="AE24" s="419">
        <v>714.89963088999991</v>
      </c>
      <c r="AF24" s="419">
        <v>724.10077414</v>
      </c>
      <c r="AG24" s="419">
        <v>713.7732903399999</v>
      </c>
      <c r="AH24" s="419">
        <v>693.68404306000002</v>
      </c>
      <c r="AI24" s="419">
        <v>649.31595695999999</v>
      </c>
      <c r="AJ24" s="419">
        <v>658.43852566999999</v>
      </c>
      <c r="AK24" s="419">
        <v>616.49682905999987</v>
      </c>
      <c r="AL24" s="419">
        <v>614.57651317999978</v>
      </c>
      <c r="AM24" s="297">
        <v>602.62944450999998</v>
      </c>
      <c r="AN24" s="297">
        <v>626.56622527000002</v>
      </c>
      <c r="AO24" s="297">
        <v>641.2660831799999</v>
      </c>
      <c r="AP24" s="297">
        <v>814.35686249420007</v>
      </c>
      <c r="AQ24" s="297">
        <v>793.48873911499993</v>
      </c>
      <c r="AR24" s="418">
        <v>824.42682403920003</v>
      </c>
      <c r="AS24" s="418">
        <v>805.64309489999982</v>
      </c>
      <c r="AT24" s="418">
        <v>807.38785070400002</v>
      </c>
      <c r="AU24" s="418">
        <v>806.47307684359987</v>
      </c>
      <c r="AV24" s="418">
        <v>853.60913497000001</v>
      </c>
      <c r="AW24" s="218">
        <v>830.17530601880003</v>
      </c>
      <c r="AX24" s="218">
        <v>832.71961218279989</v>
      </c>
      <c r="AY24" s="218">
        <v>812.25391012479997</v>
      </c>
      <c r="AZ24" s="218">
        <v>807.95125932830001</v>
      </c>
      <c r="BA24" s="218">
        <v>817.13474315760004</v>
      </c>
      <c r="BB24" s="218">
        <v>790.40151680539998</v>
      </c>
      <c r="BC24" s="218">
        <v>819.53788119359979</v>
      </c>
      <c r="BD24" s="218">
        <v>971.62186614059999</v>
      </c>
      <c r="BE24" s="218">
        <v>982.66974293440001</v>
      </c>
      <c r="BF24" s="218">
        <v>990.1482344499999</v>
      </c>
      <c r="BG24" s="218">
        <v>955.79545839400009</v>
      </c>
      <c r="BH24" s="218">
        <v>1022.5976903499001</v>
      </c>
      <c r="BI24" s="218">
        <v>1038.2356263586</v>
      </c>
      <c r="BJ24" s="218">
        <v>1008.6153885551998</v>
      </c>
      <c r="BK24" s="218">
        <v>999.80705009930011</v>
      </c>
      <c r="BL24" s="218">
        <v>1033.5171342601004</v>
      </c>
      <c r="BM24" s="218">
        <v>1043.3940282200001</v>
      </c>
      <c r="BN24" s="218">
        <v>1023.3434777845001</v>
      </c>
      <c r="BO24" s="218">
        <v>1035.3106493512003</v>
      </c>
      <c r="BP24" s="218">
        <v>1031.3313668433</v>
      </c>
      <c r="BQ24" s="218">
        <v>1033.5339158576999</v>
      </c>
      <c r="BR24" s="218">
        <v>1015.1898079394</v>
      </c>
      <c r="BS24" s="218">
        <v>1011.87914269</v>
      </c>
      <c r="BT24" s="218">
        <v>1033.8272659149718</v>
      </c>
      <c r="BU24" s="218">
        <v>1018.5757075495941</v>
      </c>
      <c r="BV24" s="218">
        <v>1018.850536995846</v>
      </c>
      <c r="BW24" s="218">
        <v>1041.345205824035</v>
      </c>
      <c r="BX24" s="218">
        <v>1077.4130218140001</v>
      </c>
      <c r="BY24" s="218">
        <v>1065.3526947838</v>
      </c>
      <c r="BZ24" s="218">
        <v>1076.7</v>
      </c>
      <c r="CA24" s="218">
        <v>1053.2084324807001</v>
      </c>
      <c r="CB24" s="218">
        <v>1033.8153763808</v>
      </c>
      <c r="CC24" s="218">
        <v>1056.9001107786103</v>
      </c>
      <c r="CD24" s="218">
        <v>1053.8271978771359</v>
      </c>
      <c r="CE24" s="218">
        <v>1101.8588021599999</v>
      </c>
      <c r="CF24" s="218">
        <v>1101.7069342499999</v>
      </c>
      <c r="CG24" s="218">
        <v>1131.2434705999999</v>
      </c>
      <c r="CH24" s="218">
        <v>1139.5048297899996</v>
      </c>
      <c r="CI24" s="218">
        <v>1170.7630978100001</v>
      </c>
      <c r="CJ24" s="218">
        <v>1213.6160808700001</v>
      </c>
      <c r="CK24" s="218">
        <v>1243.3684314300003</v>
      </c>
      <c r="CL24" s="218">
        <v>1203.81601452</v>
      </c>
      <c r="CM24" s="218">
        <v>1119.0341412</v>
      </c>
      <c r="CN24" s="218">
        <v>1106.4422757700002</v>
      </c>
      <c r="CO24" s="218">
        <v>1109.2194839599999</v>
      </c>
      <c r="CP24" s="218">
        <v>1068.0377483500001</v>
      </c>
      <c r="CQ24" s="218">
        <v>1049.9934026000001</v>
      </c>
      <c r="CR24" s="218">
        <v>1052.3091175100001</v>
      </c>
      <c r="CS24" s="218">
        <v>1051.8807513100001</v>
      </c>
      <c r="CT24" s="218">
        <v>1040.2209888</v>
      </c>
      <c r="CU24" s="218">
        <v>1067.7482000000002</v>
      </c>
      <c r="CV24" s="218">
        <v>1193.76401728</v>
      </c>
      <c r="CW24" s="218">
        <v>1216.6512270200001</v>
      </c>
      <c r="CX24" s="218">
        <v>1196.33047756</v>
      </c>
      <c r="CY24" s="218">
        <v>1151.7621939100002</v>
      </c>
      <c r="CZ24" s="218">
        <v>1102.8077466399998</v>
      </c>
      <c r="DA24" s="218">
        <v>1115.8683898799998</v>
      </c>
      <c r="DB24" s="421">
        <v>1147.7219951100001</v>
      </c>
      <c r="DC24" s="421">
        <v>1120.0761980699999</v>
      </c>
      <c r="DD24" s="421">
        <v>1094.9677360900002</v>
      </c>
      <c r="DE24" s="421">
        <v>1109.09746969</v>
      </c>
      <c r="DF24" s="421">
        <v>1114.30152838</v>
      </c>
      <c r="DG24" s="421">
        <v>1124.7106745300002</v>
      </c>
      <c r="DH24" s="421">
        <v>1124.6005343799998</v>
      </c>
      <c r="DI24" s="421">
        <v>1108.7673913699998</v>
      </c>
      <c r="DJ24" s="421">
        <v>1037.69693983</v>
      </c>
      <c r="DK24" s="421">
        <v>1019.5419440699999</v>
      </c>
      <c r="DL24" s="421">
        <v>1030.6387722123</v>
      </c>
      <c r="DM24" s="421">
        <v>1049.4093345413501</v>
      </c>
      <c r="DN24" s="421">
        <v>1075.5484436628999</v>
      </c>
      <c r="DO24" s="421">
        <v>1113.2290759383002</v>
      </c>
      <c r="DP24" s="421">
        <v>962.56847029699998</v>
      </c>
      <c r="DQ24" s="421">
        <v>970.74857952000013</v>
      </c>
      <c r="DR24" s="421">
        <v>931.78617411999994</v>
      </c>
      <c r="DS24" s="421">
        <v>938.28862791999995</v>
      </c>
      <c r="DT24" s="421">
        <v>938.49974880000002</v>
      </c>
      <c r="DU24" s="421">
        <v>937.55656529999987</v>
      </c>
      <c r="DV24" s="421">
        <v>924.60281097000006</v>
      </c>
      <c r="DW24" s="421">
        <v>846.01675934566026</v>
      </c>
      <c r="DX24" s="421">
        <v>840.01868298999989</v>
      </c>
      <c r="DY24" s="421">
        <v>792.5517537799999</v>
      </c>
      <c r="DZ24" s="421">
        <v>784.23861486999988</v>
      </c>
      <c r="EA24" s="421">
        <v>767.32447072000002</v>
      </c>
      <c r="EB24" s="421">
        <v>788.15217333559997</v>
      </c>
    </row>
    <row r="25" spans="1:132" ht="15.95" customHeight="1" x14ac:dyDescent="0.25">
      <c r="A25" s="417" t="s">
        <v>292</v>
      </c>
      <c r="B25" s="418">
        <v>349.5838636200001</v>
      </c>
      <c r="C25" s="295">
        <v>381.58419513000007</v>
      </c>
      <c r="D25" s="295">
        <v>345.22730449000005</v>
      </c>
      <c r="E25" s="224">
        <v>364.20730191000001</v>
      </c>
      <c r="F25" s="295">
        <v>392.64291809999997</v>
      </c>
      <c r="G25" s="295">
        <v>371.64065326000002</v>
      </c>
      <c r="H25" s="295">
        <v>386.69017022000003</v>
      </c>
      <c r="I25" s="295">
        <v>389.08370517999992</v>
      </c>
      <c r="J25" s="295">
        <v>388.04698978000005</v>
      </c>
      <c r="K25" s="224">
        <v>374.94031618000002</v>
      </c>
      <c r="L25" s="295">
        <v>387.34871066000011</v>
      </c>
      <c r="M25" s="295">
        <v>391.21954827000002</v>
      </c>
      <c r="N25" s="295">
        <v>394.95257374000005</v>
      </c>
      <c r="O25" s="224">
        <v>449.73408968000001</v>
      </c>
      <c r="P25" s="295">
        <v>425.44409610000002</v>
      </c>
      <c r="Q25" s="295">
        <v>419.98520794000001</v>
      </c>
      <c r="R25" s="224">
        <v>448.72128531999999</v>
      </c>
      <c r="S25" s="295">
        <v>499.72984506</v>
      </c>
      <c r="T25" s="295">
        <v>444.33647447999994</v>
      </c>
      <c r="U25" s="419">
        <v>476.79070765</v>
      </c>
      <c r="V25" s="419">
        <v>474.86611438000006</v>
      </c>
      <c r="W25" s="419">
        <v>434.19925030000007</v>
      </c>
      <c r="X25" s="419">
        <v>387.23735848999996</v>
      </c>
      <c r="Y25" s="419">
        <v>398.30967823999993</v>
      </c>
      <c r="Z25" s="419">
        <v>394.06549207</v>
      </c>
      <c r="AA25" s="419">
        <v>419.92197926999989</v>
      </c>
      <c r="AB25" s="419">
        <v>347.96323026000005</v>
      </c>
      <c r="AC25" s="419">
        <v>344.51752061000008</v>
      </c>
      <c r="AD25" s="419">
        <v>330.12536820000003</v>
      </c>
      <c r="AE25" s="419">
        <v>341.35883003999999</v>
      </c>
      <c r="AF25" s="419">
        <v>345.52169050999998</v>
      </c>
      <c r="AG25" s="419">
        <v>392.53185898999999</v>
      </c>
      <c r="AH25" s="419">
        <v>394.26805704999992</v>
      </c>
      <c r="AI25" s="419">
        <v>444.21185464000001</v>
      </c>
      <c r="AJ25" s="419">
        <v>440.41348549000003</v>
      </c>
      <c r="AK25" s="419">
        <v>452.15205901899998</v>
      </c>
      <c r="AL25" s="419">
        <v>449.38061389329999</v>
      </c>
      <c r="AM25" s="297">
        <v>459.80072096712502</v>
      </c>
      <c r="AN25" s="297">
        <v>446.795973086728</v>
      </c>
      <c r="AO25" s="297">
        <v>503.21548736248496</v>
      </c>
      <c r="AP25" s="297">
        <v>533.62951280253299</v>
      </c>
      <c r="AQ25" s="297">
        <v>560.89018828217399</v>
      </c>
      <c r="AR25" s="418">
        <v>634.15570742199998</v>
      </c>
      <c r="AS25" s="418">
        <v>627.16898501300011</v>
      </c>
      <c r="AT25" s="418">
        <v>674.09105965683204</v>
      </c>
      <c r="AU25" s="418">
        <v>640.58055344027207</v>
      </c>
      <c r="AV25" s="418">
        <v>629.07751012096014</v>
      </c>
      <c r="AW25" s="218">
        <v>575.82417927239999</v>
      </c>
      <c r="AX25" s="218">
        <v>575.22101026040002</v>
      </c>
      <c r="AY25" s="218">
        <v>661.61724320280007</v>
      </c>
      <c r="AZ25" s="218">
        <v>630.88827327939998</v>
      </c>
      <c r="BA25" s="218">
        <v>645.15228053479996</v>
      </c>
      <c r="BB25" s="218">
        <v>676.26767594210003</v>
      </c>
      <c r="BC25" s="218">
        <v>650.42292694159994</v>
      </c>
      <c r="BD25" s="218">
        <v>711.52481523260008</v>
      </c>
      <c r="BE25" s="218">
        <v>778.96898550130004</v>
      </c>
      <c r="BF25" s="218">
        <v>813.61437877499998</v>
      </c>
      <c r="BG25" s="218">
        <v>801.08239368400007</v>
      </c>
      <c r="BH25" s="218">
        <v>846.6308202936001</v>
      </c>
      <c r="BI25" s="218">
        <v>880.04170309370022</v>
      </c>
      <c r="BJ25" s="218">
        <v>916.31820387300002</v>
      </c>
      <c r="BK25" s="218">
        <v>847.34622856279998</v>
      </c>
      <c r="BL25" s="218">
        <v>858.13637922550004</v>
      </c>
      <c r="BM25" s="218">
        <v>865.50869905139996</v>
      </c>
      <c r="BN25" s="218">
        <v>838.35208333573848</v>
      </c>
      <c r="BO25" s="218">
        <v>840.41745006050007</v>
      </c>
      <c r="BP25" s="218">
        <v>786.84377799060007</v>
      </c>
      <c r="BQ25" s="218">
        <v>878.99880511160018</v>
      </c>
      <c r="BR25" s="218">
        <v>902.82385893909998</v>
      </c>
      <c r="BS25" s="218">
        <v>932.54664263200004</v>
      </c>
      <c r="BT25" s="218">
        <v>945.32580996797503</v>
      </c>
      <c r="BU25" s="218">
        <v>993.57863903124598</v>
      </c>
      <c r="BV25" s="218">
        <v>977.37493899353012</v>
      </c>
      <c r="BW25" s="218">
        <v>951.70568371354011</v>
      </c>
      <c r="BX25" s="218">
        <v>948.21345411100003</v>
      </c>
      <c r="BY25" s="218">
        <v>982.79033317299991</v>
      </c>
      <c r="BZ25" s="218">
        <v>997.9</v>
      </c>
      <c r="CA25" s="218">
        <v>999.75565409100011</v>
      </c>
      <c r="CB25" s="218">
        <v>998.83943063159995</v>
      </c>
      <c r="CC25" s="218">
        <v>1009.7262123204999</v>
      </c>
      <c r="CD25" s="218">
        <v>992.10993666511797</v>
      </c>
      <c r="CE25" s="218">
        <v>1153.702097918572</v>
      </c>
      <c r="CF25" s="218">
        <v>1160.0101035208684</v>
      </c>
      <c r="CG25" s="218">
        <v>1208.7401356203966</v>
      </c>
      <c r="CH25" s="218">
        <v>1342.8787727604213</v>
      </c>
      <c r="CI25" s="218">
        <v>1192.2574060846823</v>
      </c>
      <c r="CJ25" s="218">
        <v>1194.5438976470539</v>
      </c>
      <c r="CK25" s="218">
        <v>1193.9307357339412</v>
      </c>
      <c r="CL25" s="218">
        <v>1359.3799376390964</v>
      </c>
      <c r="CM25" s="218">
        <v>1341.8404377858965</v>
      </c>
      <c r="CN25" s="218">
        <v>1355.0331538285266</v>
      </c>
      <c r="CO25" s="218">
        <v>1403.395074962842</v>
      </c>
      <c r="CP25" s="218">
        <v>1372.7892620637001</v>
      </c>
      <c r="CQ25" s="218">
        <v>1351.5578419620574</v>
      </c>
      <c r="CR25" s="218">
        <v>1357.68229224014</v>
      </c>
      <c r="CS25" s="218">
        <v>1548.1253335600945</v>
      </c>
      <c r="CT25" s="218">
        <v>1561.7792182682738</v>
      </c>
      <c r="CU25" s="218">
        <v>1535.1447297524569</v>
      </c>
      <c r="CV25" s="218">
        <v>1524.9667740184552</v>
      </c>
      <c r="CW25" s="218">
        <v>1513.8188471687711</v>
      </c>
      <c r="CX25" s="218">
        <v>1596.0035096327615</v>
      </c>
      <c r="CY25" s="218">
        <v>1611.2110725925545</v>
      </c>
      <c r="CZ25" s="218">
        <v>1580.435413418664</v>
      </c>
      <c r="DA25" s="218">
        <v>1603.0743669590804</v>
      </c>
      <c r="DB25" s="421">
        <v>1545.7193157950067</v>
      </c>
      <c r="DC25" s="421">
        <v>1577.4558771907261</v>
      </c>
      <c r="DD25" s="421">
        <v>1616.0253295947994</v>
      </c>
      <c r="DE25" s="421">
        <v>1574.7389989473122</v>
      </c>
      <c r="DF25" s="421">
        <v>1701.9029612204668</v>
      </c>
      <c r="DG25" s="421">
        <v>1612.7876255358742</v>
      </c>
      <c r="DH25" s="421">
        <v>1541.7515389311986</v>
      </c>
      <c r="DI25" s="421">
        <v>1511.0818421079566</v>
      </c>
      <c r="DJ25" s="421">
        <v>1529.026986458651</v>
      </c>
      <c r="DK25" s="421">
        <v>1532.7701826212365</v>
      </c>
      <c r="DL25" s="421">
        <v>1516.1132513570849</v>
      </c>
      <c r="DM25" s="421">
        <v>1545.7152734518277</v>
      </c>
      <c r="DN25" s="421">
        <v>1713.8740349852628</v>
      </c>
      <c r="DO25" s="421">
        <v>1762.386245872565</v>
      </c>
      <c r="DP25" s="421">
        <v>1627.8640205633487</v>
      </c>
      <c r="DQ25" s="421">
        <v>1587.7692974319041</v>
      </c>
      <c r="DR25" s="421">
        <v>1577.5652863222695</v>
      </c>
      <c r="DS25" s="421">
        <v>1757.5324039900736</v>
      </c>
      <c r="DT25" s="421">
        <v>1608.4647488040457</v>
      </c>
      <c r="DU25" s="421">
        <v>1596.7098639595965</v>
      </c>
      <c r="DV25" s="421">
        <v>1609.764881786404</v>
      </c>
      <c r="DW25" s="421">
        <v>1604.6335836085364</v>
      </c>
      <c r="DX25" s="421">
        <v>1645.7448510875058</v>
      </c>
      <c r="DY25" s="421">
        <v>1631.4171776238868</v>
      </c>
      <c r="DZ25" s="421">
        <v>1903.211354679504</v>
      </c>
      <c r="EA25" s="421">
        <v>2388.621873167664</v>
      </c>
      <c r="EB25" s="421">
        <v>2073.7731134321293</v>
      </c>
    </row>
    <row r="26" spans="1:132" ht="15.95" customHeight="1" x14ac:dyDescent="0.25">
      <c r="A26" s="417" t="s">
        <v>293</v>
      </c>
      <c r="B26" s="418">
        <v>2363.6979685556757</v>
      </c>
      <c r="C26" s="295">
        <v>2490.2006593228002</v>
      </c>
      <c r="D26" s="295">
        <v>2384.9380532999999</v>
      </c>
      <c r="E26" s="224">
        <v>2443.5400831499996</v>
      </c>
      <c r="F26" s="295">
        <v>2562.59365411</v>
      </c>
      <c r="G26" s="295">
        <v>2515.3131755599998</v>
      </c>
      <c r="H26" s="295">
        <v>2857.7457099200001</v>
      </c>
      <c r="I26" s="295">
        <v>2727.07123512</v>
      </c>
      <c r="J26" s="295">
        <v>2572.29923285</v>
      </c>
      <c r="K26" s="224">
        <v>2523.8280641275001</v>
      </c>
      <c r="L26" s="295">
        <v>2714.2746140874997</v>
      </c>
      <c r="M26" s="295">
        <v>2690.15770634</v>
      </c>
      <c r="N26" s="295">
        <v>2779.1720238299999</v>
      </c>
      <c r="O26" s="224">
        <v>2758.4331251500003</v>
      </c>
      <c r="P26" s="295">
        <v>2663.0990472900003</v>
      </c>
      <c r="Q26" s="295">
        <v>2641.1541482299999</v>
      </c>
      <c r="R26" s="224">
        <v>2748.5789794799998</v>
      </c>
      <c r="S26" s="295">
        <v>2778.9492123799996</v>
      </c>
      <c r="T26" s="295">
        <v>2893.6518598800003</v>
      </c>
      <c r="U26" s="419">
        <v>2871.17907255</v>
      </c>
      <c r="V26" s="419">
        <v>2932.26702097</v>
      </c>
      <c r="W26" s="419">
        <v>2754.9733427299993</v>
      </c>
      <c r="X26" s="419">
        <v>2871.3124255999996</v>
      </c>
      <c r="Y26" s="419">
        <v>2711.0704768999999</v>
      </c>
      <c r="Z26" s="419">
        <v>2760.9661566299997</v>
      </c>
      <c r="AA26" s="419">
        <v>2454.5476632399996</v>
      </c>
      <c r="AB26" s="419">
        <v>2717.0946421299996</v>
      </c>
      <c r="AC26" s="419">
        <v>2681.1607323600001</v>
      </c>
      <c r="AD26" s="419">
        <v>3040.2554009700002</v>
      </c>
      <c r="AE26" s="419">
        <v>3101.2892397099999</v>
      </c>
      <c r="AF26" s="419">
        <v>3079.2995641399998</v>
      </c>
      <c r="AG26" s="419">
        <v>3400.1454348299999</v>
      </c>
      <c r="AH26" s="419">
        <v>3340.8715155300001</v>
      </c>
      <c r="AI26" s="419">
        <v>3483.7399008900002</v>
      </c>
      <c r="AJ26" s="419">
        <v>3433.9557724599999</v>
      </c>
      <c r="AK26" s="419">
        <v>3370.6981678899997</v>
      </c>
      <c r="AL26" s="419">
        <v>3418.6193387499993</v>
      </c>
      <c r="AM26" s="297">
        <v>3644.5871086299994</v>
      </c>
      <c r="AN26" s="297">
        <v>3768.7207680599995</v>
      </c>
      <c r="AO26" s="297">
        <v>3737.56939121</v>
      </c>
      <c r="AP26" s="297">
        <v>3941.5406501008006</v>
      </c>
      <c r="AQ26" s="297">
        <v>3536.4350238832008</v>
      </c>
      <c r="AR26" s="418">
        <v>3642.5338103963995</v>
      </c>
      <c r="AS26" s="418">
        <v>3493.7771045</v>
      </c>
      <c r="AT26" s="418">
        <v>3340.7957776932003</v>
      </c>
      <c r="AU26" s="418">
        <v>3203.9466502721998</v>
      </c>
      <c r="AV26" s="418">
        <v>3312.9222928489994</v>
      </c>
      <c r="AW26" s="218">
        <v>3211.3458633143996</v>
      </c>
      <c r="AX26" s="218">
        <v>3178.7274950044002</v>
      </c>
      <c r="AY26" s="218">
        <v>3599.6290979411001</v>
      </c>
      <c r="AZ26" s="218">
        <v>3441.4286314036003</v>
      </c>
      <c r="BA26" s="218">
        <v>3381.0350028454</v>
      </c>
      <c r="BB26" s="218">
        <v>3292.3944738406994</v>
      </c>
      <c r="BC26" s="218">
        <v>3237.7080664887999</v>
      </c>
      <c r="BD26" s="218">
        <v>3380.7336175388004</v>
      </c>
      <c r="BE26" s="218">
        <v>3206.1246475112002</v>
      </c>
      <c r="BF26" s="218">
        <v>2809.5316792800004</v>
      </c>
      <c r="BG26" s="218">
        <v>3048.3363028500003</v>
      </c>
      <c r="BH26" s="218">
        <v>2944.4484472599001</v>
      </c>
      <c r="BI26" s="218">
        <v>2888.7957699859999</v>
      </c>
      <c r="BJ26" s="218">
        <v>3219.7583810821002</v>
      </c>
      <c r="BK26" s="218">
        <v>3046.9909263137001</v>
      </c>
      <c r="BL26" s="218">
        <v>2938.3740002628997</v>
      </c>
      <c r="BM26" s="218">
        <v>2696.1059933732004</v>
      </c>
      <c r="BN26" s="218">
        <v>2804.6461911065003</v>
      </c>
      <c r="BO26" s="218">
        <v>3142.0902128212001</v>
      </c>
      <c r="BP26" s="218">
        <v>3583.8641318090999</v>
      </c>
      <c r="BQ26" s="218">
        <v>3358.4287600749003</v>
      </c>
      <c r="BR26" s="218">
        <v>3252.1962490735</v>
      </c>
      <c r="BS26" s="218">
        <v>3189.3708814188003</v>
      </c>
      <c r="BT26" s="218">
        <v>3330.9031613059201</v>
      </c>
      <c r="BU26" s="218">
        <v>2957.3563713709837</v>
      </c>
      <c r="BV26" s="218">
        <v>3671.0438955459963</v>
      </c>
      <c r="BW26" s="218">
        <v>3606.6569796742206</v>
      </c>
      <c r="BX26" s="218">
        <v>3521.8149184145</v>
      </c>
      <c r="BY26" s="218">
        <v>3594.8836878897991</v>
      </c>
      <c r="BZ26" s="218">
        <v>3544.1</v>
      </c>
      <c r="CA26" s="218">
        <v>3773.1625763252996</v>
      </c>
      <c r="CB26" s="218">
        <v>3865.0737581836001</v>
      </c>
      <c r="CC26" s="218">
        <v>3630.7657072709767</v>
      </c>
      <c r="CD26" s="218">
        <v>3369.4383622078481</v>
      </c>
      <c r="CE26" s="218">
        <v>3358.6691236622587</v>
      </c>
      <c r="CF26" s="218">
        <v>3647.6030256101285</v>
      </c>
      <c r="CG26" s="218">
        <v>3618.3747553283333</v>
      </c>
      <c r="CH26" s="218">
        <v>3995.4466879357951</v>
      </c>
      <c r="CI26" s="218">
        <v>3935.4932035916463</v>
      </c>
      <c r="CJ26" s="218">
        <v>3711.3314375502018</v>
      </c>
      <c r="CK26" s="218">
        <v>3370.778237534686</v>
      </c>
      <c r="CL26" s="218">
        <v>3663.2413532621367</v>
      </c>
      <c r="CM26" s="218">
        <v>3553.5031679239587</v>
      </c>
      <c r="CN26" s="218">
        <v>4054.7225420760014</v>
      </c>
      <c r="CO26" s="218">
        <v>3961.2851472260427</v>
      </c>
      <c r="CP26" s="218">
        <v>3514.6277913910003</v>
      </c>
      <c r="CQ26" s="218">
        <v>3395.0508909787372</v>
      </c>
      <c r="CR26" s="218">
        <v>3286.4115694819352</v>
      </c>
      <c r="CS26" s="218">
        <v>3284.5306978335675</v>
      </c>
      <c r="CT26" s="218">
        <v>3854.945034659464</v>
      </c>
      <c r="CU26" s="218">
        <v>3852.9279532701771</v>
      </c>
      <c r="CV26" s="218">
        <v>3862.3376215499575</v>
      </c>
      <c r="CW26" s="218">
        <v>3562.0088421948308</v>
      </c>
      <c r="CX26" s="218">
        <v>3314.0402051890119</v>
      </c>
      <c r="CY26" s="218">
        <v>3856.8173349844351</v>
      </c>
      <c r="CZ26" s="218">
        <v>3865.8997007998619</v>
      </c>
      <c r="DA26" s="218">
        <v>3435.0737026536722</v>
      </c>
      <c r="DB26" s="421">
        <v>3246.1208150499324</v>
      </c>
      <c r="DC26" s="421">
        <v>3381.2584374390499</v>
      </c>
      <c r="DD26" s="421">
        <v>3050.9555620400602</v>
      </c>
      <c r="DE26" s="421">
        <v>2889.8700172028862</v>
      </c>
      <c r="DF26" s="421">
        <v>3098.1481756435619</v>
      </c>
      <c r="DG26" s="421">
        <v>3105.1762265985735</v>
      </c>
      <c r="DH26" s="421">
        <v>3300.2915916613856</v>
      </c>
      <c r="DI26" s="421">
        <v>3481.7353471842739</v>
      </c>
      <c r="DJ26" s="421">
        <v>3448.5251477085753</v>
      </c>
      <c r="DK26" s="421">
        <v>3474.1193927422119</v>
      </c>
      <c r="DL26" s="421">
        <v>3595.5056784613625</v>
      </c>
      <c r="DM26" s="421">
        <v>3381.3036645910297</v>
      </c>
      <c r="DN26" s="421">
        <v>3230.4361388177213</v>
      </c>
      <c r="DO26" s="421">
        <v>4828.3798538658157</v>
      </c>
      <c r="DP26" s="421">
        <v>4808.0132349915993</v>
      </c>
      <c r="DQ26" s="421">
        <v>4439.4842631616639</v>
      </c>
      <c r="DR26" s="421">
        <v>4805.6545975926647</v>
      </c>
      <c r="DS26" s="421">
        <v>5007.9330696243187</v>
      </c>
      <c r="DT26" s="421">
        <v>5088.901639001434</v>
      </c>
      <c r="DU26" s="421">
        <v>4836.9117213258514</v>
      </c>
      <c r="DV26" s="421">
        <v>4888.7988985666234</v>
      </c>
      <c r="DW26" s="421">
        <v>4747.9274298103746</v>
      </c>
      <c r="DX26" s="421">
        <v>4974.9763837577575</v>
      </c>
      <c r="DY26" s="421">
        <v>4685.8247730194962</v>
      </c>
      <c r="DZ26" s="421">
        <v>4309.3485019522459</v>
      </c>
      <c r="EA26" s="421">
        <v>4907.8379870256349</v>
      </c>
      <c r="EB26" s="421">
        <v>5278.1022856593663</v>
      </c>
    </row>
    <row r="27" spans="1:132" ht="15.95" customHeight="1" x14ac:dyDescent="0.25">
      <c r="A27" s="417" t="s">
        <v>294</v>
      </c>
      <c r="B27" s="418">
        <v>176.59226850081083</v>
      </c>
      <c r="C27" s="295">
        <v>201.93284895424</v>
      </c>
      <c r="D27" s="295">
        <v>193.29467437603</v>
      </c>
      <c r="E27" s="224">
        <v>168.56809528800002</v>
      </c>
      <c r="F27" s="295">
        <v>189.21288308400003</v>
      </c>
      <c r="G27" s="295">
        <v>185.95629152000001</v>
      </c>
      <c r="H27" s="295">
        <v>183.29567885000003</v>
      </c>
      <c r="I27" s="295">
        <v>203.48886256660001</v>
      </c>
      <c r="J27" s="295">
        <v>207.32335457999997</v>
      </c>
      <c r="K27" s="224">
        <v>203.12131497559997</v>
      </c>
      <c r="L27" s="295">
        <v>179.06845641000001</v>
      </c>
      <c r="M27" s="295">
        <v>184.52059422899998</v>
      </c>
      <c r="N27" s="295">
        <v>172.58193402000001</v>
      </c>
      <c r="O27" s="224">
        <v>189.47010082</v>
      </c>
      <c r="P27" s="295">
        <v>182.45768701</v>
      </c>
      <c r="Q27" s="295">
        <v>189.07941648300002</v>
      </c>
      <c r="R27" s="224">
        <v>196.66622902899999</v>
      </c>
      <c r="S27" s="295">
        <v>209.51591063000001</v>
      </c>
      <c r="T27" s="295">
        <v>226.54121509000001</v>
      </c>
      <c r="U27" s="419">
        <v>210.21094289800001</v>
      </c>
      <c r="V27" s="419">
        <v>220.83309419999995</v>
      </c>
      <c r="W27" s="419">
        <v>207.80221347999998</v>
      </c>
      <c r="X27" s="419">
        <v>204.10965881999999</v>
      </c>
      <c r="Y27" s="419">
        <v>198.33765414999996</v>
      </c>
      <c r="Z27" s="419">
        <v>192.41302737999999</v>
      </c>
      <c r="AA27" s="419">
        <v>196.42294497</v>
      </c>
      <c r="AB27" s="419">
        <v>194.26834905000001</v>
      </c>
      <c r="AC27" s="419">
        <v>197.66117403000001</v>
      </c>
      <c r="AD27" s="419">
        <v>189.06569009999998</v>
      </c>
      <c r="AE27" s="419">
        <v>194.87130588999997</v>
      </c>
      <c r="AF27" s="419">
        <v>188.29923076000003</v>
      </c>
      <c r="AG27" s="419">
        <v>181.17597109999997</v>
      </c>
      <c r="AH27" s="419">
        <v>163.04760561000001</v>
      </c>
      <c r="AI27" s="419">
        <v>154.31566275999998</v>
      </c>
      <c r="AJ27" s="419">
        <v>150.55489198000001</v>
      </c>
      <c r="AK27" s="419">
        <v>149.15617316000004</v>
      </c>
      <c r="AL27" s="419">
        <v>150.49432431</v>
      </c>
      <c r="AM27" s="297">
        <v>139.38545445</v>
      </c>
      <c r="AN27" s="297">
        <v>151.17183906</v>
      </c>
      <c r="AO27" s="297">
        <v>175.53539634999998</v>
      </c>
      <c r="AP27" s="297">
        <v>180.67720570170002</v>
      </c>
      <c r="AQ27" s="297">
        <v>183.02640676960002</v>
      </c>
      <c r="AR27" s="418">
        <v>180.7005194756</v>
      </c>
      <c r="AS27" s="418">
        <v>192.51933147000003</v>
      </c>
      <c r="AT27" s="418">
        <v>182.59103222439998</v>
      </c>
      <c r="AU27" s="418">
        <v>197.28146025260003</v>
      </c>
      <c r="AV27" s="418">
        <v>190.64512558999996</v>
      </c>
      <c r="AW27" s="218">
        <v>191.7951092644</v>
      </c>
      <c r="AX27" s="218">
        <v>186.0658834372</v>
      </c>
      <c r="AY27" s="218">
        <v>198.6709644133</v>
      </c>
      <c r="AZ27" s="218">
        <v>195.74388839629998</v>
      </c>
      <c r="BA27" s="218">
        <v>190.36370776880003</v>
      </c>
      <c r="BB27" s="218">
        <v>192.79535142199998</v>
      </c>
      <c r="BC27" s="218">
        <v>190.22880498879999</v>
      </c>
      <c r="BD27" s="218">
        <v>199.1007554434</v>
      </c>
      <c r="BE27" s="218">
        <v>201.48615796489997</v>
      </c>
      <c r="BF27" s="218">
        <v>240.0386187</v>
      </c>
      <c r="BG27" s="218">
        <v>236.60507316599998</v>
      </c>
      <c r="BH27" s="218">
        <v>233.8183665544</v>
      </c>
      <c r="BI27" s="218">
        <v>232.86536036460001</v>
      </c>
      <c r="BJ27" s="218">
        <v>222.36638881499997</v>
      </c>
      <c r="BK27" s="218">
        <v>237.55416839999998</v>
      </c>
      <c r="BL27" s="218">
        <v>226.73996263000001</v>
      </c>
      <c r="BM27" s="218">
        <v>243.52150372</v>
      </c>
      <c r="BN27" s="218">
        <v>235.20743038524998</v>
      </c>
      <c r="BO27" s="218">
        <v>234.94317896000001</v>
      </c>
      <c r="BP27" s="218">
        <v>246.85239048</v>
      </c>
      <c r="BQ27" s="218">
        <v>238.83289897999995</v>
      </c>
      <c r="BR27" s="218">
        <v>238.23718378000001</v>
      </c>
      <c r="BS27" s="218">
        <v>242.02547070000003</v>
      </c>
      <c r="BT27" s="218">
        <v>281.36017123190999</v>
      </c>
      <c r="BU27" s="218">
        <v>233.26205171999999</v>
      </c>
      <c r="BV27" s="218">
        <v>223.61475667000002</v>
      </c>
      <c r="BW27" s="218">
        <v>224.39622494999998</v>
      </c>
      <c r="BX27" s="218">
        <v>235.83869653999997</v>
      </c>
      <c r="BY27" s="218">
        <v>232.04889793000001</v>
      </c>
      <c r="BZ27" s="218">
        <v>237.3</v>
      </c>
      <c r="CA27" s="218">
        <v>235.64973496999997</v>
      </c>
      <c r="CB27" s="218">
        <v>231.13577302000002</v>
      </c>
      <c r="CC27" s="218">
        <v>239.42636635000002</v>
      </c>
      <c r="CD27" s="218">
        <v>238.94853953280798</v>
      </c>
      <c r="CE27" s="218">
        <v>243.15800648000001</v>
      </c>
      <c r="CF27" s="218">
        <v>234.10488827270771</v>
      </c>
      <c r="CG27" s="218">
        <v>226.54181328858999</v>
      </c>
      <c r="CH27" s="218">
        <v>213.95242040521168</v>
      </c>
      <c r="CI27" s="218">
        <v>233.84193406841652</v>
      </c>
      <c r="CJ27" s="218">
        <v>235.38473750784399</v>
      </c>
      <c r="CK27" s="218">
        <v>247.05226537561902</v>
      </c>
      <c r="CL27" s="218">
        <v>238.09755187232236</v>
      </c>
      <c r="CM27" s="218">
        <v>244.24631655819704</v>
      </c>
      <c r="CN27" s="218">
        <v>240.59277677735736</v>
      </c>
      <c r="CO27" s="218">
        <v>240.18387720309801</v>
      </c>
      <c r="CP27" s="218">
        <v>237.31509417252502</v>
      </c>
      <c r="CQ27" s="218">
        <v>236.13402552341648</v>
      </c>
      <c r="CR27" s="218">
        <v>229.12621355739995</v>
      </c>
      <c r="CS27" s="218">
        <v>237.77774410023397</v>
      </c>
      <c r="CT27" s="218">
        <v>240.14683632467603</v>
      </c>
      <c r="CU27" s="218">
        <v>250.64360829185699</v>
      </c>
      <c r="CV27" s="218">
        <v>237.3238288733651</v>
      </c>
      <c r="CW27" s="218">
        <v>235.45631769599035</v>
      </c>
      <c r="CX27" s="218">
        <v>241.2083515181024</v>
      </c>
      <c r="CY27" s="218">
        <v>248.37719486737072</v>
      </c>
      <c r="CZ27" s="218">
        <v>248.777935416605</v>
      </c>
      <c r="DA27" s="218">
        <v>255.72849986560851</v>
      </c>
      <c r="DB27" s="421">
        <v>258.46664286352035</v>
      </c>
      <c r="DC27" s="421">
        <v>268.15224447709295</v>
      </c>
      <c r="DD27" s="421">
        <v>258.85357965145022</v>
      </c>
      <c r="DE27" s="421">
        <v>252.15356645662189</v>
      </c>
      <c r="DF27" s="421">
        <v>265.38474106099841</v>
      </c>
      <c r="DG27" s="421">
        <v>279.50727439680429</v>
      </c>
      <c r="DH27" s="421">
        <v>267.24002134032065</v>
      </c>
      <c r="DI27" s="421">
        <v>272.89562751600369</v>
      </c>
      <c r="DJ27" s="421">
        <v>303.88852701252961</v>
      </c>
      <c r="DK27" s="421">
        <v>307.765795164726</v>
      </c>
      <c r="DL27" s="421">
        <v>311.75583311421724</v>
      </c>
      <c r="DM27" s="421">
        <v>308.83849788305366</v>
      </c>
      <c r="DN27" s="421">
        <v>329.58059812951143</v>
      </c>
      <c r="DO27" s="421">
        <v>349.24091370234504</v>
      </c>
      <c r="DP27" s="421">
        <v>327.70410822192201</v>
      </c>
      <c r="DQ27" s="421">
        <v>324.54169016975857</v>
      </c>
      <c r="DR27" s="421">
        <v>318.46366263060986</v>
      </c>
      <c r="DS27" s="421">
        <v>316.21627298351598</v>
      </c>
      <c r="DT27" s="421">
        <v>316.53006359011812</v>
      </c>
      <c r="DU27" s="421">
        <v>329.21990758446992</v>
      </c>
      <c r="DV27" s="421">
        <v>326.30474563015093</v>
      </c>
      <c r="DW27" s="421">
        <v>325.16391292372469</v>
      </c>
      <c r="DX27" s="421">
        <v>336.09542218614348</v>
      </c>
      <c r="DY27" s="421">
        <v>339.72029089684446</v>
      </c>
      <c r="DZ27" s="421">
        <v>357.32100536254165</v>
      </c>
      <c r="EA27" s="421">
        <v>340.42262424901651</v>
      </c>
      <c r="EB27" s="421">
        <v>327.20406745780525</v>
      </c>
    </row>
    <row r="28" spans="1:132" ht="15.95" customHeight="1" x14ac:dyDescent="0.25">
      <c r="A28" s="417" t="s">
        <v>295</v>
      </c>
      <c r="B28" s="418">
        <v>97.614408969999999</v>
      </c>
      <c r="C28" s="295">
        <v>102.61530317999998</v>
      </c>
      <c r="D28" s="295">
        <v>100.63026966999999</v>
      </c>
      <c r="E28" s="224">
        <v>102.4541332</v>
      </c>
      <c r="F28" s="295">
        <v>98.261361329999986</v>
      </c>
      <c r="G28" s="295">
        <v>104.39886517000001</v>
      </c>
      <c r="H28" s="295">
        <v>96.68848552</v>
      </c>
      <c r="I28" s="295">
        <v>94.396002659999994</v>
      </c>
      <c r="J28" s="295">
        <v>89.32269466999999</v>
      </c>
      <c r="K28" s="224">
        <v>81.484388158517987</v>
      </c>
      <c r="L28" s="295">
        <v>75.448553338173994</v>
      </c>
      <c r="M28" s="295">
        <v>81.411835095809991</v>
      </c>
      <c r="N28" s="295">
        <v>69.397369005400989</v>
      </c>
      <c r="O28" s="224">
        <v>68.996006079051995</v>
      </c>
      <c r="P28" s="295">
        <v>72.817767338860008</v>
      </c>
      <c r="Q28" s="295">
        <v>78.667016665579737</v>
      </c>
      <c r="R28" s="224">
        <v>97.081972062534604</v>
      </c>
      <c r="S28" s="295">
        <v>104.36980495326826</v>
      </c>
      <c r="T28" s="295">
        <v>115.9669075457704</v>
      </c>
      <c r="U28" s="419">
        <v>118.1064868258315</v>
      </c>
      <c r="V28" s="419">
        <v>115.329142452735</v>
      </c>
      <c r="W28" s="419">
        <v>112.71279911566002</v>
      </c>
      <c r="X28" s="419">
        <v>105.90337220691613</v>
      </c>
      <c r="Y28" s="419">
        <v>106.497880595642</v>
      </c>
      <c r="Z28" s="419">
        <v>119.02716917999999</v>
      </c>
      <c r="AA28" s="419">
        <v>125.65828155000001</v>
      </c>
      <c r="AB28" s="419">
        <v>126.07304412000001</v>
      </c>
      <c r="AC28" s="419">
        <v>148.01151609999999</v>
      </c>
      <c r="AD28" s="419">
        <v>155.50539436999998</v>
      </c>
      <c r="AE28" s="419">
        <v>147.91883977000001</v>
      </c>
      <c r="AF28" s="419">
        <v>137.37193866999999</v>
      </c>
      <c r="AG28" s="419">
        <v>138.02645962</v>
      </c>
      <c r="AH28" s="419">
        <v>120.93262728000001</v>
      </c>
      <c r="AI28" s="419">
        <v>115.23435868999999</v>
      </c>
      <c r="AJ28" s="419">
        <v>120.96642899</v>
      </c>
      <c r="AK28" s="419">
        <v>144.77964678999999</v>
      </c>
      <c r="AL28" s="419">
        <v>166.28851318</v>
      </c>
      <c r="AM28" s="297">
        <v>155.64705203</v>
      </c>
      <c r="AN28" s="297">
        <v>159.43504797000003</v>
      </c>
      <c r="AO28" s="297">
        <v>151.59736138999997</v>
      </c>
      <c r="AP28" s="297">
        <v>162.76476494720001</v>
      </c>
      <c r="AQ28" s="297">
        <v>175.5978102096</v>
      </c>
      <c r="AR28" s="418">
        <v>149.589691042</v>
      </c>
      <c r="AS28" s="418">
        <v>154.38243273</v>
      </c>
      <c r="AT28" s="418">
        <v>142.1745302052</v>
      </c>
      <c r="AU28" s="418">
        <v>142.09732212081599</v>
      </c>
      <c r="AV28" s="418">
        <v>146.78131220914</v>
      </c>
      <c r="AW28" s="218">
        <v>148.30031303519601</v>
      </c>
      <c r="AX28" s="218">
        <v>149.59228796914999</v>
      </c>
      <c r="AY28" s="218">
        <v>144.36546618389499</v>
      </c>
      <c r="AZ28" s="218">
        <v>145.10835226846902</v>
      </c>
      <c r="BA28" s="218">
        <v>151.332670290512</v>
      </c>
      <c r="BB28" s="218">
        <v>133.33978002792</v>
      </c>
      <c r="BC28" s="218">
        <v>166.03203548303097</v>
      </c>
      <c r="BD28" s="218">
        <v>178.78367809125101</v>
      </c>
      <c r="BE28" s="218">
        <v>225.96230681309402</v>
      </c>
      <c r="BF28" s="218">
        <v>227.16183024827802</v>
      </c>
      <c r="BG28" s="218">
        <v>228.466386159861</v>
      </c>
      <c r="BH28" s="218">
        <v>231.975137686571</v>
      </c>
      <c r="BI28" s="218">
        <v>220.78901456923998</v>
      </c>
      <c r="BJ28" s="218">
        <v>273.459613137948</v>
      </c>
      <c r="BK28" s="218">
        <v>242.30585754926801</v>
      </c>
      <c r="BL28" s="218">
        <v>241.97609148436001</v>
      </c>
      <c r="BM28" s="218">
        <v>264.13208734438797</v>
      </c>
      <c r="BN28" s="218">
        <v>321.51504282691394</v>
      </c>
      <c r="BO28" s="218">
        <v>312.21540729697</v>
      </c>
      <c r="BP28" s="218">
        <v>311.20258982125802</v>
      </c>
      <c r="BQ28" s="218">
        <v>155.43094604219999</v>
      </c>
      <c r="BR28" s="218">
        <v>234.17691871757603</v>
      </c>
      <c r="BS28" s="218">
        <v>176.49389632339202</v>
      </c>
      <c r="BT28" s="218">
        <v>158.48801209582498</v>
      </c>
      <c r="BU28" s="218">
        <v>192.56512307616799</v>
      </c>
      <c r="BV28" s="218">
        <v>182.60654381780202</v>
      </c>
      <c r="BW28" s="218">
        <v>239.76565439396501</v>
      </c>
      <c r="BX28" s="218">
        <v>233.75830020199999</v>
      </c>
      <c r="BY28" s="218">
        <v>228.1199880129</v>
      </c>
      <c r="BZ28" s="218">
        <v>307.10000000000002</v>
      </c>
      <c r="CA28" s="218">
        <v>279.69326941025304</v>
      </c>
      <c r="CB28" s="218">
        <v>163.05112389999999</v>
      </c>
      <c r="CC28" s="218">
        <v>157.77436983561</v>
      </c>
      <c r="CD28" s="218">
        <v>101.504619756536</v>
      </c>
      <c r="CE28" s="218">
        <v>94.444437270082744</v>
      </c>
      <c r="CF28" s="218">
        <v>103.94835462019299</v>
      </c>
      <c r="CG28" s="218">
        <v>90.655576233880012</v>
      </c>
      <c r="CH28" s="218">
        <v>106.57304295735817</v>
      </c>
      <c r="CI28" s="218">
        <v>219.18467607100317</v>
      </c>
      <c r="CJ28" s="218">
        <v>100.46505482277</v>
      </c>
      <c r="CK28" s="218">
        <v>89.28311561999999</v>
      </c>
      <c r="CL28" s="218">
        <v>89.054852999999994</v>
      </c>
      <c r="CM28" s="218">
        <v>92.464651038802998</v>
      </c>
      <c r="CN28" s="218">
        <v>91.468189580000001</v>
      </c>
      <c r="CO28" s="218">
        <v>91.641846270000002</v>
      </c>
      <c r="CP28" s="218">
        <v>88.927837643325006</v>
      </c>
      <c r="CQ28" s="218">
        <v>83.293491148742987</v>
      </c>
      <c r="CR28" s="218">
        <v>86.37146728148501</v>
      </c>
      <c r="CS28" s="218">
        <v>84.604642524098864</v>
      </c>
      <c r="CT28" s="218">
        <v>78.325160029454892</v>
      </c>
      <c r="CU28" s="218">
        <v>76.659233949262713</v>
      </c>
      <c r="CV28" s="218">
        <v>95.28988166783536</v>
      </c>
      <c r="CW28" s="218">
        <v>80.692297490560861</v>
      </c>
      <c r="CX28" s="218">
        <v>75.559578036523376</v>
      </c>
      <c r="CY28" s="218">
        <v>74.012151978450106</v>
      </c>
      <c r="CZ28" s="218">
        <v>77.740551126647702</v>
      </c>
      <c r="DA28" s="218">
        <v>74.174897989999991</v>
      </c>
      <c r="DB28" s="421">
        <v>74.180511122816867</v>
      </c>
      <c r="DC28" s="421">
        <v>74.911465481918825</v>
      </c>
      <c r="DD28" s="421">
        <v>78.385737314623597</v>
      </c>
      <c r="DE28" s="421">
        <v>77.681668107964796</v>
      </c>
      <c r="DF28" s="421">
        <v>170.95752902302027</v>
      </c>
      <c r="DG28" s="421">
        <v>197.09340777883978</v>
      </c>
      <c r="DH28" s="421">
        <v>241.77566960492067</v>
      </c>
      <c r="DI28" s="421">
        <v>270.47061073999998</v>
      </c>
      <c r="DJ28" s="421">
        <v>260.31001548</v>
      </c>
      <c r="DK28" s="421">
        <v>252.42348912</v>
      </c>
      <c r="DL28" s="421">
        <v>235.5096548767338</v>
      </c>
      <c r="DM28" s="421">
        <v>241.15517149633391</v>
      </c>
      <c r="DN28" s="421">
        <v>239.36306235795448</v>
      </c>
      <c r="DO28" s="421">
        <v>223.90959444652412</v>
      </c>
      <c r="DP28" s="421">
        <v>222.83760097908254</v>
      </c>
      <c r="DQ28" s="421">
        <v>215.3263150130874</v>
      </c>
      <c r="DR28" s="421">
        <v>212.00304744132853</v>
      </c>
      <c r="DS28" s="421">
        <v>211.04228776915514</v>
      </c>
      <c r="DT28" s="421">
        <v>221.93974978350252</v>
      </c>
      <c r="DU28" s="421">
        <v>237.96517945967574</v>
      </c>
      <c r="DV28" s="421">
        <v>206.48948081584851</v>
      </c>
      <c r="DW28" s="421">
        <v>214.78387510218934</v>
      </c>
      <c r="DX28" s="421">
        <v>239.40221216727338</v>
      </c>
      <c r="DY28" s="421">
        <v>231.17991569611783</v>
      </c>
      <c r="DZ28" s="421">
        <v>226.7357244653372</v>
      </c>
      <c r="EA28" s="421">
        <v>222.43099204288364</v>
      </c>
      <c r="EB28" s="421">
        <v>237.45443807221622</v>
      </c>
    </row>
    <row r="29" spans="1:132" ht="15.95" customHeight="1" x14ac:dyDescent="0.25">
      <c r="A29" s="417" t="s">
        <v>296</v>
      </c>
      <c r="B29" s="418">
        <v>166.19704274497298</v>
      </c>
      <c r="C29" s="295">
        <v>172.17080784207999</v>
      </c>
      <c r="D29" s="295">
        <v>179.12270492087004</v>
      </c>
      <c r="E29" s="224">
        <v>180.71681740500003</v>
      </c>
      <c r="F29" s="295">
        <v>170.08206123760999</v>
      </c>
      <c r="G29" s="295">
        <v>168.39414530846761</v>
      </c>
      <c r="H29" s="295">
        <v>175.04574935152002</v>
      </c>
      <c r="I29" s="295">
        <v>142.68633977999997</v>
      </c>
      <c r="J29" s="295">
        <v>149.98749404</v>
      </c>
      <c r="K29" s="224">
        <v>167.39403020999998</v>
      </c>
      <c r="L29" s="295">
        <v>173.93170000999999</v>
      </c>
      <c r="M29" s="295">
        <v>166.93003911000002</v>
      </c>
      <c r="N29" s="295">
        <v>164.45018951000003</v>
      </c>
      <c r="O29" s="224">
        <v>169.52541997999998</v>
      </c>
      <c r="P29" s="295">
        <v>164.11554416999999</v>
      </c>
      <c r="Q29" s="295">
        <v>158.92107231</v>
      </c>
      <c r="R29" s="224">
        <v>157.57832245000003</v>
      </c>
      <c r="S29" s="295">
        <v>159.66678271999999</v>
      </c>
      <c r="T29" s="295">
        <v>158.43417059000001</v>
      </c>
      <c r="U29" s="419">
        <v>148.98419639999997</v>
      </c>
      <c r="V29" s="419">
        <v>145.69541749000001</v>
      </c>
      <c r="W29" s="419">
        <v>151.70839975999999</v>
      </c>
      <c r="X29" s="419">
        <v>154.88993690999999</v>
      </c>
      <c r="Y29" s="419">
        <v>156.73571521</v>
      </c>
      <c r="Z29" s="419">
        <v>158.66221405999997</v>
      </c>
      <c r="AA29" s="419">
        <v>166.25601868999999</v>
      </c>
      <c r="AB29" s="419">
        <v>203.69923205000001</v>
      </c>
      <c r="AC29" s="419">
        <v>222.09392018</v>
      </c>
      <c r="AD29" s="419">
        <v>221.21474542000001</v>
      </c>
      <c r="AE29" s="419">
        <v>229.97076128999998</v>
      </c>
      <c r="AF29" s="419">
        <v>219.86278774000002</v>
      </c>
      <c r="AG29" s="419">
        <v>206.73097761</v>
      </c>
      <c r="AH29" s="419">
        <v>207.45089675</v>
      </c>
      <c r="AI29" s="419">
        <v>228.74573941999998</v>
      </c>
      <c r="AJ29" s="419">
        <v>235.40451213999998</v>
      </c>
      <c r="AK29" s="419">
        <v>248.82441001000001</v>
      </c>
      <c r="AL29" s="419">
        <v>240.50498970999999</v>
      </c>
      <c r="AM29" s="297">
        <v>237.53441811000002</v>
      </c>
      <c r="AN29" s="297">
        <v>237.93872151160198</v>
      </c>
      <c r="AO29" s="297">
        <v>234.29789789324701</v>
      </c>
      <c r="AP29" s="297">
        <v>236.76174675454897</v>
      </c>
      <c r="AQ29" s="297">
        <v>232.39989971261201</v>
      </c>
      <c r="AR29" s="418">
        <v>234.41904848554404</v>
      </c>
      <c r="AS29" s="418">
        <v>226.38333418600001</v>
      </c>
      <c r="AT29" s="418">
        <v>234.40558189483201</v>
      </c>
      <c r="AU29" s="418">
        <v>228.90864242174399</v>
      </c>
      <c r="AV29" s="418">
        <v>242.15599978544</v>
      </c>
      <c r="AW29" s="218">
        <v>237.31196294</v>
      </c>
      <c r="AX29" s="218">
        <v>222.030499754</v>
      </c>
      <c r="AY29" s="218">
        <v>210.6999863307</v>
      </c>
      <c r="AZ29" s="218">
        <v>210.64698154450002</v>
      </c>
      <c r="BA29" s="218">
        <v>214.69306681180001</v>
      </c>
      <c r="BB29" s="218">
        <v>211.62983704960001</v>
      </c>
      <c r="BC29" s="218">
        <v>212.70703092239998</v>
      </c>
      <c r="BD29" s="218">
        <v>203.26102331419997</v>
      </c>
      <c r="BE29" s="218">
        <v>196.8062958955</v>
      </c>
      <c r="BF29" s="218">
        <v>196.95560420499999</v>
      </c>
      <c r="BG29" s="218">
        <v>203.14865280199999</v>
      </c>
      <c r="BH29" s="218">
        <v>205.22739991490002</v>
      </c>
      <c r="BI29" s="218">
        <v>203.74167113570002</v>
      </c>
      <c r="BJ29" s="218">
        <v>201.1387947593</v>
      </c>
      <c r="BK29" s="218">
        <v>199.17181670080001</v>
      </c>
      <c r="BL29" s="218">
        <v>203.9138402696</v>
      </c>
      <c r="BM29" s="218">
        <v>204.63651916440003</v>
      </c>
      <c r="BN29" s="218">
        <v>187.30917504936059</v>
      </c>
      <c r="BO29" s="218">
        <v>197.30556455520002</v>
      </c>
      <c r="BP29" s="218">
        <v>190.96195821379999</v>
      </c>
      <c r="BQ29" s="218">
        <v>190.21708224679998</v>
      </c>
      <c r="BR29" s="218">
        <v>204.50356904449998</v>
      </c>
      <c r="BS29" s="218">
        <v>204.16064116319998</v>
      </c>
      <c r="BT29" s="218">
        <v>202.40325971591045</v>
      </c>
      <c r="BU29" s="218">
        <v>191.91422424306998</v>
      </c>
      <c r="BV29" s="218">
        <v>198.93572764233602</v>
      </c>
      <c r="BW29" s="218">
        <v>186.67733187299996</v>
      </c>
      <c r="BX29" s="218">
        <v>186.13670978050001</v>
      </c>
      <c r="BY29" s="218">
        <v>170.72531497759999</v>
      </c>
      <c r="BZ29" s="218">
        <v>174.2</v>
      </c>
      <c r="CA29" s="218">
        <v>175.72022050890001</v>
      </c>
      <c r="CB29" s="218">
        <v>172.9238295376</v>
      </c>
      <c r="CC29" s="218">
        <v>151.24261553140002</v>
      </c>
      <c r="CD29" s="218">
        <v>147.76887805701799</v>
      </c>
      <c r="CE29" s="218">
        <v>150.49005479997493</v>
      </c>
      <c r="CF29" s="218">
        <v>151.04853066215151</v>
      </c>
      <c r="CG29" s="218">
        <v>153.8064803165</v>
      </c>
      <c r="CH29" s="218">
        <v>147.176259327541</v>
      </c>
      <c r="CI29" s="218">
        <v>154.8723973091775</v>
      </c>
      <c r="CJ29" s="218">
        <v>152.72713881596999</v>
      </c>
      <c r="CK29" s="218">
        <v>144.51623770646103</v>
      </c>
      <c r="CL29" s="218">
        <v>144.85359327990568</v>
      </c>
      <c r="CM29" s="218">
        <v>146.01853128330151</v>
      </c>
      <c r="CN29" s="218">
        <v>149.53044461211601</v>
      </c>
      <c r="CO29" s="218">
        <v>143.01418972859099</v>
      </c>
      <c r="CP29" s="218">
        <v>146.05616104077501</v>
      </c>
      <c r="CQ29" s="218">
        <v>153.39006734371299</v>
      </c>
      <c r="CR29" s="218">
        <v>157.48527970151002</v>
      </c>
      <c r="CS29" s="218">
        <v>154.73402935232829</v>
      </c>
      <c r="CT29" s="218">
        <v>156.30114293017243</v>
      </c>
      <c r="CU29" s="218">
        <v>153.12732666375427</v>
      </c>
      <c r="CV29" s="218">
        <v>153.20968241351756</v>
      </c>
      <c r="CW29" s="218">
        <v>154.62467975861063</v>
      </c>
      <c r="CX29" s="218">
        <v>153.88933391233158</v>
      </c>
      <c r="CY29" s="218">
        <v>149.91052194756287</v>
      </c>
      <c r="CZ29" s="218">
        <v>147.61246405443111</v>
      </c>
      <c r="DA29" s="218">
        <v>147.46936847641601</v>
      </c>
      <c r="DB29" s="421">
        <v>146.0543154212904</v>
      </c>
      <c r="DC29" s="421">
        <v>147.20626726667223</v>
      </c>
      <c r="DD29" s="421">
        <v>149.97467618072361</v>
      </c>
      <c r="DE29" s="421">
        <v>149.20641940096641</v>
      </c>
      <c r="DF29" s="421">
        <v>148.79178085881293</v>
      </c>
      <c r="DG29" s="421">
        <v>152.68437142358493</v>
      </c>
      <c r="DH29" s="421">
        <v>148.72149711194263</v>
      </c>
      <c r="DI29" s="421">
        <v>150.45792386767334</v>
      </c>
      <c r="DJ29" s="421">
        <v>155.25069889884332</v>
      </c>
      <c r="DK29" s="421">
        <v>152.61133205235384</v>
      </c>
      <c r="DL29" s="421">
        <v>148.57791865215898</v>
      </c>
      <c r="DM29" s="421">
        <v>149.5826498072424</v>
      </c>
      <c r="DN29" s="421">
        <v>155.27922484997799</v>
      </c>
      <c r="DO29" s="421">
        <v>157.90602460664417</v>
      </c>
      <c r="DP29" s="421">
        <v>153.25886968801376</v>
      </c>
      <c r="DQ29" s="421">
        <v>156.11862083206591</v>
      </c>
      <c r="DR29" s="421">
        <v>148.46452964585009</v>
      </c>
      <c r="DS29" s="421">
        <v>148.34892304836367</v>
      </c>
      <c r="DT29" s="421">
        <v>147.36077853597976</v>
      </c>
      <c r="DU29" s="421">
        <v>151.81115420271115</v>
      </c>
      <c r="DV29" s="421">
        <v>153.50893030142896</v>
      </c>
      <c r="DW29" s="421">
        <v>146.36245426999997</v>
      </c>
      <c r="DX29" s="421">
        <v>137.42093181632754</v>
      </c>
      <c r="DY29" s="421">
        <v>139.80665185785324</v>
      </c>
      <c r="DZ29" s="421">
        <v>132.5885906288529</v>
      </c>
      <c r="EA29" s="421">
        <v>139.16767038236154</v>
      </c>
      <c r="EB29" s="421">
        <v>129.11338223696509</v>
      </c>
    </row>
    <row r="30" spans="1:132" ht="15.95" customHeight="1" x14ac:dyDescent="0.25">
      <c r="A30" s="417" t="s">
        <v>297</v>
      </c>
      <c r="B30" s="418">
        <v>107.05617068000001</v>
      </c>
      <c r="C30" s="295">
        <v>108.93011505999999</v>
      </c>
      <c r="D30" s="295">
        <v>113.39572072</v>
      </c>
      <c r="E30" s="224">
        <v>113.43588736000001</v>
      </c>
      <c r="F30" s="295">
        <v>112.66284388</v>
      </c>
      <c r="G30" s="295">
        <v>100.35393292999997</v>
      </c>
      <c r="H30" s="295">
        <v>90.524277550000008</v>
      </c>
      <c r="I30" s="295">
        <v>90.827012930000009</v>
      </c>
      <c r="J30" s="295">
        <v>88.998793969999994</v>
      </c>
      <c r="K30" s="224">
        <v>93.634986659999996</v>
      </c>
      <c r="L30" s="295">
        <v>95.818290009999984</v>
      </c>
      <c r="M30" s="295">
        <v>90.924419810000003</v>
      </c>
      <c r="N30" s="295">
        <v>89.465531080000019</v>
      </c>
      <c r="O30" s="224">
        <v>87.017192260000002</v>
      </c>
      <c r="P30" s="295">
        <v>97.94841670000001</v>
      </c>
      <c r="Q30" s="295">
        <v>94.414618800000014</v>
      </c>
      <c r="R30" s="224">
        <v>103.72423058</v>
      </c>
      <c r="S30" s="295">
        <v>104.63281302999999</v>
      </c>
      <c r="T30" s="295">
        <v>104.79314769</v>
      </c>
      <c r="U30" s="419">
        <v>107.6631656</v>
      </c>
      <c r="V30" s="419">
        <v>111.43260396000001</v>
      </c>
      <c r="W30" s="419">
        <v>114.40807389999999</v>
      </c>
      <c r="X30" s="419">
        <v>115.29542647999999</v>
      </c>
      <c r="Y30" s="419">
        <v>115.11089678</v>
      </c>
      <c r="Z30" s="419">
        <v>118.30599309</v>
      </c>
      <c r="AA30" s="419">
        <v>121.27700214000002</v>
      </c>
      <c r="AB30" s="419">
        <v>135.58144806999999</v>
      </c>
      <c r="AC30" s="419">
        <v>142.86493009999998</v>
      </c>
      <c r="AD30" s="419">
        <v>169.72970027</v>
      </c>
      <c r="AE30" s="419">
        <v>175.88312285000001</v>
      </c>
      <c r="AF30" s="419">
        <v>173.10405279</v>
      </c>
      <c r="AG30" s="419">
        <v>170.34762260000002</v>
      </c>
      <c r="AH30" s="419">
        <v>160.21634463000001</v>
      </c>
      <c r="AI30" s="419">
        <v>69.774889770000016</v>
      </c>
      <c r="AJ30" s="419">
        <v>68.284423019999991</v>
      </c>
      <c r="AK30" s="419">
        <v>71.220660969999997</v>
      </c>
      <c r="AL30" s="419">
        <v>69.166733960000002</v>
      </c>
      <c r="AM30" s="297">
        <v>70.189227939999995</v>
      </c>
      <c r="AN30" s="297">
        <v>72.921444230000006</v>
      </c>
      <c r="AO30" s="297">
        <v>72.971721670000008</v>
      </c>
      <c r="AP30" s="297">
        <v>73.985624639999997</v>
      </c>
      <c r="AQ30" s="297">
        <v>94.544895410000009</v>
      </c>
      <c r="AR30" s="418">
        <v>126.34180978000001</v>
      </c>
      <c r="AS30" s="418">
        <v>128.09277563000001</v>
      </c>
      <c r="AT30" s="418">
        <v>129.84127587</v>
      </c>
      <c r="AU30" s="418">
        <v>132.82563729</v>
      </c>
      <c r="AV30" s="418">
        <v>135.14218713</v>
      </c>
      <c r="AW30" s="218">
        <v>137.93477261000001</v>
      </c>
      <c r="AX30" s="218">
        <v>136.91163017000002</v>
      </c>
      <c r="AY30" s="218">
        <v>148.69408185000003</v>
      </c>
      <c r="AZ30" s="218">
        <v>142.45097073000002</v>
      </c>
      <c r="BA30" s="218">
        <v>123.94744793</v>
      </c>
      <c r="BB30" s="218">
        <v>121.95530051000001</v>
      </c>
      <c r="BC30" s="218">
        <v>122.74004037</v>
      </c>
      <c r="BD30" s="218">
        <v>134.92717345</v>
      </c>
      <c r="BE30" s="218">
        <v>145.6838238</v>
      </c>
      <c r="BF30" s="218">
        <v>150.76304543000001</v>
      </c>
      <c r="BG30" s="218">
        <v>148.29760101999997</v>
      </c>
      <c r="BH30" s="218">
        <v>143.33968397000004</v>
      </c>
      <c r="BI30" s="218">
        <v>141.68004776999999</v>
      </c>
      <c r="BJ30" s="218">
        <v>145.97479647000003</v>
      </c>
      <c r="BK30" s="218">
        <v>140.78666691000001</v>
      </c>
      <c r="BL30" s="218">
        <v>134.30451740999999</v>
      </c>
      <c r="BM30" s="218">
        <v>101.19061445</v>
      </c>
      <c r="BN30" s="218">
        <v>95.298990035000003</v>
      </c>
      <c r="BO30" s="218">
        <v>93.261003739999992</v>
      </c>
      <c r="BP30" s="218">
        <v>101.6658759645</v>
      </c>
      <c r="BQ30" s="218">
        <v>106.93296581</v>
      </c>
      <c r="BR30" s="218">
        <v>107.00747396509999</v>
      </c>
      <c r="BS30" s="218">
        <v>106.97144995279999</v>
      </c>
      <c r="BT30" s="218">
        <v>99.167376590000003</v>
      </c>
      <c r="BU30" s="218">
        <v>101.09709640999999</v>
      </c>
      <c r="BV30" s="218">
        <v>119.36422509293199</v>
      </c>
      <c r="BW30" s="218">
        <v>140.93557837685498</v>
      </c>
      <c r="BX30" s="218">
        <v>135.07382787749998</v>
      </c>
      <c r="BY30" s="218">
        <v>122.99443790000001</v>
      </c>
      <c r="BZ30" s="218">
        <v>128.1</v>
      </c>
      <c r="CA30" s="218">
        <v>137.3546411996</v>
      </c>
      <c r="CB30" s="218">
        <v>169.12147708320001</v>
      </c>
      <c r="CC30" s="218">
        <v>190.72459717737001</v>
      </c>
      <c r="CD30" s="218">
        <v>180.44956415000001</v>
      </c>
      <c r="CE30" s="218">
        <v>174.68730865236961</v>
      </c>
      <c r="CF30" s="218">
        <v>190.66209004645998</v>
      </c>
      <c r="CG30" s="218">
        <v>184.70920149082335</v>
      </c>
      <c r="CH30" s="218">
        <v>183.93004421749197</v>
      </c>
      <c r="CI30" s="218">
        <v>162.67965234715564</v>
      </c>
      <c r="CJ30" s="218">
        <v>185.53134688473202</v>
      </c>
      <c r="CK30" s="218">
        <v>189.60304870303099</v>
      </c>
      <c r="CL30" s="218">
        <v>180.33724069675984</v>
      </c>
      <c r="CM30" s="218">
        <v>171.552213982414</v>
      </c>
      <c r="CN30" s="218">
        <v>200.69722438833335</v>
      </c>
      <c r="CO30" s="218">
        <v>189.94621802061098</v>
      </c>
      <c r="CP30" s="218">
        <v>212.01689140925001</v>
      </c>
      <c r="CQ30" s="218">
        <v>230.7074109253555</v>
      </c>
      <c r="CR30" s="218">
        <v>219.75381403593502</v>
      </c>
      <c r="CS30" s="218">
        <v>207.3773747911886</v>
      </c>
      <c r="CT30" s="218">
        <v>212.71430301606202</v>
      </c>
      <c r="CU30" s="218">
        <v>204.04919331571153</v>
      </c>
      <c r="CV30" s="218">
        <v>208.85902242130322</v>
      </c>
      <c r="CW30" s="218">
        <v>203.35630842974692</v>
      </c>
      <c r="CX30" s="218">
        <v>216.33333592894729</v>
      </c>
      <c r="CY30" s="218">
        <v>217.50065759838878</v>
      </c>
      <c r="CZ30" s="218">
        <v>204.99283890157344</v>
      </c>
      <c r="DA30" s="218">
        <v>201.56493766462546</v>
      </c>
      <c r="DB30" s="421">
        <v>191.37446692838139</v>
      </c>
      <c r="DC30" s="421">
        <v>195.9792965428056</v>
      </c>
      <c r="DD30" s="421">
        <v>191.17219434187692</v>
      </c>
      <c r="DE30" s="421">
        <v>183.483586938624</v>
      </c>
      <c r="DF30" s="421">
        <v>195.84589353909578</v>
      </c>
      <c r="DG30" s="421">
        <v>194.90484247874761</v>
      </c>
      <c r="DH30" s="421">
        <v>191.32610357999999</v>
      </c>
      <c r="DI30" s="421">
        <v>175.49887980645335</v>
      </c>
      <c r="DJ30" s="421">
        <v>192.75273477815125</v>
      </c>
      <c r="DK30" s="421">
        <v>71.701365969114747</v>
      </c>
      <c r="DL30" s="421">
        <v>70.596200430875257</v>
      </c>
      <c r="DM30" s="421">
        <v>69.268624629999991</v>
      </c>
      <c r="DN30" s="421">
        <v>71.9164691</v>
      </c>
      <c r="DO30" s="421">
        <v>70.646511236210813</v>
      </c>
      <c r="DP30" s="421">
        <v>73.515980659730019</v>
      </c>
      <c r="DQ30" s="421">
        <v>72.5125025047642</v>
      </c>
      <c r="DR30" s="421">
        <v>72.815012122797555</v>
      </c>
      <c r="DS30" s="421">
        <v>65.922800289116154</v>
      </c>
      <c r="DT30" s="421">
        <v>65.328942992470999</v>
      </c>
      <c r="DU30" s="421">
        <v>64.413063789999995</v>
      </c>
      <c r="DV30" s="421">
        <v>55.353894419999996</v>
      </c>
      <c r="DW30" s="421">
        <v>62.437432524032999</v>
      </c>
      <c r="DX30" s="421">
        <v>61.694743041641885</v>
      </c>
      <c r="DY30" s="421">
        <v>62.495124946246207</v>
      </c>
      <c r="DZ30" s="421">
        <v>55.803127179999997</v>
      </c>
      <c r="EA30" s="421">
        <v>59.301496520000001</v>
      </c>
      <c r="EB30" s="421">
        <v>53.925816929999989</v>
      </c>
    </row>
    <row r="31" spans="1:132" ht="15.95" customHeight="1" x14ac:dyDescent="0.25">
      <c r="A31" s="417" t="s">
        <v>298</v>
      </c>
      <c r="B31" s="418">
        <v>51.244430170000001</v>
      </c>
      <c r="C31" s="295">
        <v>52.259572419999991</v>
      </c>
      <c r="D31" s="295">
        <v>55.850058779999998</v>
      </c>
      <c r="E31" s="224">
        <v>64.938542740000003</v>
      </c>
      <c r="F31" s="295">
        <v>57.690338689999997</v>
      </c>
      <c r="G31" s="295">
        <v>60.792891959999999</v>
      </c>
      <c r="H31" s="295">
        <v>57.187647950000006</v>
      </c>
      <c r="I31" s="295">
        <v>57.002124610000003</v>
      </c>
      <c r="J31" s="295">
        <v>52.75685172</v>
      </c>
      <c r="K31" s="224">
        <v>50.617907880000004</v>
      </c>
      <c r="L31" s="295">
        <v>50.973789340000003</v>
      </c>
      <c r="M31" s="295">
        <v>53.15350952</v>
      </c>
      <c r="N31" s="295">
        <v>52.918427860000001</v>
      </c>
      <c r="O31" s="224">
        <v>51.789400890000003</v>
      </c>
      <c r="P31" s="295">
        <v>54.673898159999993</v>
      </c>
      <c r="Q31" s="295">
        <v>58.030201310000002</v>
      </c>
      <c r="R31" s="224">
        <v>52.78444219</v>
      </c>
      <c r="S31" s="295">
        <v>50.81987359</v>
      </c>
      <c r="T31" s="295">
        <v>50.275459620000007</v>
      </c>
      <c r="U31" s="419">
        <v>52.116784420000002</v>
      </c>
      <c r="V31" s="419">
        <v>70.011760819999992</v>
      </c>
      <c r="W31" s="419">
        <v>72.804523000000003</v>
      </c>
      <c r="X31" s="419">
        <v>71.0182681</v>
      </c>
      <c r="Y31" s="419">
        <v>75.792336219999996</v>
      </c>
      <c r="Z31" s="419">
        <v>74.007369260000004</v>
      </c>
      <c r="AA31" s="419">
        <v>75.371005949999997</v>
      </c>
      <c r="AB31" s="419">
        <v>75.791591480000008</v>
      </c>
      <c r="AC31" s="419">
        <v>76.099601019999994</v>
      </c>
      <c r="AD31" s="419">
        <v>80.89745090000001</v>
      </c>
      <c r="AE31" s="419">
        <v>84.26285489</v>
      </c>
      <c r="AF31" s="419">
        <v>79.066404750000004</v>
      </c>
      <c r="AG31" s="419">
        <v>76.952264539999987</v>
      </c>
      <c r="AH31" s="419">
        <v>73.470780099999999</v>
      </c>
      <c r="AI31" s="419">
        <v>72.317518210000003</v>
      </c>
      <c r="AJ31" s="419">
        <v>71.387064080000002</v>
      </c>
      <c r="AK31" s="419">
        <v>77.403741479999994</v>
      </c>
      <c r="AL31" s="419">
        <v>80.801302740000011</v>
      </c>
      <c r="AM31" s="297">
        <v>103.04885627050001</v>
      </c>
      <c r="AN31" s="297">
        <v>101.03159974</v>
      </c>
      <c r="AO31" s="297">
        <v>101.11206374805001</v>
      </c>
      <c r="AP31" s="297">
        <v>99.920416457800002</v>
      </c>
      <c r="AQ31" s="297">
        <v>103.72492347599999</v>
      </c>
      <c r="AR31" s="418">
        <v>100.04347389719999</v>
      </c>
      <c r="AS31" s="418">
        <v>97.498390549999982</v>
      </c>
      <c r="AT31" s="418">
        <v>88.57160101720001</v>
      </c>
      <c r="AU31" s="418">
        <v>85.758259624899992</v>
      </c>
      <c r="AV31" s="418">
        <v>88.088845417999991</v>
      </c>
      <c r="AW31" s="218">
        <v>83.108534426000006</v>
      </c>
      <c r="AX31" s="218">
        <v>81.602117080399992</v>
      </c>
      <c r="AY31" s="218">
        <v>96.570214322500007</v>
      </c>
      <c r="AZ31" s="218">
        <v>100.32021284420001</v>
      </c>
      <c r="BA31" s="218">
        <v>103.4731487116</v>
      </c>
      <c r="BB31" s="218">
        <v>106.7594048097</v>
      </c>
      <c r="BC31" s="218">
        <v>101.09695687239999</v>
      </c>
      <c r="BD31" s="218">
        <v>89.513401830199996</v>
      </c>
      <c r="BE31" s="218">
        <v>90.987898324099987</v>
      </c>
      <c r="BF31" s="218">
        <v>73.457811110000009</v>
      </c>
      <c r="BG31" s="218">
        <v>81.837080082</v>
      </c>
      <c r="BH31" s="218">
        <v>87.269428949000002</v>
      </c>
      <c r="BI31" s="218">
        <v>94.546593384399998</v>
      </c>
      <c r="BJ31" s="218">
        <v>97.070399299599998</v>
      </c>
      <c r="BK31" s="218">
        <v>88.831011635099998</v>
      </c>
      <c r="BL31" s="218">
        <v>111.79761309450001</v>
      </c>
      <c r="BM31" s="218">
        <v>83.810003458400004</v>
      </c>
      <c r="BN31" s="218">
        <v>72.488846315455191</v>
      </c>
      <c r="BO31" s="218">
        <v>65.051982602799995</v>
      </c>
      <c r="BP31" s="218">
        <v>62.706798494200001</v>
      </c>
      <c r="BQ31" s="218">
        <v>56.307619406699999</v>
      </c>
      <c r="BR31" s="218">
        <v>55.847667190599999</v>
      </c>
      <c r="BS31" s="218">
        <v>60.101927183999997</v>
      </c>
      <c r="BT31" s="218">
        <v>59.37408370464</v>
      </c>
      <c r="BU31" s="218">
        <v>58.578465504831996</v>
      </c>
      <c r="BV31" s="218">
        <v>58.771804737976005</v>
      </c>
      <c r="BW31" s="218">
        <v>56.812968732910008</v>
      </c>
      <c r="BX31" s="218">
        <v>53.268025104499998</v>
      </c>
      <c r="BY31" s="218">
        <v>63.678511868399994</v>
      </c>
      <c r="BZ31" s="218">
        <v>60.8</v>
      </c>
      <c r="CA31" s="218">
        <v>63.449577165699992</v>
      </c>
      <c r="CB31" s="218">
        <v>65.775833495599997</v>
      </c>
      <c r="CC31" s="218">
        <v>55.707913117559997</v>
      </c>
      <c r="CD31" s="218">
        <v>55.460364584503999</v>
      </c>
      <c r="CE31" s="218">
        <v>57.715432643515427</v>
      </c>
      <c r="CF31" s="218">
        <v>65.822877396079335</v>
      </c>
      <c r="CG31" s="218">
        <v>61.149913132750001</v>
      </c>
      <c r="CH31" s="218">
        <v>62.690629086446492</v>
      </c>
      <c r="CI31" s="218">
        <v>59.540902473701507</v>
      </c>
      <c r="CJ31" s="218">
        <v>60.721167989892002</v>
      </c>
      <c r="CK31" s="218">
        <v>61.232735219925999</v>
      </c>
      <c r="CL31" s="218">
        <v>56.305574611556999</v>
      </c>
      <c r="CM31" s="218">
        <v>59.155351571200001</v>
      </c>
      <c r="CN31" s="218">
        <v>61.881898985633335</v>
      </c>
      <c r="CO31" s="218">
        <v>59.018678339357997</v>
      </c>
      <c r="CP31" s="218">
        <v>61.782659743824993</v>
      </c>
      <c r="CQ31" s="218">
        <v>59.376520035877576</v>
      </c>
      <c r="CR31" s="218">
        <v>57.075425318355158</v>
      </c>
      <c r="CS31" s="218">
        <v>56.524977312472998</v>
      </c>
      <c r="CT31" s="218">
        <v>58.02565279372849</v>
      </c>
      <c r="CU31" s="218">
        <v>61.08911059853363</v>
      </c>
      <c r="CV31" s="218">
        <v>57.740576343036395</v>
      </c>
      <c r="CW31" s="218">
        <v>66.188946406192088</v>
      </c>
      <c r="CX31" s="218">
        <v>57.945527815372387</v>
      </c>
      <c r="CY31" s="218">
        <v>63.953598953473104</v>
      </c>
      <c r="CZ31" s="218">
        <v>66.558794424839789</v>
      </c>
      <c r="DA31" s="218">
        <v>64.627054264546928</v>
      </c>
      <c r="DB31" s="421">
        <v>71.116894091025685</v>
      </c>
      <c r="DC31" s="421">
        <v>71.378071404544997</v>
      </c>
      <c r="DD31" s="421">
        <v>70.375754979827093</v>
      </c>
      <c r="DE31" s="421">
        <v>74.329612756589114</v>
      </c>
      <c r="DF31" s="421">
        <v>74.541864790504505</v>
      </c>
      <c r="DG31" s="421">
        <v>75.63880394290095</v>
      </c>
      <c r="DH31" s="421">
        <v>81.837586041798872</v>
      </c>
      <c r="DI31" s="421">
        <v>76.890252947610648</v>
      </c>
      <c r="DJ31" s="421">
        <v>85.494191749348232</v>
      </c>
      <c r="DK31" s="421">
        <v>90.937781435718975</v>
      </c>
      <c r="DL31" s="421">
        <v>78.675503694750489</v>
      </c>
      <c r="DM31" s="421">
        <v>72.96462862718171</v>
      </c>
      <c r="DN31" s="421">
        <v>77.688579810000007</v>
      </c>
      <c r="DO31" s="421">
        <v>83.925388949999999</v>
      </c>
      <c r="DP31" s="421">
        <v>81.843995339999992</v>
      </c>
      <c r="DQ31" s="421">
        <v>83.275110204200004</v>
      </c>
      <c r="DR31" s="421">
        <v>90.325263011520008</v>
      </c>
      <c r="DS31" s="421">
        <v>94.290679214370002</v>
      </c>
      <c r="DT31" s="421">
        <v>95.315808950199994</v>
      </c>
      <c r="DU31" s="421">
        <v>97.55690987025001</v>
      </c>
      <c r="DV31" s="421">
        <v>103.85128297015999</v>
      </c>
      <c r="DW31" s="421">
        <v>102.77985009135</v>
      </c>
      <c r="DX31" s="421">
        <v>91.480773463000006</v>
      </c>
      <c r="DY31" s="421">
        <v>103.16057094813</v>
      </c>
      <c r="DZ31" s="421">
        <v>102.05493669700002</v>
      </c>
      <c r="EA31" s="421">
        <v>100.9823888511</v>
      </c>
      <c r="EB31" s="421">
        <v>93.326283079999996</v>
      </c>
    </row>
    <row r="32" spans="1:132" ht="15.95" customHeight="1" x14ac:dyDescent="0.25">
      <c r="A32" s="417" t="s">
        <v>299</v>
      </c>
      <c r="B32" s="418">
        <v>137.22029699999999</v>
      </c>
      <c r="C32" s="295">
        <v>150.77954341</v>
      </c>
      <c r="D32" s="295">
        <v>155.00799566000001</v>
      </c>
      <c r="E32" s="224">
        <v>147.51578659</v>
      </c>
      <c r="F32" s="295">
        <v>138.49188716</v>
      </c>
      <c r="G32" s="295">
        <v>139.75762038000002</v>
      </c>
      <c r="H32" s="295">
        <v>146.47286763</v>
      </c>
      <c r="I32" s="295">
        <v>160.47393908999999</v>
      </c>
      <c r="J32" s="295">
        <v>152.11909307999997</v>
      </c>
      <c r="K32" s="224">
        <v>150.24947868999999</v>
      </c>
      <c r="L32" s="295">
        <v>145.54792584</v>
      </c>
      <c r="M32" s="295">
        <v>145.53761368000002</v>
      </c>
      <c r="N32" s="295">
        <v>131.09612285</v>
      </c>
      <c r="O32" s="224">
        <v>135.01779162</v>
      </c>
      <c r="P32" s="295">
        <v>186.80955642739201</v>
      </c>
      <c r="Q32" s="295">
        <v>191.99598179079999</v>
      </c>
      <c r="R32" s="224">
        <v>198.23690170609999</v>
      </c>
      <c r="S32" s="295">
        <v>196.62209035220002</v>
      </c>
      <c r="T32" s="295">
        <v>192.70914635999998</v>
      </c>
      <c r="U32" s="419">
        <v>208.26788869524802</v>
      </c>
      <c r="V32" s="419">
        <v>208.90080498292198</v>
      </c>
      <c r="W32" s="419">
        <v>214.59797326069997</v>
      </c>
      <c r="X32" s="419">
        <v>205.83065559184203</v>
      </c>
      <c r="Y32" s="419">
        <v>204.08373970267499</v>
      </c>
      <c r="Z32" s="419">
        <v>198.62210499682402</v>
      </c>
      <c r="AA32" s="419">
        <v>204.67757639345797</v>
      </c>
      <c r="AB32" s="419">
        <v>197.09025105275003</v>
      </c>
      <c r="AC32" s="419">
        <v>196.51090954755301</v>
      </c>
      <c r="AD32" s="419">
        <v>202.63536832102901</v>
      </c>
      <c r="AE32" s="419">
        <v>201.05450663677868</v>
      </c>
      <c r="AF32" s="419">
        <v>206.01312511168751</v>
      </c>
      <c r="AG32" s="419">
        <v>214.68709359682001</v>
      </c>
      <c r="AH32" s="419">
        <v>199.77982239619999</v>
      </c>
      <c r="AI32" s="419">
        <v>218.47805708356799</v>
      </c>
      <c r="AJ32" s="419">
        <v>205.72549899401599</v>
      </c>
      <c r="AK32" s="419">
        <v>205.96792474167</v>
      </c>
      <c r="AL32" s="419">
        <v>198.92989336639999</v>
      </c>
      <c r="AM32" s="297">
        <v>198.35554558512001</v>
      </c>
      <c r="AN32" s="297">
        <v>202.11933296262799</v>
      </c>
      <c r="AO32" s="297">
        <v>189.88258895100404</v>
      </c>
      <c r="AP32" s="297">
        <v>178.39323592220498</v>
      </c>
      <c r="AQ32" s="297">
        <v>181.692723829774</v>
      </c>
      <c r="AR32" s="418">
        <v>188.77173291461997</v>
      </c>
      <c r="AS32" s="418">
        <v>197.94253344000001</v>
      </c>
      <c r="AT32" s="418">
        <v>188.270279378016</v>
      </c>
      <c r="AU32" s="418">
        <v>196.19810038999998</v>
      </c>
      <c r="AV32" s="418">
        <v>180.07128118</v>
      </c>
      <c r="AW32" s="218">
        <v>172.62117612</v>
      </c>
      <c r="AX32" s="218">
        <v>166.05414146999999</v>
      </c>
      <c r="AY32" s="218">
        <v>170.11233213</v>
      </c>
      <c r="AZ32" s="218">
        <v>178.84907192000003</v>
      </c>
      <c r="BA32" s="218">
        <v>171.59122252999998</v>
      </c>
      <c r="BB32" s="218">
        <v>169.97594788999999</v>
      </c>
      <c r="BC32" s="218">
        <v>167.26369274000001</v>
      </c>
      <c r="BD32" s="218">
        <v>176.57161114000002</v>
      </c>
      <c r="BE32" s="218">
        <v>164.85178373000002</v>
      </c>
      <c r="BF32" s="218">
        <v>169.87015441999998</v>
      </c>
      <c r="BG32" s="218">
        <v>158.78019934392</v>
      </c>
      <c r="BH32" s="218">
        <v>162.19544779000003</v>
      </c>
      <c r="BI32" s="218">
        <v>168.97571375999999</v>
      </c>
      <c r="BJ32" s="218">
        <v>177.64796829000002</v>
      </c>
      <c r="BK32" s="218">
        <v>177.23504173000001</v>
      </c>
      <c r="BL32" s="218">
        <v>173.6722761</v>
      </c>
      <c r="BM32" s="218">
        <v>162.47436128999999</v>
      </c>
      <c r="BN32" s="218">
        <v>160.43448423000001</v>
      </c>
      <c r="BO32" s="218">
        <v>161.53261053999998</v>
      </c>
      <c r="BP32" s="218">
        <v>128.07402870000001</v>
      </c>
      <c r="BQ32" s="218">
        <v>125.85005543</v>
      </c>
      <c r="BR32" s="218">
        <v>121.80793532000003</v>
      </c>
      <c r="BS32" s="218">
        <v>130.39338036000001</v>
      </c>
      <c r="BT32" s="218">
        <v>138.66813169999998</v>
      </c>
      <c r="BU32" s="218">
        <v>138.07241931000002</v>
      </c>
      <c r="BV32" s="218">
        <v>158.78189895</v>
      </c>
      <c r="BW32" s="218">
        <v>132.5531411</v>
      </c>
      <c r="BX32" s="218">
        <v>124.66669349999998</v>
      </c>
      <c r="BY32" s="218">
        <v>113.60830847</v>
      </c>
      <c r="BZ32" s="218">
        <v>123.5</v>
      </c>
      <c r="CA32" s="218">
        <v>164.95755005999999</v>
      </c>
      <c r="CB32" s="218">
        <v>177.2015864</v>
      </c>
      <c r="CC32" s="218">
        <v>193.26253732000001</v>
      </c>
      <c r="CD32" s="218">
        <v>192.88159967999997</v>
      </c>
      <c r="CE32" s="218">
        <v>184.51640113999997</v>
      </c>
      <c r="CF32" s="218">
        <v>198.47289294392198</v>
      </c>
      <c r="CG32" s="218">
        <v>199.83347336999998</v>
      </c>
      <c r="CH32" s="218">
        <v>192.72449817999996</v>
      </c>
      <c r="CI32" s="218">
        <v>216.83481277000001</v>
      </c>
      <c r="CJ32" s="218">
        <v>210.47897127999997</v>
      </c>
      <c r="CK32" s="218">
        <v>194.58624557000002</v>
      </c>
      <c r="CL32" s="218">
        <v>199.75987399000002</v>
      </c>
      <c r="CM32" s="218">
        <v>203.09809205000002</v>
      </c>
      <c r="CN32" s="218">
        <v>204.64999940999999</v>
      </c>
      <c r="CO32" s="218">
        <v>221.03937699000002</v>
      </c>
      <c r="CP32" s="218">
        <v>221.95142896999999</v>
      </c>
      <c r="CQ32" s="218">
        <v>224.63160335000001</v>
      </c>
      <c r="CR32" s="218">
        <v>255.37537333200001</v>
      </c>
      <c r="CS32" s="218">
        <v>243.13694783</v>
      </c>
      <c r="CT32" s="218">
        <v>254.88248366999997</v>
      </c>
      <c r="CU32" s="218">
        <v>229.26020974000002</v>
      </c>
      <c r="CV32" s="218">
        <v>223.86129384999998</v>
      </c>
      <c r="CW32" s="218">
        <v>218.31627356999999</v>
      </c>
      <c r="CX32" s="218">
        <v>243.72593791000003</v>
      </c>
      <c r="CY32" s="218">
        <v>230.09221882</v>
      </c>
      <c r="CZ32" s="218">
        <v>217.97998961000002</v>
      </c>
      <c r="DA32" s="218">
        <v>227.18946084999999</v>
      </c>
      <c r="DB32" s="421">
        <v>225.41342435000001</v>
      </c>
      <c r="DC32" s="421">
        <v>229.84339907999998</v>
      </c>
      <c r="DD32" s="421">
        <v>219.78456971</v>
      </c>
      <c r="DE32" s="421">
        <v>229.35001772000004</v>
      </c>
      <c r="DF32" s="421">
        <v>218.35158142000003</v>
      </c>
      <c r="DG32" s="421">
        <v>136.84479168000001</v>
      </c>
      <c r="DH32" s="421">
        <v>113.54816340000001</v>
      </c>
      <c r="DI32" s="421">
        <v>114.42968809</v>
      </c>
      <c r="DJ32" s="421">
        <v>147.18651021999997</v>
      </c>
      <c r="DK32" s="421">
        <v>123.86807395</v>
      </c>
      <c r="DL32" s="421">
        <v>104.30948324000001</v>
      </c>
      <c r="DM32" s="421">
        <v>116.28419409</v>
      </c>
      <c r="DN32" s="421">
        <v>114.05336359</v>
      </c>
      <c r="DO32" s="421">
        <v>76.192870389999996</v>
      </c>
      <c r="DP32" s="421">
        <v>100.06703791</v>
      </c>
      <c r="DQ32" s="421">
        <v>107.21346042</v>
      </c>
      <c r="DR32" s="421">
        <v>112.57178802000001</v>
      </c>
      <c r="DS32" s="421">
        <v>136.72672969999999</v>
      </c>
      <c r="DT32" s="421">
        <v>158.78688453000001</v>
      </c>
      <c r="DU32" s="421">
        <v>139.30092685000002</v>
      </c>
      <c r="DV32" s="421">
        <v>157.35036982999998</v>
      </c>
      <c r="DW32" s="421">
        <v>159.46481009999999</v>
      </c>
      <c r="DX32" s="421">
        <v>142.53913288999999</v>
      </c>
      <c r="DY32" s="421">
        <v>138.02243579</v>
      </c>
      <c r="DZ32" s="421">
        <v>155.34140682</v>
      </c>
      <c r="EA32" s="421">
        <v>146.90757117000001</v>
      </c>
      <c r="EB32" s="421">
        <v>120.13824843</v>
      </c>
    </row>
    <row r="33" spans="1:132" ht="15.95" customHeight="1" x14ac:dyDescent="0.25">
      <c r="A33" s="417" t="s">
        <v>300</v>
      </c>
      <c r="B33" s="418">
        <v>114.45344073000001</v>
      </c>
      <c r="C33" s="295">
        <v>99.704000000000008</v>
      </c>
      <c r="D33" s="295">
        <v>86.748277700000003</v>
      </c>
      <c r="E33" s="224">
        <v>82.708195869999997</v>
      </c>
      <c r="F33" s="295">
        <v>98.616503129999998</v>
      </c>
      <c r="G33" s="295">
        <v>72.055042009999994</v>
      </c>
      <c r="H33" s="295">
        <v>43.372793119999997</v>
      </c>
      <c r="I33" s="295">
        <v>90.011262909999999</v>
      </c>
      <c r="J33" s="295">
        <v>105.01609831</v>
      </c>
      <c r="K33" s="224">
        <v>71.645405640000007</v>
      </c>
      <c r="L33" s="295">
        <v>86.211463520000009</v>
      </c>
      <c r="M33" s="295">
        <v>56.909129269999994</v>
      </c>
      <c r="N33" s="295">
        <v>41.822000000000003</v>
      </c>
      <c r="O33" s="224">
        <v>50.652037480000004</v>
      </c>
      <c r="P33" s="295">
        <v>55.632497480000005</v>
      </c>
      <c r="Q33" s="295">
        <v>57.427219749999999</v>
      </c>
      <c r="R33" s="224">
        <v>116.56919108</v>
      </c>
      <c r="S33" s="295">
        <v>49.010033799999995</v>
      </c>
      <c r="T33" s="295">
        <v>35.470640850000002</v>
      </c>
      <c r="U33" s="419">
        <v>69.31536444999999</v>
      </c>
      <c r="V33" s="419">
        <v>64.461098680000006</v>
      </c>
      <c r="W33" s="419">
        <v>40.931335730000001</v>
      </c>
      <c r="X33" s="419">
        <v>48.409954450000001</v>
      </c>
      <c r="Y33" s="419">
        <v>33.191553720000002</v>
      </c>
      <c r="Z33" s="419">
        <v>117.00602423000001</v>
      </c>
      <c r="AA33" s="419">
        <v>139.04881968000001</v>
      </c>
      <c r="AB33" s="419">
        <v>44.717543369999994</v>
      </c>
      <c r="AC33" s="419">
        <v>72.287639599999991</v>
      </c>
      <c r="AD33" s="419">
        <v>22.558524139999999</v>
      </c>
      <c r="AE33" s="419">
        <v>42.715292739999995</v>
      </c>
      <c r="AF33" s="419">
        <v>85.7283233</v>
      </c>
      <c r="AG33" s="419">
        <v>110.01511720000001</v>
      </c>
      <c r="AH33" s="419">
        <v>80.515078219999992</v>
      </c>
      <c r="AI33" s="419">
        <v>87.519785420000005</v>
      </c>
      <c r="AJ33" s="419">
        <v>107.78356589000001</v>
      </c>
      <c r="AK33" s="419">
        <v>136.71970745000002</v>
      </c>
      <c r="AL33" s="419">
        <v>117.87130501999999</v>
      </c>
      <c r="AM33" s="297">
        <v>137.54589321</v>
      </c>
      <c r="AN33" s="297">
        <v>104.18372838000001</v>
      </c>
      <c r="AO33" s="297">
        <v>107.08101313000002</v>
      </c>
      <c r="AP33" s="297">
        <v>111.35514560999999</v>
      </c>
      <c r="AQ33" s="297">
        <v>118.06027586999998</v>
      </c>
      <c r="AR33" s="418">
        <v>106.88014185</v>
      </c>
      <c r="AS33" s="418">
        <v>104.64156715</v>
      </c>
      <c r="AT33" s="418">
        <v>102.31124568999999</v>
      </c>
      <c r="AU33" s="418">
        <v>118.17537926999999</v>
      </c>
      <c r="AV33" s="418">
        <v>100.572051836</v>
      </c>
      <c r="AW33" s="218">
        <v>101.0723290116</v>
      </c>
      <c r="AX33" s="218">
        <v>101.48423714</v>
      </c>
      <c r="AY33" s="218">
        <v>200.88283938000001</v>
      </c>
      <c r="AZ33" s="218">
        <v>101.39260682</v>
      </c>
      <c r="BA33" s="218">
        <v>98.940275439999994</v>
      </c>
      <c r="BB33" s="218">
        <v>106.68135240000001</v>
      </c>
      <c r="BC33" s="218">
        <v>99.991705420000002</v>
      </c>
      <c r="BD33" s="218">
        <v>100.63581572</v>
      </c>
      <c r="BE33" s="218">
        <v>101.26156373000001</v>
      </c>
      <c r="BF33" s="218">
        <v>102.27182934999999</v>
      </c>
      <c r="BG33" s="218">
        <v>101.06587696000001</v>
      </c>
      <c r="BH33" s="218">
        <v>100.36830617</v>
      </c>
      <c r="BI33" s="218">
        <v>99.469764060000003</v>
      </c>
      <c r="BJ33" s="218">
        <v>105.04198081</v>
      </c>
      <c r="BK33" s="218">
        <v>105.77165236000002</v>
      </c>
      <c r="BL33" s="218">
        <v>110.50747477</v>
      </c>
      <c r="BM33" s="218">
        <v>110.77199189999999</v>
      </c>
      <c r="BN33" s="218">
        <v>104.68397661000002</v>
      </c>
      <c r="BO33" s="218">
        <v>179.63714135999999</v>
      </c>
      <c r="BP33" s="218">
        <v>179.14162669000001</v>
      </c>
      <c r="BQ33" s="218">
        <v>191.25821807</v>
      </c>
      <c r="BR33" s="218">
        <v>177.85861935000003</v>
      </c>
      <c r="BS33" s="218">
        <v>176.03233316000001</v>
      </c>
      <c r="BT33" s="218">
        <v>173.98821156</v>
      </c>
      <c r="BU33" s="218">
        <v>173.79330754000003</v>
      </c>
      <c r="BV33" s="218">
        <v>186.29218322</v>
      </c>
      <c r="BW33" s="218">
        <v>166.32805578</v>
      </c>
      <c r="BX33" s="218">
        <v>96.300700399999997</v>
      </c>
      <c r="BY33" s="218">
        <v>96.555892209999996</v>
      </c>
      <c r="BZ33" s="218">
        <v>117</v>
      </c>
      <c r="CA33" s="218">
        <v>327.16980612190002</v>
      </c>
      <c r="CB33" s="218">
        <v>315.83441252520004</v>
      </c>
      <c r="CC33" s="218">
        <v>97.244355690000006</v>
      </c>
      <c r="CD33" s="218">
        <v>97.144225640000016</v>
      </c>
      <c r="CE33" s="218">
        <v>130.09404003999998</v>
      </c>
      <c r="CF33" s="218">
        <v>148.77235172000002</v>
      </c>
      <c r="CG33" s="218">
        <v>105.11936122</v>
      </c>
      <c r="CH33" s="218">
        <v>121.50673423000001</v>
      </c>
      <c r="CI33" s="218">
        <v>124.21850848</v>
      </c>
      <c r="CJ33" s="218">
        <v>122.63656034</v>
      </c>
      <c r="CK33" s="218">
        <v>140.47484263999999</v>
      </c>
      <c r="CL33" s="218">
        <v>105.70575474</v>
      </c>
      <c r="CM33" s="218">
        <v>114.89270558</v>
      </c>
      <c r="CN33" s="218">
        <v>126.83694008999998</v>
      </c>
      <c r="CO33" s="218">
        <v>110.64921754</v>
      </c>
      <c r="CP33" s="218">
        <v>99.145994840000014</v>
      </c>
      <c r="CQ33" s="218">
        <v>179.94994226999998</v>
      </c>
      <c r="CR33" s="218">
        <v>160.92463586999997</v>
      </c>
      <c r="CS33" s="218">
        <v>135.09033431999998</v>
      </c>
      <c r="CT33" s="218">
        <v>140.67405260999999</v>
      </c>
      <c r="CU33" s="218">
        <v>151.003748</v>
      </c>
      <c r="CV33" s="218">
        <v>146.03221798000001</v>
      </c>
      <c r="CW33" s="218">
        <v>203.79691233000003</v>
      </c>
      <c r="CX33" s="218">
        <v>151.72788442000001</v>
      </c>
      <c r="CY33" s="218">
        <v>143.42008215999999</v>
      </c>
      <c r="CZ33" s="218">
        <v>102.26512584000001</v>
      </c>
      <c r="DA33" s="218">
        <v>119.23910370000002</v>
      </c>
      <c r="DB33" s="421">
        <v>86.268810970000004</v>
      </c>
      <c r="DC33" s="421">
        <v>80.582246189999992</v>
      </c>
      <c r="DD33" s="421">
        <v>86.03819999000001</v>
      </c>
      <c r="DE33" s="421">
        <v>149.34097087000001</v>
      </c>
      <c r="DF33" s="421">
        <v>126.11912100000001</v>
      </c>
      <c r="DG33" s="421">
        <v>110.53387240000001</v>
      </c>
      <c r="DH33" s="421">
        <v>59.015373770000004</v>
      </c>
      <c r="DI33" s="421">
        <v>92.048594280000003</v>
      </c>
      <c r="DJ33" s="421">
        <v>62.764448790000003</v>
      </c>
      <c r="DK33" s="421">
        <v>126.25569025</v>
      </c>
      <c r="DL33" s="421">
        <v>74.628025680000007</v>
      </c>
      <c r="DM33" s="421">
        <v>65.917897359999998</v>
      </c>
      <c r="DN33" s="421">
        <v>112.38806081000001</v>
      </c>
      <c r="DO33" s="421">
        <v>91.573648689999999</v>
      </c>
      <c r="DP33" s="421">
        <v>73.369487679999992</v>
      </c>
      <c r="DQ33" s="421">
        <v>41.788475520000006</v>
      </c>
      <c r="DR33" s="421">
        <v>65.313737979999999</v>
      </c>
      <c r="DS33" s="421">
        <v>59.793046109999999</v>
      </c>
      <c r="DT33" s="421">
        <v>129.31287355000001</v>
      </c>
      <c r="DU33" s="421">
        <v>129.97698156999999</v>
      </c>
      <c r="DV33" s="421">
        <v>86.69772485999998</v>
      </c>
      <c r="DW33" s="421">
        <v>62.931069030000003</v>
      </c>
      <c r="DX33" s="421">
        <v>74.562955509999995</v>
      </c>
      <c r="DY33" s="421">
        <v>104.84351746999999</v>
      </c>
      <c r="DZ33" s="421">
        <v>104.34421483999999</v>
      </c>
      <c r="EA33" s="421">
        <v>61.079368879999997</v>
      </c>
      <c r="EB33" s="421">
        <v>102.46350220000001</v>
      </c>
    </row>
    <row r="34" spans="1:132" ht="15.95" customHeight="1" x14ac:dyDescent="0.25">
      <c r="A34" s="417" t="s">
        <v>283</v>
      </c>
      <c r="B34" s="418">
        <v>2584.0691234332435</v>
      </c>
      <c r="C34" s="295">
        <v>2502.5072279668798</v>
      </c>
      <c r="D34" s="295">
        <v>2618.2954970914407</v>
      </c>
      <c r="E34" s="224">
        <v>2405.7028710025006</v>
      </c>
      <c r="F34" s="295">
        <v>2434.2028871593898</v>
      </c>
      <c r="G34" s="295">
        <v>2433.7696518176899</v>
      </c>
      <c r="H34" s="295">
        <v>2307.3440869599999</v>
      </c>
      <c r="I34" s="295">
        <v>2364.1858472471995</v>
      </c>
      <c r="J34" s="295">
        <v>2401.484966</v>
      </c>
      <c r="K34" s="224">
        <v>2415.7989406988281</v>
      </c>
      <c r="L34" s="295">
        <v>2398.59363089</v>
      </c>
      <c r="M34" s="295">
        <v>2440.5669922362563</v>
      </c>
      <c r="N34" s="295">
        <v>2395.8200874511281</v>
      </c>
      <c r="O34" s="224">
        <v>2449.2566982579679</v>
      </c>
      <c r="P34" s="295">
        <v>2478.0919903911681</v>
      </c>
      <c r="Q34" s="295">
        <v>2507.9984458537829</v>
      </c>
      <c r="R34" s="224">
        <v>2545.2617323390746</v>
      </c>
      <c r="S34" s="295">
        <v>2581.279009063604</v>
      </c>
      <c r="T34" s="295">
        <v>2639.4203197248521</v>
      </c>
      <c r="U34" s="419">
        <v>2627.3473755171958</v>
      </c>
      <c r="V34" s="419">
        <v>2765.5933041577105</v>
      </c>
      <c r="W34" s="419">
        <v>2720.3057713025714</v>
      </c>
      <c r="X34" s="419">
        <v>2814.8598975876303</v>
      </c>
      <c r="Y34" s="419">
        <v>2784.6080039760236</v>
      </c>
      <c r="Z34" s="419">
        <v>2502.6274114717762</v>
      </c>
      <c r="AA34" s="419">
        <v>2525.5556401726199</v>
      </c>
      <c r="AB34" s="419">
        <v>2694.1426267412303</v>
      </c>
      <c r="AC34" s="419">
        <v>2494.1741218903121</v>
      </c>
      <c r="AD34" s="419">
        <v>2675.2977028743107</v>
      </c>
      <c r="AE34" s="419">
        <v>2531.7372881548072</v>
      </c>
      <c r="AF34" s="419">
        <v>2501.9437331199874</v>
      </c>
      <c r="AG34" s="419">
        <v>2673.2929988378964</v>
      </c>
      <c r="AH34" s="419">
        <v>2709.54130890744</v>
      </c>
      <c r="AI34" s="419">
        <v>2518.3126664581964</v>
      </c>
      <c r="AJ34" s="419">
        <v>2592.0647094128644</v>
      </c>
      <c r="AK34" s="419">
        <v>2591.8862847660598</v>
      </c>
      <c r="AL34" s="419">
        <v>2673.6402237064299</v>
      </c>
      <c r="AM34" s="297">
        <v>2778.5381851616107</v>
      </c>
      <c r="AN34" s="297">
        <v>2875.209174307608</v>
      </c>
      <c r="AO34" s="297">
        <v>3031.1043445189084</v>
      </c>
      <c r="AP34" s="297">
        <v>3048.5302861297232</v>
      </c>
      <c r="AQ34" s="297">
        <v>3019.9528259975668</v>
      </c>
      <c r="AR34" s="418">
        <v>3302.4105886041725</v>
      </c>
      <c r="AS34" s="418">
        <v>3309.5826069479999</v>
      </c>
      <c r="AT34" s="418">
        <v>3411.5961864697115</v>
      </c>
      <c r="AU34" s="418">
        <v>3490.7335543008844</v>
      </c>
      <c r="AV34" s="418">
        <v>3608.9346765320006</v>
      </c>
      <c r="AW34" s="218">
        <v>3656.6279004192002</v>
      </c>
      <c r="AX34" s="218">
        <v>3920.8016715332169</v>
      </c>
      <c r="AY34" s="218">
        <v>3984.822853867201</v>
      </c>
      <c r="AZ34" s="218">
        <v>3884.3129099927596</v>
      </c>
      <c r="BA34" s="218">
        <v>3916.9496417009495</v>
      </c>
      <c r="BB34" s="218">
        <v>3838.476218883</v>
      </c>
      <c r="BC34" s="218">
        <v>3999.696298738349</v>
      </c>
      <c r="BD34" s="218">
        <v>4126.3830231343045</v>
      </c>
      <c r="BE34" s="218">
        <v>4149.8841865626473</v>
      </c>
      <c r="BF34" s="218">
        <v>3960.0629855249244</v>
      </c>
      <c r="BG34" s="218">
        <v>4121.63582510792</v>
      </c>
      <c r="BH34" s="218">
        <v>4226.890925644444</v>
      </c>
      <c r="BI34" s="218">
        <v>3992.5112830776552</v>
      </c>
      <c r="BJ34" s="218">
        <v>3706.9053025522962</v>
      </c>
      <c r="BK34" s="218">
        <v>3790.9021296137357</v>
      </c>
      <c r="BL34" s="218">
        <v>3898.3213439115116</v>
      </c>
      <c r="BM34" s="218">
        <v>3956.278062564772</v>
      </c>
      <c r="BN34" s="218">
        <v>3994.268365413086</v>
      </c>
      <c r="BO34" s="218">
        <v>4189.313796861722</v>
      </c>
      <c r="BP34" s="218">
        <v>4284.5490874570824</v>
      </c>
      <c r="BQ34" s="218">
        <v>4485.9378921075404</v>
      </c>
      <c r="BR34" s="218">
        <v>4408.9237224656945</v>
      </c>
      <c r="BS34" s="218">
        <v>4608.1733101818927</v>
      </c>
      <c r="BT34" s="218">
        <v>4686.9736283341472</v>
      </c>
      <c r="BU34" s="218">
        <v>4653.0649879088678</v>
      </c>
      <c r="BV34" s="218">
        <v>4633.4331871187578</v>
      </c>
      <c r="BW34" s="218">
        <v>4653.9778186011654</v>
      </c>
      <c r="BX34" s="218">
        <v>4698.3504031965003</v>
      </c>
      <c r="BY34" s="218">
        <v>4936.2206234471996</v>
      </c>
      <c r="BZ34" s="218">
        <v>4504.8999999999996</v>
      </c>
      <c r="CA34" s="218">
        <v>4473.7121715940957</v>
      </c>
      <c r="CB34" s="218">
        <v>4576.9378655364262</v>
      </c>
      <c r="CC34" s="218">
        <v>4617.7249940811307</v>
      </c>
      <c r="CD34" s="218">
        <v>4625.8396103387422</v>
      </c>
      <c r="CE34" s="218">
        <v>4709.4976142422802</v>
      </c>
      <c r="CF34" s="218">
        <v>4910.9788726282986</v>
      </c>
      <c r="CG34" s="218">
        <v>4690.746654579365</v>
      </c>
      <c r="CH34" s="218">
        <v>4597.9984281177312</v>
      </c>
      <c r="CI34" s="218">
        <v>4614.4393789309843</v>
      </c>
      <c r="CJ34" s="218">
        <v>4599.4399279357258</v>
      </c>
      <c r="CK34" s="218">
        <v>4534.9156943326952</v>
      </c>
      <c r="CL34" s="218">
        <v>4808.2402846302748</v>
      </c>
      <c r="CM34" s="218">
        <v>4731.7891083057284</v>
      </c>
      <c r="CN34" s="218">
        <v>4660.2725908522871</v>
      </c>
      <c r="CO34" s="218">
        <v>4715.511403845906</v>
      </c>
      <c r="CP34" s="218">
        <v>4834.0856087451948</v>
      </c>
      <c r="CQ34" s="218">
        <v>4852.7324877344299</v>
      </c>
      <c r="CR34" s="218">
        <v>4756.0766773243795</v>
      </c>
      <c r="CS34" s="218">
        <v>4356.1605687254214</v>
      </c>
      <c r="CT34" s="218">
        <v>4560.0350648851509</v>
      </c>
      <c r="CU34" s="218">
        <v>4586.0337356784257</v>
      </c>
      <c r="CV34" s="218">
        <v>4553.9093444831387</v>
      </c>
      <c r="CW34" s="218">
        <v>4370.8053132127534</v>
      </c>
      <c r="CX34" s="218">
        <v>4414.112776287132</v>
      </c>
      <c r="CY34" s="218">
        <v>4520.2382485368289</v>
      </c>
      <c r="CZ34" s="218">
        <v>4801.2743753836294</v>
      </c>
      <c r="DA34" s="218">
        <v>4957.7581408468159</v>
      </c>
      <c r="DB34" s="421">
        <v>5020.0848936221382</v>
      </c>
      <c r="DC34" s="421">
        <v>4928.0467187170652</v>
      </c>
      <c r="DD34" s="421">
        <v>4631.5355443207081</v>
      </c>
      <c r="DE34" s="421">
        <v>4489.0790226495164</v>
      </c>
      <c r="DF34" s="421">
        <v>4517.5566947531479</v>
      </c>
      <c r="DG34" s="421">
        <v>4498.8856054008156</v>
      </c>
      <c r="DH34" s="421">
        <v>4481.1123959399729</v>
      </c>
      <c r="DI34" s="421">
        <v>4403.4969460716084</v>
      </c>
      <c r="DJ34" s="421">
        <v>4555.4384073198817</v>
      </c>
      <c r="DK34" s="421">
        <v>4686.7859283755261</v>
      </c>
      <c r="DL34" s="421">
        <v>5015.9983491151324</v>
      </c>
      <c r="DM34" s="421">
        <v>5146.4015723533857</v>
      </c>
      <c r="DN34" s="421">
        <v>5181.5018734402993</v>
      </c>
      <c r="DO34" s="421">
        <v>5387.0593270309428</v>
      </c>
      <c r="DP34" s="421">
        <v>4957.5420081963885</v>
      </c>
      <c r="DQ34" s="421">
        <v>4889.6510353684507</v>
      </c>
      <c r="DR34" s="421">
        <v>5164.8123622297144</v>
      </c>
      <c r="DS34" s="421">
        <v>5071.7244875444258</v>
      </c>
      <c r="DT34" s="421">
        <v>5172.6351945485912</v>
      </c>
      <c r="DU34" s="421">
        <v>5177.9254871589983</v>
      </c>
      <c r="DV34" s="421">
        <v>5307.9265304158789</v>
      </c>
      <c r="DW34" s="421">
        <v>5346.364734608178</v>
      </c>
      <c r="DX34" s="421">
        <v>6159.6289634396662</v>
      </c>
      <c r="DY34" s="421">
        <v>6298.6699053517723</v>
      </c>
      <c r="DZ34" s="421">
        <v>6348.1219881867673</v>
      </c>
      <c r="EA34" s="421">
        <v>6169.1075029714566</v>
      </c>
      <c r="EB34" s="421">
        <v>5991.1487580566081</v>
      </c>
    </row>
    <row r="35" spans="1:132" ht="7.7" customHeight="1" x14ac:dyDescent="0.25">
      <c r="A35" s="417"/>
      <c r="B35" s="411"/>
      <c r="C35" s="215"/>
      <c r="D35" s="215"/>
      <c r="E35" s="227"/>
      <c r="F35" s="215"/>
      <c r="G35" s="215"/>
      <c r="H35" s="295"/>
      <c r="I35" s="295"/>
      <c r="J35" s="295"/>
      <c r="K35" s="224"/>
      <c r="L35" s="295"/>
      <c r="M35" s="295"/>
      <c r="N35" s="295"/>
      <c r="O35" s="224"/>
      <c r="P35" s="295"/>
      <c r="Q35" s="295"/>
      <c r="R35" s="224"/>
      <c r="S35" s="295"/>
      <c r="T35" s="295"/>
      <c r="U35" s="419"/>
      <c r="V35" s="419"/>
      <c r="W35" s="419"/>
      <c r="X35" s="419"/>
      <c r="Y35" s="419"/>
      <c r="Z35" s="419"/>
      <c r="AA35" s="419"/>
      <c r="AB35" s="419"/>
      <c r="AC35" s="419"/>
      <c r="AD35" s="419"/>
      <c r="AE35" s="419"/>
      <c r="AF35" s="419"/>
      <c r="AG35" s="419"/>
      <c r="AH35" s="419"/>
      <c r="AI35" s="419"/>
      <c r="AJ35" s="419"/>
      <c r="AK35" s="419"/>
      <c r="AL35" s="419"/>
      <c r="AM35" s="296"/>
      <c r="AN35" s="296"/>
      <c r="AO35" s="296"/>
      <c r="AP35" s="296"/>
      <c r="AQ35" s="296"/>
      <c r="AR35" s="411"/>
      <c r="AS35" s="411"/>
      <c r="AT35" s="411"/>
      <c r="AU35" s="411"/>
      <c r="AV35" s="411"/>
      <c r="AW35" s="414"/>
      <c r="AX35" s="414"/>
      <c r="AY35" s="414"/>
      <c r="AZ35" s="414"/>
      <c r="BA35" s="414"/>
      <c r="BB35" s="414"/>
      <c r="BC35" s="414"/>
      <c r="BD35" s="414"/>
      <c r="BE35" s="414"/>
      <c r="BF35" s="414"/>
      <c r="BG35" s="414"/>
      <c r="BH35" s="414"/>
      <c r="BI35" s="414"/>
      <c r="BJ35" s="414"/>
      <c r="BK35" s="414"/>
      <c r="BL35" s="414"/>
      <c r="BM35" s="414"/>
      <c r="BN35" s="414"/>
      <c r="BO35" s="414"/>
      <c r="BP35" s="414"/>
      <c r="BQ35" s="414"/>
      <c r="BR35" s="414"/>
      <c r="BS35" s="414"/>
      <c r="BT35" s="414"/>
      <c r="BU35" s="414"/>
      <c r="BV35" s="414"/>
      <c r="BW35" s="414"/>
      <c r="BX35" s="414"/>
      <c r="BY35" s="414"/>
      <c r="BZ35" s="414"/>
      <c r="CA35" s="414"/>
      <c r="CB35" s="414"/>
      <c r="CC35" s="414"/>
      <c r="CD35" s="414"/>
      <c r="CE35" s="414"/>
      <c r="CF35" s="414"/>
      <c r="CG35" s="414"/>
      <c r="CH35" s="414"/>
      <c r="CI35" s="414"/>
      <c r="CJ35" s="414"/>
      <c r="CK35" s="414"/>
      <c r="CL35" s="414"/>
      <c r="CM35" s="414"/>
      <c r="CN35" s="414"/>
      <c r="CO35" s="414"/>
      <c r="CP35" s="414"/>
      <c r="CQ35" s="414"/>
      <c r="CR35" s="414"/>
      <c r="CS35" s="414"/>
      <c r="CT35" s="414"/>
      <c r="CU35" s="414"/>
      <c r="CV35" s="414"/>
      <c r="CW35" s="414"/>
      <c r="CX35" s="414"/>
      <c r="CY35" s="414"/>
      <c r="CZ35" s="414"/>
      <c r="DA35" s="414"/>
      <c r="DB35" s="421"/>
      <c r="DC35" s="421"/>
      <c r="DD35" s="421"/>
      <c r="DE35" s="421"/>
      <c r="DF35" s="421"/>
      <c r="DG35" s="421"/>
      <c r="DH35" s="421"/>
      <c r="DI35" s="421"/>
      <c r="DJ35" s="421"/>
      <c r="DK35" s="421"/>
      <c r="DL35" s="421"/>
      <c r="DM35" s="421"/>
      <c r="DN35" s="421"/>
      <c r="DO35" s="421"/>
      <c r="DP35" s="421"/>
      <c r="DQ35" s="421"/>
      <c r="DR35" s="421"/>
      <c r="DS35" s="421"/>
      <c r="DT35" s="421"/>
      <c r="DU35" s="421"/>
      <c r="DV35" s="421"/>
      <c r="DW35" s="421"/>
      <c r="DX35" s="421"/>
      <c r="DY35" s="421"/>
      <c r="DZ35" s="421"/>
      <c r="EA35" s="421"/>
      <c r="EB35" s="421"/>
    </row>
    <row r="36" spans="1:132" x14ac:dyDescent="0.25">
      <c r="A36" s="410" t="s">
        <v>301</v>
      </c>
      <c r="B36" s="411">
        <f>SUM(B38:B44)</f>
        <v>15116.942524435231</v>
      </c>
      <c r="C36" s="215">
        <f>SUM(C38:C44)</f>
        <v>15340.222457769232</v>
      </c>
      <c r="D36" s="215">
        <f>SUM(D38:D44)</f>
        <v>15436.7207706386</v>
      </c>
      <c r="E36" s="227">
        <f>SUM(E38:E44)</f>
        <v>15692.966629632501</v>
      </c>
      <c r="F36" s="215">
        <v>15896.994440702552</v>
      </c>
      <c r="G36" s="215">
        <v>15813.534849207481</v>
      </c>
      <c r="H36" s="215">
        <v>16155.643936807443</v>
      </c>
      <c r="I36" s="215">
        <v>15698.908377838319</v>
      </c>
      <c r="J36" s="215">
        <v>15609.721732529999</v>
      </c>
      <c r="K36" s="227">
        <v>15277.935578577499</v>
      </c>
      <c r="L36" s="215">
        <v>15313.442857202497</v>
      </c>
      <c r="M36" s="215">
        <v>15684.186930290001</v>
      </c>
      <c r="N36" s="215">
        <v>15340.489823020771</v>
      </c>
      <c r="O36" s="227">
        <v>15862.4246946275</v>
      </c>
      <c r="P36" s="215">
        <v>15831.258217189999</v>
      </c>
      <c r="Q36" s="215">
        <v>16036.405133759001</v>
      </c>
      <c r="R36" s="227">
        <v>16714.162621351337</v>
      </c>
      <c r="S36" s="215">
        <v>16902.897127363605</v>
      </c>
      <c r="T36" s="215">
        <v>17958.848678855</v>
      </c>
      <c r="U36" s="217">
        <v>17862.567996480313</v>
      </c>
      <c r="V36" s="217">
        <v>18648.170724910793</v>
      </c>
      <c r="W36" s="217">
        <v>18184.048520572302</v>
      </c>
      <c r="X36" s="217">
        <v>17971.699280649998</v>
      </c>
      <c r="Y36" s="217">
        <v>17763.138895170996</v>
      </c>
      <c r="Z36" s="217">
        <v>17882.814975919999</v>
      </c>
      <c r="AA36" s="217">
        <v>17333.195110600001</v>
      </c>
      <c r="AB36" s="217">
        <v>19013.070763780001</v>
      </c>
      <c r="AC36" s="217">
        <v>18597.881258420002</v>
      </c>
      <c r="AD36" s="217">
        <v>20126.91926720001</v>
      </c>
      <c r="AE36" s="217">
        <v>20737.70626599</v>
      </c>
      <c r="AF36" s="217">
        <v>21339.073223082003</v>
      </c>
      <c r="AG36" s="217">
        <v>21726.624711916276</v>
      </c>
      <c r="AH36" s="217">
        <v>21976.713323428557</v>
      </c>
      <c r="AI36" s="217">
        <v>22073.532365816147</v>
      </c>
      <c r="AJ36" s="217">
        <v>22743.688729123929</v>
      </c>
      <c r="AK36" s="217">
        <v>23623.890787420289</v>
      </c>
      <c r="AL36" s="217">
        <v>24037.577134998959</v>
      </c>
      <c r="AM36" s="296">
        <v>24911.486120716982</v>
      </c>
      <c r="AN36" s="296">
        <v>25441.509448169909</v>
      </c>
      <c r="AO36" s="296">
        <v>26831.381436573607</v>
      </c>
      <c r="AP36" s="296">
        <v>27969.412402886199</v>
      </c>
      <c r="AQ36" s="296">
        <v>29204.06130761261</v>
      </c>
      <c r="AR36" s="411">
        <v>30061.478746890338</v>
      </c>
      <c r="AS36" s="411">
        <v>30013.07777618412</v>
      </c>
      <c r="AT36" s="411">
        <v>30240.192163557422</v>
      </c>
      <c r="AU36" s="411">
        <v>30493.290275353091</v>
      </c>
      <c r="AV36" s="411">
        <v>29986.643425269827</v>
      </c>
      <c r="AW36" s="414">
        <v>30192.637866626181</v>
      </c>
      <c r="AX36" s="414">
        <v>30133.677872429409</v>
      </c>
      <c r="AY36" s="414">
        <v>30471.485060851031</v>
      </c>
      <c r="AZ36" s="414">
        <v>30814.396110226819</v>
      </c>
      <c r="BA36" s="414">
        <v>31102.514827486215</v>
      </c>
      <c r="BB36" s="414">
        <v>31324.312980510891</v>
      </c>
      <c r="BC36" s="414">
        <v>31735.331435496766</v>
      </c>
      <c r="BD36" s="414">
        <v>32669.055944429387</v>
      </c>
      <c r="BE36" s="414">
        <v>32063.951929540497</v>
      </c>
      <c r="BF36" s="414">
        <v>32456.412352301537</v>
      </c>
      <c r="BG36" s="414">
        <v>32873.883856290136</v>
      </c>
      <c r="BH36" s="414">
        <v>33648.244522643181</v>
      </c>
      <c r="BI36" s="414">
        <v>34850.645398997061</v>
      </c>
      <c r="BJ36" s="414">
        <v>35310.939554479104</v>
      </c>
      <c r="BK36" s="414">
        <v>36406.38836048833</v>
      </c>
      <c r="BL36" s="414">
        <v>37340.338138703453</v>
      </c>
      <c r="BM36" s="414">
        <v>38538.254944416709</v>
      </c>
      <c r="BN36" s="414">
        <v>39024.947403573518</v>
      </c>
      <c r="BO36" s="414">
        <v>39583.737789667422</v>
      </c>
      <c r="BP36" s="414">
        <v>40380.426747892197</v>
      </c>
      <c r="BQ36" s="414">
        <v>40096.49645331646</v>
      </c>
      <c r="BR36" s="414">
        <v>40715.427971786092</v>
      </c>
      <c r="BS36" s="414">
        <v>40250.810220386367</v>
      </c>
      <c r="BT36" s="414">
        <v>40391.272727638607</v>
      </c>
      <c r="BU36" s="414">
        <v>40962.521936381578</v>
      </c>
      <c r="BV36" s="414">
        <v>42205.435526976828</v>
      </c>
      <c r="BW36" s="414">
        <v>42550.799013972035</v>
      </c>
      <c r="BX36" s="414">
        <v>43118.261591039991</v>
      </c>
      <c r="BY36" s="414">
        <v>43289.48516640289</v>
      </c>
      <c r="BZ36" s="414">
        <v>43572</v>
      </c>
      <c r="CA36" s="414">
        <v>43444.522447301875</v>
      </c>
      <c r="CB36" s="414">
        <v>43029.902938804204</v>
      </c>
      <c r="CC36" s="414">
        <v>42472.792006511074</v>
      </c>
      <c r="CD36" s="414">
        <v>42379.602888459645</v>
      </c>
      <c r="CE36" s="414">
        <v>42130.619052599061</v>
      </c>
      <c r="CF36" s="414">
        <v>41879.675503155711</v>
      </c>
      <c r="CG36" s="414">
        <v>42072.724455766023</v>
      </c>
      <c r="CH36" s="414">
        <v>43325.198968531164</v>
      </c>
      <c r="CI36" s="414">
        <v>43253.540572116843</v>
      </c>
      <c r="CJ36" s="414">
        <v>43570.095512344735</v>
      </c>
      <c r="CK36" s="414">
        <v>43992.604062785947</v>
      </c>
      <c r="CL36" s="414">
        <v>44659.551017516926</v>
      </c>
      <c r="CM36" s="414">
        <v>44737.278299508798</v>
      </c>
      <c r="CN36" s="414">
        <v>44805.743884943127</v>
      </c>
      <c r="CO36" s="414">
        <v>45123.066840000254</v>
      </c>
      <c r="CP36" s="414">
        <v>45279.146631420466</v>
      </c>
      <c r="CQ36" s="414">
        <v>44971.320502872113</v>
      </c>
      <c r="CR36" s="414">
        <v>45202.129109198577</v>
      </c>
      <c r="CS36" s="414">
        <v>44989.868385167581</v>
      </c>
      <c r="CT36" s="414">
        <v>45940.266697205188</v>
      </c>
      <c r="CU36" s="414">
        <v>45591.969206117072</v>
      </c>
      <c r="CV36" s="414">
        <v>46371.272110202131</v>
      </c>
      <c r="CW36" s="414">
        <v>48123.760424358501</v>
      </c>
      <c r="CX36" s="414">
        <v>47365.641809494336</v>
      </c>
      <c r="CY36" s="414">
        <v>46953.146010267134</v>
      </c>
      <c r="CZ36" s="414">
        <v>48756.074992337381</v>
      </c>
      <c r="DA36" s="414">
        <v>48370.2747426356</v>
      </c>
      <c r="DB36" s="423">
        <v>48262.782983742021</v>
      </c>
      <c r="DC36" s="423">
        <v>48080.005765923037</v>
      </c>
      <c r="DD36" s="423">
        <v>47946.41567659648</v>
      </c>
      <c r="DE36" s="423">
        <v>47011.860843169496</v>
      </c>
      <c r="DF36" s="423">
        <v>48211.463707805138</v>
      </c>
      <c r="DG36" s="423">
        <v>47451.245688336901</v>
      </c>
      <c r="DH36" s="423">
        <v>47074.766595301735</v>
      </c>
      <c r="DI36" s="423">
        <v>47308.654934858081</v>
      </c>
      <c r="DJ36" s="423">
        <v>47230.104163937431</v>
      </c>
      <c r="DK36" s="423">
        <v>47233.082972101809</v>
      </c>
      <c r="DL36" s="423">
        <v>47561.8531385553</v>
      </c>
      <c r="DM36" s="423">
        <v>46295.188279658156</v>
      </c>
      <c r="DN36" s="423">
        <v>46208.976783235143</v>
      </c>
      <c r="DO36" s="423">
        <v>46396.32935767922</v>
      </c>
      <c r="DP36" s="423">
        <v>45966.468991512796</v>
      </c>
      <c r="DQ36" s="423">
        <v>46806.99148102005</v>
      </c>
      <c r="DR36" s="423">
        <v>47536.385280782612</v>
      </c>
      <c r="DS36" s="423">
        <v>46230.592650292077</v>
      </c>
      <c r="DT36" s="423">
        <v>47414.384471721263</v>
      </c>
      <c r="DU36" s="423">
        <v>48168.189038257427</v>
      </c>
      <c r="DV36" s="423">
        <v>47778.882680371258</v>
      </c>
      <c r="DW36" s="423">
        <v>47764.572085554886</v>
      </c>
      <c r="DX36" s="423">
        <v>48227.693074419323</v>
      </c>
      <c r="DY36" s="423">
        <v>47961.33651625771</v>
      </c>
      <c r="DZ36" s="423">
        <v>47896.823959201618</v>
      </c>
      <c r="EA36" s="423">
        <v>47158.858752580192</v>
      </c>
      <c r="EB36" s="423">
        <v>47009.239468564308</v>
      </c>
    </row>
    <row r="37" spans="1:132" x14ac:dyDescent="0.25">
      <c r="A37" s="417" t="s">
        <v>274</v>
      </c>
      <c r="B37" s="418"/>
      <c r="C37" s="295"/>
      <c r="D37" s="295"/>
      <c r="E37" s="224"/>
      <c r="F37" s="295"/>
      <c r="G37" s="295"/>
      <c r="H37" s="295"/>
      <c r="I37" s="295"/>
      <c r="J37" s="295"/>
      <c r="K37" s="224"/>
      <c r="L37" s="295"/>
      <c r="M37" s="295"/>
      <c r="N37" s="295"/>
      <c r="O37" s="224"/>
      <c r="P37" s="295"/>
      <c r="Q37" s="295"/>
      <c r="R37" s="224"/>
      <c r="S37" s="295"/>
      <c r="T37" s="295"/>
      <c r="U37" s="419"/>
      <c r="V37" s="419"/>
      <c r="W37" s="419"/>
      <c r="X37" s="419"/>
      <c r="Y37" s="419"/>
      <c r="Z37" s="419"/>
      <c r="AA37" s="419"/>
      <c r="AB37" s="419"/>
      <c r="AC37" s="419"/>
      <c r="AD37" s="419"/>
      <c r="AE37" s="419"/>
      <c r="AF37" s="419"/>
      <c r="AG37" s="419"/>
      <c r="AH37" s="419"/>
      <c r="AI37" s="419"/>
      <c r="AJ37" s="419"/>
      <c r="AK37" s="419"/>
      <c r="AL37" s="419"/>
      <c r="AM37" s="296"/>
      <c r="AN37" s="296"/>
      <c r="AO37" s="296"/>
      <c r="AP37" s="296"/>
      <c r="AQ37" s="296"/>
      <c r="AR37" s="418"/>
      <c r="AS37" s="418"/>
      <c r="AT37" s="418"/>
      <c r="AU37" s="418"/>
      <c r="AV37" s="418"/>
      <c r="AW37" s="218"/>
      <c r="AX37" s="218"/>
      <c r="AY37" s="218"/>
      <c r="AZ37" s="218"/>
      <c r="BA37" s="218"/>
      <c r="BB37" s="218"/>
      <c r="BC37" s="218"/>
      <c r="BD37" s="218"/>
      <c r="BE37" s="218"/>
      <c r="BF37" s="218"/>
      <c r="BG37" s="218"/>
      <c r="BH37" s="218"/>
      <c r="BI37" s="218"/>
      <c r="BJ37" s="218"/>
      <c r="BK37" s="218"/>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v>0</v>
      </c>
      <c r="CT37" s="414"/>
      <c r="CU37" s="414"/>
      <c r="CV37" s="414"/>
      <c r="CW37" s="414"/>
      <c r="CX37" s="414"/>
      <c r="CY37" s="414"/>
      <c r="CZ37" s="414"/>
      <c r="DA37" s="414"/>
      <c r="DB37" s="421"/>
      <c r="DC37" s="421"/>
      <c r="DD37" s="421"/>
      <c r="DE37" s="421"/>
      <c r="DF37" s="421"/>
      <c r="DG37" s="421"/>
      <c r="DH37" s="421"/>
      <c r="DI37" s="421"/>
      <c r="DJ37" s="421"/>
      <c r="DK37" s="421"/>
      <c r="DL37" s="421"/>
      <c r="DM37" s="421"/>
      <c r="DN37" s="421"/>
      <c r="DO37" s="421"/>
      <c r="DP37" s="421"/>
      <c r="DQ37" s="421"/>
      <c r="DR37" s="421"/>
      <c r="DS37" s="421"/>
      <c r="DT37" s="421"/>
      <c r="DU37" s="421"/>
      <c r="DV37" s="421"/>
      <c r="DW37" s="421"/>
      <c r="DX37" s="421"/>
      <c r="DY37" s="421"/>
      <c r="DZ37" s="421"/>
      <c r="EA37" s="421"/>
      <c r="EB37" s="421"/>
    </row>
    <row r="38" spans="1:132" ht="15.95" customHeight="1" x14ac:dyDescent="0.25">
      <c r="A38" s="417" t="s">
        <v>302</v>
      </c>
      <c r="B38" s="418">
        <v>6444.7886749252302</v>
      </c>
      <c r="C38" s="295">
        <v>6305.295456699233</v>
      </c>
      <c r="D38" s="295">
        <v>6304.5127371385997</v>
      </c>
      <c r="E38" s="224">
        <v>6633.5494685125004</v>
      </c>
      <c r="F38" s="295">
        <v>6802.7288730225509</v>
      </c>
      <c r="G38" s="295">
        <v>6864.8700624874791</v>
      </c>
      <c r="H38" s="295">
        <v>6978.3594197274397</v>
      </c>
      <c r="I38" s="295">
        <v>6987.2388921083193</v>
      </c>
      <c r="J38" s="295">
        <v>6761.2236051799991</v>
      </c>
      <c r="K38" s="224">
        <v>6734.2435406175</v>
      </c>
      <c r="L38" s="295">
        <v>6713.6977799124988</v>
      </c>
      <c r="M38" s="295">
        <v>6979.0847059800008</v>
      </c>
      <c r="N38" s="295">
        <v>6742.9449578507702</v>
      </c>
      <c r="O38" s="224">
        <v>7096.4184074800014</v>
      </c>
      <c r="P38" s="295">
        <v>6874.2981054499996</v>
      </c>
      <c r="Q38" s="295">
        <v>7106.2051660289999</v>
      </c>
      <c r="R38" s="224">
        <v>7294.6279957313354</v>
      </c>
      <c r="S38" s="295">
        <v>7911.1575664936008</v>
      </c>
      <c r="T38" s="295">
        <v>8601.8289462249995</v>
      </c>
      <c r="U38" s="419">
        <v>8680.0621483603136</v>
      </c>
      <c r="V38" s="419">
        <v>9125.3628209747385</v>
      </c>
      <c r="W38" s="419">
        <v>8643.6008820922998</v>
      </c>
      <c r="X38" s="419">
        <v>9004.5649159299992</v>
      </c>
      <c r="Y38" s="419">
        <v>8562.4102878900012</v>
      </c>
      <c r="Z38" s="419">
        <v>9077.0496576200003</v>
      </c>
      <c r="AA38" s="419">
        <v>8186.5770525300004</v>
      </c>
      <c r="AB38" s="419">
        <v>10182.628594440001</v>
      </c>
      <c r="AC38" s="419">
        <v>9753.3952551399998</v>
      </c>
      <c r="AD38" s="419">
        <v>11114.291857820001</v>
      </c>
      <c r="AE38" s="419">
        <v>11580.200298870001</v>
      </c>
      <c r="AF38" s="419">
        <v>12269.380826312001</v>
      </c>
      <c r="AG38" s="419">
        <v>12691.389133246279</v>
      </c>
      <c r="AH38" s="419">
        <v>12567.320152738559</v>
      </c>
      <c r="AI38" s="419">
        <v>12600.402771576149</v>
      </c>
      <c r="AJ38" s="419">
        <v>12635.541921993929</v>
      </c>
      <c r="AK38" s="419">
        <v>13169.436488200285</v>
      </c>
      <c r="AL38" s="419">
        <v>13628.700497694255</v>
      </c>
      <c r="AM38" s="297">
        <v>13485.89982990036</v>
      </c>
      <c r="AN38" s="297">
        <v>13978.265567046956</v>
      </c>
      <c r="AO38" s="297">
        <v>14770.230000431471</v>
      </c>
      <c r="AP38" s="297">
        <v>15384.684646477044</v>
      </c>
      <c r="AQ38" s="297">
        <v>16418.186102116582</v>
      </c>
      <c r="AR38" s="418">
        <v>16819.744095303337</v>
      </c>
      <c r="AS38" s="418">
        <v>16483.991348237902</v>
      </c>
      <c r="AT38" s="418">
        <v>16997.548346971635</v>
      </c>
      <c r="AU38" s="418">
        <v>17113.250938400091</v>
      </c>
      <c r="AV38" s="418">
        <v>17171.710921446</v>
      </c>
      <c r="AW38" s="218">
        <v>17073.678888538001</v>
      </c>
      <c r="AX38" s="218">
        <v>17095.034753902684</v>
      </c>
      <c r="AY38" s="218">
        <v>17817.152225681199</v>
      </c>
      <c r="AZ38" s="218">
        <v>17906.253474518988</v>
      </c>
      <c r="BA38" s="218">
        <v>17692.894974183557</v>
      </c>
      <c r="BB38" s="218">
        <v>17980.276590711997</v>
      </c>
      <c r="BC38" s="218">
        <v>18345.873784902757</v>
      </c>
      <c r="BD38" s="218">
        <v>18664.111806376735</v>
      </c>
      <c r="BE38" s="218">
        <v>18299.297011773768</v>
      </c>
      <c r="BF38" s="218">
        <v>18849.5629346938</v>
      </c>
      <c r="BG38" s="218">
        <v>18237.742267949303</v>
      </c>
      <c r="BH38" s="218">
        <v>18532.403376099646</v>
      </c>
      <c r="BI38" s="218">
        <v>20876.439979044691</v>
      </c>
      <c r="BJ38" s="218">
        <v>20612.104700710323</v>
      </c>
      <c r="BK38" s="218">
        <v>21015.164096153771</v>
      </c>
      <c r="BL38" s="218">
        <v>21812.39123293119</v>
      </c>
      <c r="BM38" s="218">
        <v>23286.924846593422</v>
      </c>
      <c r="BN38" s="218">
        <v>23244.365210886339</v>
      </c>
      <c r="BO38" s="218">
        <v>23903.763452114505</v>
      </c>
      <c r="BP38" s="218">
        <v>24311.55523149221</v>
      </c>
      <c r="BQ38" s="218">
        <v>24170.292192276418</v>
      </c>
      <c r="BR38" s="218">
        <v>24605.413468120329</v>
      </c>
      <c r="BS38" s="218">
        <v>24504.204618881635</v>
      </c>
      <c r="BT38" s="218">
        <v>24251.901324765495</v>
      </c>
      <c r="BU38" s="218">
        <v>24886.096967351834</v>
      </c>
      <c r="BV38" s="218">
        <v>25722.640854484063</v>
      </c>
      <c r="BW38" s="218">
        <v>26319.272506515608</v>
      </c>
      <c r="BX38" s="218">
        <v>26496.494134091485</v>
      </c>
      <c r="BY38" s="218">
        <v>26638.718733664795</v>
      </c>
      <c r="BZ38" s="218">
        <v>26592.3</v>
      </c>
      <c r="CA38" s="218">
        <v>26509.758805633959</v>
      </c>
      <c r="CB38" s="218">
        <v>26176.510753525828</v>
      </c>
      <c r="CC38" s="218">
        <v>25726.591426780855</v>
      </c>
      <c r="CD38" s="218">
        <v>25832.408048005036</v>
      </c>
      <c r="CE38" s="218">
        <v>25465.192956973882</v>
      </c>
      <c r="CF38" s="218">
        <v>25309.266102489641</v>
      </c>
      <c r="CG38" s="218">
        <v>25368.739889411077</v>
      </c>
      <c r="CH38" s="218">
        <v>26254.089162531789</v>
      </c>
      <c r="CI38" s="218">
        <v>26126.17752316855</v>
      </c>
      <c r="CJ38" s="218">
        <v>26059.490091299824</v>
      </c>
      <c r="CK38" s="218">
        <v>26240.89264214713</v>
      </c>
      <c r="CL38" s="218">
        <v>26830.54477783191</v>
      </c>
      <c r="CM38" s="218">
        <v>26935.095087198326</v>
      </c>
      <c r="CN38" s="218">
        <v>26758.256683495547</v>
      </c>
      <c r="CO38" s="218">
        <v>27000.954808954735</v>
      </c>
      <c r="CP38" s="218">
        <v>27169.520695239342</v>
      </c>
      <c r="CQ38" s="218">
        <v>26860.117312605362</v>
      </c>
      <c r="CR38" s="218">
        <v>26766.511737936911</v>
      </c>
      <c r="CS38" s="218">
        <v>27147.929035312554</v>
      </c>
      <c r="CT38" s="218">
        <v>28186.185109815851</v>
      </c>
      <c r="CU38" s="218">
        <v>28050.464175337242</v>
      </c>
      <c r="CV38" s="218">
        <v>28771.391896985078</v>
      </c>
      <c r="CW38" s="218">
        <v>28839.786654959</v>
      </c>
      <c r="CX38" s="218">
        <v>28854.741656711511</v>
      </c>
      <c r="CY38" s="218">
        <v>28577.440321043345</v>
      </c>
      <c r="CZ38" s="218">
        <v>28894.929750472991</v>
      </c>
      <c r="DA38" s="218">
        <v>28637.703148636876</v>
      </c>
      <c r="DB38" s="421">
        <v>28594.815648361047</v>
      </c>
      <c r="DC38" s="421">
        <v>28958.834719601771</v>
      </c>
      <c r="DD38" s="421">
        <v>28258.371856886795</v>
      </c>
      <c r="DE38" s="421">
        <v>28039.123374428847</v>
      </c>
      <c r="DF38" s="421">
        <v>28587.809284866391</v>
      </c>
      <c r="DG38" s="421">
        <v>27813.386176080621</v>
      </c>
      <c r="DH38" s="421">
        <v>28135.79659020765</v>
      </c>
      <c r="DI38" s="421">
        <v>27684.040180411594</v>
      </c>
      <c r="DJ38" s="421">
        <v>27720.801449251783</v>
      </c>
      <c r="DK38" s="421">
        <v>28078.089967427513</v>
      </c>
      <c r="DL38" s="421">
        <v>28198.470894678732</v>
      </c>
      <c r="DM38" s="421">
        <v>27834.960120266045</v>
      </c>
      <c r="DN38" s="421">
        <v>28411.561630678178</v>
      </c>
      <c r="DO38" s="421">
        <v>28381.759875903426</v>
      </c>
      <c r="DP38" s="421">
        <v>27948.293318443055</v>
      </c>
      <c r="DQ38" s="421">
        <v>27608.212119793006</v>
      </c>
      <c r="DR38" s="421">
        <v>27877.083280596609</v>
      </c>
      <c r="DS38" s="421">
        <v>27182.275194393922</v>
      </c>
      <c r="DT38" s="421">
        <v>27549.480853916313</v>
      </c>
      <c r="DU38" s="421">
        <v>28457.088770426049</v>
      </c>
      <c r="DV38" s="421">
        <v>28530.012024427542</v>
      </c>
      <c r="DW38" s="421">
        <v>28356.353089864187</v>
      </c>
      <c r="DX38" s="421">
        <v>28325.442330554644</v>
      </c>
      <c r="DY38" s="421">
        <v>28154.064930009052</v>
      </c>
      <c r="DZ38" s="421">
        <v>27950.808394374755</v>
      </c>
      <c r="EA38" s="421">
        <v>27817.517398400199</v>
      </c>
      <c r="EB38" s="421">
        <v>25971.417488266914</v>
      </c>
    </row>
    <row r="39" spans="1:132" ht="15.95" customHeight="1" x14ac:dyDescent="0.25">
      <c r="A39" s="417" t="s">
        <v>303</v>
      </c>
      <c r="B39" s="418">
        <v>468.60798435999999</v>
      </c>
      <c r="C39" s="295">
        <v>470.24154758999998</v>
      </c>
      <c r="D39" s="295">
        <v>479.68038003999999</v>
      </c>
      <c r="E39" s="224">
        <v>479.50442501999999</v>
      </c>
      <c r="F39" s="295">
        <v>481.58261557000003</v>
      </c>
      <c r="G39" s="295">
        <v>466.51204041</v>
      </c>
      <c r="H39" s="295">
        <v>457.62590590999997</v>
      </c>
      <c r="I39" s="295">
        <v>472.24705354000002</v>
      </c>
      <c r="J39" s="295">
        <v>481.09773373000002</v>
      </c>
      <c r="K39" s="224">
        <v>472.07193341999999</v>
      </c>
      <c r="L39" s="295">
        <v>496.24646680000001</v>
      </c>
      <c r="M39" s="295">
        <v>511.45445789000007</v>
      </c>
      <c r="N39" s="295">
        <v>497.24813764999999</v>
      </c>
      <c r="O39" s="224">
        <v>528.41465094750004</v>
      </c>
      <c r="P39" s="295">
        <v>539.2068761700001</v>
      </c>
      <c r="Q39" s="295">
        <v>522.09401614000001</v>
      </c>
      <c r="R39" s="224">
        <v>526.45380634000003</v>
      </c>
      <c r="S39" s="295">
        <v>542.46389465000004</v>
      </c>
      <c r="T39" s="295">
        <v>526.12812516000008</v>
      </c>
      <c r="U39" s="419">
        <v>512.83819185000004</v>
      </c>
      <c r="V39" s="419">
        <v>551.53457698</v>
      </c>
      <c r="W39" s="419">
        <v>501.04487133999999</v>
      </c>
      <c r="X39" s="419">
        <v>538.73533246</v>
      </c>
      <c r="Y39" s="419">
        <v>498.29035831000004</v>
      </c>
      <c r="Z39" s="419">
        <v>466.64985055999995</v>
      </c>
      <c r="AA39" s="419">
        <v>456.69155274000002</v>
      </c>
      <c r="AB39" s="419">
        <v>465.46625001000001</v>
      </c>
      <c r="AC39" s="419">
        <v>468.15293301999992</v>
      </c>
      <c r="AD39" s="419">
        <v>484.50061353999996</v>
      </c>
      <c r="AE39" s="419">
        <v>434.89408147000006</v>
      </c>
      <c r="AF39" s="419">
        <v>442.82866725000002</v>
      </c>
      <c r="AG39" s="419">
        <v>454.39573581999997</v>
      </c>
      <c r="AH39" s="419">
        <v>458.74458886000002</v>
      </c>
      <c r="AI39" s="419">
        <v>550.66283559999988</v>
      </c>
      <c r="AJ39" s="419">
        <v>536.79151089000004</v>
      </c>
      <c r="AK39" s="419">
        <v>525.15368693000005</v>
      </c>
      <c r="AL39" s="419">
        <v>528.87499480999998</v>
      </c>
      <c r="AM39" s="297">
        <v>736.25263270507548</v>
      </c>
      <c r="AN39" s="297">
        <v>767.22931738944737</v>
      </c>
      <c r="AO39" s="297">
        <v>762.64465607813838</v>
      </c>
      <c r="AP39" s="297">
        <v>778.36642598808839</v>
      </c>
      <c r="AQ39" s="297">
        <v>828.78973730421194</v>
      </c>
      <c r="AR39" s="418">
        <v>814.34787147140003</v>
      </c>
      <c r="AS39" s="418">
        <v>821.1324246622188</v>
      </c>
      <c r="AT39" s="418">
        <v>845.13113745280009</v>
      </c>
      <c r="AU39" s="418">
        <v>843.87320631766488</v>
      </c>
      <c r="AV39" s="418">
        <v>780.63020521483008</v>
      </c>
      <c r="AW39" s="218">
        <v>835.71731479097934</v>
      </c>
      <c r="AX39" s="218">
        <v>808.23524528150836</v>
      </c>
      <c r="AY39" s="218">
        <v>864.52464495352797</v>
      </c>
      <c r="AZ39" s="218">
        <v>835.01464383940811</v>
      </c>
      <c r="BA39" s="218">
        <v>852.48664039232472</v>
      </c>
      <c r="BB39" s="218">
        <v>820.18542898882708</v>
      </c>
      <c r="BC39" s="218">
        <v>783.24904743539662</v>
      </c>
      <c r="BD39" s="218">
        <v>854.49531804243452</v>
      </c>
      <c r="BE39" s="218">
        <v>866.56678217700005</v>
      </c>
      <c r="BF39" s="218">
        <v>863.93197241999985</v>
      </c>
      <c r="BG39" s="218">
        <v>1163.252797892</v>
      </c>
      <c r="BH39" s="218">
        <v>935.63231437349998</v>
      </c>
      <c r="BI39" s="218">
        <v>960.24258202700014</v>
      </c>
      <c r="BJ39" s="218">
        <v>929.53932955300002</v>
      </c>
      <c r="BK39" s="218">
        <v>895.58478828299997</v>
      </c>
      <c r="BL39" s="218">
        <v>918.33535403909991</v>
      </c>
      <c r="BM39" s="218">
        <v>626.41958018500009</v>
      </c>
      <c r="BN39" s="218">
        <v>628.84846234835004</v>
      </c>
      <c r="BO39" s="218">
        <v>597.69785010359988</v>
      </c>
      <c r="BP39" s="218">
        <v>645.54345992879996</v>
      </c>
      <c r="BQ39" s="218">
        <v>655.9961158003</v>
      </c>
      <c r="BR39" s="218">
        <v>672.19210213769998</v>
      </c>
      <c r="BS39" s="218">
        <v>665.46477013560002</v>
      </c>
      <c r="BT39" s="218">
        <v>673.46223828982511</v>
      </c>
      <c r="BU39" s="218">
        <v>629.98539596748401</v>
      </c>
      <c r="BV39" s="218">
        <v>639.71141224889197</v>
      </c>
      <c r="BW39" s="218">
        <v>656.70469074235007</v>
      </c>
      <c r="BX39" s="218">
        <v>642.20342627750006</v>
      </c>
      <c r="BY39" s="218">
        <v>637.97542089280012</v>
      </c>
      <c r="BZ39" s="218">
        <v>660.6</v>
      </c>
      <c r="CA39" s="218">
        <v>670.19315308</v>
      </c>
      <c r="CB39" s="218">
        <v>641.55011064440009</v>
      </c>
      <c r="CC39" s="218">
        <v>628.59565935428998</v>
      </c>
      <c r="CD39" s="218">
        <v>587.39318120709595</v>
      </c>
      <c r="CE39" s="218">
        <v>529.7320594299124</v>
      </c>
      <c r="CF39" s="218">
        <v>577.35060364858953</v>
      </c>
      <c r="CG39" s="218">
        <v>620.21793431018</v>
      </c>
      <c r="CH39" s="218">
        <v>557.35959204843937</v>
      </c>
      <c r="CI39" s="218">
        <v>555.70872516225609</v>
      </c>
      <c r="CJ39" s="218">
        <v>567.088139485488</v>
      </c>
      <c r="CK39" s="218">
        <v>567.92160093380994</v>
      </c>
      <c r="CL39" s="218">
        <v>559.07335459969693</v>
      </c>
      <c r="CM39" s="218">
        <v>577.10916266942399</v>
      </c>
      <c r="CN39" s="218">
        <v>568.76678335682527</v>
      </c>
      <c r="CO39" s="218">
        <v>536.68980986636302</v>
      </c>
      <c r="CP39" s="218">
        <v>530.40994925872496</v>
      </c>
      <c r="CQ39" s="218">
        <v>503.35971517609994</v>
      </c>
      <c r="CR39" s="218">
        <v>893.4442050251148</v>
      </c>
      <c r="CS39" s="218">
        <v>525.79527575947463</v>
      </c>
      <c r="CT39" s="218">
        <v>526.75451270656254</v>
      </c>
      <c r="CU39" s="218">
        <v>559.72252891158973</v>
      </c>
      <c r="CV39" s="218">
        <v>535.2708489375608</v>
      </c>
      <c r="CW39" s="218">
        <v>606.2287633817183</v>
      </c>
      <c r="CX39" s="218">
        <v>527.37181324143694</v>
      </c>
      <c r="CY39" s="218">
        <v>538.04903418306469</v>
      </c>
      <c r="CZ39" s="218">
        <v>561.18108326248193</v>
      </c>
      <c r="DA39" s="218">
        <v>595.73253880975585</v>
      </c>
      <c r="DB39" s="421">
        <v>572.32306120790713</v>
      </c>
      <c r="DC39" s="421">
        <v>552.5160099109097</v>
      </c>
      <c r="DD39" s="421">
        <v>593.88835595285502</v>
      </c>
      <c r="DE39" s="421">
        <v>555.75434125584161</v>
      </c>
      <c r="DF39" s="421">
        <v>572.52122886067286</v>
      </c>
      <c r="DG39" s="421">
        <v>572.48772209297852</v>
      </c>
      <c r="DH39" s="421">
        <v>543.66750878321102</v>
      </c>
      <c r="DI39" s="421">
        <v>551.40942668385264</v>
      </c>
      <c r="DJ39" s="421">
        <v>558.34322405259184</v>
      </c>
      <c r="DK39" s="421">
        <v>537.61300739832973</v>
      </c>
      <c r="DL39" s="421">
        <v>562.08599884938053</v>
      </c>
      <c r="DM39" s="421">
        <v>507.76910443117595</v>
      </c>
      <c r="DN39" s="421">
        <v>532.29789359968618</v>
      </c>
      <c r="DO39" s="421">
        <v>508.98341436963398</v>
      </c>
      <c r="DP39" s="421">
        <v>514.80131731125937</v>
      </c>
      <c r="DQ39" s="421">
        <v>513.01671767011567</v>
      </c>
      <c r="DR39" s="421">
        <v>505.83727816239627</v>
      </c>
      <c r="DS39" s="421">
        <v>483.23901673941265</v>
      </c>
      <c r="DT39" s="421">
        <v>489.32309548883842</v>
      </c>
      <c r="DU39" s="421">
        <v>444.08857239277205</v>
      </c>
      <c r="DV39" s="421">
        <v>435.97883156011824</v>
      </c>
      <c r="DW39" s="421">
        <v>458.71604199692592</v>
      </c>
      <c r="DX39" s="421">
        <v>437.49802077527795</v>
      </c>
      <c r="DY39" s="421">
        <v>420.06169667808797</v>
      </c>
      <c r="DZ39" s="421">
        <v>432.81626805888629</v>
      </c>
      <c r="EA39" s="421">
        <v>435.79182204165517</v>
      </c>
      <c r="EB39" s="421">
        <v>1830.1227810380849</v>
      </c>
    </row>
    <row r="40" spans="1:132" ht="15.95" customHeight="1" x14ac:dyDescent="0.25">
      <c r="A40" s="417" t="s">
        <v>304</v>
      </c>
      <c r="B40" s="418">
        <v>1162.9356793799998</v>
      </c>
      <c r="C40" s="295">
        <v>1131.2907618199997</v>
      </c>
      <c r="D40" s="295">
        <v>1166.2176899599999</v>
      </c>
      <c r="E40" s="224">
        <v>1158.4819639699997</v>
      </c>
      <c r="F40" s="295">
        <v>1175.7612312900001</v>
      </c>
      <c r="G40" s="295">
        <v>941.65728150000007</v>
      </c>
      <c r="H40" s="295">
        <v>993.87810414</v>
      </c>
      <c r="I40" s="295">
        <v>1003.72506273</v>
      </c>
      <c r="J40" s="295">
        <v>1215.0490695599999</v>
      </c>
      <c r="K40" s="224">
        <v>972.94413888000008</v>
      </c>
      <c r="L40" s="295">
        <v>965.11932878000005</v>
      </c>
      <c r="M40" s="295">
        <v>916.70504654000001</v>
      </c>
      <c r="N40" s="295">
        <v>802.31248841000001</v>
      </c>
      <c r="O40" s="224">
        <v>872.13641170000005</v>
      </c>
      <c r="P40" s="295">
        <v>818.36552984999992</v>
      </c>
      <c r="Q40" s="295">
        <v>815.95914462000007</v>
      </c>
      <c r="R40" s="224">
        <v>861.96423044000005</v>
      </c>
      <c r="S40" s="295">
        <v>765.58609545000002</v>
      </c>
      <c r="T40" s="295">
        <v>853.47303348000003</v>
      </c>
      <c r="U40" s="419">
        <v>787.78583042999992</v>
      </c>
      <c r="V40" s="419">
        <v>785.84849853000014</v>
      </c>
      <c r="W40" s="419">
        <v>753.37836473999994</v>
      </c>
      <c r="X40" s="419">
        <v>662.78097652999998</v>
      </c>
      <c r="Y40" s="419">
        <v>981.96627690000003</v>
      </c>
      <c r="Z40" s="419">
        <v>1062.5459337100001</v>
      </c>
      <c r="AA40" s="419">
        <v>1204.6879438000001</v>
      </c>
      <c r="AB40" s="419">
        <v>797.69432051000001</v>
      </c>
      <c r="AC40" s="419">
        <v>774.26449505999994</v>
      </c>
      <c r="AD40" s="419">
        <v>782.88061094000011</v>
      </c>
      <c r="AE40" s="419">
        <v>1094.8615553599998</v>
      </c>
      <c r="AF40" s="419">
        <v>977.44120275000012</v>
      </c>
      <c r="AG40" s="419">
        <v>1001.5621306699999</v>
      </c>
      <c r="AH40" s="419">
        <v>933.60571980999998</v>
      </c>
      <c r="AI40" s="419">
        <v>635.71753233000004</v>
      </c>
      <c r="AJ40" s="419">
        <v>766.06467996999993</v>
      </c>
      <c r="AK40" s="419">
        <v>746.91647439999997</v>
      </c>
      <c r="AL40" s="419">
        <v>897.7234989399999</v>
      </c>
      <c r="AM40" s="297">
        <v>1213.30374869</v>
      </c>
      <c r="AN40" s="297">
        <v>1192.29668277</v>
      </c>
      <c r="AO40" s="297">
        <v>1131.4506496000001</v>
      </c>
      <c r="AP40" s="297">
        <v>967.05194824000012</v>
      </c>
      <c r="AQ40" s="297">
        <v>949.13341641739999</v>
      </c>
      <c r="AR40" s="418">
        <v>984.64917747160007</v>
      </c>
      <c r="AS40" s="418">
        <v>1308.4414925600001</v>
      </c>
      <c r="AT40" s="418">
        <v>927.91836048920004</v>
      </c>
      <c r="AU40" s="418">
        <v>865.270856181</v>
      </c>
      <c r="AV40" s="418">
        <v>844.4362185760001</v>
      </c>
      <c r="AW40" s="218">
        <v>902.59995982999988</v>
      </c>
      <c r="AX40" s="218">
        <v>870.88403972080005</v>
      </c>
      <c r="AY40" s="218">
        <v>869.90900274839998</v>
      </c>
      <c r="AZ40" s="218">
        <v>647.2437888157001</v>
      </c>
      <c r="BA40" s="218">
        <v>659.70122256280001</v>
      </c>
      <c r="BB40" s="218">
        <v>649.53919179190007</v>
      </c>
      <c r="BC40" s="218">
        <v>657.1281703308</v>
      </c>
      <c r="BD40" s="218">
        <v>721.66498546460014</v>
      </c>
      <c r="BE40" s="218">
        <v>619.60441126160003</v>
      </c>
      <c r="BF40" s="218">
        <v>689.23127576000002</v>
      </c>
      <c r="BG40" s="218">
        <v>746.58323857000005</v>
      </c>
      <c r="BH40" s="218">
        <v>816.38891534779998</v>
      </c>
      <c r="BI40" s="218">
        <v>822.91521183569989</v>
      </c>
      <c r="BJ40" s="218">
        <v>660.33382583529999</v>
      </c>
      <c r="BK40" s="218">
        <v>890.3417324400001</v>
      </c>
      <c r="BL40" s="218">
        <v>912.81419984490014</v>
      </c>
      <c r="BM40" s="218">
        <v>907.34752255759997</v>
      </c>
      <c r="BN40" s="218">
        <v>1103.4293905640002</v>
      </c>
      <c r="BO40" s="218">
        <v>1098.8190824791998</v>
      </c>
      <c r="BP40" s="218">
        <v>1086.2779939989002</v>
      </c>
      <c r="BQ40" s="218">
        <v>1102.7416683502001</v>
      </c>
      <c r="BR40" s="218">
        <v>1017.9662629621</v>
      </c>
      <c r="BS40" s="218">
        <v>1047.2683423904</v>
      </c>
      <c r="BT40" s="218">
        <v>1222.7016199096752</v>
      </c>
      <c r="BU40" s="218">
        <v>1038.192572284026</v>
      </c>
      <c r="BV40" s="218">
        <v>1070.0801470244</v>
      </c>
      <c r="BW40" s="218">
        <v>1050.290249135955</v>
      </c>
      <c r="BX40" s="218">
        <v>1023.9510717104999</v>
      </c>
      <c r="BY40" s="218">
        <v>1025.6176749312001</v>
      </c>
      <c r="BZ40" s="218">
        <v>1102.7</v>
      </c>
      <c r="CA40" s="218">
        <v>1173.2575775100001</v>
      </c>
      <c r="CB40" s="218">
        <v>1229.0083955999999</v>
      </c>
      <c r="CC40" s="218">
        <v>1241.0590705384</v>
      </c>
      <c r="CD40" s="218">
        <v>1160.4138999592342</v>
      </c>
      <c r="CE40" s="218">
        <v>1114.8627421571664</v>
      </c>
      <c r="CF40" s="218">
        <v>1151.6871802734861</v>
      </c>
      <c r="CG40" s="218">
        <v>1215.5913640822532</v>
      </c>
      <c r="CH40" s="218">
        <v>1156.1124858719008</v>
      </c>
      <c r="CI40" s="218">
        <v>1166.4370581979306</v>
      </c>
      <c r="CJ40" s="218">
        <v>1187.873294201248</v>
      </c>
      <c r="CK40" s="218">
        <v>1227.9908151867189</v>
      </c>
      <c r="CL40" s="218">
        <v>1212.3295438793812</v>
      </c>
      <c r="CM40" s="218">
        <v>1113.2806808999999</v>
      </c>
      <c r="CN40" s="218">
        <v>1246.6045088000001</v>
      </c>
      <c r="CO40" s="218">
        <v>1282.6906904670659</v>
      </c>
      <c r="CP40" s="218">
        <v>1251.0547616700001</v>
      </c>
      <c r="CQ40" s="218">
        <v>1290.3787855500002</v>
      </c>
      <c r="CR40" s="218">
        <v>1284.99398152</v>
      </c>
      <c r="CS40" s="218">
        <v>1257.0662896100002</v>
      </c>
      <c r="CT40" s="218">
        <v>1203.95263019</v>
      </c>
      <c r="CU40" s="218">
        <v>1227.5464195999998</v>
      </c>
      <c r="CV40" s="218">
        <v>1231.8452086700001</v>
      </c>
      <c r="CW40" s="218">
        <v>1253.55208881</v>
      </c>
      <c r="CX40" s="218">
        <v>1245.5277986599999</v>
      </c>
      <c r="CY40" s="218">
        <v>1252.1333085700003</v>
      </c>
      <c r="CZ40" s="218">
        <v>1254.5425171500001</v>
      </c>
      <c r="DA40" s="218">
        <v>1237.0136824099998</v>
      </c>
      <c r="DB40" s="421">
        <v>1261.8882919499999</v>
      </c>
      <c r="DC40" s="421">
        <v>1098.98831421</v>
      </c>
      <c r="DD40" s="421">
        <v>1108.71473808</v>
      </c>
      <c r="DE40" s="421">
        <v>1131.55235146</v>
      </c>
      <c r="DF40" s="421">
        <v>1213.81598981</v>
      </c>
      <c r="DG40" s="421">
        <v>1084.14678626</v>
      </c>
      <c r="DH40" s="421">
        <v>1023.7717210300001</v>
      </c>
      <c r="DI40" s="421">
        <v>1038.11641773</v>
      </c>
      <c r="DJ40" s="421">
        <v>1078.24625874</v>
      </c>
      <c r="DK40" s="421">
        <v>1095.8367682999999</v>
      </c>
      <c r="DL40" s="421">
        <v>1160.0948921900001</v>
      </c>
      <c r="DM40" s="421">
        <v>1038.98491782</v>
      </c>
      <c r="DN40" s="421">
        <v>1008.1067244299999</v>
      </c>
      <c r="DO40" s="421">
        <v>1036.5537718799999</v>
      </c>
      <c r="DP40" s="421">
        <v>1051.03016372</v>
      </c>
      <c r="DQ40" s="421">
        <v>1029.0173099600001</v>
      </c>
      <c r="DR40" s="421">
        <v>1087.07250673</v>
      </c>
      <c r="DS40" s="421">
        <v>1085.8868631099999</v>
      </c>
      <c r="DT40" s="421">
        <v>1132.42842544</v>
      </c>
      <c r="DU40" s="421">
        <v>1191.2075010399999</v>
      </c>
      <c r="DV40" s="421">
        <v>1176.04277073</v>
      </c>
      <c r="DW40" s="421">
        <v>1121.4244135399999</v>
      </c>
      <c r="DX40" s="421">
        <v>1154.4734286300002</v>
      </c>
      <c r="DY40" s="421">
        <v>1228.81845258</v>
      </c>
      <c r="DZ40" s="421">
        <v>1191.45487381</v>
      </c>
      <c r="EA40" s="421">
        <v>1218.7412026599998</v>
      </c>
      <c r="EB40" s="421">
        <v>1223.9099037999999</v>
      </c>
    </row>
    <row r="41" spans="1:132" ht="15.95" customHeight="1" x14ac:dyDescent="0.25">
      <c r="A41" s="417" t="s">
        <v>305</v>
      </c>
      <c r="B41" s="418">
        <v>6302.0155715999999</v>
      </c>
      <c r="C41" s="295">
        <v>6680.7657261099994</v>
      </c>
      <c r="D41" s="295">
        <v>6724.97390103</v>
      </c>
      <c r="E41" s="224">
        <v>6641.7870406299999</v>
      </c>
      <c r="F41" s="295">
        <v>6619.2726597399997</v>
      </c>
      <c r="G41" s="295">
        <v>6682.9836608900005</v>
      </c>
      <c r="H41" s="295">
        <v>7002.9131673500005</v>
      </c>
      <c r="I41" s="295">
        <v>6496.2261887800005</v>
      </c>
      <c r="J41" s="295">
        <v>6387.5204919999996</v>
      </c>
      <c r="K41" s="224">
        <v>6324.3398256299997</v>
      </c>
      <c r="L41" s="295">
        <v>6275.8983495599996</v>
      </c>
      <c r="M41" s="295">
        <v>6446.1536180599996</v>
      </c>
      <c r="N41" s="295">
        <v>6381.1979789400002</v>
      </c>
      <c r="O41" s="224">
        <v>6373.0213946099993</v>
      </c>
      <c r="P41" s="295">
        <v>6637.4945316800004</v>
      </c>
      <c r="Q41" s="295">
        <v>6604.8001880299998</v>
      </c>
      <c r="R41" s="224">
        <v>7131.5605834400003</v>
      </c>
      <c r="S41" s="295">
        <v>6885.8107046000005</v>
      </c>
      <c r="T41" s="295">
        <v>6880.0402745700003</v>
      </c>
      <c r="U41" s="419">
        <v>6897.9790052099988</v>
      </c>
      <c r="V41" s="419">
        <v>7111.6080771899997</v>
      </c>
      <c r="W41" s="419">
        <v>7272.3038766100008</v>
      </c>
      <c r="X41" s="419">
        <v>6765.3666168500004</v>
      </c>
      <c r="Y41" s="419">
        <v>6613.9897949399983</v>
      </c>
      <c r="Z41" s="419">
        <v>6511.3408801600008</v>
      </c>
      <c r="AA41" s="419">
        <v>6720.2382139600013</v>
      </c>
      <c r="AB41" s="419">
        <v>6799.8022695700001</v>
      </c>
      <c r="AC41" s="419">
        <v>6831.4908400600007</v>
      </c>
      <c r="AD41" s="419">
        <v>6968.8469247900011</v>
      </c>
      <c r="AE41" s="419">
        <v>6848.1601100899998</v>
      </c>
      <c r="AF41" s="419">
        <v>6873.1524102100011</v>
      </c>
      <c r="AG41" s="419">
        <v>6801.7794347700001</v>
      </c>
      <c r="AH41" s="419">
        <v>7214.9492784000004</v>
      </c>
      <c r="AI41" s="419">
        <v>7402.2263905499995</v>
      </c>
      <c r="AJ41" s="419">
        <v>7896.7884714799993</v>
      </c>
      <c r="AK41" s="419">
        <v>8124.274790559999</v>
      </c>
      <c r="AL41" s="419">
        <v>7858.4080253399998</v>
      </c>
      <c r="AM41" s="297">
        <v>8373.366120409999</v>
      </c>
      <c r="AN41" s="297">
        <v>8360.8378858800006</v>
      </c>
      <c r="AO41" s="297">
        <v>8991.8658315800003</v>
      </c>
      <c r="AP41" s="297">
        <v>9712.5298214499999</v>
      </c>
      <c r="AQ41" s="297">
        <v>9883.7314959899995</v>
      </c>
      <c r="AR41" s="418">
        <v>10251.246496</v>
      </c>
      <c r="AS41" s="418">
        <v>10210.12844561</v>
      </c>
      <c r="AT41" s="418">
        <v>10274.11542903</v>
      </c>
      <c r="AU41" s="418">
        <v>10468.837709490001</v>
      </c>
      <c r="AV41" s="418">
        <v>9958.9733252599981</v>
      </c>
      <c r="AW41" s="218">
        <v>10147.86294008</v>
      </c>
      <c r="AX41" s="218">
        <v>10126.988990459999</v>
      </c>
      <c r="AY41" s="218">
        <v>9803.2966179199993</v>
      </c>
      <c r="AZ41" s="218">
        <v>10097.500459539999</v>
      </c>
      <c r="BA41" s="218">
        <v>10765.053340660001</v>
      </c>
      <c r="BB41" s="218">
        <v>10735.642151260001</v>
      </c>
      <c r="BC41" s="218">
        <v>10856.389915900001</v>
      </c>
      <c r="BD41" s="218">
        <v>11348.335393660002</v>
      </c>
      <c r="BE41" s="218">
        <v>11034.58892355</v>
      </c>
      <c r="BF41" s="218">
        <v>10951.950675990001</v>
      </c>
      <c r="BG41" s="218">
        <v>11418.877000849998</v>
      </c>
      <c r="BH41" s="218">
        <v>11740.11639187</v>
      </c>
      <c r="BI41" s="218">
        <v>10661.107172099999</v>
      </c>
      <c r="BJ41" s="218">
        <v>11233.356511910002</v>
      </c>
      <c r="BK41" s="218">
        <v>11698.912610020001</v>
      </c>
      <c r="BL41" s="218">
        <v>11690.901640940001</v>
      </c>
      <c r="BM41" s="218">
        <v>11656.34252584</v>
      </c>
      <c r="BN41" s="218">
        <v>11898.459281705294</v>
      </c>
      <c r="BO41" s="218">
        <v>11841.779248340001</v>
      </c>
      <c r="BP41" s="218">
        <v>12119.461163170001</v>
      </c>
      <c r="BQ41" s="218">
        <v>11959.263320089998</v>
      </c>
      <c r="BR41" s="218">
        <v>12033.299451299999</v>
      </c>
      <c r="BS41" s="218">
        <v>11849.029915270001</v>
      </c>
      <c r="BT41" s="218">
        <v>12049.735481350001</v>
      </c>
      <c r="BU41" s="218">
        <v>12237.623585720001</v>
      </c>
      <c r="BV41" s="218">
        <v>12771.87269471</v>
      </c>
      <c r="BW41" s="218">
        <v>12604.712873370001</v>
      </c>
      <c r="BX41" s="218">
        <v>13016.858134540002</v>
      </c>
      <c r="BY41" s="218">
        <v>12913.63105928</v>
      </c>
      <c r="BZ41" s="218">
        <v>13147</v>
      </c>
      <c r="CA41" s="218">
        <v>13118.937917528101</v>
      </c>
      <c r="CB41" s="218">
        <v>12808.987533569998</v>
      </c>
      <c r="CC41" s="218">
        <v>12699.294463599999</v>
      </c>
      <c r="CD41" s="218">
        <v>12887.268928355456</v>
      </c>
      <c r="CE41" s="218">
        <v>13032.068816149102</v>
      </c>
      <c r="CF41" s="218">
        <v>12804.429970065301</v>
      </c>
      <c r="CG41" s="218">
        <v>12694.494009423945</v>
      </c>
      <c r="CH41" s="218">
        <v>13143.762891464403</v>
      </c>
      <c r="CI41" s="218">
        <v>13157.813962058814</v>
      </c>
      <c r="CJ41" s="218">
        <v>13578.577021504259</v>
      </c>
      <c r="CK41" s="218">
        <v>13771.555092289998</v>
      </c>
      <c r="CL41" s="218">
        <v>13816.512786643209</v>
      </c>
      <c r="CM41" s="218">
        <v>13818.975094050335</v>
      </c>
      <c r="CN41" s="218">
        <v>14040.205881303198</v>
      </c>
      <c r="CO41" s="218">
        <v>13791.420592661387</v>
      </c>
      <c r="CP41" s="218">
        <v>13684.788208897575</v>
      </c>
      <c r="CQ41" s="218">
        <v>13653.218557851666</v>
      </c>
      <c r="CR41" s="218">
        <v>13819.905715428018</v>
      </c>
      <c r="CS41" s="218">
        <v>13578.924258505071</v>
      </c>
      <c r="CT41" s="218">
        <v>13540.770921264202</v>
      </c>
      <c r="CU41" s="218">
        <v>13252.521961602872</v>
      </c>
      <c r="CV41" s="218">
        <v>13339.61738405</v>
      </c>
      <c r="CW41" s="218">
        <v>14916.01824416616</v>
      </c>
      <c r="CX41" s="218">
        <v>14210.609696606305</v>
      </c>
      <c r="CY41" s="218">
        <v>14041.001154581307</v>
      </c>
      <c r="CZ41" s="218">
        <v>15296.923382857789</v>
      </c>
      <c r="DA41" s="218">
        <v>15173.13869887598</v>
      </c>
      <c r="DB41" s="421">
        <v>15018.263919378927</v>
      </c>
      <c r="DC41" s="421">
        <v>14742.938335681563</v>
      </c>
      <c r="DD41" s="421">
        <v>14956.65082925991</v>
      </c>
      <c r="DE41" s="421">
        <v>14510.333934833619</v>
      </c>
      <c r="DF41" s="421">
        <v>15056.144897588718</v>
      </c>
      <c r="DG41" s="421">
        <v>15171.647123741199</v>
      </c>
      <c r="DH41" s="421">
        <v>14684.66835321</v>
      </c>
      <c r="DI41" s="421">
        <v>14947.0771968399</v>
      </c>
      <c r="DJ41" s="421">
        <v>14747.006277055696</v>
      </c>
      <c r="DK41" s="421">
        <v>14524.393285685514</v>
      </c>
      <c r="DL41" s="421">
        <v>14876.722076687709</v>
      </c>
      <c r="DM41" s="421">
        <v>14133.162113865214</v>
      </c>
      <c r="DN41" s="421">
        <v>13722.938397867038</v>
      </c>
      <c r="DO41" s="421">
        <v>13658.474553252863</v>
      </c>
      <c r="DP41" s="421">
        <v>13713.560803010605</v>
      </c>
      <c r="DQ41" s="421">
        <v>14901.813395452662</v>
      </c>
      <c r="DR41" s="421">
        <v>15284.337361634822</v>
      </c>
      <c r="DS41" s="421">
        <v>14878.836361205525</v>
      </c>
      <c r="DT41" s="421">
        <v>15665.437764636736</v>
      </c>
      <c r="DU41" s="421">
        <v>15500.379455365288</v>
      </c>
      <c r="DV41" s="421">
        <v>15165.218060984998</v>
      </c>
      <c r="DW41" s="421">
        <v>15358.027073609961</v>
      </c>
      <c r="DX41" s="421">
        <v>15843.72896821836</v>
      </c>
      <c r="DY41" s="421">
        <v>15531.822249046802</v>
      </c>
      <c r="DZ41" s="421">
        <v>15707.421114782263</v>
      </c>
      <c r="EA41" s="421">
        <v>15497.614728930559</v>
      </c>
      <c r="EB41" s="421">
        <v>15725.909426230339</v>
      </c>
    </row>
    <row r="42" spans="1:132" ht="15.95" customHeight="1" x14ac:dyDescent="0.25">
      <c r="A42" s="417" t="s">
        <v>306</v>
      </c>
      <c r="B42" s="418">
        <v>189.6872918</v>
      </c>
      <c r="C42" s="295">
        <v>192.32956038000003</v>
      </c>
      <c r="D42" s="295">
        <v>187.63579283999997</v>
      </c>
      <c r="E42" s="224">
        <v>186.83519117999998</v>
      </c>
      <c r="F42" s="295">
        <v>190.58374953999999</v>
      </c>
      <c r="G42" s="295">
        <v>189.64591591999999</v>
      </c>
      <c r="H42" s="295">
        <v>186.66834541000003</v>
      </c>
      <c r="I42" s="295">
        <v>187.36985098000002</v>
      </c>
      <c r="J42" s="295">
        <v>185.50251247999998</v>
      </c>
      <c r="K42" s="224">
        <v>189.50261290999995</v>
      </c>
      <c r="L42" s="295">
        <v>245.97233521000004</v>
      </c>
      <c r="M42" s="295">
        <v>236.67397958000001</v>
      </c>
      <c r="N42" s="295">
        <v>240.47186411999999</v>
      </c>
      <c r="O42" s="224">
        <v>237.13085701</v>
      </c>
      <c r="P42" s="295">
        <v>240.56629139000003</v>
      </c>
      <c r="Q42" s="295">
        <v>232.90897743999994</v>
      </c>
      <c r="R42" s="224">
        <v>233.20169378999998</v>
      </c>
      <c r="S42" s="295">
        <v>228.62220969000003</v>
      </c>
      <c r="T42" s="295">
        <v>230.02197689000002</v>
      </c>
      <c r="U42" s="419">
        <v>224.88639358999998</v>
      </c>
      <c r="V42" s="419">
        <v>223.13200476</v>
      </c>
      <c r="W42" s="419">
        <v>229.63675009000002</v>
      </c>
      <c r="X42" s="419">
        <v>230.63354143999996</v>
      </c>
      <c r="Y42" s="419">
        <v>231.76835582999999</v>
      </c>
      <c r="Z42" s="419">
        <v>232.92954629000002</v>
      </c>
      <c r="AA42" s="419">
        <v>227.12856425000001</v>
      </c>
      <c r="AB42" s="419">
        <v>225.40608684999998</v>
      </c>
      <c r="AC42" s="419">
        <v>222.93032299000001</v>
      </c>
      <c r="AD42" s="419">
        <v>225.67875407999998</v>
      </c>
      <c r="AE42" s="419">
        <v>220.07457709000002</v>
      </c>
      <c r="AF42" s="419">
        <v>217.45503998000001</v>
      </c>
      <c r="AG42" s="419">
        <v>212.09023410000003</v>
      </c>
      <c r="AH42" s="419">
        <v>216.46422154999999</v>
      </c>
      <c r="AI42" s="419">
        <v>262.10546948000001</v>
      </c>
      <c r="AJ42" s="419">
        <v>250.27184975</v>
      </c>
      <c r="AK42" s="419">
        <v>246.37631425000006</v>
      </c>
      <c r="AL42" s="419">
        <v>252.57374556470003</v>
      </c>
      <c r="AM42" s="297">
        <v>266.12989082154002</v>
      </c>
      <c r="AN42" s="297">
        <v>262.62759897350799</v>
      </c>
      <c r="AO42" s="297">
        <v>258.93287238400001</v>
      </c>
      <c r="AP42" s="297">
        <v>258.21758849066197</v>
      </c>
      <c r="AQ42" s="297">
        <v>259.120777493216</v>
      </c>
      <c r="AR42" s="418">
        <v>254.30588637480002</v>
      </c>
      <c r="AS42" s="418">
        <v>266.04407790399995</v>
      </c>
      <c r="AT42" s="418">
        <v>274.803833884992</v>
      </c>
      <c r="AU42" s="418">
        <v>272.57093989853598</v>
      </c>
      <c r="AV42" s="418">
        <v>267.98756963200003</v>
      </c>
      <c r="AW42" s="218">
        <v>264.32966434080004</v>
      </c>
      <c r="AX42" s="218">
        <v>265.01099268001599</v>
      </c>
      <c r="AY42" s="218">
        <v>271.85899290409992</v>
      </c>
      <c r="AZ42" s="218">
        <v>274.65470752433197</v>
      </c>
      <c r="BA42" s="218">
        <v>279.41477370823003</v>
      </c>
      <c r="BB42" s="218">
        <v>277.1825085653</v>
      </c>
      <c r="BC42" s="218">
        <v>277.09952837940563</v>
      </c>
      <c r="BD42" s="218">
        <v>275.55134261480589</v>
      </c>
      <c r="BE42" s="218">
        <v>273.70802355509903</v>
      </c>
      <c r="BF42" s="218">
        <v>268.14331030472505</v>
      </c>
      <c r="BG42" s="218">
        <v>269.02164397112</v>
      </c>
      <c r="BH42" s="218">
        <v>731.10729746381207</v>
      </c>
      <c r="BI42" s="218">
        <v>791.4426735720939</v>
      </c>
      <c r="BJ42" s="218">
        <v>831.26537429648999</v>
      </c>
      <c r="BK42" s="218">
        <v>830.56692355338316</v>
      </c>
      <c r="BL42" s="218">
        <v>837.41173247365589</v>
      </c>
      <c r="BM42" s="218">
        <v>889.69365506415386</v>
      </c>
      <c r="BN42" s="218">
        <v>902.07250825924405</v>
      </c>
      <c r="BO42" s="218">
        <v>964.38526821359596</v>
      </c>
      <c r="BP42" s="218">
        <v>952.33906185976116</v>
      </c>
      <c r="BQ42" s="218">
        <v>934.85561663628698</v>
      </c>
      <c r="BR42" s="218">
        <v>930.74407377235798</v>
      </c>
      <c r="BS42" s="218">
        <v>896.93220265692787</v>
      </c>
      <c r="BT42" s="218">
        <v>891.44318436327978</v>
      </c>
      <c r="BU42" s="218">
        <v>872.35668540845006</v>
      </c>
      <c r="BV42" s="218">
        <v>883.20447421792983</v>
      </c>
      <c r="BW42" s="218">
        <v>855.66444331264495</v>
      </c>
      <c r="BX42" s="218">
        <v>852.46329929900003</v>
      </c>
      <c r="BY42" s="218">
        <v>850.37503405889993</v>
      </c>
      <c r="BZ42" s="218">
        <v>842.7</v>
      </c>
      <c r="CA42" s="218">
        <v>843.82739237395106</v>
      </c>
      <c r="CB42" s="218">
        <v>823.68528307794395</v>
      </c>
      <c r="CC42" s="218">
        <v>835.41973142809604</v>
      </c>
      <c r="CD42" s="218">
        <v>806.93081357865594</v>
      </c>
      <c r="CE42" s="218">
        <v>826.45568050751604</v>
      </c>
      <c r="CF42" s="218">
        <v>829.50856398211704</v>
      </c>
      <c r="CG42" s="218">
        <v>841.19152755898278</v>
      </c>
      <c r="CH42" s="218">
        <v>828.68114600926219</v>
      </c>
      <c r="CI42" s="218">
        <v>836.14533475577196</v>
      </c>
      <c r="CJ42" s="218">
        <v>832.7422997703361</v>
      </c>
      <c r="CK42" s="218">
        <v>829.79129939327083</v>
      </c>
      <c r="CL42" s="218">
        <v>826.88951937407182</v>
      </c>
      <c r="CM42" s="218">
        <v>808.0384836316731</v>
      </c>
      <c r="CN42" s="218">
        <v>849.70204623608936</v>
      </c>
      <c r="CO42" s="218">
        <v>1019.243693077647</v>
      </c>
      <c r="CP42" s="218">
        <v>992.75879927492508</v>
      </c>
      <c r="CQ42" s="218">
        <v>1011.2587461904056</v>
      </c>
      <c r="CR42" s="218">
        <v>1010.3461376177301</v>
      </c>
      <c r="CS42" s="218">
        <v>1055.8751111770673</v>
      </c>
      <c r="CT42" s="218">
        <v>1089.1370878063594</v>
      </c>
      <c r="CU42" s="218">
        <v>1089.0781982112446</v>
      </c>
      <c r="CV42" s="218">
        <v>1076.6301543840375</v>
      </c>
      <c r="CW42" s="218">
        <v>1071.6646437035176</v>
      </c>
      <c r="CX42" s="218">
        <v>1073.0638386189773</v>
      </c>
      <c r="CY42" s="218">
        <v>1080.2455569395288</v>
      </c>
      <c r="CZ42" s="218">
        <v>1058.4495861952448</v>
      </c>
      <c r="DA42" s="218">
        <v>1075.185473917325</v>
      </c>
      <c r="DB42" s="421">
        <v>1086.4122225771741</v>
      </c>
      <c r="DC42" s="421">
        <v>1065.1949677377149</v>
      </c>
      <c r="DD42" s="421">
        <v>1053.1878796096657</v>
      </c>
      <c r="DE42" s="421">
        <v>1056.691897941708</v>
      </c>
      <c r="DF42" s="421">
        <v>1041.954267578139</v>
      </c>
      <c r="DG42" s="421">
        <v>1055.6092499684667</v>
      </c>
      <c r="DH42" s="421">
        <v>1053.4909313176813</v>
      </c>
      <c r="DI42" s="421">
        <v>1069.2609083370446</v>
      </c>
      <c r="DJ42" s="421">
        <v>1074.5658869293459</v>
      </c>
      <c r="DK42" s="421">
        <v>1030.2013596104518</v>
      </c>
      <c r="DL42" s="421">
        <v>1019.7488581844905</v>
      </c>
      <c r="DM42" s="421">
        <v>1030.8291177600097</v>
      </c>
      <c r="DN42" s="421">
        <v>1045.0473905015949</v>
      </c>
      <c r="DO42" s="421">
        <v>1089.0937252589822</v>
      </c>
      <c r="DP42" s="421">
        <v>1059.8335857086604</v>
      </c>
      <c r="DQ42" s="421">
        <v>1064.4531311722003</v>
      </c>
      <c r="DR42" s="421">
        <v>1050.7963260873644</v>
      </c>
      <c r="DS42" s="421">
        <v>1055.6784994519082</v>
      </c>
      <c r="DT42" s="421">
        <v>1037.2959551731622</v>
      </c>
      <c r="DU42" s="421">
        <v>1051.8783190217714</v>
      </c>
      <c r="DV42" s="421">
        <v>1054.9642732351963</v>
      </c>
      <c r="DW42" s="421">
        <v>1055.0420912415609</v>
      </c>
      <c r="DX42" s="421">
        <v>1049.6800157578698</v>
      </c>
      <c r="DY42" s="421">
        <v>1038.4137723563063</v>
      </c>
      <c r="DZ42" s="421">
        <v>1022.5789859037511</v>
      </c>
      <c r="EA42" s="421">
        <v>671.51554664980881</v>
      </c>
      <c r="EB42" s="421">
        <v>688.87981079449253</v>
      </c>
    </row>
    <row r="43" spans="1:132" ht="15.95" customHeight="1" x14ac:dyDescent="0.25">
      <c r="A43" s="417" t="s">
        <v>307</v>
      </c>
      <c r="B43" s="418">
        <v>9.1179679999999994</v>
      </c>
      <c r="C43" s="295">
        <v>11.717330350000001</v>
      </c>
      <c r="D43" s="295">
        <v>7.9930430399999999</v>
      </c>
      <c r="E43" s="224">
        <v>11.861389920000001</v>
      </c>
      <c r="F43" s="295">
        <v>9.7494911799999997</v>
      </c>
      <c r="G43" s="295">
        <v>10.30769705</v>
      </c>
      <c r="H43" s="295">
        <v>9.1355911999999986</v>
      </c>
      <c r="I43" s="295">
        <v>9.0528145999999996</v>
      </c>
      <c r="J43" s="295">
        <v>10.624908900000001</v>
      </c>
      <c r="K43" s="224">
        <v>10.878828310000001</v>
      </c>
      <c r="L43" s="295">
        <v>11.046060539999999</v>
      </c>
      <c r="M43" s="295">
        <v>11.032120429999997</v>
      </c>
      <c r="N43" s="295">
        <v>11.822817200000003</v>
      </c>
      <c r="O43" s="224">
        <v>10.679816880000001</v>
      </c>
      <c r="P43" s="295">
        <v>10.692720060000001</v>
      </c>
      <c r="Q43" s="295">
        <v>11.146156640000001</v>
      </c>
      <c r="R43" s="224">
        <v>8.5388528500000014</v>
      </c>
      <c r="S43" s="295">
        <v>8.4781432800000012</v>
      </c>
      <c r="T43" s="295">
        <v>8.530895189999999</v>
      </c>
      <c r="U43" s="419">
        <v>7.4263485899999999</v>
      </c>
      <c r="V43" s="419">
        <v>13.55000566</v>
      </c>
      <c r="W43" s="419">
        <v>13.858574460000002</v>
      </c>
      <c r="X43" s="419">
        <v>14.853204540000002</v>
      </c>
      <c r="Y43" s="419">
        <v>15.98460249</v>
      </c>
      <c r="Z43" s="419">
        <v>16.775565620000002</v>
      </c>
      <c r="AA43" s="419">
        <v>21.351797350000002</v>
      </c>
      <c r="AB43" s="419">
        <v>18.04752336</v>
      </c>
      <c r="AC43" s="419">
        <v>17.801968250000002</v>
      </c>
      <c r="AD43" s="419">
        <v>23.587131700000004</v>
      </c>
      <c r="AE43" s="419">
        <v>23.747023110000001</v>
      </c>
      <c r="AF43" s="419">
        <v>24.5029425</v>
      </c>
      <c r="AG43" s="419">
        <v>28.635337280000002</v>
      </c>
      <c r="AH43" s="419">
        <v>28.349896670000003</v>
      </c>
      <c r="AI43" s="419">
        <v>27.042128439999999</v>
      </c>
      <c r="AJ43" s="419">
        <v>27.353368019999998</v>
      </c>
      <c r="AK43" s="419">
        <v>29.129719699999999</v>
      </c>
      <c r="AL43" s="419">
        <v>54.231304629999997</v>
      </c>
      <c r="AM43" s="297">
        <v>36.303846450000002</v>
      </c>
      <c r="AN43" s="297">
        <v>34.53936684</v>
      </c>
      <c r="AO43" s="297">
        <v>35.051417840000006</v>
      </c>
      <c r="AP43" s="297">
        <v>34.887700359999997</v>
      </c>
      <c r="AQ43" s="297">
        <v>34.210978850000004</v>
      </c>
      <c r="AR43" s="418">
        <v>40.022331689999987</v>
      </c>
      <c r="AS43" s="418">
        <v>32.492058</v>
      </c>
      <c r="AT43" s="418">
        <v>31.745576939999992</v>
      </c>
      <c r="AU43" s="418">
        <v>31.953326220000005</v>
      </c>
      <c r="AV43" s="418">
        <v>31.040383429999999</v>
      </c>
      <c r="AW43" s="218">
        <v>30.791606260000005</v>
      </c>
      <c r="AX43" s="218">
        <v>31.402356489999995</v>
      </c>
      <c r="AY43" s="218">
        <v>30.432792489999997</v>
      </c>
      <c r="AZ43" s="218">
        <v>30.363027689999999</v>
      </c>
      <c r="BA43" s="218">
        <v>30.000618639999995</v>
      </c>
      <c r="BB43" s="218">
        <v>29.035494579999998</v>
      </c>
      <c r="BC43" s="218">
        <v>28.41835571</v>
      </c>
      <c r="BD43" s="218">
        <v>26.344219199999994</v>
      </c>
      <c r="BE43" s="218">
        <v>26.544093340000003</v>
      </c>
      <c r="BF43" s="218">
        <v>27.0836316</v>
      </c>
      <c r="BG43" s="218">
        <v>28.204045580000003</v>
      </c>
      <c r="BH43" s="218">
        <v>27.007360149999993</v>
      </c>
      <c r="BI43" s="218">
        <v>25.730599300000002</v>
      </c>
      <c r="BJ43" s="218">
        <v>24.559592890000001</v>
      </c>
      <c r="BK43" s="218">
        <v>25.746821460000003</v>
      </c>
      <c r="BL43" s="218">
        <v>25.202615220000002</v>
      </c>
      <c r="BM43" s="218">
        <v>25.036359859999994</v>
      </c>
      <c r="BN43" s="218">
        <v>25.760922540000006</v>
      </c>
      <c r="BO43" s="218">
        <v>25.63661763</v>
      </c>
      <c r="BP43" s="218">
        <v>33.795003980000004</v>
      </c>
      <c r="BQ43" s="218">
        <v>34.978401329999997</v>
      </c>
      <c r="BR43" s="218">
        <v>34.664465499999999</v>
      </c>
      <c r="BS43" s="218">
        <v>34.285675879999992</v>
      </c>
      <c r="BT43" s="218">
        <v>33.907771889999999</v>
      </c>
      <c r="BU43" s="218">
        <v>34.581127389999992</v>
      </c>
      <c r="BV43" s="218">
        <v>53.388415217228001</v>
      </c>
      <c r="BW43" s="218">
        <v>34.210427230000001</v>
      </c>
      <c r="BX43" s="218">
        <v>33.95963038</v>
      </c>
      <c r="BY43" s="218">
        <v>34.358752379999999</v>
      </c>
      <c r="BZ43" s="218">
        <v>33.200000000000003</v>
      </c>
      <c r="CA43" s="218">
        <v>34.69655899</v>
      </c>
      <c r="CB43" s="218">
        <v>11.339506000000002</v>
      </c>
      <c r="CC43" s="218">
        <v>14.406287180000001</v>
      </c>
      <c r="CD43" s="218">
        <v>27.876087310000003</v>
      </c>
      <c r="CE43" s="218">
        <v>37.507127600000011</v>
      </c>
      <c r="CF43" s="218">
        <v>36.770421140000003</v>
      </c>
      <c r="CG43" s="218">
        <v>36.755045270000004</v>
      </c>
      <c r="CH43" s="218">
        <v>36.217659510000004</v>
      </c>
      <c r="CI43" s="218">
        <v>36.527300359999998</v>
      </c>
      <c r="CJ43" s="218">
        <v>37.783368440000004</v>
      </c>
      <c r="CK43" s="218">
        <v>39.791675770000005</v>
      </c>
      <c r="CL43" s="218">
        <v>40.09645939</v>
      </c>
      <c r="CM43" s="218">
        <v>39.640578560000009</v>
      </c>
      <c r="CN43" s="218">
        <v>38.382180340000005</v>
      </c>
      <c r="CO43" s="218">
        <v>36.287515649999996</v>
      </c>
      <c r="CP43" s="218">
        <v>37.44355109</v>
      </c>
      <c r="CQ43" s="218">
        <v>36.432409760000006</v>
      </c>
      <c r="CR43" s="218">
        <v>34.820023059999997</v>
      </c>
      <c r="CS43" s="218">
        <v>35.05335419</v>
      </c>
      <c r="CT43" s="218">
        <v>33.86718071</v>
      </c>
      <c r="CU43" s="218">
        <v>31.920368870000001</v>
      </c>
      <c r="CV43" s="218">
        <v>30.837736710000001</v>
      </c>
      <c r="CW43" s="218">
        <v>31.309508759999996</v>
      </c>
      <c r="CX43" s="218">
        <v>30.176052100000003</v>
      </c>
      <c r="CY43" s="218">
        <v>30.069471799999999</v>
      </c>
      <c r="CZ43" s="218">
        <v>29.548265860000004</v>
      </c>
      <c r="DA43" s="218">
        <v>20.06854435</v>
      </c>
      <c r="DB43" s="421">
        <v>20.878156080000004</v>
      </c>
      <c r="DC43" s="421">
        <v>23.398656950000003</v>
      </c>
      <c r="DD43" s="421">
        <v>22.655865349999999</v>
      </c>
      <c r="DE43" s="421">
        <v>21.614540089999998</v>
      </c>
      <c r="DF43" s="421">
        <v>23.019424740000002</v>
      </c>
      <c r="DG43" s="421">
        <v>22.647824300000003</v>
      </c>
      <c r="DH43" s="421">
        <v>22.115520080000003</v>
      </c>
      <c r="DI43" s="421">
        <v>20.775751170000003</v>
      </c>
      <c r="DJ43" s="421">
        <v>21.204948660000003</v>
      </c>
      <c r="DK43" s="421">
        <v>21.575062930000001</v>
      </c>
      <c r="DL43" s="421">
        <v>20.594526470000002</v>
      </c>
      <c r="DM43" s="421">
        <v>21.167052450000003</v>
      </c>
      <c r="DN43" s="421">
        <v>21.115338100000002</v>
      </c>
      <c r="DO43" s="421">
        <v>21.578165970000004</v>
      </c>
      <c r="DP43" s="421">
        <v>21.695333580000003</v>
      </c>
      <c r="DQ43" s="421">
        <v>21.669164370000001</v>
      </c>
      <c r="DR43" s="421">
        <v>23.04923586</v>
      </c>
      <c r="DS43" s="421">
        <v>17.908949009999997</v>
      </c>
      <c r="DT43" s="421">
        <v>18.448866600000002</v>
      </c>
      <c r="DU43" s="421">
        <v>17.715637390000001</v>
      </c>
      <c r="DV43" s="421">
        <v>17.346502749999999</v>
      </c>
      <c r="DW43" s="421">
        <v>16.8446067</v>
      </c>
      <c r="DX43" s="421">
        <v>17.280281039999998</v>
      </c>
      <c r="DY43" s="421">
        <v>17.593123070000001</v>
      </c>
      <c r="DZ43" s="421">
        <v>18.023299530000003</v>
      </c>
      <c r="EA43" s="421">
        <v>17.931411710000003</v>
      </c>
      <c r="EB43" s="421">
        <v>17.801758929999998</v>
      </c>
    </row>
    <row r="44" spans="1:132" ht="15.95" customHeight="1" x14ac:dyDescent="0.25">
      <c r="A44" s="417" t="s">
        <v>283</v>
      </c>
      <c r="B44" s="418">
        <v>539.78935437000007</v>
      </c>
      <c r="C44" s="295">
        <v>548.58207482</v>
      </c>
      <c r="D44" s="295">
        <v>565.70722658999989</v>
      </c>
      <c r="E44" s="224">
        <v>580.94715040000006</v>
      </c>
      <c r="F44" s="295">
        <v>617.31582035999998</v>
      </c>
      <c r="G44" s="295">
        <v>657.55819094999993</v>
      </c>
      <c r="H44" s="295">
        <v>527.06340307000005</v>
      </c>
      <c r="I44" s="295">
        <v>543.04851510000003</v>
      </c>
      <c r="J44" s="295">
        <v>568.70341068000005</v>
      </c>
      <c r="K44" s="224">
        <v>573.9546988100002</v>
      </c>
      <c r="L44" s="295">
        <v>605.46253640000009</v>
      </c>
      <c r="M44" s="295">
        <v>583.08300181000004</v>
      </c>
      <c r="N44" s="295">
        <v>664.49157885</v>
      </c>
      <c r="O44" s="224">
        <v>744.62315599999999</v>
      </c>
      <c r="P44" s="295">
        <v>710.63416259000007</v>
      </c>
      <c r="Q44" s="295">
        <v>743.29148486000008</v>
      </c>
      <c r="R44" s="224">
        <v>657.81545875999996</v>
      </c>
      <c r="S44" s="295">
        <v>560.77851320000002</v>
      </c>
      <c r="T44" s="295">
        <v>858.82542734000003</v>
      </c>
      <c r="U44" s="419">
        <v>751.59007845000008</v>
      </c>
      <c r="V44" s="419">
        <v>837.13474081605693</v>
      </c>
      <c r="W44" s="419">
        <v>770.22520124000005</v>
      </c>
      <c r="X44" s="419">
        <v>754.7646929</v>
      </c>
      <c r="Y44" s="419">
        <v>858.72921881100001</v>
      </c>
      <c r="Z44" s="419">
        <v>515.52354195999999</v>
      </c>
      <c r="AA44" s="419">
        <v>516.51998596999988</v>
      </c>
      <c r="AB44" s="419">
        <v>524.02571904000001</v>
      </c>
      <c r="AC44" s="419">
        <v>529.84544390000008</v>
      </c>
      <c r="AD44" s="419">
        <v>527.13337433000004</v>
      </c>
      <c r="AE44" s="419">
        <v>535.76862000000017</v>
      </c>
      <c r="AF44" s="419">
        <v>534.31213407999996</v>
      </c>
      <c r="AG44" s="419">
        <v>536.77270602999999</v>
      </c>
      <c r="AH44" s="419">
        <v>557.27946539999994</v>
      </c>
      <c r="AI44" s="419">
        <v>595.37523784000018</v>
      </c>
      <c r="AJ44" s="419">
        <v>630.87692701999993</v>
      </c>
      <c r="AK44" s="419">
        <v>782.60331338000015</v>
      </c>
      <c r="AL44" s="419">
        <v>817.06506802000013</v>
      </c>
      <c r="AM44" s="297">
        <v>800.23005174000002</v>
      </c>
      <c r="AN44" s="297">
        <v>845.71302927000011</v>
      </c>
      <c r="AO44" s="297">
        <v>881.20600865999984</v>
      </c>
      <c r="AP44" s="297">
        <v>833.67427188040006</v>
      </c>
      <c r="AQ44" s="297">
        <v>830.88879944120004</v>
      </c>
      <c r="AR44" s="418">
        <v>897.16288857920006</v>
      </c>
      <c r="AS44" s="418">
        <v>890.84792920999996</v>
      </c>
      <c r="AT44" s="418">
        <v>888.9294787888</v>
      </c>
      <c r="AU44" s="418">
        <v>897.53329884579978</v>
      </c>
      <c r="AV44" s="418">
        <v>931.86480171099993</v>
      </c>
      <c r="AW44" s="218">
        <v>937.65749278639987</v>
      </c>
      <c r="AX44" s="218">
        <v>936.12149389440003</v>
      </c>
      <c r="AY44" s="218">
        <v>814.3107841538</v>
      </c>
      <c r="AZ44" s="218">
        <v>1023.3660082983939</v>
      </c>
      <c r="BA44" s="218">
        <v>822.96325733930382</v>
      </c>
      <c r="BB44" s="218">
        <v>832.45161461286375</v>
      </c>
      <c r="BC44" s="218">
        <v>787.17263283840714</v>
      </c>
      <c r="BD44" s="218">
        <v>778.55287907080799</v>
      </c>
      <c r="BE44" s="218">
        <v>943.64268388303014</v>
      </c>
      <c r="BF44" s="218">
        <v>806.508551533012</v>
      </c>
      <c r="BG44" s="218">
        <v>1010.202861477715</v>
      </c>
      <c r="BH44" s="218">
        <v>865.58886733841814</v>
      </c>
      <c r="BI44" s="218">
        <v>712.76718111757691</v>
      </c>
      <c r="BJ44" s="218">
        <v>1019.780219283983</v>
      </c>
      <c r="BK44" s="218">
        <v>1050.0713885781711</v>
      </c>
      <c r="BL44" s="218">
        <v>1143.281363254599</v>
      </c>
      <c r="BM44" s="218">
        <v>1146.490454316526</v>
      </c>
      <c r="BN44" s="218">
        <v>1222.0116272702887</v>
      </c>
      <c r="BO44" s="218">
        <v>1151.6562707865241</v>
      </c>
      <c r="BP44" s="218">
        <v>1231.4548334625169</v>
      </c>
      <c r="BQ44" s="218">
        <v>1238.36913883326</v>
      </c>
      <c r="BR44" s="218">
        <v>1421.1481479936172</v>
      </c>
      <c r="BS44" s="218">
        <v>1253.6246951718081</v>
      </c>
      <c r="BT44" s="218">
        <v>1268.1211070703273</v>
      </c>
      <c r="BU44" s="218">
        <v>1263.6856022597819</v>
      </c>
      <c r="BV44" s="218">
        <v>1064.5375290743139</v>
      </c>
      <c r="BW44" s="218">
        <v>1029.9438236654751</v>
      </c>
      <c r="BX44" s="218">
        <v>1052.3318947415</v>
      </c>
      <c r="BY44" s="218">
        <v>1188.8084911952001</v>
      </c>
      <c r="BZ44" s="218">
        <v>1193.5</v>
      </c>
      <c r="CA44" s="218">
        <v>1093.851042185868</v>
      </c>
      <c r="CB44" s="218">
        <v>1338.8213563860361</v>
      </c>
      <c r="CC44" s="218">
        <v>1327.4253676294302</v>
      </c>
      <c r="CD44" s="218">
        <v>1077.311930044164</v>
      </c>
      <c r="CE44" s="218">
        <v>1124.7996697814765</v>
      </c>
      <c r="CF44" s="218">
        <v>1170.6626615565724</v>
      </c>
      <c r="CG44" s="218">
        <v>1295.7346857095865</v>
      </c>
      <c r="CH44" s="218">
        <v>1348.9760310953716</v>
      </c>
      <c r="CI44" s="218">
        <v>1374.7306684135169</v>
      </c>
      <c r="CJ44" s="218">
        <v>1306.5412976435859</v>
      </c>
      <c r="CK44" s="218">
        <v>1314.6609370650281</v>
      </c>
      <c r="CL44" s="218">
        <v>1374.1045757986594</v>
      </c>
      <c r="CM44" s="218">
        <v>1445.1392124990352</v>
      </c>
      <c r="CN44" s="218">
        <v>1303.8258014114747</v>
      </c>
      <c r="CO44" s="218">
        <v>1455.7797293230619</v>
      </c>
      <c r="CP44" s="218">
        <v>1613.1706659899</v>
      </c>
      <c r="CQ44" s="218">
        <v>1616.5549757385822</v>
      </c>
      <c r="CR44" s="218">
        <v>1392.1073086108049</v>
      </c>
      <c r="CS44" s="218">
        <v>1389.2250606134035</v>
      </c>
      <c r="CT44" s="218">
        <v>1359.5992547122089</v>
      </c>
      <c r="CU44" s="218">
        <v>1380.7155535841237</v>
      </c>
      <c r="CV44" s="218">
        <v>1385.6788804654577</v>
      </c>
      <c r="CW44" s="218">
        <v>1405.2005205780999</v>
      </c>
      <c r="CX44" s="218">
        <v>1424.1509535561054</v>
      </c>
      <c r="CY44" s="218">
        <v>1434.2071631498834</v>
      </c>
      <c r="CZ44" s="218">
        <v>1660.5004065388732</v>
      </c>
      <c r="DA44" s="218">
        <v>1631.4326556356568</v>
      </c>
      <c r="DB44" s="421">
        <v>1708.2016841869631</v>
      </c>
      <c r="DC44" s="421">
        <v>1638.1347618310799</v>
      </c>
      <c r="DD44" s="421">
        <v>1952.9461514572563</v>
      </c>
      <c r="DE44" s="421">
        <v>1696.790403159481</v>
      </c>
      <c r="DF44" s="421">
        <v>1716.1986143612187</v>
      </c>
      <c r="DG44" s="421">
        <v>1731.320805893633</v>
      </c>
      <c r="DH44" s="421">
        <v>1611.2559706731968</v>
      </c>
      <c r="DI44" s="421">
        <v>1997.9750536856909</v>
      </c>
      <c r="DJ44" s="421">
        <v>2029.9361192480214</v>
      </c>
      <c r="DK44" s="421">
        <v>1945.3735207500033</v>
      </c>
      <c r="DL44" s="421">
        <v>1724.1358914949783</v>
      </c>
      <c r="DM44" s="421">
        <v>1728.3158530657181</v>
      </c>
      <c r="DN44" s="421">
        <v>1467.9094080586544</v>
      </c>
      <c r="DO44" s="421">
        <v>1699.8858510443158</v>
      </c>
      <c r="DP44" s="421">
        <v>1657.2544697392059</v>
      </c>
      <c r="DQ44" s="421">
        <v>1668.8096426020575</v>
      </c>
      <c r="DR44" s="421">
        <v>1708.209291711418</v>
      </c>
      <c r="DS44" s="421">
        <v>1526.767766381299</v>
      </c>
      <c r="DT44" s="421">
        <v>1521.9695104662087</v>
      </c>
      <c r="DU44" s="421">
        <v>1505.8307826215514</v>
      </c>
      <c r="DV44" s="421">
        <v>1399.3202166833994</v>
      </c>
      <c r="DW44" s="421">
        <v>1398.1647686022488</v>
      </c>
      <c r="DX44" s="421">
        <v>1399.5900294431679</v>
      </c>
      <c r="DY44" s="421">
        <v>1570.5622925174641</v>
      </c>
      <c r="DZ44" s="421">
        <v>1573.7210227419566</v>
      </c>
      <c r="EA44" s="421">
        <v>1499.7466421879649</v>
      </c>
      <c r="EB44" s="421">
        <v>1551.1982995044675</v>
      </c>
    </row>
    <row r="45" spans="1:132" ht="7.7" customHeight="1" x14ac:dyDescent="0.25">
      <c r="A45" s="417"/>
      <c r="B45" s="411"/>
      <c r="C45" s="215"/>
      <c r="D45" s="215"/>
      <c r="E45" s="227"/>
      <c r="F45" s="215"/>
      <c r="G45" s="215"/>
      <c r="H45" s="295"/>
      <c r="I45" s="295"/>
      <c r="J45" s="295"/>
      <c r="K45" s="224"/>
      <c r="L45" s="295"/>
      <c r="M45" s="295"/>
      <c r="N45" s="295"/>
      <c r="O45" s="224"/>
      <c r="P45" s="295"/>
      <c r="Q45" s="295"/>
      <c r="R45" s="224"/>
      <c r="S45" s="295"/>
      <c r="T45" s="295"/>
      <c r="U45" s="419"/>
      <c r="V45" s="419"/>
      <c r="W45" s="419"/>
      <c r="X45" s="419"/>
      <c r="Y45" s="419"/>
      <c r="Z45" s="419"/>
      <c r="AA45" s="419"/>
      <c r="AB45" s="419"/>
      <c r="AC45" s="419"/>
      <c r="AD45" s="419"/>
      <c r="AE45" s="419"/>
      <c r="AF45" s="419"/>
      <c r="AG45" s="419"/>
      <c r="AH45" s="419"/>
      <c r="AI45" s="419"/>
      <c r="AJ45" s="419"/>
      <c r="AK45" s="419"/>
      <c r="AL45" s="419"/>
      <c r="AM45" s="296"/>
      <c r="AN45" s="296"/>
      <c r="AO45" s="296"/>
      <c r="AP45" s="296"/>
      <c r="AQ45" s="296"/>
      <c r="AR45" s="411"/>
      <c r="AS45" s="411"/>
      <c r="AT45" s="411"/>
      <c r="AU45" s="411"/>
      <c r="AV45" s="411"/>
      <c r="AW45" s="414"/>
      <c r="AX45" s="414"/>
      <c r="AY45" s="414"/>
      <c r="AZ45" s="414"/>
      <c r="BA45" s="414"/>
      <c r="BB45" s="414"/>
      <c r="BC45" s="414"/>
      <c r="BD45" s="414"/>
      <c r="BE45" s="414"/>
      <c r="BF45" s="414"/>
      <c r="BG45" s="414"/>
      <c r="BH45" s="414"/>
      <c r="BI45" s="414"/>
      <c r="BJ45" s="414"/>
      <c r="BK45" s="414"/>
      <c r="BL45" s="414"/>
      <c r="BM45" s="414"/>
      <c r="BN45" s="414"/>
      <c r="BO45" s="414"/>
      <c r="BP45" s="414"/>
      <c r="BQ45" s="414"/>
      <c r="BR45" s="414"/>
      <c r="BS45" s="414"/>
      <c r="BT45" s="414"/>
      <c r="BU45" s="414"/>
      <c r="BV45" s="414"/>
      <c r="BW45" s="414"/>
      <c r="BX45" s="414"/>
      <c r="BY45" s="414"/>
      <c r="BZ45" s="414"/>
      <c r="CA45" s="414"/>
      <c r="CB45" s="414"/>
      <c r="CC45" s="414"/>
      <c r="CD45" s="414"/>
      <c r="CE45" s="414"/>
      <c r="CF45" s="414"/>
      <c r="CG45" s="414"/>
      <c r="CH45" s="414"/>
      <c r="CI45" s="414"/>
      <c r="CJ45" s="414"/>
      <c r="CK45" s="414"/>
      <c r="CL45" s="414"/>
      <c r="CM45" s="414"/>
      <c r="CN45" s="414"/>
      <c r="CO45" s="414"/>
      <c r="CP45" s="414"/>
      <c r="CQ45" s="414"/>
      <c r="CR45" s="414"/>
      <c r="CS45" s="414"/>
      <c r="CT45" s="414"/>
      <c r="CU45" s="414"/>
      <c r="CV45" s="414"/>
      <c r="CW45" s="414"/>
      <c r="CX45" s="414"/>
      <c r="CY45" s="414"/>
      <c r="CZ45" s="414"/>
      <c r="DA45" s="414"/>
      <c r="DB45" s="421"/>
      <c r="DC45" s="421"/>
      <c r="DD45" s="421"/>
      <c r="DE45" s="421"/>
      <c r="DF45" s="421"/>
      <c r="DG45" s="421"/>
      <c r="DH45" s="421"/>
      <c r="DI45" s="421"/>
      <c r="DJ45" s="421"/>
      <c r="DK45" s="421"/>
      <c r="DL45" s="421"/>
      <c r="DM45" s="421"/>
      <c r="DN45" s="421"/>
      <c r="DO45" s="421"/>
      <c r="DP45" s="421"/>
      <c r="DQ45" s="421"/>
      <c r="DR45" s="421"/>
      <c r="DS45" s="421"/>
      <c r="DT45" s="421"/>
      <c r="DU45" s="421"/>
      <c r="DV45" s="421"/>
      <c r="DW45" s="421"/>
      <c r="DX45" s="421"/>
      <c r="DY45" s="421"/>
      <c r="DZ45" s="421"/>
      <c r="EA45" s="421"/>
      <c r="EB45" s="421"/>
    </row>
    <row r="46" spans="1:132" x14ac:dyDescent="0.25">
      <c r="A46" s="410" t="s">
        <v>308</v>
      </c>
      <c r="B46" s="411">
        <f>SUM(B48:B51)</f>
        <v>1507.9093747049999</v>
      </c>
      <c r="C46" s="215">
        <f>SUM(C48:C51)</f>
        <v>1542.6106689406001</v>
      </c>
      <c r="D46" s="215">
        <f>SUM(D48:D51)</f>
        <v>1583.4084174880493</v>
      </c>
      <c r="E46" s="227">
        <f>SUM(E48:E51)</f>
        <v>1626.3693852657998</v>
      </c>
      <c r="F46" s="215">
        <v>1663.8525117079998</v>
      </c>
      <c r="G46" s="215">
        <v>1614.8310764131245</v>
      </c>
      <c r="H46" s="215">
        <v>1667.2594229967999</v>
      </c>
      <c r="I46" s="215">
        <v>1769.0401730732001</v>
      </c>
      <c r="J46" s="215">
        <v>1804.5943364356999</v>
      </c>
      <c r="K46" s="227">
        <v>1678.8298993211999</v>
      </c>
      <c r="L46" s="215">
        <v>1662.1322985980821</v>
      </c>
      <c r="M46" s="215">
        <v>1785.5782674136215</v>
      </c>
      <c r="N46" s="215">
        <v>1681.4720079152601</v>
      </c>
      <c r="O46" s="227">
        <v>1820.0241912598135</v>
      </c>
      <c r="P46" s="215">
        <v>1812.3416303069812</v>
      </c>
      <c r="Q46" s="215">
        <v>1827.0150746129</v>
      </c>
      <c r="R46" s="227">
        <v>1919.5849163169003</v>
      </c>
      <c r="S46" s="215">
        <v>1952.2230894799998</v>
      </c>
      <c r="T46" s="215">
        <v>1856.6156807300003</v>
      </c>
      <c r="U46" s="217">
        <v>1977.1131353615121</v>
      </c>
      <c r="V46" s="217">
        <v>1861.3632187131373</v>
      </c>
      <c r="W46" s="217">
        <v>1956.3038161931001</v>
      </c>
      <c r="X46" s="217">
        <v>1792.8484450167871</v>
      </c>
      <c r="Y46" s="217">
        <v>1725.8792000850983</v>
      </c>
      <c r="Z46" s="217">
        <v>1771.6303483495999</v>
      </c>
      <c r="AA46" s="217">
        <v>1737.0364231145425</v>
      </c>
      <c r="AB46" s="217">
        <v>1830.4835457123991</v>
      </c>
      <c r="AC46" s="217">
        <v>1724.685240899641</v>
      </c>
      <c r="AD46" s="217">
        <v>1617.174472785402</v>
      </c>
      <c r="AE46" s="217">
        <v>1777.4779295824446</v>
      </c>
      <c r="AF46" s="217">
        <v>1694.0516297244874</v>
      </c>
      <c r="AG46" s="217">
        <v>1654.2610520060198</v>
      </c>
      <c r="AH46" s="217">
        <v>1658.2851287218</v>
      </c>
      <c r="AI46" s="217">
        <v>938.44709902960005</v>
      </c>
      <c r="AJ46" s="217">
        <v>963.12456160599993</v>
      </c>
      <c r="AK46" s="217">
        <v>941.76839496353796</v>
      </c>
      <c r="AL46" s="217">
        <v>955.7033265435</v>
      </c>
      <c r="AM46" s="296">
        <v>980.575431761</v>
      </c>
      <c r="AN46" s="296">
        <v>1001.0715535640001</v>
      </c>
      <c r="AO46" s="296">
        <v>927.05793905559995</v>
      </c>
      <c r="AP46" s="296">
        <v>921.34814051230001</v>
      </c>
      <c r="AQ46" s="296">
        <v>892.4363466512001</v>
      </c>
      <c r="AR46" s="411">
        <v>923.02037885880009</v>
      </c>
      <c r="AS46" s="411">
        <v>916.22181783999986</v>
      </c>
      <c r="AT46" s="411">
        <v>905.41333493799993</v>
      </c>
      <c r="AU46" s="411">
        <v>949.14829496160007</v>
      </c>
      <c r="AV46" s="411">
        <v>939.06861706099983</v>
      </c>
      <c r="AW46" s="414">
        <v>912.93765191879993</v>
      </c>
      <c r="AX46" s="414">
        <v>925.995011342</v>
      </c>
      <c r="AY46" s="414">
        <v>960.29696690539993</v>
      </c>
      <c r="AZ46" s="414">
        <v>934.98670990359994</v>
      </c>
      <c r="BA46" s="414">
        <v>908.54786906720017</v>
      </c>
      <c r="BB46" s="414">
        <v>880.95928618500011</v>
      </c>
      <c r="BC46" s="414">
        <v>1182.3216355915999</v>
      </c>
      <c r="BD46" s="414">
        <v>1291.5596564333998</v>
      </c>
      <c r="BE46" s="414">
        <v>1459.6132228096001</v>
      </c>
      <c r="BF46" s="414">
        <v>1508.6980156499999</v>
      </c>
      <c r="BG46" s="414">
        <v>1576.4000073539999</v>
      </c>
      <c r="BH46" s="414">
        <v>1669.276943266</v>
      </c>
      <c r="BI46" s="414">
        <v>1714.2501894193999</v>
      </c>
      <c r="BJ46" s="414">
        <v>2130.3798480984001</v>
      </c>
      <c r="BK46" s="414">
        <v>2130.9766963754</v>
      </c>
      <c r="BL46" s="414">
        <v>2124.7131121046</v>
      </c>
      <c r="BM46" s="414">
        <v>1919.7031620385999</v>
      </c>
      <c r="BN46" s="414">
        <v>2139.9908942567999</v>
      </c>
      <c r="BO46" s="414">
        <v>1979.6257813911996</v>
      </c>
      <c r="BP46" s="414">
        <v>1929.9581157287002</v>
      </c>
      <c r="BQ46" s="414">
        <v>1917.0757610645003</v>
      </c>
      <c r="BR46" s="414">
        <v>2110.1857642009995</v>
      </c>
      <c r="BS46" s="414">
        <v>2153.995801178</v>
      </c>
      <c r="BT46" s="414">
        <v>2221.6448039146399</v>
      </c>
      <c r="BU46" s="414">
        <v>2123.0465997910583</v>
      </c>
      <c r="BV46" s="414">
        <v>2185.3274773613061</v>
      </c>
      <c r="BW46" s="414">
        <v>2268.61197455911</v>
      </c>
      <c r="BX46" s="414">
        <v>2319.2034742375004</v>
      </c>
      <c r="BY46" s="414">
        <v>3297.2032739027004</v>
      </c>
      <c r="BZ46" s="414">
        <v>3265.6</v>
      </c>
      <c r="CA46" s="414">
        <v>3336.5099523131139</v>
      </c>
      <c r="CB46" s="414">
        <v>3505.6020483344705</v>
      </c>
      <c r="CC46" s="414">
        <v>3459.5745631502427</v>
      </c>
      <c r="CD46" s="414">
        <v>3567.9617293124252</v>
      </c>
      <c r="CE46" s="414">
        <v>3705.6423364928482</v>
      </c>
      <c r="CF46" s="414">
        <v>3768.1641562168265</v>
      </c>
      <c r="CG46" s="414">
        <v>4007.778879563331</v>
      </c>
      <c r="CH46" s="414">
        <v>4015.5889194642682</v>
      </c>
      <c r="CI46" s="414">
        <v>4043.8246799860426</v>
      </c>
      <c r="CJ46" s="414">
        <v>4300.7694414525959</v>
      </c>
      <c r="CK46" s="414">
        <v>4278.0939740936938</v>
      </c>
      <c r="CL46" s="414">
        <v>4438.2500715873912</v>
      </c>
      <c r="CM46" s="414">
        <v>4434.0652768987893</v>
      </c>
      <c r="CN46" s="414">
        <v>4421.5741084767305</v>
      </c>
      <c r="CO46" s="414">
        <v>4840.7333554418246</v>
      </c>
      <c r="CP46" s="414">
        <v>4840.4834598963689</v>
      </c>
      <c r="CQ46" s="414">
        <v>5221.2109160230448</v>
      </c>
      <c r="CR46" s="414">
        <v>5285.6659995523341</v>
      </c>
      <c r="CS46" s="414">
        <v>5546.0505323107327</v>
      </c>
      <c r="CT46" s="414">
        <v>5742.7612063646493</v>
      </c>
      <c r="CU46" s="414">
        <v>5763.4106785542881</v>
      </c>
      <c r="CV46" s="414">
        <v>5952.4672051919415</v>
      </c>
      <c r="CW46" s="414">
        <v>5407.5054550513532</v>
      </c>
      <c r="CX46" s="414">
        <v>5076.4188202309106</v>
      </c>
      <c r="CY46" s="414">
        <v>5069.4760642529491</v>
      </c>
      <c r="CZ46" s="414">
        <v>5073.6850784515491</v>
      </c>
      <c r="DA46" s="414">
        <v>5037.2817862240263</v>
      </c>
      <c r="DB46" s="423">
        <v>5062.0853891866773</v>
      </c>
      <c r="DC46" s="423">
        <v>4934.7934899748871</v>
      </c>
      <c r="DD46" s="423">
        <v>4888.697599094513</v>
      </c>
      <c r="DE46" s="423">
        <v>4866.6009464590852</v>
      </c>
      <c r="DF46" s="423">
        <v>4873.2559770024518</v>
      </c>
      <c r="DG46" s="423">
        <v>4859.6898492807641</v>
      </c>
      <c r="DH46" s="423">
        <v>4857.2830702823103</v>
      </c>
      <c r="DI46" s="423">
        <v>5072.3364803462009</v>
      </c>
      <c r="DJ46" s="423">
        <v>4853.2962917835976</v>
      </c>
      <c r="DK46" s="423">
        <v>5176.9814997007852</v>
      </c>
      <c r="DL46" s="423">
        <v>5119.1796923904722</v>
      </c>
      <c r="DM46" s="423">
        <v>5094.0095550088708</v>
      </c>
      <c r="DN46" s="423">
        <v>5142.2198042987156</v>
      </c>
      <c r="DO46" s="423">
        <v>5155.0729298079068</v>
      </c>
      <c r="DP46" s="423">
        <v>4735.6512792034227</v>
      </c>
      <c r="DQ46" s="423">
        <v>4968.4990040309185</v>
      </c>
      <c r="DR46" s="423">
        <v>4924.9213877894263</v>
      </c>
      <c r="DS46" s="423">
        <v>4907.756108271059</v>
      </c>
      <c r="DT46" s="423">
        <v>4858.8639560386928</v>
      </c>
      <c r="DU46" s="423">
        <v>4780.0312381439771</v>
      </c>
      <c r="DV46" s="423">
        <v>4482.7787671602628</v>
      </c>
      <c r="DW46" s="423">
        <v>4500.8154517760649</v>
      </c>
      <c r="DX46" s="423">
        <v>4475.7035913552027</v>
      </c>
      <c r="DY46" s="423">
        <v>4439.049259110946</v>
      </c>
      <c r="DZ46" s="423">
        <v>4417.6809844410864</v>
      </c>
      <c r="EA46" s="423">
        <v>4429.2866320720605</v>
      </c>
      <c r="EB46" s="423">
        <v>4356.5079494317552</v>
      </c>
    </row>
    <row r="47" spans="1:132" ht="15.95" customHeight="1" x14ac:dyDescent="0.25">
      <c r="A47" s="417" t="s">
        <v>274</v>
      </c>
      <c r="B47" s="411"/>
      <c r="C47" s="215"/>
      <c r="D47" s="215"/>
      <c r="E47" s="227"/>
      <c r="F47" s="215"/>
      <c r="G47" s="215"/>
      <c r="H47" s="295"/>
      <c r="I47" s="295"/>
      <c r="J47" s="295"/>
      <c r="K47" s="224"/>
      <c r="L47" s="295"/>
      <c r="M47" s="295"/>
      <c r="N47" s="295"/>
      <c r="O47" s="224"/>
      <c r="P47" s="295"/>
      <c r="Q47" s="295"/>
      <c r="R47" s="224"/>
      <c r="S47" s="295"/>
      <c r="T47" s="295"/>
      <c r="U47" s="419"/>
      <c r="V47" s="419"/>
      <c r="W47" s="419"/>
      <c r="X47" s="419"/>
      <c r="Y47" s="419"/>
      <c r="Z47" s="419"/>
      <c r="AA47" s="419"/>
      <c r="AB47" s="419"/>
      <c r="AC47" s="419"/>
      <c r="AD47" s="419"/>
      <c r="AE47" s="419"/>
      <c r="AF47" s="419"/>
      <c r="AG47" s="419"/>
      <c r="AH47" s="419"/>
      <c r="AI47" s="419"/>
      <c r="AJ47" s="419"/>
      <c r="AK47" s="419"/>
      <c r="AL47" s="419"/>
      <c r="AM47" s="296"/>
      <c r="AN47" s="296"/>
      <c r="AO47" s="296"/>
      <c r="AP47" s="296"/>
      <c r="AQ47" s="296"/>
      <c r="AR47" s="411"/>
      <c r="AS47" s="411"/>
      <c r="AT47" s="411"/>
      <c r="AU47" s="411"/>
      <c r="AV47" s="411"/>
      <c r="AW47" s="414"/>
      <c r="AX47" s="414"/>
      <c r="AY47" s="414"/>
      <c r="AZ47" s="414"/>
      <c r="BA47" s="414"/>
      <c r="BB47" s="414"/>
      <c r="BC47" s="414"/>
      <c r="BD47" s="414"/>
      <c r="BE47" s="414"/>
      <c r="BF47" s="414"/>
      <c r="BG47" s="414"/>
      <c r="BH47" s="414"/>
      <c r="BI47" s="414"/>
      <c r="BJ47" s="414"/>
      <c r="BK47" s="414"/>
      <c r="BL47" s="414"/>
      <c r="BM47" s="414"/>
      <c r="BN47" s="414"/>
      <c r="BO47" s="414"/>
      <c r="BP47" s="414"/>
      <c r="BQ47" s="414"/>
      <c r="BR47" s="414"/>
      <c r="BS47" s="414"/>
      <c r="BT47" s="414"/>
      <c r="BU47" s="414"/>
      <c r="BV47" s="414"/>
      <c r="BW47" s="414"/>
      <c r="BX47" s="414"/>
      <c r="BY47" s="414"/>
      <c r="BZ47" s="414"/>
      <c r="CA47" s="414"/>
      <c r="CB47" s="414"/>
      <c r="CC47" s="414"/>
      <c r="CD47" s="414"/>
      <c r="CE47" s="414"/>
      <c r="CF47" s="414"/>
      <c r="CG47" s="414"/>
      <c r="CH47" s="414"/>
      <c r="CI47" s="414"/>
      <c r="CJ47" s="414"/>
      <c r="CK47" s="414"/>
      <c r="CL47" s="414"/>
      <c r="CM47" s="414"/>
      <c r="CN47" s="414"/>
      <c r="CO47" s="414"/>
      <c r="CP47" s="414"/>
      <c r="CQ47" s="414"/>
      <c r="CR47" s="414"/>
      <c r="CS47" s="414">
        <v>0</v>
      </c>
      <c r="CT47" s="414"/>
      <c r="CU47" s="414"/>
      <c r="CV47" s="414"/>
      <c r="CW47" s="414"/>
      <c r="CX47" s="414"/>
      <c r="CY47" s="414"/>
      <c r="CZ47" s="414"/>
      <c r="DA47" s="414"/>
      <c r="DB47" s="421"/>
      <c r="DC47" s="421"/>
      <c r="DD47" s="421"/>
      <c r="DE47" s="421"/>
      <c r="DF47" s="421"/>
      <c r="DG47" s="421"/>
      <c r="DH47" s="421"/>
      <c r="DI47" s="421"/>
      <c r="DJ47" s="421"/>
      <c r="DK47" s="421"/>
      <c r="DL47" s="421"/>
      <c r="DM47" s="421"/>
      <c r="DN47" s="421"/>
      <c r="DO47" s="421"/>
      <c r="DP47" s="421"/>
      <c r="DQ47" s="421"/>
      <c r="DR47" s="421"/>
      <c r="DS47" s="421"/>
      <c r="DT47" s="421"/>
      <c r="DU47" s="421"/>
      <c r="DV47" s="421"/>
      <c r="DW47" s="421"/>
      <c r="DX47" s="421"/>
      <c r="DY47" s="421"/>
      <c r="DZ47" s="421"/>
      <c r="EA47" s="421"/>
      <c r="EB47" s="421"/>
    </row>
    <row r="48" spans="1:132" ht="15.95" customHeight="1" x14ac:dyDescent="0.25">
      <c r="A48" s="417" t="s">
        <v>309</v>
      </c>
      <c r="B48" s="418">
        <v>121.17322364500001</v>
      </c>
      <c r="C48" s="295">
        <v>117.4633105006</v>
      </c>
      <c r="D48" s="295">
        <v>125.03939343804929</v>
      </c>
      <c r="E48" s="224">
        <v>125.54506668579999</v>
      </c>
      <c r="F48" s="295">
        <v>125.27401128799998</v>
      </c>
      <c r="G48" s="295">
        <v>126.67563216312438</v>
      </c>
      <c r="H48" s="295">
        <v>151.48260432680001</v>
      </c>
      <c r="I48" s="295">
        <v>201.16842844319999</v>
      </c>
      <c r="J48" s="295">
        <v>128.35201362570001</v>
      </c>
      <c r="K48" s="224">
        <v>193.9740906712</v>
      </c>
      <c r="L48" s="295">
        <v>123.26249872808201</v>
      </c>
      <c r="M48" s="295">
        <v>127.12964537362157</v>
      </c>
      <c r="N48" s="295">
        <v>126.43328192526</v>
      </c>
      <c r="O48" s="224">
        <v>128.60003137981329</v>
      </c>
      <c r="P48" s="295">
        <v>129.88669074698112</v>
      </c>
      <c r="Q48" s="295">
        <v>126.5889943529</v>
      </c>
      <c r="R48" s="224">
        <v>132.5971678249</v>
      </c>
      <c r="S48" s="295">
        <v>134.28707810999998</v>
      </c>
      <c r="T48" s="295">
        <v>127.003450035</v>
      </c>
      <c r="U48" s="419">
        <v>128.7248377288123</v>
      </c>
      <c r="V48" s="419">
        <v>133.41657370083729</v>
      </c>
      <c r="W48" s="419">
        <v>126.26888202410001</v>
      </c>
      <c r="X48" s="419">
        <v>126.77286703278709</v>
      </c>
      <c r="Y48" s="419">
        <v>119.06022324409828</v>
      </c>
      <c r="Z48" s="419">
        <v>113.976159647</v>
      </c>
      <c r="AA48" s="419">
        <v>112.30709044309702</v>
      </c>
      <c r="AB48" s="419">
        <v>0.38184947786950002</v>
      </c>
      <c r="AC48" s="419">
        <v>0.31743612524099996</v>
      </c>
      <c r="AD48" s="419">
        <v>0.16328285000000001</v>
      </c>
      <c r="AE48" s="419">
        <v>0.23409455000000001</v>
      </c>
      <c r="AF48" s="419">
        <v>19.876087868512499</v>
      </c>
      <c r="AG48" s="419">
        <v>20.314017166020001</v>
      </c>
      <c r="AH48" s="419">
        <v>19.613877931800001</v>
      </c>
      <c r="AI48" s="419">
        <v>68.625680779599989</v>
      </c>
      <c r="AJ48" s="419">
        <v>17.311338226</v>
      </c>
      <c r="AK48" s="419">
        <v>19.431968013538</v>
      </c>
      <c r="AL48" s="419">
        <v>15.825867713500001</v>
      </c>
      <c r="AM48" s="297">
        <v>15.555103070999998</v>
      </c>
      <c r="AN48" s="297">
        <v>16.552579523999999</v>
      </c>
      <c r="AO48" s="297">
        <v>14.2012344556</v>
      </c>
      <c r="AP48" s="297">
        <v>16.1156662305</v>
      </c>
      <c r="AQ48" s="297">
        <v>16.309751422800002</v>
      </c>
      <c r="AR48" s="418">
        <v>13.330433422799999</v>
      </c>
      <c r="AS48" s="418">
        <v>13.632782760000001</v>
      </c>
      <c r="AT48" s="418">
        <v>14.344382147200001</v>
      </c>
      <c r="AU48" s="418">
        <v>11.2572636052</v>
      </c>
      <c r="AV48" s="418">
        <v>11.377227720999999</v>
      </c>
      <c r="AW48" s="218">
        <v>11.028664036</v>
      </c>
      <c r="AX48" s="218">
        <v>8.2448177095999995</v>
      </c>
      <c r="AY48" s="218">
        <v>8.1846173972000003</v>
      </c>
      <c r="AZ48" s="218">
        <v>8.1574042544999994</v>
      </c>
      <c r="BA48" s="218">
        <v>5.2947322399999992</v>
      </c>
      <c r="BB48" s="218">
        <v>5.2175274803000002</v>
      </c>
      <c r="BC48" s="218">
        <v>5.1230328963999998</v>
      </c>
      <c r="BD48" s="218">
        <v>4.2031622136000006</v>
      </c>
      <c r="BE48" s="218">
        <v>4.2523481134000001</v>
      </c>
      <c r="BF48" s="218">
        <v>3.2048692549999998</v>
      </c>
      <c r="BG48" s="218">
        <v>0.49862291999999997</v>
      </c>
      <c r="BH48" s="218">
        <v>0.48834907</v>
      </c>
      <c r="BI48" s="218">
        <v>0.47792414</v>
      </c>
      <c r="BJ48" s="218">
        <v>0.46863289999999996</v>
      </c>
      <c r="BK48" s="218">
        <v>0.45917784</v>
      </c>
      <c r="BL48" s="218">
        <v>0.44613126000000003</v>
      </c>
      <c r="BM48" s="218">
        <v>0.43413981000000001</v>
      </c>
      <c r="BN48" s="218">
        <v>0.43844742000000003</v>
      </c>
      <c r="BO48" s="218">
        <v>0.42529168000000001</v>
      </c>
      <c r="BP48" s="218">
        <v>0.40273591999999997</v>
      </c>
      <c r="BQ48" s="218">
        <v>0.39130946</v>
      </c>
      <c r="BR48" s="218">
        <v>0.38013506999999996</v>
      </c>
      <c r="BS48" s="218">
        <v>0.37314378000000004</v>
      </c>
      <c r="BT48" s="218">
        <v>0.39314418000000001</v>
      </c>
      <c r="BU48" s="218">
        <v>0.35357022999999999</v>
      </c>
      <c r="BV48" s="218">
        <v>0.34247577000000001</v>
      </c>
      <c r="BW48" s="218">
        <v>0.44046540000000001</v>
      </c>
      <c r="BX48" s="218">
        <v>0.35170699999999999</v>
      </c>
      <c r="BY48" s="218">
        <v>0.31195299999999998</v>
      </c>
      <c r="BZ48" s="218">
        <v>0.3</v>
      </c>
      <c r="CA48" s="218">
        <v>0.32200321999999998</v>
      </c>
      <c r="CB48" s="218">
        <v>0.30612271999999996</v>
      </c>
      <c r="CC48" s="218">
        <v>0.27535892000000001</v>
      </c>
      <c r="CD48" s="218">
        <v>0.24302926000000002</v>
      </c>
      <c r="CE48" s="218">
        <v>0.23515056000000001</v>
      </c>
      <c r="CF48" s="218">
        <v>0.55016276999999991</v>
      </c>
      <c r="CG48" s="218">
        <v>51.019435363900001</v>
      </c>
      <c r="CH48" s="218">
        <v>51.026158820537667</v>
      </c>
      <c r="CI48" s="218">
        <v>50.676937289999991</v>
      </c>
      <c r="CJ48" s="218">
        <v>306.95244534159997</v>
      </c>
      <c r="CK48" s="218">
        <v>200.32280321999997</v>
      </c>
      <c r="CL48" s="218">
        <v>200.22235778999999</v>
      </c>
      <c r="CM48" s="218">
        <v>188.22624014000002</v>
      </c>
      <c r="CN48" s="218">
        <v>142.18418964000003</v>
      </c>
      <c r="CO48" s="218">
        <v>400.78878169000001</v>
      </c>
      <c r="CP48" s="218">
        <v>376.48303644999999</v>
      </c>
      <c r="CQ48" s="218">
        <v>653.16252959000008</v>
      </c>
      <c r="CR48" s="218">
        <v>520.60099739999998</v>
      </c>
      <c r="CS48" s="218">
        <v>739.61699841000006</v>
      </c>
      <c r="CT48" s="218">
        <v>736.02888789658198</v>
      </c>
      <c r="CU48" s="218">
        <v>735.45134996352795</v>
      </c>
      <c r="CV48" s="218">
        <v>883.35165545927293</v>
      </c>
      <c r="CW48" s="218">
        <v>306.28056159571702</v>
      </c>
      <c r="CX48" s="218">
        <v>0.80499456124799995</v>
      </c>
      <c r="CY48" s="218">
        <v>0.82229567064600007</v>
      </c>
      <c r="CZ48" s="218">
        <v>4.3952242890160003</v>
      </c>
      <c r="DA48" s="218">
        <v>0.78059800724200001</v>
      </c>
      <c r="DB48" s="421">
        <v>13.826349221184</v>
      </c>
      <c r="DC48" s="421">
        <v>27.341703737713999</v>
      </c>
      <c r="DD48" s="421">
        <v>27.263662261935004</v>
      </c>
      <c r="DE48" s="421">
        <v>29.856411870000002</v>
      </c>
      <c r="DF48" s="421">
        <v>39.215129560000001</v>
      </c>
      <c r="DG48" s="421">
        <v>39.408166239999993</v>
      </c>
      <c r="DH48" s="421">
        <v>39.548095650000008</v>
      </c>
      <c r="DI48" s="421">
        <v>196.45556246999999</v>
      </c>
      <c r="DJ48" s="421">
        <v>37.276421929999998</v>
      </c>
      <c r="DK48" s="421">
        <v>36.819299640000004</v>
      </c>
      <c r="DL48" s="421">
        <v>120.79901968999999</v>
      </c>
      <c r="DM48" s="421">
        <v>46.826453069999999</v>
      </c>
      <c r="DN48" s="421">
        <v>47.09912568</v>
      </c>
      <c r="DO48" s="421">
        <v>49.657724269999996</v>
      </c>
      <c r="DP48" s="421">
        <v>48.417031350000002</v>
      </c>
      <c r="DQ48" s="421">
        <v>48.094671420000005</v>
      </c>
      <c r="DR48" s="421">
        <v>48.009040090000006</v>
      </c>
      <c r="DS48" s="421">
        <v>47.455142250000002</v>
      </c>
      <c r="DT48" s="421">
        <v>47.410324150000001</v>
      </c>
      <c r="DU48" s="421">
        <v>47.522781730000005</v>
      </c>
      <c r="DV48" s="421">
        <v>47.58797955</v>
      </c>
      <c r="DW48" s="421">
        <v>47.419827700000006</v>
      </c>
      <c r="DX48" s="421">
        <v>47.100536270000006</v>
      </c>
      <c r="DY48" s="421">
        <v>46.957123199999998</v>
      </c>
      <c r="DZ48" s="421">
        <v>46.521567579999996</v>
      </c>
      <c r="EA48" s="421">
        <v>46.200456250000002</v>
      </c>
      <c r="EB48" s="421">
        <v>46.105124560299998</v>
      </c>
    </row>
    <row r="49" spans="1:132" ht="15.95" customHeight="1" x14ac:dyDescent="0.25">
      <c r="A49" s="417" t="s">
        <v>310</v>
      </c>
      <c r="B49" s="418">
        <v>507.54847455999999</v>
      </c>
      <c r="C49" s="295">
        <v>534.38730736000002</v>
      </c>
      <c r="D49" s="295">
        <v>533.10752549999995</v>
      </c>
      <c r="E49" s="224">
        <v>535.68649546999995</v>
      </c>
      <c r="F49" s="295">
        <v>514.11718714999995</v>
      </c>
      <c r="G49" s="295">
        <v>510.21445197000003</v>
      </c>
      <c r="H49" s="295">
        <v>515.92904474999989</v>
      </c>
      <c r="I49" s="295">
        <v>531.06953074</v>
      </c>
      <c r="J49" s="295">
        <v>543.76172939000014</v>
      </c>
      <c r="K49" s="224">
        <v>510.86398545999998</v>
      </c>
      <c r="L49" s="295">
        <v>518.80954241000006</v>
      </c>
      <c r="M49" s="295">
        <v>524.67912213999989</v>
      </c>
      <c r="N49" s="295">
        <v>530.07749957999999</v>
      </c>
      <c r="O49" s="224">
        <v>512.89938427000004</v>
      </c>
      <c r="P49" s="295">
        <v>508.17511687000001</v>
      </c>
      <c r="Q49" s="295">
        <v>529.87699651000003</v>
      </c>
      <c r="R49" s="224">
        <v>524.11147857200001</v>
      </c>
      <c r="S49" s="295">
        <v>548.23914734999994</v>
      </c>
      <c r="T49" s="295">
        <v>527.57176253500006</v>
      </c>
      <c r="U49" s="419">
        <v>532.58436669269997</v>
      </c>
      <c r="V49" s="419">
        <v>525.28818061230004</v>
      </c>
      <c r="W49" s="419">
        <v>516.972804709</v>
      </c>
      <c r="X49" s="419">
        <v>519.45464767400006</v>
      </c>
      <c r="Y49" s="419">
        <v>510.53690606099997</v>
      </c>
      <c r="Z49" s="419">
        <v>507.48219906999992</v>
      </c>
      <c r="AA49" s="419">
        <v>497.80900733000004</v>
      </c>
      <c r="AB49" s="419">
        <v>514.77851161000001</v>
      </c>
      <c r="AC49" s="419">
        <v>513.01341176999995</v>
      </c>
      <c r="AD49" s="419">
        <v>441.82454226999999</v>
      </c>
      <c r="AE49" s="419">
        <v>433.79901856999999</v>
      </c>
      <c r="AF49" s="419">
        <v>439.86383197000004</v>
      </c>
      <c r="AG49" s="419">
        <v>462.33400525000002</v>
      </c>
      <c r="AH49" s="419">
        <v>437.10574437000002</v>
      </c>
      <c r="AI49" s="419">
        <v>425.35228107</v>
      </c>
      <c r="AJ49" s="419">
        <v>495.45644657999992</v>
      </c>
      <c r="AK49" s="419">
        <v>480.65615361999994</v>
      </c>
      <c r="AL49" s="419">
        <v>494.05869306</v>
      </c>
      <c r="AM49" s="297">
        <v>440.11755986000003</v>
      </c>
      <c r="AN49" s="297">
        <v>450.12266341000003</v>
      </c>
      <c r="AO49" s="297">
        <v>472.33017360999992</v>
      </c>
      <c r="AP49" s="297">
        <v>487.41348440210004</v>
      </c>
      <c r="AQ49" s="297">
        <v>477.56983896459997</v>
      </c>
      <c r="AR49" s="418">
        <v>487.50161368160002</v>
      </c>
      <c r="AS49" s="418">
        <v>474.14054139000001</v>
      </c>
      <c r="AT49" s="418">
        <v>470.93412921440006</v>
      </c>
      <c r="AU49" s="418">
        <v>532.00935312900003</v>
      </c>
      <c r="AV49" s="418">
        <v>545.45349353300003</v>
      </c>
      <c r="AW49" s="218">
        <v>508.91583365839995</v>
      </c>
      <c r="AX49" s="218">
        <v>502.35672048040004</v>
      </c>
      <c r="AY49" s="218">
        <v>510.1608699139</v>
      </c>
      <c r="AZ49" s="218">
        <v>507.93466959810002</v>
      </c>
      <c r="BA49" s="218">
        <v>483.90914832900006</v>
      </c>
      <c r="BB49" s="218">
        <v>451.96586207109993</v>
      </c>
      <c r="BC49" s="218">
        <v>502.69084410839997</v>
      </c>
      <c r="BD49" s="218">
        <v>627.32506972660008</v>
      </c>
      <c r="BE49" s="218">
        <v>650.23067224890008</v>
      </c>
      <c r="BF49" s="218">
        <v>703.43716654499997</v>
      </c>
      <c r="BG49" s="218">
        <v>705.85525806400005</v>
      </c>
      <c r="BH49" s="218">
        <v>738.44342374580003</v>
      </c>
      <c r="BI49" s="218">
        <v>738.07546235560005</v>
      </c>
      <c r="BJ49" s="218">
        <v>995.65472151299991</v>
      </c>
      <c r="BK49" s="218">
        <v>1021.0162897853002</v>
      </c>
      <c r="BL49" s="218">
        <v>1045.7498007909999</v>
      </c>
      <c r="BM49" s="218">
        <v>1214.2437328763999</v>
      </c>
      <c r="BN49" s="218">
        <v>1057.185312476</v>
      </c>
      <c r="BO49" s="218">
        <v>1027.8132620667998</v>
      </c>
      <c r="BP49" s="218">
        <v>994.70713553430016</v>
      </c>
      <c r="BQ49" s="218">
        <v>964.54613446280018</v>
      </c>
      <c r="BR49" s="218">
        <v>1010.8161767218999</v>
      </c>
      <c r="BS49" s="218">
        <v>1046.9849281648001</v>
      </c>
      <c r="BT49" s="218">
        <v>1051.71683088242</v>
      </c>
      <c r="BU49" s="218">
        <v>1043.98467572241</v>
      </c>
      <c r="BV49" s="218">
        <v>1064.1954917062517</v>
      </c>
      <c r="BW49" s="218">
        <v>1203.1556141887897</v>
      </c>
      <c r="BX49" s="218">
        <v>1246.9945894355001</v>
      </c>
      <c r="BY49" s="218">
        <v>1207.0229809558</v>
      </c>
      <c r="BZ49" s="218">
        <v>1227.2</v>
      </c>
      <c r="CA49" s="218">
        <v>1234.2619580675021</v>
      </c>
      <c r="CB49" s="218">
        <v>1407.6981253471899</v>
      </c>
      <c r="CC49" s="218">
        <v>1376.7455781905799</v>
      </c>
      <c r="CD49" s="218">
        <v>1465.1711743046449</v>
      </c>
      <c r="CE49" s="218">
        <v>1421.1265655754539</v>
      </c>
      <c r="CF49" s="218">
        <v>1437.3370094740815</v>
      </c>
      <c r="CG49" s="218">
        <v>1435.5787284728158</v>
      </c>
      <c r="CH49" s="218">
        <v>1446.7812150210457</v>
      </c>
      <c r="CI49" s="218">
        <v>1539.6543685586546</v>
      </c>
      <c r="CJ49" s="218">
        <v>1530.143122406836</v>
      </c>
      <c r="CK49" s="218">
        <v>1566.1568176581829</v>
      </c>
      <c r="CL49" s="218">
        <v>1518.9516153316176</v>
      </c>
      <c r="CM49" s="218">
        <v>1523.3226632283763</v>
      </c>
      <c r="CN49" s="218">
        <v>1594.8239741814821</v>
      </c>
      <c r="CO49" s="218">
        <v>1582.5900338316658</v>
      </c>
      <c r="CP49" s="218">
        <v>1561.1155162008929</v>
      </c>
      <c r="CQ49" s="218">
        <v>1602.8477377866013</v>
      </c>
      <c r="CR49" s="218">
        <v>1568.9197283952069</v>
      </c>
      <c r="CS49" s="218">
        <v>1574.4628411982783</v>
      </c>
      <c r="CT49" s="218">
        <v>1741.3783405595595</v>
      </c>
      <c r="CU49" s="218">
        <v>1766.4894027804448</v>
      </c>
      <c r="CV49" s="218">
        <v>1744.111531855699</v>
      </c>
      <c r="CW49" s="218">
        <v>1773.5621450337817</v>
      </c>
      <c r="CX49" s="218">
        <v>1785.1847942973798</v>
      </c>
      <c r="CY49" s="218">
        <v>1759.5876124095553</v>
      </c>
      <c r="CZ49" s="218">
        <v>1797.2836353513669</v>
      </c>
      <c r="DA49" s="218">
        <v>1825.2113814627276</v>
      </c>
      <c r="DB49" s="421">
        <v>1904.7842322961994</v>
      </c>
      <c r="DC49" s="421">
        <v>1779.787398695061</v>
      </c>
      <c r="DD49" s="421">
        <v>1715.1109499809329</v>
      </c>
      <c r="DE49" s="421">
        <v>1665.9679205892053</v>
      </c>
      <c r="DF49" s="421">
        <v>1710.7035326637899</v>
      </c>
      <c r="DG49" s="421">
        <v>1700.3940898348667</v>
      </c>
      <c r="DH49" s="421">
        <v>1684.5649433549015</v>
      </c>
      <c r="DI49" s="421">
        <v>1631.0804196436736</v>
      </c>
      <c r="DJ49" s="421">
        <v>1583.7513705658564</v>
      </c>
      <c r="DK49" s="421">
        <v>1491.7975057960125</v>
      </c>
      <c r="DL49" s="421">
        <v>1536.2057367729608</v>
      </c>
      <c r="DM49" s="421">
        <v>1532.3433994929321</v>
      </c>
      <c r="DN49" s="421">
        <v>1551.556082833564</v>
      </c>
      <c r="DO49" s="421">
        <v>1526.2430831784322</v>
      </c>
      <c r="DP49" s="421">
        <v>1488.5816115394373</v>
      </c>
      <c r="DQ49" s="421">
        <v>1445.4032294796743</v>
      </c>
      <c r="DR49" s="421">
        <v>1445.1018567370006</v>
      </c>
      <c r="DS49" s="421">
        <v>1431.0308931424438</v>
      </c>
      <c r="DT49" s="421">
        <v>1420.324231763788</v>
      </c>
      <c r="DU49" s="421">
        <v>1422.2614329161479</v>
      </c>
      <c r="DV49" s="421">
        <v>1416.9453166162498</v>
      </c>
      <c r="DW49" s="421">
        <v>1374.8043493690454</v>
      </c>
      <c r="DX49" s="421">
        <v>1390.882387071691</v>
      </c>
      <c r="DY49" s="421">
        <v>1366.8325200391703</v>
      </c>
      <c r="DZ49" s="421">
        <v>1359.8517948869455</v>
      </c>
      <c r="EA49" s="421">
        <v>1431.7202243803411</v>
      </c>
      <c r="EB49" s="421">
        <v>1391.2045697226206</v>
      </c>
    </row>
    <row r="50" spans="1:132" ht="15.95" customHeight="1" x14ac:dyDescent="0.25">
      <c r="A50" s="417" t="s">
        <v>311</v>
      </c>
      <c r="B50" s="418">
        <v>800.67035246</v>
      </c>
      <c r="C50" s="295">
        <v>808.56296842000006</v>
      </c>
      <c r="D50" s="295">
        <v>841.41922830999988</v>
      </c>
      <c r="E50" s="224">
        <v>873.47965551999994</v>
      </c>
      <c r="F50" s="295">
        <v>925.60352292999994</v>
      </c>
      <c r="G50" s="295">
        <v>879.11398844999997</v>
      </c>
      <c r="H50" s="295">
        <v>897.57070291000002</v>
      </c>
      <c r="I50" s="295">
        <v>934.35997793999991</v>
      </c>
      <c r="J50" s="295">
        <v>1011.65965513</v>
      </c>
      <c r="K50" s="224">
        <v>863.23549319000006</v>
      </c>
      <c r="L50" s="295">
        <v>908.08296893000011</v>
      </c>
      <c r="M50" s="295">
        <v>1016.49113919</v>
      </c>
      <c r="N50" s="295">
        <v>908.87572714999999</v>
      </c>
      <c r="O50" s="224">
        <v>1047.9109509100001</v>
      </c>
      <c r="P50" s="295">
        <v>1028.6153852699999</v>
      </c>
      <c r="Q50" s="295">
        <v>1030.30544897</v>
      </c>
      <c r="R50" s="224">
        <v>1133.06177123</v>
      </c>
      <c r="S50" s="295">
        <v>1142.2191067000001</v>
      </c>
      <c r="T50" s="295">
        <v>1075.4286125900001</v>
      </c>
      <c r="U50" s="419">
        <v>1181.3909853800001</v>
      </c>
      <c r="V50" s="419">
        <v>1076.16600954</v>
      </c>
      <c r="W50" s="419">
        <v>1142.6851542200002</v>
      </c>
      <c r="X50" s="419">
        <v>1000.69624092</v>
      </c>
      <c r="Y50" s="419">
        <v>953.33285511999998</v>
      </c>
      <c r="Z50" s="419">
        <v>1011.7812152825999</v>
      </c>
      <c r="AA50" s="419">
        <v>997.46350264144542</v>
      </c>
      <c r="AB50" s="419">
        <v>999.30777877452942</v>
      </c>
      <c r="AC50" s="419">
        <v>1030.3537023644001</v>
      </c>
      <c r="AD50" s="419">
        <v>986.48503761000006</v>
      </c>
      <c r="AE50" s="419">
        <v>973.07567543999994</v>
      </c>
      <c r="AF50" s="419">
        <v>1030.4855312499999</v>
      </c>
      <c r="AG50" s="419">
        <v>982.09662201000003</v>
      </c>
      <c r="AH50" s="419">
        <v>1012.27234241</v>
      </c>
      <c r="AI50" s="419">
        <v>234.65022605999999</v>
      </c>
      <c r="AJ50" s="419">
        <v>237.58207231</v>
      </c>
      <c r="AK50" s="419">
        <v>232.46548077</v>
      </c>
      <c r="AL50" s="419">
        <v>221.17238394</v>
      </c>
      <c r="AM50" s="297">
        <v>255.72488759000001</v>
      </c>
      <c r="AN50" s="297">
        <v>264.73567824000003</v>
      </c>
      <c r="AO50" s="297">
        <v>204.48534537999998</v>
      </c>
      <c r="AP50" s="297">
        <v>175.78601790020005</v>
      </c>
      <c r="AQ50" s="297">
        <v>171.52351467439999</v>
      </c>
      <c r="AR50" s="418">
        <v>192.96406364719999</v>
      </c>
      <c r="AS50" s="418">
        <v>200.56795803</v>
      </c>
      <c r="AT50" s="418">
        <v>198.12007794839997</v>
      </c>
      <c r="AU50" s="418">
        <v>197.68527840379997</v>
      </c>
      <c r="AV50" s="418">
        <v>193.00205201700001</v>
      </c>
      <c r="AW50" s="218">
        <v>201.92732059959999</v>
      </c>
      <c r="AX50" s="218">
        <v>211.41103093759997</v>
      </c>
      <c r="AY50" s="218">
        <v>217.41678958939997</v>
      </c>
      <c r="AZ50" s="218">
        <v>205.60549545969999</v>
      </c>
      <c r="BA50" s="218">
        <v>213.6180533166</v>
      </c>
      <c r="BB50" s="218">
        <v>213.45801860020003</v>
      </c>
      <c r="BC50" s="218">
        <v>446.21426186799999</v>
      </c>
      <c r="BD50" s="218">
        <v>457.19438025220001</v>
      </c>
      <c r="BE50" s="218">
        <v>592.54671001780002</v>
      </c>
      <c r="BF50" s="218">
        <v>586.01590018999991</v>
      </c>
      <c r="BG50" s="218">
        <v>648.75167599799988</v>
      </c>
      <c r="BH50" s="218">
        <v>638.07311253360012</v>
      </c>
      <c r="BI50" s="218">
        <v>668.26277533529992</v>
      </c>
      <c r="BJ50" s="218">
        <v>777.32772620410014</v>
      </c>
      <c r="BK50" s="218">
        <v>728.1921877402001</v>
      </c>
      <c r="BL50" s="218">
        <v>748.91507040400006</v>
      </c>
      <c r="BM50" s="218">
        <v>363.02680725260001</v>
      </c>
      <c r="BN50" s="218">
        <v>704.02618942799995</v>
      </c>
      <c r="BO50" s="218">
        <v>560.68545875399991</v>
      </c>
      <c r="BP50" s="218">
        <v>540.95918747689996</v>
      </c>
      <c r="BQ50" s="218">
        <v>533.54776136119995</v>
      </c>
      <c r="BR50" s="218">
        <v>661.91159293379997</v>
      </c>
      <c r="BS50" s="218">
        <v>658.25103103319998</v>
      </c>
      <c r="BT50" s="218">
        <v>746.66477259257999</v>
      </c>
      <c r="BU50" s="218">
        <v>748.94509818690801</v>
      </c>
      <c r="BV50" s="218">
        <v>755.38870356691586</v>
      </c>
      <c r="BW50" s="218">
        <v>753.49449337349984</v>
      </c>
      <c r="BX50" s="218">
        <v>757.70398554349993</v>
      </c>
      <c r="BY50" s="218">
        <v>1860.8561574349999</v>
      </c>
      <c r="BZ50" s="218">
        <v>1799.5</v>
      </c>
      <c r="CA50" s="218">
        <v>1802.1084911854118</v>
      </c>
      <c r="CB50" s="218">
        <v>1777.55624514448</v>
      </c>
      <c r="CC50" s="218">
        <v>1276.33308250242</v>
      </c>
      <c r="CD50" s="218">
        <v>1760.8075623621858</v>
      </c>
      <c r="CE50" s="218">
        <v>1423.2592570714698</v>
      </c>
      <c r="CF50" s="218">
        <v>1446.5895150786639</v>
      </c>
      <c r="CG50" s="218">
        <v>1491.922942845066</v>
      </c>
      <c r="CH50" s="218">
        <v>1500.702861273503</v>
      </c>
      <c r="CI50" s="218">
        <v>1492.965468468132</v>
      </c>
      <c r="CJ50" s="218">
        <v>1523.3779494401638</v>
      </c>
      <c r="CK50" s="218">
        <v>1551.4343488479062</v>
      </c>
      <c r="CL50" s="218">
        <v>1569.677375490515</v>
      </c>
      <c r="CM50" s="218">
        <v>1636.7278030446926</v>
      </c>
      <c r="CN50" s="218">
        <v>1635.7455231831848</v>
      </c>
      <c r="CO50" s="218">
        <v>1683.9972574357485</v>
      </c>
      <c r="CP50" s="218">
        <v>1720.0004798627012</v>
      </c>
      <c r="CQ50" s="218">
        <v>1763.9266837787245</v>
      </c>
      <c r="CR50" s="218">
        <v>1773.8872658459263</v>
      </c>
      <c r="CS50" s="218">
        <v>2196.38239387462</v>
      </c>
      <c r="CT50" s="218">
        <v>1777.2715546148031</v>
      </c>
      <c r="CU50" s="218">
        <v>1771.784704359962</v>
      </c>
      <c r="CV50" s="218">
        <v>1848.5128650750896</v>
      </c>
      <c r="CW50" s="218">
        <v>2444.7769641753816</v>
      </c>
      <c r="CX50" s="218">
        <v>2411.7553060800392</v>
      </c>
      <c r="CY50" s="218">
        <v>2438.7405000370663</v>
      </c>
      <c r="CZ50" s="218">
        <v>2438.1035085890198</v>
      </c>
      <c r="DA50" s="218">
        <v>2293.5998544851132</v>
      </c>
      <c r="DB50" s="421">
        <v>2301.3725390042932</v>
      </c>
      <c r="DC50" s="421">
        <v>2282.7547022879794</v>
      </c>
      <c r="DD50" s="421">
        <v>2265.4928805069912</v>
      </c>
      <c r="DE50" s="421">
        <v>2255.1160885064101</v>
      </c>
      <c r="DF50" s="421">
        <v>2256.5674218528316</v>
      </c>
      <c r="DG50" s="421">
        <v>2272.1863212247372</v>
      </c>
      <c r="DH50" s="421">
        <v>2679.0062713662651</v>
      </c>
      <c r="DI50" s="421">
        <v>2731.2983930693244</v>
      </c>
      <c r="DJ50" s="421">
        <v>2721.9094145378062</v>
      </c>
      <c r="DK50" s="421">
        <v>3066.9227058761662</v>
      </c>
      <c r="DL50" s="421">
        <v>3040.1083880265892</v>
      </c>
      <c r="DM50" s="421">
        <v>3092.6312256789179</v>
      </c>
      <c r="DN50" s="421">
        <v>3125.5486305173354</v>
      </c>
      <c r="DO50" s="421">
        <v>3163.1552251429252</v>
      </c>
      <c r="DP50" s="421">
        <v>2834.4182895510685</v>
      </c>
      <c r="DQ50" s="421">
        <v>3111.084586937136</v>
      </c>
      <c r="DR50" s="421">
        <v>3075.136553313122</v>
      </c>
      <c r="DS50" s="421">
        <v>3059.4855515770396</v>
      </c>
      <c r="DT50" s="421">
        <v>3031.3086942451155</v>
      </c>
      <c r="DU50" s="421">
        <v>2034.7806946055105</v>
      </c>
      <c r="DV50" s="421">
        <v>2695.3703532962877</v>
      </c>
      <c r="DW50" s="421">
        <v>2716.4694469563119</v>
      </c>
      <c r="DX50" s="421">
        <v>2674.6750816738672</v>
      </c>
      <c r="DY50" s="421">
        <v>2656.9185110471476</v>
      </c>
      <c r="DZ50" s="421">
        <v>2650.985294650372</v>
      </c>
      <c r="EA50" s="421">
        <v>2643.4958814830429</v>
      </c>
      <c r="EB50" s="421">
        <v>2610.4288719761448</v>
      </c>
    </row>
    <row r="51" spans="1:132" ht="15.95" customHeight="1" x14ac:dyDescent="0.25">
      <c r="A51" s="417" t="s">
        <v>283</v>
      </c>
      <c r="B51" s="418">
        <v>78.517324039999991</v>
      </c>
      <c r="C51" s="295">
        <v>82.197082660000007</v>
      </c>
      <c r="D51" s="295">
        <v>83.842270240000005</v>
      </c>
      <c r="E51" s="224">
        <v>91.658167589999991</v>
      </c>
      <c r="F51" s="295">
        <v>98.857790340000008</v>
      </c>
      <c r="G51" s="295">
        <v>98.827003829999995</v>
      </c>
      <c r="H51" s="295">
        <v>102.27707100999999</v>
      </c>
      <c r="I51" s="295">
        <v>102.44223595</v>
      </c>
      <c r="J51" s="295">
        <v>120.82093828999999</v>
      </c>
      <c r="K51" s="224">
        <v>110.75632999999999</v>
      </c>
      <c r="L51" s="295">
        <v>111.97728853</v>
      </c>
      <c r="M51" s="295">
        <v>117.27836070999997</v>
      </c>
      <c r="N51" s="295">
        <v>116.08549926000001</v>
      </c>
      <c r="O51" s="224">
        <v>130.61382469999998</v>
      </c>
      <c r="P51" s="295">
        <v>145.66443742000001</v>
      </c>
      <c r="Q51" s="295">
        <v>140.24363478000001</v>
      </c>
      <c r="R51" s="224">
        <v>129.81449869000002</v>
      </c>
      <c r="S51" s="295">
        <v>127.47775731999999</v>
      </c>
      <c r="T51" s="295">
        <v>126.61185557000002</v>
      </c>
      <c r="U51" s="419">
        <v>134.41294555999997</v>
      </c>
      <c r="V51" s="419">
        <v>126.49245486000001</v>
      </c>
      <c r="W51" s="419">
        <v>170.37697523999998</v>
      </c>
      <c r="X51" s="419">
        <v>145.92468939</v>
      </c>
      <c r="Y51" s="419">
        <v>142.94921565999996</v>
      </c>
      <c r="Z51" s="419">
        <v>138.39077434999999</v>
      </c>
      <c r="AA51" s="419">
        <v>129.4568227</v>
      </c>
      <c r="AB51" s="419">
        <v>316.01540585000004</v>
      </c>
      <c r="AC51" s="419">
        <v>181.00069063999999</v>
      </c>
      <c r="AD51" s="419">
        <v>188.701610055402</v>
      </c>
      <c r="AE51" s="419">
        <v>370.36914102244464</v>
      </c>
      <c r="AF51" s="419">
        <v>203.826178635975</v>
      </c>
      <c r="AG51" s="419">
        <v>189.51640757999999</v>
      </c>
      <c r="AH51" s="419">
        <v>189.29316401000003</v>
      </c>
      <c r="AI51" s="419">
        <v>209.81891111999997</v>
      </c>
      <c r="AJ51" s="419">
        <v>212.77470448999998</v>
      </c>
      <c r="AK51" s="419">
        <v>209.21479256000001</v>
      </c>
      <c r="AL51" s="419">
        <v>224.64638183</v>
      </c>
      <c r="AM51" s="297">
        <v>269.17788124000003</v>
      </c>
      <c r="AN51" s="297">
        <v>269.66063238999999</v>
      </c>
      <c r="AO51" s="297">
        <v>236.04118561000001</v>
      </c>
      <c r="AP51" s="297">
        <v>242.03297197949999</v>
      </c>
      <c r="AQ51" s="297">
        <v>227.03324158940001</v>
      </c>
      <c r="AR51" s="418">
        <v>229.22426810720003</v>
      </c>
      <c r="AS51" s="418">
        <v>227.88053565999996</v>
      </c>
      <c r="AT51" s="418">
        <v>222.01474562799999</v>
      </c>
      <c r="AU51" s="418">
        <v>208.19639982360002</v>
      </c>
      <c r="AV51" s="418">
        <v>189.23584379000002</v>
      </c>
      <c r="AW51" s="218">
        <v>191.06583362480004</v>
      </c>
      <c r="AX51" s="218">
        <v>203.98244221440001</v>
      </c>
      <c r="AY51" s="218">
        <v>224.5346900049</v>
      </c>
      <c r="AZ51" s="218">
        <v>213.2891405913</v>
      </c>
      <c r="BA51" s="218">
        <v>205.72593518160002</v>
      </c>
      <c r="BB51" s="218">
        <v>210.31787803340004</v>
      </c>
      <c r="BC51" s="218">
        <v>228.29349671880001</v>
      </c>
      <c r="BD51" s="218">
        <v>202.837044241</v>
      </c>
      <c r="BE51" s="218">
        <v>212.58349242950004</v>
      </c>
      <c r="BF51" s="218">
        <v>216.04007966</v>
      </c>
      <c r="BG51" s="218">
        <v>221.294450372</v>
      </c>
      <c r="BH51" s="218">
        <v>292.27205791659998</v>
      </c>
      <c r="BI51" s="218">
        <v>307.43402758849999</v>
      </c>
      <c r="BJ51" s="218">
        <v>356.92876748129999</v>
      </c>
      <c r="BK51" s="218">
        <v>381.3090410099</v>
      </c>
      <c r="BL51" s="218">
        <v>329.60210964959998</v>
      </c>
      <c r="BM51" s="218">
        <v>341.99848209960004</v>
      </c>
      <c r="BN51" s="218">
        <v>378.34094493279997</v>
      </c>
      <c r="BO51" s="218">
        <v>390.70176889039999</v>
      </c>
      <c r="BP51" s="218">
        <v>393.88905679750002</v>
      </c>
      <c r="BQ51" s="218">
        <v>418.59055578050004</v>
      </c>
      <c r="BR51" s="218">
        <v>437.07785947529993</v>
      </c>
      <c r="BS51" s="218">
        <v>448.38669820000001</v>
      </c>
      <c r="BT51" s="218">
        <v>422.87005625964002</v>
      </c>
      <c r="BU51" s="218">
        <v>329.76325565174</v>
      </c>
      <c r="BV51" s="218">
        <v>365.40080631813794</v>
      </c>
      <c r="BW51" s="218">
        <v>311.52140159682</v>
      </c>
      <c r="BX51" s="218">
        <v>314.15319225849998</v>
      </c>
      <c r="BY51" s="218">
        <v>229.01218251190002</v>
      </c>
      <c r="BZ51" s="218">
        <v>238.5</v>
      </c>
      <c r="CA51" s="218">
        <v>299.81749984019996</v>
      </c>
      <c r="CB51" s="218">
        <v>320.04155512280005</v>
      </c>
      <c r="CC51" s="218">
        <v>806.22054353724297</v>
      </c>
      <c r="CD51" s="218">
        <v>341.73996338559402</v>
      </c>
      <c r="CE51" s="218">
        <v>861.02136328592474</v>
      </c>
      <c r="CF51" s="218">
        <v>883.68746889408112</v>
      </c>
      <c r="CG51" s="218">
        <v>1029.2577728815495</v>
      </c>
      <c r="CH51" s="218">
        <v>1017.0786843491817</v>
      </c>
      <c r="CI51" s="218">
        <v>960.52790566925614</v>
      </c>
      <c r="CJ51" s="218">
        <v>940.29592426399608</v>
      </c>
      <c r="CK51" s="218">
        <v>960.18000436760508</v>
      </c>
      <c r="CL51" s="218">
        <v>1149.3987229752588</v>
      </c>
      <c r="CM51" s="218">
        <v>1085.7885704857206</v>
      </c>
      <c r="CN51" s="218">
        <v>1048.820421472064</v>
      </c>
      <c r="CO51" s="218">
        <v>1173.3572824844098</v>
      </c>
      <c r="CP51" s="218">
        <v>1182.8844273827749</v>
      </c>
      <c r="CQ51" s="218">
        <v>1201.2739648677184</v>
      </c>
      <c r="CR51" s="218">
        <v>1422.2580079112001</v>
      </c>
      <c r="CS51" s="218">
        <v>1035.5882988278338</v>
      </c>
      <c r="CT51" s="218">
        <v>1488.0824232937052</v>
      </c>
      <c r="CU51" s="218">
        <v>1489.6852214503531</v>
      </c>
      <c r="CV51" s="218">
        <v>1476.4911528018797</v>
      </c>
      <c r="CW51" s="218">
        <v>882.88578424647301</v>
      </c>
      <c r="CX51" s="218">
        <v>878.67372529224349</v>
      </c>
      <c r="CY51" s="218">
        <v>870.32565613568067</v>
      </c>
      <c r="CZ51" s="218">
        <v>833.90271022214733</v>
      </c>
      <c r="DA51" s="218">
        <v>917.68995226894356</v>
      </c>
      <c r="DB51" s="421">
        <v>842.10226866500022</v>
      </c>
      <c r="DC51" s="421">
        <v>844.90968525413223</v>
      </c>
      <c r="DD51" s="421">
        <v>880.83010634465325</v>
      </c>
      <c r="DE51" s="421">
        <v>915.66052549346966</v>
      </c>
      <c r="DF51" s="421">
        <v>866.76989292583062</v>
      </c>
      <c r="DG51" s="421">
        <v>847.70127198115927</v>
      </c>
      <c r="DH51" s="421">
        <v>454.16375991114364</v>
      </c>
      <c r="DI51" s="421">
        <v>513.50210516320237</v>
      </c>
      <c r="DJ51" s="421">
        <v>510.35908474993522</v>
      </c>
      <c r="DK51" s="421">
        <v>581.44198838860734</v>
      </c>
      <c r="DL51" s="421">
        <v>422.0665479009221</v>
      </c>
      <c r="DM51" s="421">
        <v>422.20847676702112</v>
      </c>
      <c r="DN51" s="421">
        <v>418.0159652678164</v>
      </c>
      <c r="DO51" s="421">
        <v>416.01689721654947</v>
      </c>
      <c r="DP51" s="421">
        <v>364.2343467629164</v>
      </c>
      <c r="DQ51" s="421">
        <v>363.91651619410754</v>
      </c>
      <c r="DR51" s="421">
        <v>356.67393764930307</v>
      </c>
      <c r="DS51" s="421">
        <v>369.7845213015753</v>
      </c>
      <c r="DT51" s="421">
        <v>359.82070587978978</v>
      </c>
      <c r="DU51" s="421">
        <v>1275.4663288923186</v>
      </c>
      <c r="DV51" s="421">
        <v>322.8751176977259</v>
      </c>
      <c r="DW51" s="421">
        <v>362.12182775070761</v>
      </c>
      <c r="DX51" s="421">
        <v>363.0455863396445</v>
      </c>
      <c r="DY51" s="421">
        <v>368.34110482462785</v>
      </c>
      <c r="DZ51" s="421">
        <v>360.32232732376974</v>
      </c>
      <c r="EA51" s="421">
        <v>307.87006995867688</v>
      </c>
      <c r="EB51" s="421">
        <v>308.76938317268912</v>
      </c>
    </row>
    <row r="52" spans="1:132" ht="7.7" customHeight="1" x14ac:dyDescent="0.25">
      <c r="A52" s="417"/>
      <c r="B52" s="411"/>
      <c r="C52" s="215"/>
      <c r="D52" s="215"/>
      <c r="E52" s="227"/>
      <c r="F52" s="215"/>
      <c r="G52" s="215"/>
      <c r="H52" s="295"/>
      <c r="I52" s="295"/>
      <c r="J52" s="295"/>
      <c r="K52" s="224"/>
      <c r="L52" s="295"/>
      <c r="M52" s="295"/>
      <c r="N52" s="295"/>
      <c r="O52" s="224"/>
      <c r="P52" s="295"/>
      <c r="Q52" s="295"/>
      <c r="R52" s="224"/>
      <c r="S52" s="295"/>
      <c r="T52" s="295"/>
      <c r="U52" s="419"/>
      <c r="V52" s="419"/>
      <c r="W52" s="419"/>
      <c r="X52" s="419"/>
      <c r="Y52" s="419"/>
      <c r="Z52" s="419"/>
      <c r="AA52" s="419"/>
      <c r="AB52" s="419"/>
      <c r="AC52" s="419"/>
      <c r="AD52" s="419"/>
      <c r="AE52" s="419"/>
      <c r="AF52" s="419"/>
      <c r="AG52" s="419"/>
      <c r="AH52" s="419"/>
      <c r="AI52" s="419"/>
      <c r="AJ52" s="419"/>
      <c r="AK52" s="419"/>
      <c r="AL52" s="419"/>
      <c r="AM52" s="296"/>
      <c r="AN52" s="296"/>
      <c r="AO52" s="296"/>
      <c r="AP52" s="296"/>
      <c r="AQ52" s="296"/>
      <c r="AR52" s="411"/>
      <c r="AS52" s="411"/>
      <c r="AT52" s="411"/>
      <c r="AU52" s="411"/>
      <c r="AV52" s="411"/>
      <c r="AW52" s="414"/>
      <c r="AX52" s="414"/>
      <c r="AY52" s="414"/>
      <c r="AZ52" s="414"/>
      <c r="BA52" s="414"/>
      <c r="BB52" s="414"/>
      <c r="BC52" s="414"/>
      <c r="BD52" s="414"/>
      <c r="BE52" s="414"/>
      <c r="BF52" s="414"/>
      <c r="BG52" s="414"/>
      <c r="BH52" s="414"/>
      <c r="BI52" s="414"/>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4"/>
      <c r="CX52" s="414"/>
      <c r="CY52" s="414"/>
      <c r="CZ52" s="414"/>
      <c r="DA52" s="414"/>
      <c r="DB52" s="421"/>
      <c r="DC52" s="421"/>
      <c r="DD52" s="421"/>
      <c r="DE52" s="421"/>
      <c r="DF52" s="421"/>
      <c r="DG52" s="421"/>
      <c r="DH52" s="421"/>
      <c r="DI52" s="421"/>
      <c r="DJ52" s="421"/>
      <c r="DK52" s="421"/>
      <c r="DL52" s="421"/>
      <c r="DM52" s="421"/>
      <c r="DN52" s="421"/>
      <c r="DO52" s="421"/>
      <c r="DP52" s="421"/>
      <c r="DQ52" s="421"/>
      <c r="DR52" s="421"/>
      <c r="DS52" s="421"/>
      <c r="DT52" s="421"/>
      <c r="DU52" s="421"/>
      <c r="DV52" s="421"/>
      <c r="DW52" s="421"/>
      <c r="DX52" s="421"/>
      <c r="DY52" s="421"/>
      <c r="DZ52" s="421"/>
      <c r="EA52" s="421"/>
      <c r="EB52" s="421"/>
    </row>
    <row r="53" spans="1:132" x14ac:dyDescent="0.25">
      <c r="A53" s="410" t="s">
        <v>312</v>
      </c>
      <c r="B53" s="411">
        <f>SUM(B55:B65)</f>
        <v>16990.770859912001</v>
      </c>
      <c r="C53" s="215">
        <f>SUM(C55:C65)</f>
        <v>17310.9315240588</v>
      </c>
      <c r="D53" s="215">
        <f>SUM(D55:D65)</f>
        <v>17346.032475530996</v>
      </c>
      <c r="E53" s="227">
        <f>SUM(E55:E65)</f>
        <v>17954.744655414204</v>
      </c>
      <c r="F53" s="215">
        <v>17976.906065687599</v>
      </c>
      <c r="G53" s="215">
        <v>18527.796913256403</v>
      </c>
      <c r="H53" s="215">
        <v>18645.6117551924</v>
      </c>
      <c r="I53" s="215">
        <v>18719.495500201701</v>
      </c>
      <c r="J53" s="215">
        <v>19091.433327080202</v>
      </c>
      <c r="K53" s="227">
        <v>18954.300387692128</v>
      </c>
      <c r="L53" s="215">
        <v>19085.768436934395</v>
      </c>
      <c r="M53" s="215">
        <v>19231.214198037494</v>
      </c>
      <c r="N53" s="215">
        <v>19474.871003599106</v>
      </c>
      <c r="O53" s="227">
        <v>19720.828944791039</v>
      </c>
      <c r="P53" s="215">
        <v>20013.660322607866</v>
      </c>
      <c r="Q53" s="215">
        <v>20150.930694602914</v>
      </c>
      <c r="R53" s="227">
        <v>20356.845855016498</v>
      </c>
      <c r="S53" s="215">
        <v>20624.320483097625</v>
      </c>
      <c r="T53" s="215">
        <v>20886.617807907493</v>
      </c>
      <c r="U53" s="217">
        <v>21041.873812462269</v>
      </c>
      <c r="V53" s="217">
        <v>21217.155206081181</v>
      </c>
      <c r="W53" s="217">
        <v>21283.659952479091</v>
      </c>
      <c r="X53" s="217">
        <v>21530.443758434369</v>
      </c>
      <c r="Y53" s="217">
        <v>22034.858371704075</v>
      </c>
      <c r="Z53" s="217">
        <v>22917.108495875229</v>
      </c>
      <c r="AA53" s="217">
        <v>23472.503346618119</v>
      </c>
      <c r="AB53" s="217">
        <v>23645.990745813444</v>
      </c>
      <c r="AC53" s="217">
        <v>23840.447057358597</v>
      </c>
      <c r="AD53" s="217">
        <v>24313.156131338932</v>
      </c>
      <c r="AE53" s="217">
        <v>24999.104064233412</v>
      </c>
      <c r="AF53" s="217">
        <v>25775.811589871726</v>
      </c>
      <c r="AG53" s="217">
        <v>25999.904792880436</v>
      </c>
      <c r="AH53" s="217">
        <v>26466.654325882209</v>
      </c>
      <c r="AI53" s="217">
        <v>28452.200095983248</v>
      </c>
      <c r="AJ53" s="217">
        <v>28825.492281500017</v>
      </c>
      <c r="AK53" s="217">
        <v>29506.865354146335</v>
      </c>
      <c r="AL53" s="217">
        <v>29957.044211511147</v>
      </c>
      <c r="AM53" s="296">
        <v>30427.232776953602</v>
      </c>
      <c r="AN53" s="296">
        <v>31689.037685944993</v>
      </c>
      <c r="AO53" s="296">
        <v>32176.055919459548</v>
      </c>
      <c r="AP53" s="296">
        <v>33669.468212295869</v>
      </c>
      <c r="AQ53" s="296">
        <v>34967.100029061112</v>
      </c>
      <c r="AR53" s="411">
        <v>36632.316590243208</v>
      </c>
      <c r="AS53" s="411">
        <v>36514.817651008794</v>
      </c>
      <c r="AT53" s="411">
        <v>37574.413266897463</v>
      </c>
      <c r="AU53" s="411">
        <v>37487.526267559617</v>
      </c>
      <c r="AV53" s="411">
        <v>37524.678754273329</v>
      </c>
      <c r="AW53" s="414">
        <v>37813.737107254747</v>
      </c>
      <c r="AX53" s="414">
        <v>38248.185484632231</v>
      </c>
      <c r="AY53" s="414">
        <v>38625.665272349353</v>
      </c>
      <c r="AZ53" s="414">
        <v>39326.578509166757</v>
      </c>
      <c r="BA53" s="414">
        <v>39477.443049147871</v>
      </c>
      <c r="BB53" s="414">
        <v>38496.869958017356</v>
      </c>
      <c r="BC53" s="414">
        <v>38818.603955031482</v>
      </c>
      <c r="BD53" s="414">
        <v>39707.824481412878</v>
      </c>
      <c r="BE53" s="414">
        <v>40087.577761240347</v>
      </c>
      <c r="BF53" s="414">
        <v>40564.75152945357</v>
      </c>
      <c r="BG53" s="414">
        <v>41542.602911537659</v>
      </c>
      <c r="BH53" s="414">
        <v>41925.274973629654</v>
      </c>
      <c r="BI53" s="414">
        <v>42568.812208498959</v>
      </c>
      <c r="BJ53" s="414">
        <v>43400.767533250699</v>
      </c>
      <c r="BK53" s="414">
        <v>44205.476697762111</v>
      </c>
      <c r="BL53" s="414">
        <v>44658.830570820232</v>
      </c>
      <c r="BM53" s="414">
        <v>44994.294556872803</v>
      </c>
      <c r="BN53" s="414">
        <v>45478.35091409093</v>
      </c>
      <c r="BO53" s="414">
        <v>46063.861643931567</v>
      </c>
      <c r="BP53" s="414">
        <v>46352.533114643666</v>
      </c>
      <c r="BQ53" s="414">
        <v>47256.197363090076</v>
      </c>
      <c r="BR53" s="414">
        <v>47704.437785278154</v>
      </c>
      <c r="BS53" s="414">
        <v>48100.15109016496</v>
      </c>
      <c r="BT53" s="414">
        <v>48940.006639378684</v>
      </c>
      <c r="BU53" s="414">
        <v>49393.226651524499</v>
      </c>
      <c r="BV53" s="414">
        <v>49696.47636815672</v>
      </c>
      <c r="BW53" s="414">
        <v>50625.741040967718</v>
      </c>
      <c r="BX53" s="414">
        <v>51407.415269239493</v>
      </c>
      <c r="BY53" s="414">
        <v>52129.049325204593</v>
      </c>
      <c r="BZ53" s="414">
        <v>53258.7</v>
      </c>
      <c r="CA53" s="414">
        <v>54230.565500798963</v>
      </c>
      <c r="CB53" s="414">
        <v>54835.496015499768</v>
      </c>
      <c r="CC53" s="414">
        <v>55042.507419952402</v>
      </c>
      <c r="CD53" s="414">
        <v>56438.492236593651</v>
      </c>
      <c r="CE53" s="414">
        <v>58842.130366483325</v>
      </c>
      <c r="CF53" s="414">
        <v>59883.057920301173</v>
      </c>
      <c r="CG53" s="414">
        <v>60939.928073488096</v>
      </c>
      <c r="CH53" s="414">
        <v>61872.251101487185</v>
      </c>
      <c r="CI53" s="414">
        <v>63054.157526923358</v>
      </c>
      <c r="CJ53" s="414">
        <v>64434.159200605187</v>
      </c>
      <c r="CK53" s="414">
        <v>65087.629544874522</v>
      </c>
      <c r="CL53" s="414">
        <v>65970.32982040316</v>
      </c>
      <c r="CM53" s="414">
        <v>66928.517470165854</v>
      </c>
      <c r="CN53" s="414">
        <v>67646.337440151518</v>
      </c>
      <c r="CO53" s="414">
        <v>68328.913047515409</v>
      </c>
      <c r="CP53" s="414">
        <v>69069.910154226716</v>
      </c>
      <c r="CQ53" s="414">
        <v>69791.405682801633</v>
      </c>
      <c r="CR53" s="414">
        <v>68890.581430815524</v>
      </c>
      <c r="CS53" s="414">
        <v>71226.076824215183</v>
      </c>
      <c r="CT53" s="414">
        <v>71988.501343857279</v>
      </c>
      <c r="CU53" s="414">
        <v>72446.428138634292</v>
      </c>
      <c r="CV53" s="414">
        <v>72750.85004516771</v>
      </c>
      <c r="CW53" s="414">
        <v>73445.915764452642</v>
      </c>
      <c r="CX53" s="414">
        <v>73829.917829877639</v>
      </c>
      <c r="CY53" s="414">
        <v>74371.000768151513</v>
      </c>
      <c r="CZ53" s="414">
        <v>75124.118767836087</v>
      </c>
      <c r="DA53" s="414">
        <v>74832.571626108052</v>
      </c>
      <c r="DB53" s="423">
        <v>75434.952415685373</v>
      </c>
      <c r="DC53" s="423">
        <v>75642.331594170639</v>
      </c>
      <c r="DD53" s="423">
        <v>75630.053600675426</v>
      </c>
      <c r="DE53" s="423">
        <v>75896.23943064679</v>
      </c>
      <c r="DF53" s="423">
        <v>76698.153910500507</v>
      </c>
      <c r="DG53" s="423">
        <v>77047.506473127782</v>
      </c>
      <c r="DH53" s="423">
        <v>77216.060722339971</v>
      </c>
      <c r="DI53" s="423">
        <v>77584.48499115408</v>
      </c>
      <c r="DJ53" s="423">
        <v>78101.025438796583</v>
      </c>
      <c r="DK53" s="423">
        <v>79120.695375713622</v>
      </c>
      <c r="DL53" s="423">
        <v>80201.711846030172</v>
      </c>
      <c r="DM53" s="423">
        <v>80732.300145706584</v>
      </c>
      <c r="DN53" s="423">
        <v>81559.639399055086</v>
      </c>
      <c r="DO53" s="423">
        <v>82170.016857585477</v>
      </c>
      <c r="DP53" s="423">
        <v>82309.96615366482</v>
      </c>
      <c r="DQ53" s="423">
        <v>82630.714379197845</v>
      </c>
      <c r="DR53" s="423">
        <v>83190.506574618776</v>
      </c>
      <c r="DS53" s="423">
        <v>83845.954490463628</v>
      </c>
      <c r="DT53" s="423">
        <v>84451.388866244466</v>
      </c>
      <c r="DU53" s="423">
        <v>84973.468970980801</v>
      </c>
      <c r="DV53" s="423">
        <v>85566.694303374054</v>
      </c>
      <c r="DW53" s="423">
        <v>86597.219454591526</v>
      </c>
      <c r="DX53" s="423">
        <v>86109.580979778155</v>
      </c>
      <c r="DY53" s="423">
        <v>86033.175193049552</v>
      </c>
      <c r="DZ53" s="423">
        <v>85932.071429250922</v>
      </c>
      <c r="EA53" s="423">
        <v>85623.423147246795</v>
      </c>
      <c r="EB53" s="423">
        <v>85647.976547746526</v>
      </c>
    </row>
    <row r="54" spans="1:132" ht="15.95" customHeight="1" x14ac:dyDescent="0.25">
      <c r="A54" s="417" t="s">
        <v>274</v>
      </c>
      <c r="B54" s="411"/>
      <c r="C54" s="215"/>
      <c r="D54" s="215"/>
      <c r="E54" s="227"/>
      <c r="F54" s="215"/>
      <c r="G54" s="215"/>
      <c r="H54" s="295"/>
      <c r="I54" s="295"/>
      <c r="J54" s="295"/>
      <c r="K54" s="224"/>
      <c r="L54" s="295"/>
      <c r="M54" s="295"/>
      <c r="N54" s="295"/>
      <c r="O54" s="224"/>
      <c r="P54" s="295"/>
      <c r="Q54" s="295"/>
      <c r="R54" s="224"/>
      <c r="S54" s="295"/>
      <c r="T54" s="295"/>
      <c r="U54" s="419"/>
      <c r="V54" s="419"/>
      <c r="W54" s="419"/>
      <c r="X54" s="419"/>
      <c r="Y54" s="419"/>
      <c r="Z54" s="419"/>
      <c r="AA54" s="419"/>
      <c r="AB54" s="419"/>
      <c r="AC54" s="419"/>
      <c r="AD54" s="419"/>
      <c r="AE54" s="419"/>
      <c r="AF54" s="419"/>
      <c r="AG54" s="419"/>
      <c r="AH54" s="419"/>
      <c r="AI54" s="419"/>
      <c r="AJ54" s="419"/>
      <c r="AK54" s="419"/>
      <c r="AL54" s="419"/>
      <c r="AM54" s="296"/>
      <c r="AN54" s="296"/>
      <c r="AO54" s="296"/>
      <c r="AP54" s="296"/>
      <c r="AQ54" s="296"/>
      <c r="AR54" s="411"/>
      <c r="AS54" s="411"/>
      <c r="AT54" s="411"/>
      <c r="AU54" s="411"/>
      <c r="AV54" s="411"/>
      <c r="AW54" s="414"/>
      <c r="AX54" s="414"/>
      <c r="AY54" s="414"/>
      <c r="AZ54" s="414"/>
      <c r="BA54" s="414"/>
      <c r="BB54" s="414"/>
      <c r="BC54" s="414"/>
      <c r="BD54" s="414"/>
      <c r="BE54" s="414"/>
      <c r="BF54" s="414"/>
      <c r="BG54" s="414"/>
      <c r="BH54" s="414"/>
      <c r="BI54" s="414"/>
      <c r="BJ54" s="414"/>
      <c r="BK54" s="414"/>
      <c r="BL54" s="414"/>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414"/>
      <c r="CN54" s="414"/>
      <c r="CO54" s="414"/>
      <c r="CP54" s="414"/>
      <c r="CQ54" s="414"/>
      <c r="CR54" s="414"/>
      <c r="CS54" s="414"/>
      <c r="CT54" s="414"/>
      <c r="CU54" s="414"/>
      <c r="CV54" s="414"/>
      <c r="CW54" s="414"/>
      <c r="CX54" s="414"/>
      <c r="CY54" s="414"/>
      <c r="CZ54" s="414"/>
      <c r="DA54" s="414"/>
      <c r="DB54" s="421"/>
      <c r="DC54" s="421"/>
      <c r="DD54" s="421"/>
      <c r="DE54" s="421"/>
      <c r="DF54" s="421"/>
      <c r="DG54" s="421"/>
      <c r="DH54" s="421"/>
      <c r="DI54" s="421"/>
      <c r="DJ54" s="421"/>
      <c r="DK54" s="421"/>
      <c r="DL54" s="421"/>
      <c r="DM54" s="421"/>
      <c r="DN54" s="421"/>
      <c r="DO54" s="421"/>
      <c r="DP54" s="421"/>
      <c r="DQ54" s="421"/>
      <c r="DR54" s="421"/>
      <c r="DS54" s="421"/>
      <c r="DT54" s="421"/>
      <c r="DU54" s="421"/>
      <c r="DV54" s="421"/>
      <c r="DW54" s="421"/>
      <c r="DX54" s="421"/>
      <c r="DY54" s="421"/>
      <c r="DZ54" s="421"/>
      <c r="EA54" s="421"/>
      <c r="EB54" s="421"/>
    </row>
    <row r="55" spans="1:132" ht="15.95" customHeight="1" x14ac:dyDescent="0.25">
      <c r="A55" s="417" t="s">
        <v>389</v>
      </c>
      <c r="B55" s="418">
        <v>1703.5168410699998</v>
      </c>
      <c r="C55" s="295">
        <v>1667.48697778</v>
      </c>
      <c r="D55" s="295">
        <v>1661.7562241699998</v>
      </c>
      <c r="E55" s="224">
        <v>1705.4120344800001</v>
      </c>
      <c r="F55" s="295">
        <v>1705.9493097899999</v>
      </c>
      <c r="G55" s="295">
        <v>1691.9955020999998</v>
      </c>
      <c r="H55" s="295">
        <v>1545.8629860100002</v>
      </c>
      <c r="I55" s="295">
        <v>1620.6617531099998</v>
      </c>
      <c r="J55" s="295">
        <v>1777.9612701199999</v>
      </c>
      <c r="K55" s="224">
        <v>1770.1400560500001</v>
      </c>
      <c r="L55" s="295">
        <v>1685.9139380800002</v>
      </c>
      <c r="M55" s="295">
        <v>1629.9566338300001</v>
      </c>
      <c r="N55" s="295">
        <v>1574.8059123</v>
      </c>
      <c r="O55" s="224">
        <v>1594.4855227099999</v>
      </c>
      <c r="P55" s="295">
        <v>1696.9955438699999</v>
      </c>
      <c r="Q55" s="295">
        <v>1694.69309795</v>
      </c>
      <c r="R55" s="224">
        <v>1697.4641178899999</v>
      </c>
      <c r="S55" s="295">
        <v>1670.7677218199999</v>
      </c>
      <c r="T55" s="295">
        <v>1681.42759907</v>
      </c>
      <c r="U55" s="419">
        <v>1645.7320682</v>
      </c>
      <c r="V55" s="419">
        <v>1706.4805101900001</v>
      </c>
      <c r="W55" s="419">
        <v>1684.9427416800002</v>
      </c>
      <c r="X55" s="419">
        <v>1690.6768397999999</v>
      </c>
      <c r="Y55" s="419">
        <v>1664.3503350000001</v>
      </c>
      <c r="Z55" s="419">
        <v>1540.4170351100001</v>
      </c>
      <c r="AA55" s="419">
        <v>1595.55022433</v>
      </c>
      <c r="AB55" s="419">
        <v>1594.0091191399999</v>
      </c>
      <c r="AC55" s="419">
        <v>1631.0120076300002</v>
      </c>
      <c r="AD55" s="419">
        <v>1538.7090692500001</v>
      </c>
      <c r="AE55" s="419">
        <v>1645.3291321000002</v>
      </c>
      <c r="AF55" s="419">
        <v>1572.7505806400002</v>
      </c>
      <c r="AG55" s="419">
        <v>1553.6544383000003</v>
      </c>
      <c r="AH55" s="419">
        <v>1632.5942457000001</v>
      </c>
      <c r="AI55" s="419">
        <v>1493.2156489099998</v>
      </c>
      <c r="AJ55" s="419">
        <v>1522.5460142600002</v>
      </c>
      <c r="AK55" s="419">
        <v>1617.1927430799999</v>
      </c>
      <c r="AL55" s="419">
        <v>1587.7562758499998</v>
      </c>
      <c r="AM55" s="297">
        <v>1607.9971628600001</v>
      </c>
      <c r="AN55" s="297">
        <v>1640.62458184</v>
      </c>
      <c r="AO55" s="297">
        <v>1708.74232667</v>
      </c>
      <c r="AP55" s="297">
        <v>1612.5914442467999</v>
      </c>
      <c r="AQ55" s="297">
        <v>1633.8267005505998</v>
      </c>
      <c r="AR55" s="418">
        <v>1519.4963002048</v>
      </c>
      <c r="AS55" s="418">
        <v>1470.5025475099999</v>
      </c>
      <c r="AT55" s="418">
        <v>1507.49048021</v>
      </c>
      <c r="AU55" s="418">
        <v>1485.9416241719998</v>
      </c>
      <c r="AV55" s="418">
        <v>1562.1708126570002</v>
      </c>
      <c r="AW55" s="218">
        <v>1568.3009001152</v>
      </c>
      <c r="AX55" s="218">
        <v>1609.4369561307999</v>
      </c>
      <c r="AY55" s="218">
        <v>1504.4555740129001</v>
      </c>
      <c r="AZ55" s="218">
        <v>1535.4914448654999</v>
      </c>
      <c r="BA55" s="218">
        <v>1549.7753377923998</v>
      </c>
      <c r="BB55" s="218">
        <v>1401.6678407822999</v>
      </c>
      <c r="BC55" s="218">
        <v>1546.0777856960001</v>
      </c>
      <c r="BD55" s="218">
        <v>1763.3919846222</v>
      </c>
      <c r="BE55" s="218">
        <v>1609.0982713096002</v>
      </c>
      <c r="BF55" s="218">
        <v>1569.9114551200003</v>
      </c>
      <c r="BG55" s="218">
        <v>1640.400353578</v>
      </c>
      <c r="BH55" s="218">
        <v>1645.4479065085</v>
      </c>
      <c r="BI55" s="218">
        <v>1619.6103379081999</v>
      </c>
      <c r="BJ55" s="218">
        <v>1705.9283776083003</v>
      </c>
      <c r="BK55" s="218">
        <v>1895.0080960635003</v>
      </c>
      <c r="BL55" s="218">
        <v>1802.8477726194001</v>
      </c>
      <c r="BM55" s="218">
        <v>1796.2621740450004</v>
      </c>
      <c r="BN55" s="218">
        <v>1918.4197671179998</v>
      </c>
      <c r="BO55" s="218">
        <v>1825.1166806228</v>
      </c>
      <c r="BP55" s="218">
        <v>1940.1952077745998</v>
      </c>
      <c r="BQ55" s="218">
        <v>2097.7048947519002</v>
      </c>
      <c r="BR55" s="218">
        <v>2243.2512883203003</v>
      </c>
      <c r="BS55" s="218">
        <v>2178.3100403208005</v>
      </c>
      <c r="BT55" s="218">
        <v>2167.8786704667496</v>
      </c>
      <c r="BU55" s="218">
        <v>2259.2301837479345</v>
      </c>
      <c r="BV55" s="218">
        <v>2251.733822091092</v>
      </c>
      <c r="BW55" s="218">
        <v>2198.2134562885003</v>
      </c>
      <c r="BX55" s="218">
        <v>2179.3626134329998</v>
      </c>
      <c r="BY55" s="218">
        <v>1851.8332938256001</v>
      </c>
      <c r="BZ55" s="218">
        <v>1834.9</v>
      </c>
      <c r="CA55" s="218">
        <v>1907.5042333698</v>
      </c>
      <c r="CB55" s="218">
        <v>1998.1906784936002</v>
      </c>
      <c r="CC55" s="218">
        <v>1987.8912893275999</v>
      </c>
      <c r="CD55" s="218">
        <v>2175.1036625325823</v>
      </c>
      <c r="CE55" s="218">
        <v>2080.2410300655492</v>
      </c>
      <c r="CF55" s="218">
        <v>2116.6489087231457</v>
      </c>
      <c r="CG55" s="218">
        <v>2217.4506931106234</v>
      </c>
      <c r="CH55" s="218">
        <v>2061.7262615651457</v>
      </c>
      <c r="CI55" s="218">
        <v>2068.0837510276742</v>
      </c>
      <c r="CJ55" s="218">
        <v>2087.081989396946</v>
      </c>
      <c r="CK55" s="218">
        <v>2064.0744169051222</v>
      </c>
      <c r="CL55" s="218">
        <v>2129.4509004205233</v>
      </c>
      <c r="CM55" s="218">
        <v>2212.5829138430254</v>
      </c>
      <c r="CN55" s="218">
        <v>2158.4389556632905</v>
      </c>
      <c r="CO55" s="218">
        <v>2172.2381578465443</v>
      </c>
      <c r="CP55" s="218">
        <v>2314.5718388532496</v>
      </c>
      <c r="CQ55" s="218">
        <v>2393.9210115383235</v>
      </c>
      <c r="CR55" s="218">
        <v>2363.7193288048102</v>
      </c>
      <c r="CS55" s="218">
        <v>2472.0645565760237</v>
      </c>
      <c r="CT55" s="218">
        <v>2330.9486906231959</v>
      </c>
      <c r="CU55" s="218">
        <v>2405.3084911562246</v>
      </c>
      <c r="CV55" s="218">
        <v>2299.8712997877337</v>
      </c>
      <c r="CW55" s="218">
        <v>2362.5635054950994</v>
      </c>
      <c r="CX55" s="218">
        <v>2406.5559122739919</v>
      </c>
      <c r="CY55" s="218">
        <v>2313.4998768566452</v>
      </c>
      <c r="CZ55" s="218">
        <v>2413.4560482765523</v>
      </c>
      <c r="DA55" s="218">
        <v>2416.7546667293614</v>
      </c>
      <c r="DB55" s="421">
        <v>2529.1695671177267</v>
      </c>
      <c r="DC55" s="421">
        <v>2703.1720937330688</v>
      </c>
      <c r="DD55" s="421">
        <v>2703.0615968835928</v>
      </c>
      <c r="DE55" s="421">
        <v>2657.9965599061861</v>
      </c>
      <c r="DF55" s="421">
        <v>2717.891853269799</v>
      </c>
      <c r="DG55" s="421">
        <v>2813.6684548588432</v>
      </c>
      <c r="DH55" s="421">
        <v>2721.4804944024791</v>
      </c>
      <c r="DI55" s="421">
        <v>2819.0677013645682</v>
      </c>
      <c r="DJ55" s="421">
        <v>2848.4187961458583</v>
      </c>
      <c r="DK55" s="421">
        <v>2958.0443370774833</v>
      </c>
      <c r="DL55" s="421">
        <v>2873.4968583843056</v>
      </c>
      <c r="DM55" s="421">
        <v>2850.44187463956</v>
      </c>
      <c r="DN55" s="421">
        <v>2995.2504491697746</v>
      </c>
      <c r="DO55" s="421">
        <v>2980.0682443515866</v>
      </c>
      <c r="DP55" s="421">
        <v>3052.9403663969783</v>
      </c>
      <c r="DQ55" s="421">
        <v>3037.5556252421438</v>
      </c>
      <c r="DR55" s="421">
        <v>3066.0706694065898</v>
      </c>
      <c r="DS55" s="421">
        <v>3002.3060374917013</v>
      </c>
      <c r="DT55" s="421">
        <v>3005.2916723477183</v>
      </c>
      <c r="DU55" s="421">
        <v>3054.4812716018682</v>
      </c>
      <c r="DV55" s="421">
        <v>3138.2906277468524</v>
      </c>
      <c r="DW55" s="421">
        <v>3133.4783779642726</v>
      </c>
      <c r="DX55" s="421">
        <v>3191.367982643314</v>
      </c>
      <c r="DY55" s="421">
        <v>3158.2236514987758</v>
      </c>
      <c r="DZ55" s="421">
        <v>3185.7381770428424</v>
      </c>
      <c r="EA55" s="421">
        <v>3034.0961673535326</v>
      </c>
      <c r="EB55" s="421">
        <v>3057.6035931883694</v>
      </c>
    </row>
    <row r="56" spans="1:132" ht="15.95" customHeight="1" x14ac:dyDescent="0.25">
      <c r="A56" s="417" t="s">
        <v>314</v>
      </c>
      <c r="B56" s="418">
        <v>1566.2622638099999</v>
      </c>
      <c r="C56" s="295">
        <v>1531.7355509000001</v>
      </c>
      <c r="D56" s="295">
        <v>1480.9899711300002</v>
      </c>
      <c r="E56" s="224">
        <v>1509.5370252</v>
      </c>
      <c r="F56" s="295">
        <v>1399.6322762400002</v>
      </c>
      <c r="G56" s="295">
        <v>1574.8851512800002</v>
      </c>
      <c r="H56" s="295">
        <v>1592.0664303799997</v>
      </c>
      <c r="I56" s="295">
        <v>1604.3418368000002</v>
      </c>
      <c r="J56" s="295">
        <v>1616.6536442600002</v>
      </c>
      <c r="K56" s="224">
        <v>1397.6034185000001</v>
      </c>
      <c r="L56" s="295">
        <v>1413.0447133499999</v>
      </c>
      <c r="M56" s="295">
        <v>1405.9051855599998</v>
      </c>
      <c r="N56" s="295">
        <v>1422.7458716399999</v>
      </c>
      <c r="O56" s="224">
        <v>1399.8823031900004</v>
      </c>
      <c r="P56" s="295">
        <v>1490.062487343072</v>
      </c>
      <c r="Q56" s="295">
        <v>1455.2937506486001</v>
      </c>
      <c r="R56" s="224">
        <v>1440.2298126000001</v>
      </c>
      <c r="S56" s="295">
        <v>1504.8786693673999</v>
      </c>
      <c r="T56" s="295">
        <v>1563.0391757350001</v>
      </c>
      <c r="U56" s="419">
        <v>1563.3051408258368</v>
      </c>
      <c r="V56" s="419">
        <v>1594.3383725296349</v>
      </c>
      <c r="W56" s="419">
        <v>1588.0825185805002</v>
      </c>
      <c r="X56" s="419">
        <v>1646.9043621899998</v>
      </c>
      <c r="Y56" s="419">
        <v>1884.9417942299999</v>
      </c>
      <c r="Z56" s="419">
        <v>1881.7743529000113</v>
      </c>
      <c r="AA56" s="419">
        <v>2134.2113199099999</v>
      </c>
      <c r="AB56" s="419">
        <v>2276.8956580296735</v>
      </c>
      <c r="AC56" s="419">
        <v>2325.8508313611242</v>
      </c>
      <c r="AD56" s="419">
        <v>2531.1441753206004</v>
      </c>
      <c r="AE56" s="419">
        <v>2626.164427995142</v>
      </c>
      <c r="AF56" s="419">
        <v>2753.4232723566643</v>
      </c>
      <c r="AG56" s="419">
        <v>2777.084564852049</v>
      </c>
      <c r="AH56" s="419">
        <v>2706.8398072124105</v>
      </c>
      <c r="AI56" s="419">
        <v>3792.0184282425444</v>
      </c>
      <c r="AJ56" s="419">
        <v>3829.6012439856991</v>
      </c>
      <c r="AK56" s="419">
        <v>4149.0226086412713</v>
      </c>
      <c r="AL56" s="419">
        <v>4165.0506336005756</v>
      </c>
      <c r="AM56" s="297">
        <v>4272.5715158456724</v>
      </c>
      <c r="AN56" s="297">
        <v>4562.3505181211121</v>
      </c>
      <c r="AO56" s="297">
        <v>4636.2372954465636</v>
      </c>
      <c r="AP56" s="297">
        <v>5010.4701210429675</v>
      </c>
      <c r="AQ56" s="297">
        <v>5748.2683752771691</v>
      </c>
      <c r="AR56" s="418">
        <v>5443.9517062232007</v>
      </c>
      <c r="AS56" s="418">
        <v>5450.8960268687988</v>
      </c>
      <c r="AT56" s="418">
        <v>5968.2017388641871</v>
      </c>
      <c r="AU56" s="418">
        <v>5961.7218153548183</v>
      </c>
      <c r="AV56" s="418">
        <v>5997.204256061339</v>
      </c>
      <c r="AW56" s="218">
        <v>5959.0393518775409</v>
      </c>
      <c r="AX56" s="218">
        <v>6402.8197630342129</v>
      </c>
      <c r="AY56" s="218">
        <v>6533.5225808880414</v>
      </c>
      <c r="AZ56" s="218">
        <v>6708.3524122662539</v>
      </c>
      <c r="BA56" s="218">
        <v>6837.3582112271397</v>
      </c>
      <c r="BB56" s="218">
        <v>6652.6271805244578</v>
      </c>
      <c r="BC56" s="218">
        <v>6617.8851017674579</v>
      </c>
      <c r="BD56" s="218">
        <v>6583.9676465180737</v>
      </c>
      <c r="BE56" s="218">
        <v>6631.2531014145152</v>
      </c>
      <c r="BF56" s="218">
        <v>6925.8505582460912</v>
      </c>
      <c r="BG56" s="218">
        <v>6751.9981268280999</v>
      </c>
      <c r="BH56" s="218">
        <v>6876.1655090733348</v>
      </c>
      <c r="BI56" s="218">
        <v>6946.1621289767763</v>
      </c>
      <c r="BJ56" s="218">
        <v>6846.2399812526864</v>
      </c>
      <c r="BK56" s="218">
        <v>7181.7258415506685</v>
      </c>
      <c r="BL56" s="218">
        <v>7304.9543537676909</v>
      </c>
      <c r="BM56" s="218">
        <v>7062.88359449575</v>
      </c>
      <c r="BN56" s="218">
        <v>7161.5564283267231</v>
      </c>
      <c r="BO56" s="218">
        <v>7183.794132799886</v>
      </c>
      <c r="BP56" s="218">
        <v>6812.7885968926239</v>
      </c>
      <c r="BQ56" s="218">
        <v>6666.6104976179295</v>
      </c>
      <c r="BR56" s="218">
        <v>6758.7563611538581</v>
      </c>
      <c r="BS56" s="218">
        <v>6852.0285764284181</v>
      </c>
      <c r="BT56" s="218">
        <v>6844.879226694723</v>
      </c>
      <c r="BU56" s="218">
        <v>6760.4413757508555</v>
      </c>
      <c r="BV56" s="218">
        <v>7001.649657477732</v>
      </c>
      <c r="BW56" s="218">
        <v>6972.0043839220643</v>
      </c>
      <c r="BX56" s="218">
        <v>7178.0116337104982</v>
      </c>
      <c r="BY56" s="218">
        <v>7129.9206409353001</v>
      </c>
      <c r="BZ56" s="218">
        <v>7202.3</v>
      </c>
      <c r="CA56" s="218">
        <v>7257.6438286813172</v>
      </c>
      <c r="CB56" s="218">
        <v>9231.2591131296867</v>
      </c>
      <c r="CC56" s="218">
        <v>8883.6745443411037</v>
      </c>
      <c r="CD56" s="218">
        <v>9470.6598835068762</v>
      </c>
      <c r="CE56" s="218">
        <v>11192.246052263228</v>
      </c>
      <c r="CF56" s="218">
        <v>11329.015390783961</v>
      </c>
      <c r="CG56" s="218">
        <v>11700.572314512288</v>
      </c>
      <c r="CH56" s="218">
        <v>11697.831977097459</v>
      </c>
      <c r="CI56" s="218">
        <v>11992.786581141494</v>
      </c>
      <c r="CJ56" s="218">
        <v>12208.284283884432</v>
      </c>
      <c r="CK56" s="218">
        <v>12457.029866708373</v>
      </c>
      <c r="CL56" s="218">
        <v>12728.823514301599</v>
      </c>
      <c r="CM56" s="218">
        <v>12827.465229980042</v>
      </c>
      <c r="CN56" s="218">
        <v>13037.736085659824</v>
      </c>
      <c r="CO56" s="218">
        <v>13235.864578678416</v>
      </c>
      <c r="CP56" s="218">
        <v>13498.855750430224</v>
      </c>
      <c r="CQ56" s="218">
        <v>13490.761829445366</v>
      </c>
      <c r="CR56" s="218">
        <v>13787.716057873602</v>
      </c>
      <c r="CS56" s="218">
        <v>14327.360273678913</v>
      </c>
      <c r="CT56" s="218">
        <v>14269.084939308781</v>
      </c>
      <c r="CU56" s="218">
        <v>14214.311252855296</v>
      </c>
      <c r="CV56" s="218">
        <v>14068.469117132332</v>
      </c>
      <c r="CW56" s="218">
        <v>14174.067024497041</v>
      </c>
      <c r="CX56" s="218">
        <v>14065.019300594067</v>
      </c>
      <c r="CY56" s="218">
        <v>14151.109350088293</v>
      </c>
      <c r="CZ56" s="218">
        <v>14228.70234031387</v>
      </c>
      <c r="DA56" s="218">
        <v>14104.770334073473</v>
      </c>
      <c r="DB56" s="421">
        <v>14283.255333046203</v>
      </c>
      <c r="DC56" s="421">
        <v>13989.018947829045</v>
      </c>
      <c r="DD56" s="421">
        <v>14003.35124109553</v>
      </c>
      <c r="DE56" s="421">
        <v>13535.784060306049</v>
      </c>
      <c r="DF56" s="421">
        <v>14023.347963637516</v>
      </c>
      <c r="DG56" s="421">
        <v>14151.250519593021</v>
      </c>
      <c r="DH56" s="421">
        <v>14038.437753419723</v>
      </c>
      <c r="DI56" s="421">
        <v>13969.679819357556</v>
      </c>
      <c r="DJ56" s="421">
        <v>13942.023416984321</v>
      </c>
      <c r="DK56" s="421">
        <v>14076.956671803824</v>
      </c>
      <c r="DL56" s="421">
        <v>14179.719330055588</v>
      </c>
      <c r="DM56" s="421">
        <v>14318.252459184703</v>
      </c>
      <c r="DN56" s="421">
        <v>14280.478116616074</v>
      </c>
      <c r="DO56" s="421">
        <v>14403.502797588842</v>
      </c>
      <c r="DP56" s="421">
        <v>14142.748051410535</v>
      </c>
      <c r="DQ56" s="421">
        <v>14190.261901405107</v>
      </c>
      <c r="DR56" s="421">
        <v>13967.64007949933</v>
      </c>
      <c r="DS56" s="421">
        <v>13981.046989066735</v>
      </c>
      <c r="DT56" s="421">
        <v>14081.986929979576</v>
      </c>
      <c r="DU56" s="421">
        <v>13771.498096728192</v>
      </c>
      <c r="DV56" s="421">
        <v>13921.385655162621</v>
      </c>
      <c r="DW56" s="421">
        <v>14649.166800415267</v>
      </c>
      <c r="DX56" s="421">
        <v>13975.760119077333</v>
      </c>
      <c r="DY56" s="421">
        <v>14006.418268556406</v>
      </c>
      <c r="DZ56" s="421">
        <v>13805.477582469248</v>
      </c>
      <c r="EA56" s="421">
        <v>13650.582536117641</v>
      </c>
      <c r="EB56" s="421">
        <v>13165.207832305077</v>
      </c>
    </row>
    <row r="57" spans="1:132" ht="15.95" customHeight="1" x14ac:dyDescent="0.25">
      <c r="A57" s="417" t="s">
        <v>315</v>
      </c>
      <c r="B57" s="418">
        <v>365.25931791999994</v>
      </c>
      <c r="C57" s="295">
        <v>361.8610913</v>
      </c>
      <c r="D57" s="295">
        <v>330.61473683000003</v>
      </c>
      <c r="E57" s="224">
        <v>314.90546927999998</v>
      </c>
      <c r="F57" s="295">
        <v>464.41541280000001</v>
      </c>
      <c r="G57" s="295">
        <v>535.98596038000005</v>
      </c>
      <c r="H57" s="295">
        <v>507.23144483999999</v>
      </c>
      <c r="I57" s="295">
        <v>347.07756746000001</v>
      </c>
      <c r="J57" s="295">
        <v>353.24814714999997</v>
      </c>
      <c r="K57" s="224">
        <v>315.71153032999996</v>
      </c>
      <c r="L57" s="295">
        <v>286.45032800999996</v>
      </c>
      <c r="M57" s="295">
        <v>296.84140921999995</v>
      </c>
      <c r="N57" s="295">
        <v>373.34096868</v>
      </c>
      <c r="O57" s="224">
        <v>426.75881396000005</v>
      </c>
      <c r="P57" s="295">
        <v>438.14999667999996</v>
      </c>
      <c r="Q57" s="295">
        <v>411.17036044999998</v>
      </c>
      <c r="R57" s="224">
        <v>384.22773477999999</v>
      </c>
      <c r="S57" s="295">
        <v>418.06079294</v>
      </c>
      <c r="T57" s="295">
        <v>468.96860088000005</v>
      </c>
      <c r="U57" s="419">
        <v>502.07161587999997</v>
      </c>
      <c r="V57" s="419">
        <v>528.95760298000005</v>
      </c>
      <c r="W57" s="419">
        <v>526.10731516999999</v>
      </c>
      <c r="X57" s="419">
        <v>496.37015414000001</v>
      </c>
      <c r="Y57" s="419">
        <v>589.43051039000011</v>
      </c>
      <c r="Z57" s="419">
        <v>1156.8335474600001</v>
      </c>
      <c r="AA57" s="419">
        <v>1177.13001171</v>
      </c>
      <c r="AB57" s="419">
        <v>1113.1167142447498</v>
      </c>
      <c r="AC57" s="419">
        <v>969.76560168740593</v>
      </c>
      <c r="AD57" s="419">
        <v>973.69890130710792</v>
      </c>
      <c r="AE57" s="419">
        <v>1236.8878697847424</v>
      </c>
      <c r="AF57" s="419">
        <v>1602.1795898133626</v>
      </c>
      <c r="AG57" s="419">
        <v>1628.0579894203997</v>
      </c>
      <c r="AH57" s="419">
        <v>1773.3762698780004</v>
      </c>
      <c r="AI57" s="419">
        <v>2484.4017611039994</v>
      </c>
      <c r="AJ57" s="419">
        <v>2601.5383576075997</v>
      </c>
      <c r="AK57" s="419">
        <v>2602.822615416947</v>
      </c>
      <c r="AL57" s="419">
        <v>2653.6676484889003</v>
      </c>
      <c r="AM57" s="297">
        <v>2572.226221905501</v>
      </c>
      <c r="AN57" s="297">
        <v>2282.8665573268004</v>
      </c>
      <c r="AO57" s="297">
        <v>2243.6455807148996</v>
      </c>
      <c r="AP57" s="297">
        <v>2775.3329753995008</v>
      </c>
      <c r="AQ57" s="297">
        <v>2721.7722397025996</v>
      </c>
      <c r="AR57" s="418">
        <v>3140.2743375971995</v>
      </c>
      <c r="AS57" s="418">
        <v>3144.39203013</v>
      </c>
      <c r="AT57" s="418">
        <v>3374.4094140080006</v>
      </c>
      <c r="AU57" s="418">
        <v>3069.0888371211995</v>
      </c>
      <c r="AV57" s="418">
        <v>3175.7602510850002</v>
      </c>
      <c r="AW57" s="218">
        <v>3071.2505823612005</v>
      </c>
      <c r="AX57" s="218">
        <v>2829.7099757651999</v>
      </c>
      <c r="AY57" s="218">
        <v>2962.6516576695994</v>
      </c>
      <c r="AZ57" s="218">
        <v>3155.7950217121993</v>
      </c>
      <c r="BA57" s="218">
        <v>3083.3067973611996</v>
      </c>
      <c r="BB57" s="218">
        <v>3098.1781908583002</v>
      </c>
      <c r="BC57" s="218">
        <v>3080.8709042392561</v>
      </c>
      <c r="BD57" s="218">
        <v>3236.1291461471997</v>
      </c>
      <c r="BE57" s="218">
        <v>3200.0435941173</v>
      </c>
      <c r="BF57" s="218">
        <v>3406.4396988600001</v>
      </c>
      <c r="BG57" s="218">
        <v>4010.6163298287502</v>
      </c>
      <c r="BH57" s="218">
        <v>4048.8770797860002</v>
      </c>
      <c r="BI57" s="218">
        <v>4249.4890301041496</v>
      </c>
      <c r="BJ57" s="218">
        <v>4366.0857084736454</v>
      </c>
      <c r="BK57" s="218">
        <v>4196.8353017531881</v>
      </c>
      <c r="BL57" s="218">
        <v>4175.0032077067381</v>
      </c>
      <c r="BM57" s="218">
        <v>4318.9534405538288</v>
      </c>
      <c r="BN57" s="218">
        <v>4266.0638341539534</v>
      </c>
      <c r="BO57" s="218">
        <v>4273.167770528009</v>
      </c>
      <c r="BP57" s="218">
        <v>4680.1058535568773</v>
      </c>
      <c r="BQ57" s="218">
        <v>4755.0914769556639</v>
      </c>
      <c r="BR57" s="218">
        <v>4753.0898666692474</v>
      </c>
      <c r="BS57" s="218">
        <v>4584.9775715098785</v>
      </c>
      <c r="BT57" s="218">
        <v>4501.4529993351462</v>
      </c>
      <c r="BU57" s="218">
        <v>4521.3052740861467</v>
      </c>
      <c r="BV57" s="218">
        <v>3773.3878464071295</v>
      </c>
      <c r="BW57" s="218">
        <v>3768.8798634102004</v>
      </c>
      <c r="BX57" s="218">
        <v>3581.8004133934996</v>
      </c>
      <c r="BY57" s="218">
        <v>3436.5117452528002</v>
      </c>
      <c r="BZ57" s="218">
        <v>3628.3</v>
      </c>
      <c r="CA57" s="218">
        <v>3653.2146243049747</v>
      </c>
      <c r="CB57" s="218">
        <v>3679.6065133077082</v>
      </c>
      <c r="CC57" s="218">
        <v>3753.78241073139</v>
      </c>
      <c r="CD57" s="218">
        <v>3811.1887786942375</v>
      </c>
      <c r="CE57" s="218">
        <v>4216.3972755197501</v>
      </c>
      <c r="CF57" s="218">
        <v>4517.2079026743013</v>
      </c>
      <c r="CG57" s="218">
        <v>4321.9724095641668</v>
      </c>
      <c r="CH57" s="218">
        <v>4621.9124639954071</v>
      </c>
      <c r="CI57" s="218">
        <v>4583.5186320270868</v>
      </c>
      <c r="CJ57" s="218">
        <v>4936.0520529810428</v>
      </c>
      <c r="CK57" s="218">
        <v>4887.997586059988</v>
      </c>
      <c r="CL57" s="218">
        <v>4738.5123581679145</v>
      </c>
      <c r="CM57" s="218">
        <v>4787.6559034815509</v>
      </c>
      <c r="CN57" s="218">
        <v>4835.5571228939607</v>
      </c>
      <c r="CO57" s="218">
        <v>4782.5281280997242</v>
      </c>
      <c r="CP57" s="218">
        <v>4889.6314433460257</v>
      </c>
      <c r="CQ57" s="218">
        <v>4863.2096224159477</v>
      </c>
      <c r="CR57" s="218">
        <v>4868.1167274606532</v>
      </c>
      <c r="CS57" s="218">
        <v>5781.7471291037145</v>
      </c>
      <c r="CT57" s="218">
        <v>5946.3894674063804</v>
      </c>
      <c r="CU57" s="218">
        <v>6039.2969397134093</v>
      </c>
      <c r="CV57" s="218">
        <v>6127.3308193212852</v>
      </c>
      <c r="CW57" s="218">
        <v>6238.4139421177924</v>
      </c>
      <c r="CX57" s="218">
        <v>6295.2484385337111</v>
      </c>
      <c r="CY57" s="218">
        <v>6438.386264329908</v>
      </c>
      <c r="CZ57" s="218">
        <v>6614.641769967865</v>
      </c>
      <c r="DA57" s="218">
        <v>6709.3929162919712</v>
      </c>
      <c r="DB57" s="421">
        <v>6633.7018496885212</v>
      </c>
      <c r="DC57" s="421">
        <v>6629.0415436781104</v>
      </c>
      <c r="DD57" s="421">
        <v>6629.0532004636552</v>
      </c>
      <c r="DE57" s="421">
        <v>6914.0349647435132</v>
      </c>
      <c r="DF57" s="421">
        <v>7027.0305327276265</v>
      </c>
      <c r="DG57" s="421">
        <v>6971.8492813514613</v>
      </c>
      <c r="DH57" s="421">
        <v>6913.2915323759753</v>
      </c>
      <c r="DI57" s="421">
        <v>6951.0073782601421</v>
      </c>
      <c r="DJ57" s="421">
        <v>7096.0306372476562</v>
      </c>
      <c r="DK57" s="421">
        <v>7125.3008688811742</v>
      </c>
      <c r="DL57" s="421">
        <v>7260.7686894476356</v>
      </c>
      <c r="DM57" s="421">
        <v>7286.2241392485548</v>
      </c>
      <c r="DN57" s="421">
        <v>7288.3412067171312</v>
      </c>
      <c r="DO57" s="421">
        <v>7477.4503683619541</v>
      </c>
      <c r="DP57" s="421">
        <v>7617.8844568376935</v>
      </c>
      <c r="DQ57" s="421">
        <v>7541.6890427976532</v>
      </c>
      <c r="DR57" s="421">
        <v>7844.8428868799938</v>
      </c>
      <c r="DS57" s="421">
        <v>7929.7772793921285</v>
      </c>
      <c r="DT57" s="421">
        <v>8092.1826418052497</v>
      </c>
      <c r="DU57" s="421">
        <v>8206.6209204832776</v>
      </c>
      <c r="DV57" s="421">
        <v>8213.5279977459322</v>
      </c>
      <c r="DW57" s="421">
        <v>8535.9226253418728</v>
      </c>
      <c r="DX57" s="421">
        <v>8097.6465438760879</v>
      </c>
      <c r="DY57" s="421">
        <v>7836.9431935430785</v>
      </c>
      <c r="DZ57" s="421">
        <v>7756.4315854646384</v>
      </c>
      <c r="EA57" s="421">
        <v>7423.8342744444835</v>
      </c>
      <c r="EB57" s="421">
        <v>7789.4882237452202</v>
      </c>
    </row>
    <row r="58" spans="1:132" ht="15.95" customHeight="1" x14ac:dyDescent="0.25">
      <c r="A58" s="417" t="s">
        <v>316</v>
      </c>
      <c r="B58" s="418">
        <v>185.01832108000002</v>
      </c>
      <c r="C58" s="295">
        <v>188.02759985999998</v>
      </c>
      <c r="D58" s="295">
        <v>185.79252209999999</v>
      </c>
      <c r="E58" s="224">
        <v>188.77633824999998</v>
      </c>
      <c r="F58" s="295">
        <v>173.52918373999998</v>
      </c>
      <c r="G58" s="295">
        <v>170.86455001999997</v>
      </c>
      <c r="H58" s="295">
        <v>177.21621038999999</v>
      </c>
      <c r="I58" s="295">
        <v>172.39015129999999</v>
      </c>
      <c r="J58" s="295">
        <v>163.98166129000001</v>
      </c>
      <c r="K58" s="224">
        <v>155.2508359</v>
      </c>
      <c r="L58" s="295">
        <v>157.08504078000001</v>
      </c>
      <c r="M58" s="295">
        <v>151.11976501000001</v>
      </c>
      <c r="N58" s="295">
        <v>149.10142345</v>
      </c>
      <c r="O58" s="224">
        <v>148.56610813</v>
      </c>
      <c r="P58" s="295">
        <v>147.10318639000002</v>
      </c>
      <c r="Q58" s="295">
        <v>147.99634651000002</v>
      </c>
      <c r="R58" s="224">
        <v>143.11690654999998</v>
      </c>
      <c r="S58" s="295">
        <v>138.49085228000001</v>
      </c>
      <c r="T58" s="295">
        <v>129.73006006</v>
      </c>
      <c r="U58" s="419">
        <v>115.05742584000001</v>
      </c>
      <c r="V58" s="419">
        <v>112.83151508</v>
      </c>
      <c r="W58" s="419">
        <v>111.92142265999999</v>
      </c>
      <c r="X58" s="419">
        <v>108.78448612000001</v>
      </c>
      <c r="Y58" s="419">
        <v>116.90564415999999</v>
      </c>
      <c r="Z58" s="419">
        <v>161.84540453000002</v>
      </c>
      <c r="AA58" s="419">
        <v>156.20870775</v>
      </c>
      <c r="AB58" s="419">
        <v>165.79524011000001</v>
      </c>
      <c r="AC58" s="419">
        <v>168.96227317999998</v>
      </c>
      <c r="AD58" s="419">
        <v>168.01764791999997</v>
      </c>
      <c r="AE58" s="419">
        <v>159.68267114000002</v>
      </c>
      <c r="AF58" s="419">
        <v>190.50501496999999</v>
      </c>
      <c r="AG58" s="419">
        <v>233.15144351999999</v>
      </c>
      <c r="AH58" s="419">
        <v>216.99954342000001</v>
      </c>
      <c r="AI58" s="419">
        <v>224.34562079000003</v>
      </c>
      <c r="AJ58" s="419">
        <v>230.09703388</v>
      </c>
      <c r="AK58" s="419">
        <v>233.99931191000002</v>
      </c>
      <c r="AL58" s="419">
        <v>233.34379166999997</v>
      </c>
      <c r="AM58" s="297">
        <v>237.02058398</v>
      </c>
      <c r="AN58" s="297">
        <v>235.18330778999999</v>
      </c>
      <c r="AO58" s="297">
        <v>243.87884038999999</v>
      </c>
      <c r="AP58" s="297">
        <v>245.6496106699</v>
      </c>
      <c r="AQ58" s="297">
        <v>300.94986768080003</v>
      </c>
      <c r="AR58" s="418">
        <v>284.67342759159999</v>
      </c>
      <c r="AS58" s="418">
        <v>295.83519516000001</v>
      </c>
      <c r="AT58" s="418">
        <v>343.10847842040005</v>
      </c>
      <c r="AU58" s="418">
        <v>348.44781476719999</v>
      </c>
      <c r="AV58" s="418">
        <v>366.56424704199998</v>
      </c>
      <c r="AW58" s="218">
        <v>370.25325306600007</v>
      </c>
      <c r="AX58" s="218">
        <v>341.53584922200002</v>
      </c>
      <c r="AY58" s="218">
        <v>301.03869963569997</v>
      </c>
      <c r="AZ58" s="218">
        <v>302.83691266939996</v>
      </c>
      <c r="BA58" s="218">
        <v>285.45340182220002</v>
      </c>
      <c r="BB58" s="218">
        <v>278.9340786994</v>
      </c>
      <c r="BC58" s="218">
        <v>387.72219233239997</v>
      </c>
      <c r="BD58" s="218">
        <v>399.49902651399998</v>
      </c>
      <c r="BE58" s="218">
        <v>387.53493809939999</v>
      </c>
      <c r="BF58" s="218">
        <v>372.10580253750004</v>
      </c>
      <c r="BG58" s="218">
        <v>354.61298036199997</v>
      </c>
      <c r="BH58" s="218">
        <v>338.5783693674</v>
      </c>
      <c r="BI58" s="218">
        <v>362.51120013490004</v>
      </c>
      <c r="BJ58" s="218">
        <v>372.89365641310002</v>
      </c>
      <c r="BK58" s="218">
        <v>373.49857941569996</v>
      </c>
      <c r="BL58" s="218">
        <v>383.47908149759996</v>
      </c>
      <c r="BM58" s="218">
        <v>400.63592047720005</v>
      </c>
      <c r="BN58" s="218">
        <v>382.30440203199998</v>
      </c>
      <c r="BO58" s="218">
        <v>385.29415467400003</v>
      </c>
      <c r="BP58" s="218">
        <v>382.37777938580001</v>
      </c>
      <c r="BQ58" s="218">
        <v>376.40373162290001</v>
      </c>
      <c r="BR58" s="218">
        <v>378.61753864740001</v>
      </c>
      <c r="BS58" s="218">
        <v>378.26848467960002</v>
      </c>
      <c r="BT58" s="218">
        <v>377.98667100259001</v>
      </c>
      <c r="BU58" s="218">
        <v>397.65755499401405</v>
      </c>
      <c r="BV58" s="218">
        <v>306.79572368844794</v>
      </c>
      <c r="BW58" s="218">
        <v>534.24886212453498</v>
      </c>
      <c r="BX58" s="218">
        <v>503.44883088400002</v>
      </c>
      <c r="BY58" s="218">
        <v>433.1538485035</v>
      </c>
      <c r="BZ58" s="218">
        <v>525.29999999999995</v>
      </c>
      <c r="CA58" s="218">
        <v>542.36689110520001</v>
      </c>
      <c r="CB58" s="218">
        <v>491.09251104545001</v>
      </c>
      <c r="CC58" s="218">
        <v>446.38961586896994</v>
      </c>
      <c r="CD58" s="218">
        <v>454.80505154457001</v>
      </c>
      <c r="CE58" s="218">
        <v>474.52672758221394</v>
      </c>
      <c r="CF58" s="218">
        <v>498.53803474263162</v>
      </c>
      <c r="CG58" s="218">
        <v>960.66736685659669</v>
      </c>
      <c r="CH58" s="218">
        <v>993.93150187717856</v>
      </c>
      <c r="CI58" s="218">
        <v>1130.2070446361984</v>
      </c>
      <c r="CJ58" s="218">
        <v>1208.549435976513</v>
      </c>
      <c r="CK58" s="218">
        <v>1237.9194519800601</v>
      </c>
      <c r="CL58" s="218">
        <v>1320.8475223581036</v>
      </c>
      <c r="CM58" s="218">
        <v>1394.5520880896916</v>
      </c>
      <c r="CN58" s="218">
        <v>1447.021055491567</v>
      </c>
      <c r="CO58" s="218">
        <v>1475.0202552448577</v>
      </c>
      <c r="CP58" s="218">
        <v>1562.380050573425</v>
      </c>
      <c r="CQ58" s="218">
        <v>1585.1295592091374</v>
      </c>
      <c r="CR58" s="218">
        <v>1581.5899117100548</v>
      </c>
      <c r="CS58" s="218">
        <v>1596.1008058982159</v>
      </c>
      <c r="CT58" s="218">
        <v>1584.2864089168208</v>
      </c>
      <c r="CU58" s="218">
        <v>1531.2978367070261</v>
      </c>
      <c r="CV58" s="218">
        <v>1422.6789150511049</v>
      </c>
      <c r="CW58" s="218">
        <v>1359.0071309955845</v>
      </c>
      <c r="CX58" s="218">
        <v>1273.2068672698365</v>
      </c>
      <c r="CY58" s="218">
        <v>1238.3095816902833</v>
      </c>
      <c r="CZ58" s="218">
        <v>1220.1803695549781</v>
      </c>
      <c r="DA58" s="218">
        <v>1161.1948348075357</v>
      </c>
      <c r="DB58" s="421">
        <v>1181.4424501755905</v>
      </c>
      <c r="DC58" s="421">
        <v>1434.3044549933954</v>
      </c>
      <c r="DD58" s="421">
        <v>1437.6126339054933</v>
      </c>
      <c r="DE58" s="421">
        <v>1469.1744700138879</v>
      </c>
      <c r="DF58" s="421">
        <v>1465.786055043181</v>
      </c>
      <c r="DG58" s="421">
        <v>1327.2655153438986</v>
      </c>
      <c r="DH58" s="421">
        <v>1460.0679870881681</v>
      </c>
      <c r="DI58" s="421">
        <v>1485.4333558033334</v>
      </c>
      <c r="DJ58" s="421">
        <v>1557.4034850834807</v>
      </c>
      <c r="DK58" s="421">
        <v>1732.2509636414379</v>
      </c>
      <c r="DL58" s="421">
        <v>1738.430130508719</v>
      </c>
      <c r="DM58" s="421">
        <v>1947.8348126454291</v>
      </c>
      <c r="DN58" s="421">
        <v>1976.7141045429548</v>
      </c>
      <c r="DO58" s="421">
        <v>2030.0560282009883</v>
      </c>
      <c r="DP58" s="421">
        <v>2033.83576062415</v>
      </c>
      <c r="DQ58" s="421">
        <v>2044.7451785450908</v>
      </c>
      <c r="DR58" s="421">
        <v>1972.8287922690022</v>
      </c>
      <c r="DS58" s="421">
        <v>2021.4346235514879</v>
      </c>
      <c r="DT58" s="421">
        <v>2042.1334944837151</v>
      </c>
      <c r="DU58" s="421">
        <v>2091.6059019475806</v>
      </c>
      <c r="DV58" s="421">
        <v>2108.3823234128613</v>
      </c>
      <c r="DW58" s="421">
        <v>2088.1006296771202</v>
      </c>
      <c r="DX58" s="421">
        <v>2028.8638459767647</v>
      </c>
      <c r="DY58" s="421">
        <v>2031.8150822724858</v>
      </c>
      <c r="DZ58" s="421">
        <v>1995.8575634097429</v>
      </c>
      <c r="EA58" s="421">
        <v>2006.0666841545103</v>
      </c>
      <c r="EB58" s="421">
        <v>2006.2163751131</v>
      </c>
    </row>
    <row r="59" spans="1:132" ht="15.95" customHeight="1" x14ac:dyDescent="0.25">
      <c r="A59" s="417" t="s">
        <v>317</v>
      </c>
      <c r="B59" s="418">
        <v>11010.618627710001</v>
      </c>
      <c r="C59" s="295">
        <v>11202.324978660003</v>
      </c>
      <c r="D59" s="295">
        <v>11392.66895213</v>
      </c>
      <c r="E59" s="224">
        <v>11612.441834360001</v>
      </c>
      <c r="F59" s="295">
        <v>11835.078289169998</v>
      </c>
      <c r="G59" s="295">
        <v>12010.31649066</v>
      </c>
      <c r="H59" s="295">
        <v>12223.067262169998</v>
      </c>
      <c r="I59" s="295">
        <v>12383.631140320003</v>
      </c>
      <c r="J59" s="295">
        <v>12495.888205270001</v>
      </c>
      <c r="K59" s="224">
        <v>12703.43300549</v>
      </c>
      <c r="L59" s="295">
        <v>12889.349938979996</v>
      </c>
      <c r="M59" s="295">
        <v>13057.569455209992</v>
      </c>
      <c r="N59" s="295">
        <v>13273.510894790004</v>
      </c>
      <c r="O59" s="224">
        <v>13386.098248070011</v>
      </c>
      <c r="P59" s="295">
        <v>13517.619478389994</v>
      </c>
      <c r="Q59" s="295">
        <v>13631.621207400012</v>
      </c>
      <c r="R59" s="224">
        <v>13790.01204564</v>
      </c>
      <c r="S59" s="295">
        <v>13962.252826749997</v>
      </c>
      <c r="T59" s="295">
        <v>14046.401857769995</v>
      </c>
      <c r="U59" s="419">
        <v>14128.511417380003</v>
      </c>
      <c r="V59" s="419">
        <v>14179.680991970003</v>
      </c>
      <c r="W59" s="419">
        <v>14332.369292889995</v>
      </c>
      <c r="X59" s="419">
        <v>14469.207694979992</v>
      </c>
      <c r="Y59" s="419">
        <v>14681.818957656398</v>
      </c>
      <c r="Z59" s="419">
        <v>14867.699041133901</v>
      </c>
      <c r="AA59" s="419">
        <v>15082.746113438385</v>
      </c>
      <c r="AB59" s="419">
        <v>15240.438459331968</v>
      </c>
      <c r="AC59" s="419">
        <v>15420.251653239993</v>
      </c>
      <c r="AD59" s="419">
        <v>15573.803864928304</v>
      </c>
      <c r="AE59" s="419">
        <v>15743.442259409143</v>
      </c>
      <c r="AF59" s="419">
        <v>15947.154507084686</v>
      </c>
      <c r="AG59" s="419">
        <v>16025.25354351721</v>
      </c>
      <c r="AH59" s="419">
        <v>16286.830751029996</v>
      </c>
      <c r="AI59" s="419">
        <v>16554.392915754779</v>
      </c>
      <c r="AJ59" s="419">
        <v>16762.523575996387</v>
      </c>
      <c r="AK59" s="419">
        <v>16989.085144613597</v>
      </c>
      <c r="AL59" s="419">
        <v>17189.504357741349</v>
      </c>
      <c r="AM59" s="297">
        <v>17458.849659500502</v>
      </c>
      <c r="AN59" s="297">
        <v>17531.998178534421</v>
      </c>
      <c r="AO59" s="297">
        <v>17706.625259815803</v>
      </c>
      <c r="AP59" s="297">
        <v>18343.053950757694</v>
      </c>
      <c r="AQ59" s="297">
        <v>18638.270237909608</v>
      </c>
      <c r="AR59" s="418">
        <v>19332.854220664809</v>
      </c>
      <c r="AS59" s="418">
        <v>19240.58847106</v>
      </c>
      <c r="AT59" s="418">
        <v>19478.913626610411</v>
      </c>
      <c r="AU59" s="418">
        <v>19650.556629893399</v>
      </c>
      <c r="AV59" s="418">
        <v>19719.546707906989</v>
      </c>
      <c r="AW59" s="218">
        <v>19725.976171224804</v>
      </c>
      <c r="AX59" s="218">
        <v>19860.443059875994</v>
      </c>
      <c r="AY59" s="218">
        <v>20053.6256522699</v>
      </c>
      <c r="AZ59" s="218">
        <v>20191.790771405998</v>
      </c>
      <c r="BA59" s="218">
        <v>20402.60927109421</v>
      </c>
      <c r="BB59" s="218">
        <v>20743.580143666008</v>
      </c>
      <c r="BC59" s="218">
        <v>20957.054775260396</v>
      </c>
      <c r="BD59" s="218">
        <v>21247.133820976604</v>
      </c>
      <c r="BE59" s="218">
        <v>21578.14483334959</v>
      </c>
      <c r="BF59" s="218">
        <v>21724.611324630001</v>
      </c>
      <c r="BG59" s="218">
        <v>21944.392615133998</v>
      </c>
      <c r="BH59" s="218">
        <v>22327.888310330909</v>
      </c>
      <c r="BI59" s="218">
        <v>22581.253492929201</v>
      </c>
      <c r="BJ59" s="218">
        <v>22928.326913878809</v>
      </c>
      <c r="BK59" s="218">
        <v>23372.214273920097</v>
      </c>
      <c r="BL59" s="218">
        <v>23809.493949092102</v>
      </c>
      <c r="BM59" s="218">
        <v>24204.688039687207</v>
      </c>
      <c r="BN59" s="218">
        <v>24518.506815144989</v>
      </c>
      <c r="BO59" s="218">
        <v>25009.841098352797</v>
      </c>
      <c r="BP59" s="218">
        <v>25330.8556352944</v>
      </c>
      <c r="BQ59" s="218">
        <v>25621.873178296599</v>
      </c>
      <c r="BR59" s="218">
        <v>25880.753915547804</v>
      </c>
      <c r="BS59" s="218">
        <v>26134.063912338792</v>
      </c>
      <c r="BT59" s="218">
        <v>26783.442174754564</v>
      </c>
      <c r="BU59" s="218">
        <v>27231.678537588177</v>
      </c>
      <c r="BV59" s="218">
        <v>27868.145133442464</v>
      </c>
      <c r="BW59" s="218">
        <v>28417.323148484262</v>
      </c>
      <c r="BX59" s="218">
        <v>29061.201910298005</v>
      </c>
      <c r="BY59" s="218">
        <v>30054.974832489399</v>
      </c>
      <c r="BZ59" s="218">
        <v>30466.1</v>
      </c>
      <c r="CA59" s="218">
        <v>30977.842405780913</v>
      </c>
      <c r="CB59" s="218">
        <v>31490.903773928971</v>
      </c>
      <c r="CC59" s="218">
        <v>31970.670609225093</v>
      </c>
      <c r="CD59" s="218">
        <v>32384.092497791309</v>
      </c>
      <c r="CE59" s="218">
        <v>32870.359955996508</v>
      </c>
      <c r="CF59" s="218">
        <v>33378.686694493044</v>
      </c>
      <c r="CG59" s="218">
        <v>33891.799166235971</v>
      </c>
      <c r="CH59" s="218">
        <v>34311.464803678777</v>
      </c>
      <c r="CI59" s="218">
        <v>34917.457011666367</v>
      </c>
      <c r="CJ59" s="218">
        <v>35605.307711334113</v>
      </c>
      <c r="CK59" s="218">
        <v>36025.001647723097</v>
      </c>
      <c r="CL59" s="218">
        <v>36562.461381562331</v>
      </c>
      <c r="CM59" s="218">
        <v>37169.659161722098</v>
      </c>
      <c r="CN59" s="218">
        <v>37592.635690536277</v>
      </c>
      <c r="CO59" s="218">
        <v>38009.922146942183</v>
      </c>
      <c r="CP59" s="218">
        <v>38360.681111363403</v>
      </c>
      <c r="CQ59" s="218">
        <v>38858.583398625604</v>
      </c>
      <c r="CR59" s="218">
        <v>37716.308529555099</v>
      </c>
      <c r="CS59" s="218">
        <v>38425.795412666463</v>
      </c>
      <c r="CT59" s="218">
        <v>39054.022377341382</v>
      </c>
      <c r="CU59" s="218">
        <v>39601.024353011329</v>
      </c>
      <c r="CV59" s="218">
        <v>40132.044547241152</v>
      </c>
      <c r="CW59" s="218">
        <v>40584.967509081253</v>
      </c>
      <c r="CX59" s="218">
        <v>41070.72339519221</v>
      </c>
      <c r="CY59" s="218">
        <v>41427.67088187582</v>
      </c>
      <c r="CZ59" s="218">
        <v>41810.227177622</v>
      </c>
      <c r="DA59" s="218">
        <v>41838.392578658539</v>
      </c>
      <c r="DB59" s="421">
        <v>42150.554228513916</v>
      </c>
      <c r="DC59" s="421">
        <v>42396.253214705474</v>
      </c>
      <c r="DD59" s="421">
        <v>42669.093034207937</v>
      </c>
      <c r="DE59" s="421">
        <v>42960.795226602189</v>
      </c>
      <c r="DF59" s="421">
        <v>43266.288489871513</v>
      </c>
      <c r="DG59" s="421">
        <v>43498.826902024579</v>
      </c>
      <c r="DH59" s="421">
        <v>43835.019040197796</v>
      </c>
      <c r="DI59" s="421">
        <v>44045.162786366738</v>
      </c>
      <c r="DJ59" s="421">
        <v>44436.816716778318</v>
      </c>
      <c r="DK59" s="421">
        <v>44830.796096489481</v>
      </c>
      <c r="DL59" s="421">
        <v>45708.302017336478</v>
      </c>
      <c r="DM59" s="421">
        <v>45877.212097420903</v>
      </c>
      <c r="DN59" s="421">
        <v>46492.754929999552</v>
      </c>
      <c r="DO59" s="421">
        <v>46789.340150542776</v>
      </c>
      <c r="DP59" s="421">
        <v>47019.353144610912</v>
      </c>
      <c r="DQ59" s="421">
        <v>47257.760953141238</v>
      </c>
      <c r="DR59" s="421">
        <v>47767.316920351652</v>
      </c>
      <c r="DS59" s="421">
        <v>48100.064626772553</v>
      </c>
      <c r="DT59" s="421">
        <v>48577.319990349337</v>
      </c>
      <c r="DU59" s="421">
        <v>49047.228297552741</v>
      </c>
      <c r="DV59" s="421">
        <v>49462.165856445157</v>
      </c>
      <c r="DW59" s="421">
        <v>49470.535495394266</v>
      </c>
      <c r="DX59" s="421">
        <v>50109.055360483282</v>
      </c>
      <c r="DY59" s="421">
        <v>50151.95434121196</v>
      </c>
      <c r="DZ59" s="421">
        <v>50377.418298620483</v>
      </c>
      <c r="EA59" s="421">
        <v>50805.156669272204</v>
      </c>
      <c r="EB59" s="421">
        <v>50979.938370606236</v>
      </c>
    </row>
    <row r="60" spans="1:132" ht="15.95" customHeight="1" x14ac:dyDescent="0.25">
      <c r="A60" s="417" t="s">
        <v>318</v>
      </c>
      <c r="B60" s="418">
        <v>631.71260848199995</v>
      </c>
      <c r="C60" s="295">
        <v>637.00001189880004</v>
      </c>
      <c r="D60" s="295">
        <v>630.79652337100003</v>
      </c>
      <c r="E60" s="224">
        <v>918.9091715141999</v>
      </c>
      <c r="F60" s="295">
        <v>916.59575032760006</v>
      </c>
      <c r="G60" s="295">
        <v>913.59674971639993</v>
      </c>
      <c r="H60" s="295">
        <v>912.87297314240016</v>
      </c>
      <c r="I60" s="295">
        <v>911.02767978169993</v>
      </c>
      <c r="J60" s="295">
        <v>915.69908700020005</v>
      </c>
      <c r="K60" s="224">
        <v>918.71441057212007</v>
      </c>
      <c r="L60" s="295">
        <v>917.90057680439998</v>
      </c>
      <c r="M60" s="295">
        <v>949.32647059750002</v>
      </c>
      <c r="N60" s="295">
        <v>961.73905879910001</v>
      </c>
      <c r="O60" s="224">
        <v>963.09920581979998</v>
      </c>
      <c r="P60" s="295">
        <v>960.8066742348002</v>
      </c>
      <c r="Q60" s="295">
        <v>961.63381638429996</v>
      </c>
      <c r="R60" s="224">
        <v>970.66404638539996</v>
      </c>
      <c r="S60" s="295">
        <v>974.15898084960008</v>
      </c>
      <c r="T60" s="295">
        <v>993.93218605999994</v>
      </c>
      <c r="U60" s="419">
        <v>1012.3027969685002</v>
      </c>
      <c r="V60" s="419">
        <v>1020.202496649023</v>
      </c>
      <c r="W60" s="419">
        <v>1032.7421272022</v>
      </c>
      <c r="X60" s="419">
        <v>1049.0586421827602</v>
      </c>
      <c r="Y60" s="419">
        <v>1064.0716994639001</v>
      </c>
      <c r="Z60" s="419">
        <v>1098.9543632306334</v>
      </c>
      <c r="AA60" s="419">
        <v>1106.1971092105291</v>
      </c>
      <c r="AB60" s="419">
        <v>1136.9087957993979</v>
      </c>
      <c r="AC60" s="419">
        <v>1155.9041027123999</v>
      </c>
      <c r="AD60" s="419">
        <v>1180.3898544476001</v>
      </c>
      <c r="AE60" s="419">
        <v>1214.1712031896666</v>
      </c>
      <c r="AF60" s="419">
        <v>1248.4742800066417</v>
      </c>
      <c r="AG60" s="419">
        <v>1271.8292897569199</v>
      </c>
      <c r="AH60" s="419">
        <v>1298.9702330919999</v>
      </c>
      <c r="AI60" s="419">
        <v>1325.6868942647998</v>
      </c>
      <c r="AJ60" s="419">
        <v>1355.3092489564003</v>
      </c>
      <c r="AK60" s="419">
        <v>1403.1711733903994</v>
      </c>
      <c r="AL60" s="419">
        <v>1426.067926007825</v>
      </c>
      <c r="AM60" s="297">
        <v>1474.0650294185004</v>
      </c>
      <c r="AN60" s="297">
        <v>1527.1223110706208</v>
      </c>
      <c r="AO60" s="297">
        <v>1565.6830659072839</v>
      </c>
      <c r="AP60" s="297">
        <v>1681.4288204078998</v>
      </c>
      <c r="AQ60" s="297">
        <v>1745.9539638031999</v>
      </c>
      <c r="AR60" s="418">
        <v>1776.6598231776002</v>
      </c>
      <c r="AS60" s="418">
        <v>1791.6207647699996</v>
      </c>
      <c r="AT60" s="418">
        <v>1795.8939063324003</v>
      </c>
      <c r="AU60" s="418">
        <v>1820.4244094390001</v>
      </c>
      <c r="AV60" s="418">
        <v>1859.6791881839997</v>
      </c>
      <c r="AW60" s="218">
        <v>1903.1595622968</v>
      </c>
      <c r="AX60" s="218">
        <v>1929.2430072007999</v>
      </c>
      <c r="AY60" s="218">
        <v>1961.3788750359004</v>
      </c>
      <c r="AZ60" s="218">
        <v>2024.7393850504006</v>
      </c>
      <c r="BA60" s="218">
        <v>2079.1979434475998</v>
      </c>
      <c r="BB60" s="218">
        <v>2119.6187428467997</v>
      </c>
      <c r="BC60" s="218">
        <v>2153.1713852019989</v>
      </c>
      <c r="BD60" s="218">
        <v>2197.3523498787995</v>
      </c>
      <c r="BE60" s="218">
        <v>2228.5211790778994</v>
      </c>
      <c r="BF60" s="218">
        <v>2259.5613418749999</v>
      </c>
      <c r="BG60" s="218">
        <v>2294.9202719520013</v>
      </c>
      <c r="BH60" s="218">
        <v>2333.1617905786989</v>
      </c>
      <c r="BI60" s="218">
        <v>2375.0995313164995</v>
      </c>
      <c r="BJ60" s="218">
        <v>2448.5308218214</v>
      </c>
      <c r="BK60" s="218">
        <v>2487.9593940598998</v>
      </c>
      <c r="BL60" s="218">
        <v>2542.6851438756999</v>
      </c>
      <c r="BM60" s="218">
        <v>2637.156302199201</v>
      </c>
      <c r="BN60" s="218">
        <v>2659.6984717227997</v>
      </c>
      <c r="BO60" s="218">
        <v>2709.0022434984012</v>
      </c>
      <c r="BP60" s="218">
        <v>2910.2628512496999</v>
      </c>
      <c r="BQ60" s="218">
        <v>2917.9134025144999</v>
      </c>
      <c r="BR60" s="218">
        <v>2926.2977547710989</v>
      </c>
      <c r="BS60" s="218">
        <v>3018.2850252375993</v>
      </c>
      <c r="BT60" s="218">
        <v>3055.6996900502513</v>
      </c>
      <c r="BU60" s="218">
        <v>2914.6141085252052</v>
      </c>
      <c r="BV60" s="218">
        <v>2969.5485552010991</v>
      </c>
      <c r="BW60" s="218">
        <v>3001.1978016363205</v>
      </c>
      <c r="BX60" s="218">
        <v>3009.6356242064999</v>
      </c>
      <c r="BY60" s="218">
        <v>3052.7995709551001</v>
      </c>
      <c r="BZ60" s="218">
        <v>3082.6</v>
      </c>
      <c r="CA60" s="218">
        <v>3112.3396293357009</v>
      </c>
      <c r="CB60" s="218">
        <v>3142.4687992971985</v>
      </c>
      <c r="CC60" s="218">
        <v>3151.2523367216018</v>
      </c>
      <c r="CD60" s="218">
        <v>3199.9707890491995</v>
      </c>
      <c r="CE60" s="218">
        <v>3233.8724895027303</v>
      </c>
      <c r="CF60" s="218">
        <v>3267.1263667738085</v>
      </c>
      <c r="CG60" s="218">
        <v>3291.6696433701909</v>
      </c>
      <c r="CH60" s="218">
        <v>3291.9195893411443</v>
      </c>
      <c r="CI60" s="218">
        <v>3298.2474081800005</v>
      </c>
      <c r="CJ60" s="218">
        <v>3247.0803038599997</v>
      </c>
      <c r="CK60" s="218">
        <v>3273.5065260099987</v>
      </c>
      <c r="CL60" s="218">
        <v>3363.7515723800002</v>
      </c>
      <c r="CM60" s="218">
        <v>3333.9225746899988</v>
      </c>
      <c r="CN60" s="218">
        <v>3365.1635800800013</v>
      </c>
      <c r="CO60" s="218">
        <v>3370.533729530001</v>
      </c>
      <c r="CP60" s="218">
        <v>3389.4861993299996</v>
      </c>
      <c r="CQ60" s="218">
        <v>3415.4069981100006</v>
      </c>
      <c r="CR60" s="218">
        <v>3478.2671618199997</v>
      </c>
      <c r="CS60" s="218">
        <v>3535.3164877310041</v>
      </c>
      <c r="CT60" s="218">
        <v>3550.2310994156496</v>
      </c>
      <c r="CU60" s="218">
        <v>3569.4225351789082</v>
      </c>
      <c r="CV60" s="218">
        <v>3600.0251948350265</v>
      </c>
      <c r="CW60" s="218">
        <v>3633.4429546541187</v>
      </c>
      <c r="CX60" s="218">
        <v>3666.376880302822</v>
      </c>
      <c r="CY60" s="218">
        <v>3689.3286526572901</v>
      </c>
      <c r="CZ60" s="218">
        <v>3711.7613543658294</v>
      </c>
      <c r="DA60" s="218">
        <v>3698.2817866299997</v>
      </c>
      <c r="DB60" s="421">
        <v>3710.6487160171123</v>
      </c>
      <c r="DC60" s="421">
        <v>3722.2408185513746</v>
      </c>
      <c r="DD60" s="421">
        <v>3729.7986596067994</v>
      </c>
      <c r="DE60" s="421">
        <v>3742.1958524304314</v>
      </c>
      <c r="DF60" s="421">
        <v>3763.5478403285319</v>
      </c>
      <c r="DG60" s="421">
        <v>3765.4714972500005</v>
      </c>
      <c r="DH60" s="421">
        <v>3792.1831730811409</v>
      </c>
      <c r="DI60" s="421">
        <v>3816.5657022244991</v>
      </c>
      <c r="DJ60" s="421">
        <v>3836.4236609676232</v>
      </c>
      <c r="DK60" s="421">
        <v>3850.6431305508718</v>
      </c>
      <c r="DL60" s="421">
        <v>3879.1829208322661</v>
      </c>
      <c r="DM60" s="421">
        <v>3892.3074332544079</v>
      </c>
      <c r="DN60" s="421">
        <v>3868.4518267619737</v>
      </c>
      <c r="DO60" s="421">
        <v>3881.805659610583</v>
      </c>
      <c r="DP60" s="421">
        <v>3943.6747582254011</v>
      </c>
      <c r="DQ60" s="421">
        <v>3993.9968963578754</v>
      </c>
      <c r="DR60" s="421">
        <v>4010.447521586113</v>
      </c>
      <c r="DS60" s="421">
        <v>4057.3686865024461</v>
      </c>
      <c r="DT60" s="421">
        <v>4088.5531407184758</v>
      </c>
      <c r="DU60" s="421">
        <v>4126.3437995682852</v>
      </c>
      <c r="DV60" s="421">
        <v>4126.7745952563364</v>
      </c>
      <c r="DW60" s="421">
        <v>4148.7165200876498</v>
      </c>
      <c r="DX60" s="421">
        <v>4155.9885847829328</v>
      </c>
      <c r="DY60" s="421">
        <v>4185.3914052296386</v>
      </c>
      <c r="DZ60" s="421">
        <v>4218.7260624945384</v>
      </c>
      <c r="EA60" s="421">
        <v>4234.671069889062</v>
      </c>
      <c r="EB60" s="421">
        <v>4242.3590433186173</v>
      </c>
    </row>
    <row r="61" spans="1:132" ht="15.95" customHeight="1" x14ac:dyDescent="0.25">
      <c r="A61" s="417" t="s">
        <v>319</v>
      </c>
      <c r="B61" s="418">
        <v>9.9808426500000014</v>
      </c>
      <c r="C61" s="295">
        <v>9.8149648499999991</v>
      </c>
      <c r="D61" s="295">
        <v>9.7280374600000012</v>
      </c>
      <c r="E61" s="224">
        <v>8.1770788599999999</v>
      </c>
      <c r="F61" s="295">
        <v>7.89085693</v>
      </c>
      <c r="G61" s="295">
        <v>7.9313178000000004</v>
      </c>
      <c r="H61" s="295">
        <v>5.4065174000000003</v>
      </c>
      <c r="I61" s="295">
        <v>5.4201941600000003</v>
      </c>
      <c r="J61" s="295">
        <v>5.4044984700000009</v>
      </c>
      <c r="K61" s="224">
        <v>5.3770552399999998</v>
      </c>
      <c r="L61" s="295">
        <v>5.38715878</v>
      </c>
      <c r="M61" s="295">
        <v>5.3601309100000005</v>
      </c>
      <c r="N61" s="295">
        <v>5.33641407</v>
      </c>
      <c r="O61" s="224">
        <v>5.3114658800000001</v>
      </c>
      <c r="P61" s="295">
        <v>5.2709023200000003</v>
      </c>
      <c r="Q61" s="295">
        <v>8.7580862400000008</v>
      </c>
      <c r="R61" s="224">
        <v>5.2622938399999999</v>
      </c>
      <c r="S61" s="295">
        <v>8.7118640099999993</v>
      </c>
      <c r="T61" s="295">
        <v>8.6888613700000015</v>
      </c>
      <c r="U61" s="419">
        <v>8.6770204100000008</v>
      </c>
      <c r="V61" s="419">
        <v>8.6485261199999997</v>
      </c>
      <c r="W61" s="419">
        <v>8.8464252699999992</v>
      </c>
      <c r="X61" s="419">
        <v>8.2074176200000011</v>
      </c>
      <c r="Y61" s="419">
        <v>8.1960267700000013</v>
      </c>
      <c r="Z61" s="419">
        <v>8.399846890000001</v>
      </c>
      <c r="AA61" s="419">
        <v>8.3869613200000011</v>
      </c>
      <c r="AB61" s="419">
        <v>8.3944371999999987</v>
      </c>
      <c r="AC61" s="419">
        <v>8.4671845700000006</v>
      </c>
      <c r="AD61" s="419">
        <v>8.4482525299999995</v>
      </c>
      <c r="AE61" s="419">
        <v>4.9780152500000003</v>
      </c>
      <c r="AF61" s="419">
        <v>7.2950473499999999</v>
      </c>
      <c r="AG61" s="419">
        <v>7.672283199999999</v>
      </c>
      <c r="AH61" s="419">
        <v>4.9625663800000002</v>
      </c>
      <c r="AI61" s="419">
        <v>5.0275298199999989</v>
      </c>
      <c r="AJ61" s="419">
        <v>4.8951895499999996</v>
      </c>
      <c r="AK61" s="419">
        <v>8.3795621199999992</v>
      </c>
      <c r="AL61" s="419">
        <v>4.5342190700000007</v>
      </c>
      <c r="AM61" s="297">
        <v>7.5664676000000002</v>
      </c>
      <c r="AN61" s="297">
        <v>7.5585472100000004</v>
      </c>
      <c r="AO61" s="297">
        <v>3.1547836600000001</v>
      </c>
      <c r="AP61" s="297">
        <v>2.9795511999999995</v>
      </c>
      <c r="AQ61" s="297">
        <v>2.6668689900000002</v>
      </c>
      <c r="AR61" s="418">
        <v>2.8384443800000003</v>
      </c>
      <c r="AS61" s="418">
        <v>2.7407553500000001</v>
      </c>
      <c r="AT61" s="418">
        <v>2.3255312999999997</v>
      </c>
      <c r="AU61" s="418">
        <v>2.3075071199999999</v>
      </c>
      <c r="AV61" s="418">
        <v>2.3237800000000002</v>
      </c>
      <c r="AW61" s="218">
        <v>2.3132649199999999</v>
      </c>
      <c r="AX61" s="218">
        <v>2.3129326099999998</v>
      </c>
      <c r="AY61" s="218">
        <v>2.2579218299999999</v>
      </c>
      <c r="AZ61" s="218">
        <v>2.2117266200000003</v>
      </c>
      <c r="BA61" s="218">
        <v>2.2284190699999997</v>
      </c>
      <c r="BB61" s="218">
        <v>2.2283840000000001</v>
      </c>
      <c r="BC61" s="218">
        <v>2.2134575699999997</v>
      </c>
      <c r="BD61" s="218">
        <v>2.01994265</v>
      </c>
      <c r="BE61" s="218">
        <v>2.04378269</v>
      </c>
      <c r="BF61" s="218">
        <v>2.1678721899999998</v>
      </c>
      <c r="BG61" s="218">
        <v>3.1071423899999995</v>
      </c>
      <c r="BH61" s="218">
        <v>3.4835488300000002</v>
      </c>
      <c r="BI61" s="218">
        <v>3.6076444700000003</v>
      </c>
      <c r="BJ61" s="218">
        <v>3.4998180700000003</v>
      </c>
      <c r="BK61" s="218">
        <v>3.4727188900000003</v>
      </c>
      <c r="BL61" s="218">
        <v>3.4736296499999999</v>
      </c>
      <c r="BM61" s="218">
        <v>3.4559141900000001</v>
      </c>
      <c r="BN61" s="218">
        <v>3.4565265700000003</v>
      </c>
      <c r="BO61" s="218">
        <v>3.4388177099999999</v>
      </c>
      <c r="BP61" s="218">
        <v>0.94530492999999993</v>
      </c>
      <c r="BQ61" s="218">
        <v>0.69698305000000005</v>
      </c>
      <c r="BR61" s="218">
        <v>0.92583046000000013</v>
      </c>
      <c r="BS61" s="218">
        <v>1.0274726699999999</v>
      </c>
      <c r="BT61" s="218">
        <v>0.99933654000000005</v>
      </c>
      <c r="BU61" s="218">
        <v>1.00845549</v>
      </c>
      <c r="BV61" s="218">
        <v>1.0014700599999999</v>
      </c>
      <c r="BW61" s="218">
        <v>1.0112683599999999</v>
      </c>
      <c r="BX61" s="218">
        <v>1.004265</v>
      </c>
      <c r="BY61" s="218">
        <v>1.014052</v>
      </c>
      <c r="BZ61" s="218">
        <v>1</v>
      </c>
      <c r="CA61" s="218">
        <v>1.00649448</v>
      </c>
      <c r="CB61" s="218">
        <v>1.20555335</v>
      </c>
      <c r="CC61" s="218">
        <v>1.00547502</v>
      </c>
      <c r="CD61" s="218">
        <v>0.97817841999999999</v>
      </c>
      <c r="CE61" s="218">
        <v>1.4192554499999999</v>
      </c>
      <c r="CF61" s="218">
        <v>2.72232545</v>
      </c>
      <c r="CG61" s="218">
        <v>2.6961549000000002</v>
      </c>
      <c r="CH61" s="218">
        <v>2.6462249499999997</v>
      </c>
      <c r="CI61" s="218">
        <v>7.4809402800000004</v>
      </c>
      <c r="CJ61" s="218">
        <v>7.47466527</v>
      </c>
      <c r="CK61" s="218">
        <v>7.4792752100000008</v>
      </c>
      <c r="CL61" s="218">
        <v>9.8450686400000009</v>
      </c>
      <c r="CM61" s="218">
        <v>9.8834158899999984</v>
      </c>
      <c r="CN61" s="218">
        <v>10.577841759999998</v>
      </c>
      <c r="CO61" s="218">
        <v>10.606186959999999</v>
      </c>
      <c r="CP61" s="218">
        <v>11.113459800000001</v>
      </c>
      <c r="CQ61" s="218">
        <v>11.630131799999999</v>
      </c>
      <c r="CR61" s="218">
        <v>11.668199100000001</v>
      </c>
      <c r="CS61" s="218">
        <v>14.11259476</v>
      </c>
      <c r="CT61" s="218">
        <v>13.771408560000001</v>
      </c>
      <c r="CU61" s="218">
        <v>13.791556040000001</v>
      </c>
      <c r="CV61" s="218">
        <v>13.465634830000001</v>
      </c>
      <c r="CW61" s="218">
        <v>13.637862629999999</v>
      </c>
      <c r="CX61" s="218">
        <v>13.624181800000001</v>
      </c>
      <c r="CY61" s="218">
        <v>13.691553900000001</v>
      </c>
      <c r="CZ61" s="218">
        <v>13.754211829999997</v>
      </c>
      <c r="DA61" s="218">
        <v>13.840621050000001</v>
      </c>
      <c r="DB61" s="421">
        <v>13.898299640000001</v>
      </c>
      <c r="DC61" s="421">
        <v>14.355154859999999</v>
      </c>
      <c r="DD61" s="421">
        <v>14.43653331</v>
      </c>
      <c r="DE61" s="421">
        <v>14.526087310000001</v>
      </c>
      <c r="DF61" s="421">
        <v>14.68507235</v>
      </c>
      <c r="DG61" s="421">
        <v>14.850357089999999</v>
      </c>
      <c r="DH61" s="421">
        <v>1.0195993400000001</v>
      </c>
      <c r="DI61" s="421">
        <v>1.0408702999999999</v>
      </c>
      <c r="DJ61" s="421">
        <v>1.1129144599999998</v>
      </c>
      <c r="DK61" s="421">
        <v>1.5396999999999999E-4</v>
      </c>
      <c r="DL61" s="421">
        <v>2.0297999999999998E-4</v>
      </c>
      <c r="DM61" s="421">
        <v>3.5261E-4</v>
      </c>
      <c r="DN61" s="421">
        <v>2E-8</v>
      </c>
      <c r="DO61" s="421">
        <v>2E-8</v>
      </c>
      <c r="DP61" s="421">
        <v>3.6757000000000001E-4</v>
      </c>
      <c r="DQ61" s="421">
        <v>22.760017780000002</v>
      </c>
      <c r="DR61" s="421">
        <v>23.148707759999997</v>
      </c>
      <c r="DS61" s="421">
        <v>22.821115010000003</v>
      </c>
      <c r="DT61" s="421">
        <v>23.33276073</v>
      </c>
      <c r="DU61" s="421">
        <v>23.066877999999999</v>
      </c>
      <c r="DV61" s="421">
        <v>22.820239820000005</v>
      </c>
      <c r="DW61" s="421">
        <v>22.162899890000002</v>
      </c>
      <c r="DX61" s="421">
        <v>22.102766990000003</v>
      </c>
      <c r="DY61" s="421">
        <v>22.153345399999999</v>
      </c>
      <c r="DZ61" s="421">
        <v>22.11706105</v>
      </c>
      <c r="EA61" s="421">
        <v>22.035257120000001</v>
      </c>
      <c r="EB61" s="421">
        <v>22.105864964200002</v>
      </c>
    </row>
    <row r="62" spans="1:132" ht="15.95" customHeight="1" x14ac:dyDescent="0.25">
      <c r="A62" s="417" t="s">
        <v>320</v>
      </c>
      <c r="B62" s="418">
        <v>294.50537011</v>
      </c>
      <c r="C62" s="295">
        <v>309.22604920999999</v>
      </c>
      <c r="D62" s="295">
        <v>307.83309158000003</v>
      </c>
      <c r="E62" s="224">
        <v>306.58122959999997</v>
      </c>
      <c r="F62" s="295">
        <v>306.58356157999998</v>
      </c>
      <c r="G62" s="295">
        <v>306.90930859999997</v>
      </c>
      <c r="H62" s="295">
        <v>292.20769429999996</v>
      </c>
      <c r="I62" s="295">
        <v>291.44275493999993</v>
      </c>
      <c r="J62" s="295">
        <v>287.71508945000005</v>
      </c>
      <c r="K62" s="224">
        <v>286.11354533000002</v>
      </c>
      <c r="L62" s="295">
        <v>284.09246360000003</v>
      </c>
      <c r="M62" s="295">
        <v>288.90431547000003</v>
      </c>
      <c r="N62" s="295">
        <v>289.67582743000003</v>
      </c>
      <c r="O62" s="224">
        <v>285.62669486999999</v>
      </c>
      <c r="P62" s="295">
        <v>282.00744011</v>
      </c>
      <c r="Q62" s="295">
        <v>284.71647494000001</v>
      </c>
      <c r="R62" s="224">
        <v>286.71388327999995</v>
      </c>
      <c r="S62" s="295">
        <v>282.67293098000005</v>
      </c>
      <c r="T62" s="295">
        <v>270.42824202999998</v>
      </c>
      <c r="U62" s="419">
        <v>279.42851538999997</v>
      </c>
      <c r="V62" s="419">
        <v>280.20051742999999</v>
      </c>
      <c r="W62" s="419">
        <v>279.26243044</v>
      </c>
      <c r="X62" s="419">
        <v>278.66283408000004</v>
      </c>
      <c r="Y62" s="419">
        <v>276.25474016999999</v>
      </c>
      <c r="Z62" s="419">
        <v>292.25515937</v>
      </c>
      <c r="AA62" s="419">
        <v>297.73404515999999</v>
      </c>
      <c r="AB62" s="419">
        <v>324.86315264999996</v>
      </c>
      <c r="AC62" s="419">
        <v>340.37277509000006</v>
      </c>
      <c r="AD62" s="419">
        <v>427.51742122000002</v>
      </c>
      <c r="AE62" s="419">
        <v>440.68611987000003</v>
      </c>
      <c r="AF62" s="419">
        <v>415.26327158000004</v>
      </c>
      <c r="AG62" s="419">
        <v>407.08002520000002</v>
      </c>
      <c r="AH62" s="419">
        <v>403.79710920000002</v>
      </c>
      <c r="AI62" s="419">
        <v>405.45311278999998</v>
      </c>
      <c r="AJ62" s="419">
        <v>406.04402293999993</v>
      </c>
      <c r="AK62" s="419">
        <v>426.74817350000001</v>
      </c>
      <c r="AL62" s="419">
        <v>505.87953292999998</v>
      </c>
      <c r="AM62" s="297">
        <v>485.03210646000002</v>
      </c>
      <c r="AN62" s="297">
        <v>1558.2646258699999</v>
      </c>
      <c r="AO62" s="297">
        <v>1589.7636474600001</v>
      </c>
      <c r="AP62" s="297">
        <v>1494.6753104200002</v>
      </c>
      <c r="AQ62" s="297">
        <v>1499.8570238099999</v>
      </c>
      <c r="AR62" s="418">
        <v>2393.90315057</v>
      </c>
      <c r="AS62" s="418">
        <v>2340.9249284499997</v>
      </c>
      <c r="AT62" s="418">
        <v>2326.9402252</v>
      </c>
      <c r="AU62" s="418">
        <v>2327.8791736200001</v>
      </c>
      <c r="AV62" s="418">
        <v>2059.5995445500002</v>
      </c>
      <c r="AW62" s="218">
        <v>2446.6309702100002</v>
      </c>
      <c r="AX62" s="218">
        <v>2497.6059817300002</v>
      </c>
      <c r="AY62" s="218">
        <v>2480.5561823799994</v>
      </c>
      <c r="AZ62" s="218">
        <v>2482.2471686399999</v>
      </c>
      <c r="BA62" s="218">
        <v>2543.9018218299998</v>
      </c>
      <c r="BB62" s="218">
        <v>1322.3910939599998</v>
      </c>
      <c r="BC62" s="218">
        <v>1322.19017633</v>
      </c>
      <c r="BD62" s="218">
        <v>1348.0704138599999</v>
      </c>
      <c r="BE62" s="218">
        <v>1402.46238877</v>
      </c>
      <c r="BF62" s="218">
        <v>1440.7662939900001</v>
      </c>
      <c r="BG62" s="218">
        <v>1373.0354699</v>
      </c>
      <c r="BH62" s="218">
        <v>1373.0519666299999</v>
      </c>
      <c r="BI62" s="218">
        <v>1439.0419675099997</v>
      </c>
      <c r="BJ62" s="218">
        <v>1445.6863327900001</v>
      </c>
      <c r="BK62" s="218">
        <v>1444.1156218800002</v>
      </c>
      <c r="BL62" s="218">
        <v>1355.31208773</v>
      </c>
      <c r="BM62" s="218">
        <v>1383.47868221</v>
      </c>
      <c r="BN62" s="218">
        <v>1385.4216584799999</v>
      </c>
      <c r="BO62" s="218">
        <v>1384.8326780499999</v>
      </c>
      <c r="BP62" s="218">
        <v>1384.0214552899999</v>
      </c>
      <c r="BQ62" s="218">
        <v>1380.7156107399999</v>
      </c>
      <c r="BR62" s="218">
        <v>1359.9752064500001</v>
      </c>
      <c r="BS62" s="218">
        <v>1366.1160118599998</v>
      </c>
      <c r="BT62" s="218">
        <v>1364.8385442499998</v>
      </c>
      <c r="BU62" s="218">
        <v>1365.6719042499999</v>
      </c>
      <c r="BV62" s="218">
        <v>1370.8775303800003</v>
      </c>
      <c r="BW62" s="218">
        <v>1373.10277232</v>
      </c>
      <c r="BX62" s="218">
        <v>1372.4082202300001</v>
      </c>
      <c r="BY62" s="218">
        <v>1379.5487195599999</v>
      </c>
      <c r="BZ62" s="218">
        <v>1378.3</v>
      </c>
      <c r="CA62" s="218">
        <v>1379.76744214</v>
      </c>
      <c r="CB62" s="218">
        <v>1380.1239040200001</v>
      </c>
      <c r="CC62" s="218">
        <v>1391.0661241199998</v>
      </c>
      <c r="CD62" s="218">
        <v>1389.9123051515003</v>
      </c>
      <c r="CE62" s="218">
        <v>1388.8680658599999</v>
      </c>
      <c r="CF62" s="218">
        <v>1391.1056217500002</v>
      </c>
      <c r="CG62" s="218">
        <v>1392.4293216400004</v>
      </c>
      <c r="CH62" s="218">
        <v>1395.1148538914999</v>
      </c>
      <c r="CI62" s="218">
        <v>1395.2045185099</v>
      </c>
      <c r="CJ62" s="218">
        <v>1419.2337149098998</v>
      </c>
      <c r="CK62" s="218">
        <v>1420.5669980799998</v>
      </c>
      <c r="CL62" s="218">
        <v>1419.2120360900001</v>
      </c>
      <c r="CM62" s="218">
        <v>1415.7956043400002</v>
      </c>
      <c r="CN62" s="218">
        <v>1417.2814561599998</v>
      </c>
      <c r="CO62" s="218">
        <v>1416.991272</v>
      </c>
      <c r="CP62" s="218">
        <v>1415.86874719</v>
      </c>
      <c r="CQ62" s="218">
        <v>1415.2641105599998</v>
      </c>
      <c r="CR62" s="218">
        <v>1414.5041604899998</v>
      </c>
      <c r="CS62" s="218">
        <v>1414.34517274</v>
      </c>
      <c r="CT62" s="218">
        <v>1414.1375922699999</v>
      </c>
      <c r="CU62" s="218">
        <v>1396.59802132</v>
      </c>
      <c r="CV62" s="218">
        <v>1396.5538977799999</v>
      </c>
      <c r="CW62" s="218">
        <v>1394.39272974</v>
      </c>
      <c r="CX62" s="218">
        <v>1397.9757551</v>
      </c>
      <c r="CY62" s="218">
        <v>1397.65335224</v>
      </c>
      <c r="CZ62" s="218">
        <v>1505.0988326500001</v>
      </c>
      <c r="DA62" s="218">
        <v>1400.7483568</v>
      </c>
      <c r="DB62" s="421">
        <v>1401.3853642700001</v>
      </c>
      <c r="DC62" s="421">
        <v>1396.8052459999999</v>
      </c>
      <c r="DD62" s="421">
        <v>1093.8735589999999</v>
      </c>
      <c r="DE62" s="421">
        <v>1093.3909699999999</v>
      </c>
      <c r="DF62" s="421">
        <v>1093.6664270000001</v>
      </c>
      <c r="DG62" s="421">
        <v>1093.3610409999999</v>
      </c>
      <c r="DH62" s="421">
        <v>1092.9022299999999</v>
      </c>
      <c r="DI62" s="421">
        <v>1091.370197</v>
      </c>
      <c r="DJ62" s="421">
        <v>1092.0035129999999</v>
      </c>
      <c r="DK62" s="421">
        <v>1090.647729</v>
      </c>
      <c r="DL62" s="421">
        <v>1091.4013950000001</v>
      </c>
      <c r="DM62" s="421">
        <v>1088.0948920000001</v>
      </c>
      <c r="DN62" s="421">
        <v>1085.602789</v>
      </c>
      <c r="DO62" s="421">
        <v>1073.946416</v>
      </c>
      <c r="DP62" s="421">
        <v>1071.9176910000001</v>
      </c>
      <c r="DQ62" s="421">
        <v>1200.443988</v>
      </c>
      <c r="DR62" s="421">
        <v>1072.1712849999999</v>
      </c>
      <c r="DS62" s="421">
        <v>1073.1804890000001</v>
      </c>
      <c r="DT62" s="421">
        <v>1072.042993</v>
      </c>
      <c r="DU62" s="421">
        <v>1202.40239</v>
      </c>
      <c r="DV62" s="421">
        <v>1203.082467</v>
      </c>
      <c r="DW62" s="421">
        <v>1204.7050320000001</v>
      </c>
      <c r="DX62" s="421">
        <v>1157.95582102</v>
      </c>
      <c r="DY62" s="421">
        <v>1162.8238869000002</v>
      </c>
      <c r="DZ62" s="421">
        <v>1163.16475126</v>
      </c>
      <c r="EA62" s="421">
        <v>1160.2979456099999</v>
      </c>
      <c r="EB62" s="421">
        <v>1161.63943126</v>
      </c>
    </row>
    <row r="63" spans="1:132" ht="15.95" customHeight="1" x14ac:dyDescent="0.25">
      <c r="A63" s="417" t="s">
        <v>321</v>
      </c>
      <c r="B63" s="418">
        <v>0</v>
      </c>
      <c r="C63" s="295">
        <v>0</v>
      </c>
      <c r="D63" s="295">
        <v>0</v>
      </c>
      <c r="E63" s="224">
        <v>0</v>
      </c>
      <c r="F63" s="295">
        <v>0</v>
      </c>
      <c r="G63" s="295">
        <v>0</v>
      </c>
      <c r="H63" s="295">
        <v>0</v>
      </c>
      <c r="I63" s="295">
        <v>0</v>
      </c>
      <c r="J63" s="295">
        <v>0.20513799999999999</v>
      </c>
      <c r="K63" s="224">
        <v>0.2</v>
      </c>
      <c r="L63" s="295">
        <v>0.395428</v>
      </c>
      <c r="M63" s="295">
        <v>0.39283400000000002</v>
      </c>
      <c r="N63" s="295">
        <v>0.39283400000000002</v>
      </c>
      <c r="O63" s="224">
        <v>0.38978099999999999</v>
      </c>
      <c r="P63" s="295">
        <v>1.1624669999999999</v>
      </c>
      <c r="Q63" s="295">
        <v>2.1069800000000001</v>
      </c>
      <c r="R63" s="224">
        <v>0.71001499999999995</v>
      </c>
      <c r="S63" s="295">
        <v>46.532303450629996</v>
      </c>
      <c r="T63" s="295">
        <v>45.416089142500006</v>
      </c>
      <c r="U63" s="419">
        <v>45.697390117930006</v>
      </c>
      <c r="V63" s="419">
        <v>45.854682412525001</v>
      </c>
      <c r="W63" s="419">
        <v>46.653371876400001</v>
      </c>
      <c r="X63" s="419">
        <v>47.848470621609991</v>
      </c>
      <c r="Y63" s="419">
        <v>48.277402693775997</v>
      </c>
      <c r="Z63" s="419">
        <v>67.329248030683999</v>
      </c>
      <c r="AA63" s="419">
        <v>67.488079579203344</v>
      </c>
      <c r="AB63" s="419">
        <v>70.492799647650003</v>
      </c>
      <c r="AC63" s="419">
        <v>69.551865608000014</v>
      </c>
      <c r="AD63" s="419">
        <v>132.20860703531503</v>
      </c>
      <c r="AE63" s="419">
        <v>105.88370750471934</v>
      </c>
      <c r="AF63" s="419">
        <v>107.670793580375</v>
      </c>
      <c r="AG63" s="419">
        <v>104.81736885385999</v>
      </c>
      <c r="AH63" s="419">
        <v>105.5450898898</v>
      </c>
      <c r="AI63" s="419">
        <v>232.64868494712002</v>
      </c>
      <c r="AJ63" s="419">
        <v>230.82875473394</v>
      </c>
      <c r="AK63" s="419">
        <v>235.08344324411999</v>
      </c>
      <c r="AL63" s="419">
        <v>216.1114739425</v>
      </c>
      <c r="AM63" s="297">
        <v>228.49271256343002</v>
      </c>
      <c r="AN63" s="297">
        <v>231.99992283203798</v>
      </c>
      <c r="AO63" s="297">
        <v>240.880553185</v>
      </c>
      <c r="AP63" s="297">
        <v>260.02803533600098</v>
      </c>
      <c r="AQ63" s="297">
        <v>236.27924863472998</v>
      </c>
      <c r="AR63" s="418">
        <v>247.27114239359997</v>
      </c>
      <c r="AS63" s="418">
        <v>237.46919503000004</v>
      </c>
      <c r="AT63" s="418">
        <v>292.92546086686394</v>
      </c>
      <c r="AU63" s="418">
        <v>305.225745824</v>
      </c>
      <c r="AV63" s="418">
        <v>307.643986477</v>
      </c>
      <c r="AW63" s="218">
        <v>297.10204076880001</v>
      </c>
      <c r="AX63" s="218">
        <v>250.42772057763196</v>
      </c>
      <c r="AY63" s="218">
        <v>270.51253293860009</v>
      </c>
      <c r="AZ63" s="218">
        <v>282.52861379639995</v>
      </c>
      <c r="BA63" s="218">
        <v>243.24641008452002</v>
      </c>
      <c r="BB63" s="218">
        <v>239.28703368490002</v>
      </c>
      <c r="BC63" s="218">
        <v>245.07685800317304</v>
      </c>
      <c r="BD63" s="218">
        <v>240.2716544996</v>
      </c>
      <c r="BE63" s="218">
        <v>298.59197900605301</v>
      </c>
      <c r="BF63" s="218">
        <v>256.12390377997502</v>
      </c>
      <c r="BG63" s="218">
        <v>259.88479059079998</v>
      </c>
      <c r="BH63" s="218">
        <v>255.41131892890596</v>
      </c>
      <c r="BI63" s="218">
        <v>266.76454516393204</v>
      </c>
      <c r="BJ63" s="218">
        <v>279.52291911155703</v>
      </c>
      <c r="BK63" s="218">
        <v>293.71030543915901</v>
      </c>
      <c r="BL63" s="218">
        <v>289.75037822088899</v>
      </c>
      <c r="BM63" s="218">
        <v>277.455306652204</v>
      </c>
      <c r="BN63" s="218">
        <v>343.447145507264</v>
      </c>
      <c r="BO63" s="218">
        <v>273.87357951407199</v>
      </c>
      <c r="BP63" s="218">
        <v>398.72208677236495</v>
      </c>
      <c r="BQ63" s="218">
        <v>637.82022482507693</v>
      </c>
      <c r="BR63" s="218">
        <v>816.22195751804202</v>
      </c>
      <c r="BS63" s="218">
        <v>1017.4135711990721</v>
      </c>
      <c r="BT63" s="218">
        <v>1189.2738507081549</v>
      </c>
      <c r="BU63" s="218">
        <v>1188.075049111598</v>
      </c>
      <c r="BV63" s="218">
        <v>1342.4756343356039</v>
      </c>
      <c r="BW63" s="218">
        <v>1646.6930746732751</v>
      </c>
      <c r="BX63" s="218">
        <v>2004.533338615</v>
      </c>
      <c r="BY63" s="218">
        <v>2355.5691974860001</v>
      </c>
      <c r="BZ63" s="218">
        <v>2422.1</v>
      </c>
      <c r="CA63" s="218">
        <v>2697.408163623033</v>
      </c>
      <c r="CB63" s="218">
        <v>691.15808217716403</v>
      </c>
      <c r="CC63" s="218">
        <v>717.11172945798</v>
      </c>
      <c r="CD63" s="218">
        <v>719.78197362128196</v>
      </c>
      <c r="CE63" s="218">
        <v>720.98173912270659</v>
      </c>
      <c r="CF63" s="218">
        <v>723.46041874714194</v>
      </c>
      <c r="CG63" s="218">
        <v>733.45360677763665</v>
      </c>
      <c r="CH63" s="218">
        <v>832.72349062846331</v>
      </c>
      <c r="CI63" s="218">
        <v>801.48684113467868</v>
      </c>
      <c r="CJ63" s="218">
        <v>879.02064366914192</v>
      </c>
      <c r="CK63" s="218">
        <v>899.08549744400193</v>
      </c>
      <c r="CL63" s="218">
        <v>906.8845209212102</v>
      </c>
      <c r="CM63" s="218">
        <v>1021.5683065521119</v>
      </c>
      <c r="CN63" s="218">
        <v>1030.2582549933056</v>
      </c>
      <c r="CO63" s="218">
        <v>1038.173754228915</v>
      </c>
      <c r="CP63" s="218">
        <v>1043.8404766330998</v>
      </c>
      <c r="CQ63" s="218">
        <v>1054.1377189657255</v>
      </c>
      <c r="CR63" s="218">
        <v>987.03765326873997</v>
      </c>
      <c r="CS63" s="218">
        <v>1111.6598963793301</v>
      </c>
      <c r="CT63" s="218">
        <v>1067.75626788</v>
      </c>
      <c r="CU63" s="218">
        <v>1050.1460565899999</v>
      </c>
      <c r="CV63" s="218">
        <v>1032.2639547900001</v>
      </c>
      <c r="CW63" s="218">
        <v>1055.0663191595315</v>
      </c>
      <c r="CX63" s="218">
        <v>1106.154974281322</v>
      </c>
      <c r="CY63" s="218">
        <v>1089.2936650036499</v>
      </c>
      <c r="CZ63" s="218">
        <v>1092.6400797914728</v>
      </c>
      <c r="DA63" s="218">
        <v>1019.41790156</v>
      </c>
      <c r="DB63" s="421">
        <v>1023.7252654399999</v>
      </c>
      <c r="DC63" s="421">
        <v>989.77706490000003</v>
      </c>
      <c r="DD63" s="421">
        <v>960.5135567296461</v>
      </c>
      <c r="DE63" s="421">
        <v>1023.6908026400001</v>
      </c>
      <c r="DF63" s="421">
        <v>1118.7979761600002</v>
      </c>
      <c r="DG63" s="421">
        <v>1105.42826992</v>
      </c>
      <c r="DH63" s="421">
        <v>1107.0486688999999</v>
      </c>
      <c r="DI63" s="421">
        <v>1056.06632952</v>
      </c>
      <c r="DJ63" s="421">
        <v>1048.8202224499998</v>
      </c>
      <c r="DK63" s="421">
        <v>1070.5721250699999</v>
      </c>
      <c r="DL63" s="421">
        <v>1077.9510218600001</v>
      </c>
      <c r="DM63" s="421">
        <v>1130.8041694799999</v>
      </c>
      <c r="DN63" s="421">
        <v>1126.3098050900001</v>
      </c>
      <c r="DO63" s="421">
        <v>1095.2180860800001</v>
      </c>
      <c r="DP63" s="421">
        <v>1064.409956</v>
      </c>
      <c r="DQ63" s="421">
        <v>1027.54847786</v>
      </c>
      <c r="DR63" s="421">
        <v>1110.8359566699999</v>
      </c>
      <c r="DS63" s="421">
        <v>1137.1416074000001</v>
      </c>
      <c r="DT63" s="421">
        <v>1109.7685936099999</v>
      </c>
      <c r="DU63" s="421">
        <v>1112.0762413900002</v>
      </c>
      <c r="DV63" s="421">
        <v>1029.5723679</v>
      </c>
      <c r="DW63" s="421">
        <v>1004.5558765100001</v>
      </c>
      <c r="DX63" s="421">
        <v>1036.0547735099999</v>
      </c>
      <c r="DY63" s="421">
        <v>1018.07489681</v>
      </c>
      <c r="DZ63" s="421">
        <v>1015.3309859</v>
      </c>
      <c r="EA63" s="421">
        <v>1036.09175977</v>
      </c>
      <c r="EB63" s="421">
        <v>998.03224391999993</v>
      </c>
    </row>
    <row r="64" spans="1:132" ht="15.95" customHeight="1" x14ac:dyDescent="0.25">
      <c r="A64" s="417" t="s">
        <v>322</v>
      </c>
      <c r="B64" s="418">
        <v>549.71802000000002</v>
      </c>
      <c r="C64" s="295">
        <v>696.68651899999986</v>
      </c>
      <c r="D64" s="295">
        <v>638.79334668000001</v>
      </c>
      <c r="E64" s="224">
        <v>644.70483925999997</v>
      </c>
      <c r="F64" s="295">
        <v>586.74018040999999</v>
      </c>
      <c r="G64" s="295">
        <v>733.00387278000017</v>
      </c>
      <c r="H64" s="295">
        <v>792.88652451999997</v>
      </c>
      <c r="I64" s="295">
        <v>782.05659328000002</v>
      </c>
      <c r="J64" s="295">
        <v>826.35706493000009</v>
      </c>
      <c r="K64" s="224">
        <v>707.45955255999991</v>
      </c>
      <c r="L64" s="295">
        <v>725.54649027000005</v>
      </c>
      <c r="M64" s="295">
        <v>711.18432359000008</v>
      </c>
      <c r="N64" s="295">
        <v>693.41795595000008</v>
      </c>
      <c r="O64" s="224">
        <v>754.83476208000002</v>
      </c>
      <c r="P64" s="295">
        <v>692.88464036000005</v>
      </c>
      <c r="Q64" s="295">
        <v>822.22808474999999</v>
      </c>
      <c r="R64" s="224">
        <v>866.54725947110012</v>
      </c>
      <c r="S64" s="295">
        <v>820.20297935999986</v>
      </c>
      <c r="T64" s="295">
        <v>803.27360246000001</v>
      </c>
      <c r="U64" s="419">
        <v>813.29766709</v>
      </c>
      <c r="V64" s="419">
        <v>816.58247028000005</v>
      </c>
      <c r="W64" s="419">
        <v>807.34459677999996</v>
      </c>
      <c r="X64" s="419">
        <v>799.99863003999997</v>
      </c>
      <c r="Y64" s="419">
        <v>718.30319977000011</v>
      </c>
      <c r="Z64" s="419">
        <v>928.59953433999988</v>
      </c>
      <c r="AA64" s="419">
        <v>937.40553345000001</v>
      </c>
      <c r="AB64" s="419">
        <v>930.1391129299999</v>
      </c>
      <c r="AC64" s="419">
        <v>983.11990701000002</v>
      </c>
      <c r="AD64" s="419">
        <v>971.26467135999997</v>
      </c>
      <c r="AE64" s="419">
        <v>1001.64040087</v>
      </c>
      <c r="AF64" s="419">
        <v>1003.78871537</v>
      </c>
      <c r="AG64" s="419">
        <v>1003.7396825099999</v>
      </c>
      <c r="AH64" s="419">
        <v>1031.34612178</v>
      </c>
      <c r="AI64" s="419">
        <v>842.97370915999988</v>
      </c>
      <c r="AJ64" s="419">
        <v>812.24615616999995</v>
      </c>
      <c r="AK64" s="419">
        <v>603.36682326999994</v>
      </c>
      <c r="AL64" s="419">
        <v>598.3713905699999</v>
      </c>
      <c r="AM64" s="297">
        <v>606.06347870000002</v>
      </c>
      <c r="AN64" s="297">
        <v>593.70921620000001</v>
      </c>
      <c r="AO64" s="297">
        <v>639.95014982999987</v>
      </c>
      <c r="AP64" s="297">
        <v>598.256936569</v>
      </c>
      <c r="AQ64" s="297">
        <v>599.07373795180001</v>
      </c>
      <c r="AR64" s="418">
        <v>671.72101844120004</v>
      </c>
      <c r="AS64" s="418">
        <v>695.72690526999997</v>
      </c>
      <c r="AT64" s="418">
        <v>628.89181501120004</v>
      </c>
      <c r="AU64" s="418">
        <v>614.20757529139996</v>
      </c>
      <c r="AV64" s="418">
        <v>574.28353460499989</v>
      </c>
      <c r="AW64" s="218">
        <v>560.68422718240004</v>
      </c>
      <c r="AX64" s="218">
        <v>645.27885286679998</v>
      </c>
      <c r="AY64" s="218">
        <v>616.8338107843</v>
      </c>
      <c r="AZ64" s="218">
        <v>607.01744748090005</v>
      </c>
      <c r="BA64" s="218">
        <v>602.38526572299997</v>
      </c>
      <c r="BB64" s="218">
        <v>614.539236104</v>
      </c>
      <c r="BC64" s="218">
        <v>632.00968978920002</v>
      </c>
      <c r="BD64" s="218">
        <v>721.03173345519986</v>
      </c>
      <c r="BE64" s="218">
        <v>753.75245776349982</v>
      </c>
      <c r="BF64" s="218">
        <v>882.23907725499998</v>
      </c>
      <c r="BG64" s="218">
        <v>896.71026415999995</v>
      </c>
      <c r="BH64" s="218">
        <v>927.23789174800015</v>
      </c>
      <c r="BI64" s="218">
        <v>777.2604059726001</v>
      </c>
      <c r="BJ64" s="218">
        <v>938.45391406529995</v>
      </c>
      <c r="BK64" s="218">
        <v>818.45527172909999</v>
      </c>
      <c r="BL64" s="218">
        <v>786.29643005219998</v>
      </c>
      <c r="BM64" s="218">
        <v>935.91765644940017</v>
      </c>
      <c r="BN64" s="218">
        <v>896.85316478279992</v>
      </c>
      <c r="BO64" s="218">
        <v>843.47685015280001</v>
      </c>
      <c r="BP64" s="218">
        <v>811.35715418539996</v>
      </c>
      <c r="BQ64" s="218">
        <v>957.23400288240009</v>
      </c>
      <c r="BR64" s="218">
        <v>705.23344926199991</v>
      </c>
      <c r="BS64" s="218">
        <v>688.6951387900001</v>
      </c>
      <c r="BT64" s="218">
        <v>773.26000557167004</v>
      </c>
      <c r="BU64" s="218">
        <v>927.69110650116602</v>
      </c>
      <c r="BV64" s="218">
        <v>930.17612321315789</v>
      </c>
      <c r="BW64" s="218">
        <v>881.59767940023505</v>
      </c>
      <c r="BX64" s="218">
        <v>818.86442002799993</v>
      </c>
      <c r="BY64" s="218">
        <v>731.37743129109992</v>
      </c>
      <c r="BZ64" s="218">
        <v>750.3</v>
      </c>
      <c r="CA64" s="218">
        <v>737.15373804559999</v>
      </c>
      <c r="CB64" s="218">
        <v>734.18520579360006</v>
      </c>
      <c r="CC64" s="218">
        <v>921.91695225066996</v>
      </c>
      <c r="CD64" s="218">
        <v>749.4697966341281</v>
      </c>
      <c r="CE64" s="218">
        <v>779.55187434269965</v>
      </c>
      <c r="CF64" s="218">
        <v>743.04435423856364</v>
      </c>
      <c r="CG64" s="218">
        <v>658.68847528270999</v>
      </c>
      <c r="CH64" s="218">
        <v>715.56691509104769</v>
      </c>
      <c r="CI64" s="218">
        <v>737.39945561116826</v>
      </c>
      <c r="CJ64" s="218">
        <v>722.32744391527206</v>
      </c>
      <c r="CK64" s="218">
        <v>728.18581182387391</v>
      </c>
      <c r="CL64" s="218">
        <v>702.0914089991586</v>
      </c>
      <c r="CM64" s="218">
        <v>703.46917572772008</v>
      </c>
      <c r="CN64" s="218">
        <v>562.81119576563606</v>
      </c>
      <c r="CO64" s="218">
        <v>623.00234604404795</v>
      </c>
      <c r="CP64" s="218">
        <v>568.54883975334985</v>
      </c>
      <c r="CQ64" s="218">
        <v>571.65821758883362</v>
      </c>
      <c r="CR64" s="218">
        <v>573.49589754086503</v>
      </c>
      <c r="CS64" s="218">
        <v>521.98917123526985</v>
      </c>
      <c r="CT64" s="218">
        <v>624.02140040742177</v>
      </c>
      <c r="CU64" s="218">
        <v>564.12743335921937</v>
      </c>
      <c r="CV64" s="218">
        <v>547.45190827908277</v>
      </c>
      <c r="CW64" s="218">
        <v>520.13609651934519</v>
      </c>
      <c r="CX64" s="218">
        <v>499.66604723699106</v>
      </c>
      <c r="CY64" s="218">
        <v>505.48670022399796</v>
      </c>
      <c r="CZ64" s="218">
        <v>516.53068841770198</v>
      </c>
      <c r="DA64" s="218">
        <v>548.42563738626814</v>
      </c>
      <c r="DB64" s="421">
        <v>498.7774743251374</v>
      </c>
      <c r="DC64" s="421">
        <v>521.1287166118741</v>
      </c>
      <c r="DD64" s="421">
        <v>543.23159397000006</v>
      </c>
      <c r="DE64" s="421">
        <v>534.20541866633596</v>
      </c>
      <c r="DF64" s="421">
        <v>586.27281080367709</v>
      </c>
      <c r="DG64" s="421">
        <v>584.55454787058272</v>
      </c>
      <c r="DH64" s="421">
        <v>584.35787180960597</v>
      </c>
      <c r="DI64" s="421">
        <v>579.9877225629001</v>
      </c>
      <c r="DJ64" s="421">
        <v>527.91520157475099</v>
      </c>
      <c r="DK64" s="421">
        <v>538.13852996813205</v>
      </c>
      <c r="DL64" s="421">
        <v>539.9088661322287</v>
      </c>
      <c r="DM64" s="421">
        <v>572.32820262761493</v>
      </c>
      <c r="DN64" s="421">
        <v>547.52000042000009</v>
      </c>
      <c r="DO64" s="421">
        <v>519.99677008999993</v>
      </c>
      <c r="DP64" s="421">
        <v>606.53153344000009</v>
      </c>
      <c r="DQ64" s="421">
        <v>551.6985327000001</v>
      </c>
      <c r="DR64" s="421">
        <v>636.64646244999994</v>
      </c>
      <c r="DS64" s="421">
        <v>673.87360643999989</v>
      </c>
      <c r="DT64" s="421">
        <v>619.27020881999988</v>
      </c>
      <c r="DU64" s="421">
        <v>611.99514858000009</v>
      </c>
      <c r="DV64" s="421">
        <v>604.53690263999999</v>
      </c>
      <c r="DW64" s="421">
        <v>609.28426314000001</v>
      </c>
      <c r="DX64" s="421">
        <v>612.68013030999998</v>
      </c>
      <c r="DY64" s="421">
        <v>627.35481892999996</v>
      </c>
      <c r="DZ64" s="421">
        <v>566.12000575000002</v>
      </c>
      <c r="EA64" s="421">
        <v>486.30634695000003</v>
      </c>
      <c r="EB64" s="421">
        <v>458.28895900999999</v>
      </c>
    </row>
    <row r="65" spans="1:132" ht="15.95" customHeight="1" x14ac:dyDescent="0.25">
      <c r="A65" s="417" t="s">
        <v>283</v>
      </c>
      <c r="B65" s="418">
        <v>674.17864708000002</v>
      </c>
      <c r="C65" s="295">
        <v>706.76778059999992</v>
      </c>
      <c r="D65" s="295">
        <v>707.05907008000008</v>
      </c>
      <c r="E65" s="224">
        <v>745.29963460999988</v>
      </c>
      <c r="F65" s="295">
        <v>580.49124470000004</v>
      </c>
      <c r="G65" s="295">
        <v>582.30800992000002</v>
      </c>
      <c r="H65" s="295">
        <v>596.79371203999995</v>
      </c>
      <c r="I65" s="295">
        <v>601.44582905000004</v>
      </c>
      <c r="J65" s="295">
        <v>648.31952114000001</v>
      </c>
      <c r="K65" s="224">
        <v>694.29697771999997</v>
      </c>
      <c r="L65" s="295">
        <v>720.60236027999986</v>
      </c>
      <c r="M65" s="295">
        <v>734.65367463999996</v>
      </c>
      <c r="N65" s="295">
        <v>730.80384248999997</v>
      </c>
      <c r="O65" s="224">
        <v>755.77603908122205</v>
      </c>
      <c r="P65" s="295">
        <v>781.59750591</v>
      </c>
      <c r="Q65" s="295">
        <v>730.71248932999993</v>
      </c>
      <c r="R65" s="224">
        <v>771.89773958000001</v>
      </c>
      <c r="S65" s="295">
        <v>797.59056128999998</v>
      </c>
      <c r="T65" s="295">
        <v>875.31153332999997</v>
      </c>
      <c r="U65" s="419">
        <v>927.79275436000012</v>
      </c>
      <c r="V65" s="419">
        <v>923.37752044000001</v>
      </c>
      <c r="W65" s="419">
        <v>865.38770993000003</v>
      </c>
      <c r="X65" s="419">
        <v>934.72422666000011</v>
      </c>
      <c r="Y65" s="419">
        <v>982.30806139999993</v>
      </c>
      <c r="Z65" s="419">
        <v>913.00096287999997</v>
      </c>
      <c r="AA65" s="419">
        <v>909.44524076000005</v>
      </c>
      <c r="AB65" s="419">
        <v>784.93725673000006</v>
      </c>
      <c r="AC65" s="419">
        <v>767.18885526967188</v>
      </c>
      <c r="AD65" s="419">
        <v>807.95366602000013</v>
      </c>
      <c r="AE65" s="419">
        <v>820.23825711999996</v>
      </c>
      <c r="AF65" s="419">
        <v>927.30651711999985</v>
      </c>
      <c r="AG65" s="419">
        <v>987.56416375000003</v>
      </c>
      <c r="AH65" s="419">
        <v>1005.3925882999999</v>
      </c>
      <c r="AI65" s="419">
        <v>1092.0357902000001</v>
      </c>
      <c r="AJ65" s="419">
        <v>1069.8626834199999</v>
      </c>
      <c r="AK65" s="419">
        <v>1237.9937549599999</v>
      </c>
      <c r="AL65" s="419">
        <v>1376.7569616400001</v>
      </c>
      <c r="AM65" s="297">
        <v>1477.3478381199996</v>
      </c>
      <c r="AN65" s="297">
        <v>1517.3599191499991</v>
      </c>
      <c r="AO65" s="297">
        <v>1597.4944163799992</v>
      </c>
      <c r="AP65" s="297">
        <v>1645.0014562460979</v>
      </c>
      <c r="AQ65" s="297">
        <v>1840.1817647506016</v>
      </c>
      <c r="AR65" s="418">
        <v>1818.6730189992027</v>
      </c>
      <c r="AS65" s="418">
        <v>1844.1208314099974</v>
      </c>
      <c r="AT65" s="418">
        <v>1855.3125900739997</v>
      </c>
      <c r="AU65" s="418">
        <v>1901.7251349566004</v>
      </c>
      <c r="AV65" s="418">
        <v>1899.9024457050002</v>
      </c>
      <c r="AW65" s="218">
        <v>1909.0267832320001</v>
      </c>
      <c r="AX65" s="218">
        <v>1879.3713856188001</v>
      </c>
      <c r="AY65" s="218">
        <v>1938.8317849043999</v>
      </c>
      <c r="AZ65" s="218">
        <v>2033.5676046596991</v>
      </c>
      <c r="BA65" s="218">
        <v>1847.9801696956006</v>
      </c>
      <c r="BB65" s="218">
        <v>2023.8180328912006</v>
      </c>
      <c r="BC65" s="218">
        <v>1874.331628841599</v>
      </c>
      <c r="BD65" s="218">
        <v>1968.9567622912011</v>
      </c>
      <c r="BE65" s="218">
        <v>1996.1312356425019</v>
      </c>
      <c r="BF65" s="218">
        <v>1724.9742009699996</v>
      </c>
      <c r="BG65" s="218">
        <v>2012.9245668140002</v>
      </c>
      <c r="BH65" s="218">
        <v>1795.9712818479009</v>
      </c>
      <c r="BI65" s="218">
        <v>1948.0119240127005</v>
      </c>
      <c r="BJ65" s="218">
        <v>2065.5990897659008</v>
      </c>
      <c r="BK65" s="218">
        <v>2138.4812930608</v>
      </c>
      <c r="BL65" s="218">
        <v>2205.5345366078996</v>
      </c>
      <c r="BM65" s="218">
        <v>1973.407525913</v>
      </c>
      <c r="BN65" s="218">
        <v>1942.6227002523995</v>
      </c>
      <c r="BO65" s="218">
        <v>2172.0236380287997</v>
      </c>
      <c r="BP65" s="218">
        <v>1700.9011893119014</v>
      </c>
      <c r="BQ65" s="218">
        <v>1844.1333598331003</v>
      </c>
      <c r="BR65" s="218">
        <v>1881.3146164784009</v>
      </c>
      <c r="BS65" s="218">
        <v>1880.9652851308001</v>
      </c>
      <c r="BT65" s="218">
        <v>1880.2954700048401</v>
      </c>
      <c r="BU65" s="218">
        <v>1825.8531014793996</v>
      </c>
      <c r="BV65" s="218">
        <v>1880.6848718600002</v>
      </c>
      <c r="BW65" s="218">
        <v>1831.4687303483151</v>
      </c>
      <c r="BX65" s="218">
        <v>1697.1439994410002</v>
      </c>
      <c r="BY65" s="218">
        <v>1702.3459929057999</v>
      </c>
      <c r="BZ65" s="218">
        <v>1967.4</v>
      </c>
      <c r="CA65" s="218">
        <v>1964.3180499324005</v>
      </c>
      <c r="CB65" s="218">
        <v>1995.3018809564001</v>
      </c>
      <c r="CC65" s="218">
        <v>1817.7463328880001</v>
      </c>
      <c r="CD65" s="218">
        <v>2082.5293196479661</v>
      </c>
      <c r="CE65" s="218">
        <v>1883.6659007779381</v>
      </c>
      <c r="CF65" s="218">
        <v>1915.5019019245615</v>
      </c>
      <c r="CG65" s="218">
        <v>1768.5289212379066</v>
      </c>
      <c r="CH65" s="218">
        <v>1947.4130193710671</v>
      </c>
      <c r="CI65" s="218">
        <v>2122.2853427087834</v>
      </c>
      <c r="CJ65" s="218">
        <v>2113.746955407828</v>
      </c>
      <c r="CK65" s="218">
        <v>2086.7824669300021</v>
      </c>
      <c r="CL65" s="218">
        <v>2088.4495365623284</v>
      </c>
      <c r="CM65" s="218">
        <v>2051.9630958496045</v>
      </c>
      <c r="CN65" s="218">
        <v>2188.8562011476452</v>
      </c>
      <c r="CO65" s="218">
        <v>2194.0324919406985</v>
      </c>
      <c r="CP65" s="218">
        <v>2014.932236953925</v>
      </c>
      <c r="CQ65" s="218">
        <v>2131.7030845426934</v>
      </c>
      <c r="CR65" s="218">
        <v>2108.1578031917002</v>
      </c>
      <c r="CS65" s="218">
        <v>2025.5853234462472</v>
      </c>
      <c r="CT65" s="218">
        <v>2133.8516917276565</v>
      </c>
      <c r="CU65" s="218">
        <v>2061.1036627028793</v>
      </c>
      <c r="CV65" s="218">
        <v>2110.6947561199886</v>
      </c>
      <c r="CW65" s="218">
        <v>2110.2206895628678</v>
      </c>
      <c r="CX65" s="218">
        <v>2035.3660772926742</v>
      </c>
      <c r="CY65" s="218">
        <v>2106.5708892856323</v>
      </c>
      <c r="CZ65" s="218">
        <v>1997.1258950458141</v>
      </c>
      <c r="DA65" s="218">
        <v>1921.3519921208942</v>
      </c>
      <c r="DB65" s="421">
        <v>2008.393867451168</v>
      </c>
      <c r="DC65" s="421">
        <v>1846.2343383083</v>
      </c>
      <c r="DD65" s="421">
        <v>1846.02799150277</v>
      </c>
      <c r="DE65" s="421">
        <v>1950.4450180282013</v>
      </c>
      <c r="DF65" s="421">
        <v>1620.8388893086365</v>
      </c>
      <c r="DG65" s="421">
        <v>1720.9800868253756</v>
      </c>
      <c r="DH65" s="421">
        <v>1670.2523717250865</v>
      </c>
      <c r="DI65" s="421">
        <v>1769.103128394333</v>
      </c>
      <c r="DJ65" s="421">
        <v>1714.0568741045945</v>
      </c>
      <c r="DK65" s="421">
        <v>1847.3447692612037</v>
      </c>
      <c r="DL65" s="421">
        <v>1852.5504134929456</v>
      </c>
      <c r="DM65" s="421">
        <v>1768.7997125954084</v>
      </c>
      <c r="DN65" s="421">
        <v>1898.216170757632</v>
      </c>
      <c r="DO65" s="421">
        <v>1918.6323367787618</v>
      </c>
      <c r="DP65" s="421">
        <v>1756.6700675491427</v>
      </c>
      <c r="DQ65" s="421">
        <v>1762.2537653687436</v>
      </c>
      <c r="DR65" s="421">
        <v>1718.5572927461028</v>
      </c>
      <c r="DS65" s="421">
        <v>1846.9394298365889</v>
      </c>
      <c r="DT65" s="421">
        <v>1739.5064404003931</v>
      </c>
      <c r="DU65" s="421">
        <v>1726.150025128866</v>
      </c>
      <c r="DV65" s="421">
        <v>1736.1552702442971</v>
      </c>
      <c r="DW65" s="421">
        <v>1730.5909341710817</v>
      </c>
      <c r="DX65" s="421">
        <v>1722.1050511084284</v>
      </c>
      <c r="DY65" s="421">
        <v>1832.0223026972239</v>
      </c>
      <c r="DZ65" s="421">
        <v>1825.6893557894236</v>
      </c>
      <c r="EA65" s="421">
        <v>1764.2844365653525</v>
      </c>
      <c r="EB65" s="421">
        <v>1767.096610315697</v>
      </c>
    </row>
    <row r="66" spans="1:132" ht="15.75" thickBot="1" x14ac:dyDescent="0.3">
      <c r="A66" s="424"/>
      <c r="B66" s="425"/>
      <c r="C66" s="251"/>
      <c r="D66" s="294"/>
      <c r="E66" s="224"/>
      <c r="F66" s="295"/>
      <c r="G66" s="295"/>
      <c r="H66" s="251"/>
      <c r="I66" s="251"/>
      <c r="J66" s="426"/>
      <c r="K66" s="320"/>
      <c r="L66" s="426"/>
      <c r="M66" s="426"/>
      <c r="N66" s="426"/>
      <c r="O66" s="320"/>
      <c r="P66" s="426"/>
      <c r="Q66" s="426"/>
      <c r="R66" s="427"/>
      <c r="S66" s="251"/>
      <c r="T66" s="251"/>
      <c r="U66" s="253"/>
      <c r="V66" s="428"/>
      <c r="W66" s="428"/>
      <c r="X66" s="428"/>
      <c r="Y66" s="428"/>
      <c r="Z66" s="428"/>
      <c r="AA66" s="428"/>
      <c r="AB66" s="428"/>
      <c r="AC66" s="428"/>
      <c r="AD66" s="428"/>
      <c r="AE66" s="428"/>
      <c r="AF66" s="428"/>
      <c r="AG66" s="428"/>
      <c r="AH66" s="428"/>
      <c r="AI66" s="254"/>
      <c r="AJ66" s="254"/>
      <c r="AK66" s="254"/>
      <c r="AL66" s="254"/>
      <c r="AM66" s="254"/>
      <c r="AN66" s="254"/>
      <c r="AO66" s="254"/>
      <c r="AP66" s="254"/>
      <c r="AQ66" s="428"/>
      <c r="AR66" s="425"/>
      <c r="AS66" s="425"/>
      <c r="AT66" s="425"/>
      <c r="AU66" s="425"/>
      <c r="AV66" s="425"/>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254"/>
      <c r="CX66" s="254"/>
      <c r="CY66" s="254"/>
      <c r="CZ66" s="254"/>
      <c r="DA66" s="254"/>
      <c r="DB66" s="429"/>
      <c r="DC66" s="429"/>
      <c r="DD66" s="429"/>
      <c r="DE66" s="429"/>
      <c r="DF66" s="429"/>
      <c r="DG66" s="429"/>
      <c r="DH66" s="429"/>
      <c r="DI66" s="429"/>
      <c r="DJ66" s="429"/>
      <c r="DK66" s="429"/>
      <c r="DL66" s="429"/>
      <c r="DM66" s="429"/>
      <c r="DN66" s="429"/>
      <c r="DO66" s="429"/>
      <c r="DP66" s="429"/>
      <c r="DQ66" s="429"/>
      <c r="DR66" s="429"/>
      <c r="DS66" s="429"/>
      <c r="DT66" s="429"/>
      <c r="DU66" s="429"/>
      <c r="DV66" s="429"/>
      <c r="DW66" s="429"/>
      <c r="DX66" s="429"/>
      <c r="DY66" s="429"/>
      <c r="DZ66" s="429"/>
      <c r="EA66" s="429"/>
      <c r="EB66" s="429"/>
    </row>
    <row r="67" spans="1:132" ht="16.5" thickTop="1" thickBot="1" x14ac:dyDescent="0.3">
      <c r="A67" s="335" t="s">
        <v>323</v>
      </c>
      <c r="B67" s="430"/>
      <c r="C67" s="430"/>
      <c r="D67" s="430"/>
      <c r="E67" s="430"/>
      <c r="F67" s="430"/>
      <c r="G67" s="430"/>
      <c r="H67" s="224"/>
      <c r="I67" s="224"/>
      <c r="J67" s="431"/>
      <c r="K67" s="431"/>
      <c r="L67" s="431"/>
      <c r="M67" s="431"/>
      <c r="N67" s="431"/>
      <c r="O67" s="431"/>
      <c r="P67" s="431"/>
      <c r="Q67" s="431"/>
      <c r="R67" s="224"/>
      <c r="S67" s="224"/>
      <c r="T67" s="224"/>
      <c r="U67" s="224"/>
      <c r="V67" s="431"/>
      <c r="W67" s="431"/>
      <c r="X67" s="431"/>
      <c r="Y67" s="431"/>
      <c r="Z67" s="431"/>
      <c r="AA67" s="431"/>
      <c r="AB67" s="431"/>
      <c r="AC67" s="431"/>
      <c r="AD67" s="431"/>
      <c r="AE67" s="431"/>
      <c r="AF67" s="431"/>
      <c r="AG67" s="431"/>
      <c r="AH67" s="431"/>
      <c r="AI67" s="432"/>
      <c r="AJ67" s="432"/>
      <c r="AK67" s="432"/>
      <c r="AL67" s="224"/>
      <c r="AM67" s="431"/>
      <c r="AN67" s="431"/>
      <c r="AO67" s="431"/>
      <c r="AP67" s="431"/>
      <c r="AQ67" s="431"/>
      <c r="AR67" s="430"/>
      <c r="AS67" s="430"/>
      <c r="AT67" s="430"/>
      <c r="AU67" s="430"/>
      <c r="AV67" s="430"/>
      <c r="AW67" s="430"/>
      <c r="AX67" s="430"/>
      <c r="AY67" s="430"/>
      <c r="AZ67" s="430"/>
      <c r="BA67" s="430"/>
      <c r="BB67" s="430"/>
      <c r="BC67" s="430"/>
      <c r="BD67" s="430"/>
      <c r="BE67" s="430"/>
      <c r="BF67" s="430"/>
      <c r="BG67" s="430"/>
      <c r="BH67" s="430"/>
      <c r="BI67" s="430"/>
      <c r="BJ67" s="430"/>
      <c r="BK67" s="430"/>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D67" s="433"/>
      <c r="DE67" s="433"/>
      <c r="DF67" s="433"/>
      <c r="DG67" s="433"/>
      <c r="DH67" s="433"/>
      <c r="DI67" s="433"/>
      <c r="DJ67" s="433"/>
      <c r="DK67" s="433"/>
      <c r="DL67" s="433"/>
      <c r="DM67" s="433"/>
      <c r="DN67" s="433"/>
      <c r="DO67" s="433"/>
    </row>
    <row r="68" spans="1:132" ht="17.25" thickTop="1" thickBot="1" x14ac:dyDescent="0.3">
      <c r="A68" s="434" t="s">
        <v>262</v>
      </c>
      <c r="B68" s="435">
        <v>38504</v>
      </c>
      <c r="C68" s="436">
        <v>38534</v>
      </c>
      <c r="D68" s="436">
        <v>38565</v>
      </c>
      <c r="E68" s="437">
        <v>38596</v>
      </c>
      <c r="F68" s="436">
        <v>38626</v>
      </c>
      <c r="G68" s="436">
        <v>38657</v>
      </c>
      <c r="H68" s="436">
        <v>38687</v>
      </c>
      <c r="I68" s="436">
        <v>38718</v>
      </c>
      <c r="J68" s="436">
        <v>38749</v>
      </c>
      <c r="K68" s="437">
        <v>38777</v>
      </c>
      <c r="L68" s="436">
        <v>38808</v>
      </c>
      <c r="M68" s="436">
        <v>38838</v>
      </c>
      <c r="N68" s="436">
        <v>38869</v>
      </c>
      <c r="O68" s="437">
        <v>38899</v>
      </c>
      <c r="P68" s="436">
        <v>38930</v>
      </c>
      <c r="Q68" s="436">
        <v>38961</v>
      </c>
      <c r="R68" s="437">
        <v>38991</v>
      </c>
      <c r="S68" s="436">
        <v>39022</v>
      </c>
      <c r="T68" s="436">
        <v>39052</v>
      </c>
      <c r="U68" s="438">
        <v>39083</v>
      </c>
      <c r="V68" s="438">
        <v>39114</v>
      </c>
      <c r="W68" s="438">
        <v>39142</v>
      </c>
      <c r="X68" s="438">
        <v>39173</v>
      </c>
      <c r="Y68" s="438">
        <v>39203</v>
      </c>
      <c r="Z68" s="438">
        <v>39234</v>
      </c>
      <c r="AA68" s="438">
        <v>39264</v>
      </c>
      <c r="AB68" s="438">
        <v>39295</v>
      </c>
      <c r="AC68" s="438">
        <v>39326</v>
      </c>
      <c r="AD68" s="438">
        <v>39356</v>
      </c>
      <c r="AE68" s="438">
        <v>39387</v>
      </c>
      <c r="AF68" s="438">
        <v>39417</v>
      </c>
      <c r="AG68" s="438">
        <v>39448</v>
      </c>
      <c r="AH68" s="438">
        <v>39479</v>
      </c>
      <c r="AI68" s="438">
        <v>39508</v>
      </c>
      <c r="AJ68" s="438">
        <v>39539</v>
      </c>
      <c r="AK68" s="438">
        <v>39569</v>
      </c>
      <c r="AL68" s="438">
        <v>39600</v>
      </c>
      <c r="AM68" s="438">
        <v>39630</v>
      </c>
      <c r="AN68" s="438">
        <v>39661</v>
      </c>
      <c r="AO68" s="438">
        <v>39692</v>
      </c>
      <c r="AP68" s="438">
        <f t="shared" ref="AP68:BH68" si="0">AP3</f>
        <v>39722</v>
      </c>
      <c r="AQ68" s="438">
        <f t="shared" si="0"/>
        <v>39753</v>
      </c>
      <c r="AR68" s="435">
        <f t="shared" si="0"/>
        <v>39783</v>
      </c>
      <c r="AS68" s="435">
        <f t="shared" si="0"/>
        <v>39814</v>
      </c>
      <c r="AT68" s="435">
        <f t="shared" si="0"/>
        <v>39853</v>
      </c>
      <c r="AU68" s="435">
        <f t="shared" si="0"/>
        <v>39881</v>
      </c>
      <c r="AV68" s="435">
        <f t="shared" si="0"/>
        <v>39912</v>
      </c>
      <c r="AW68" s="439">
        <f t="shared" si="0"/>
        <v>39942</v>
      </c>
      <c r="AX68" s="439">
        <f t="shared" si="0"/>
        <v>39973</v>
      </c>
      <c r="AY68" s="439">
        <f t="shared" si="0"/>
        <v>40003</v>
      </c>
      <c r="AZ68" s="439">
        <f t="shared" si="0"/>
        <v>40034</v>
      </c>
      <c r="BA68" s="439">
        <f t="shared" si="0"/>
        <v>40065</v>
      </c>
      <c r="BB68" s="439">
        <f t="shared" si="0"/>
        <v>40095</v>
      </c>
      <c r="BC68" s="439">
        <f t="shared" si="0"/>
        <v>40126</v>
      </c>
      <c r="BD68" s="439">
        <f t="shared" si="0"/>
        <v>40156</v>
      </c>
      <c r="BE68" s="439">
        <f t="shared" si="0"/>
        <v>40187</v>
      </c>
      <c r="BF68" s="439">
        <f t="shared" si="0"/>
        <v>40218</v>
      </c>
      <c r="BG68" s="439">
        <f t="shared" si="0"/>
        <v>40246</v>
      </c>
      <c r="BH68" s="439">
        <f t="shared" si="0"/>
        <v>40277</v>
      </c>
      <c r="BI68" s="439">
        <f>BI3</f>
        <v>40307</v>
      </c>
      <c r="BJ68" s="439">
        <f>BJ3</f>
        <v>40338</v>
      </c>
      <c r="BK68" s="439">
        <f>BK3</f>
        <v>40368</v>
      </c>
      <c r="BL68" s="435">
        <v>40399</v>
      </c>
      <c r="BM68" s="439">
        <f t="shared" ref="BM68:BX68" si="1">BM3</f>
        <v>40430</v>
      </c>
      <c r="BN68" s="439" t="str">
        <f t="shared" si="1"/>
        <v xml:space="preserve">Oct-10 </v>
      </c>
      <c r="BO68" s="439" t="str">
        <f t="shared" si="1"/>
        <v xml:space="preserve">Nov-10 </v>
      </c>
      <c r="BP68" s="439" t="str">
        <f t="shared" si="1"/>
        <v>Dec-10</v>
      </c>
      <c r="BQ68" s="439" t="str">
        <f t="shared" si="1"/>
        <v>Jan-11</v>
      </c>
      <c r="BR68" s="439">
        <f t="shared" si="1"/>
        <v>40575</v>
      </c>
      <c r="BS68" s="439">
        <f t="shared" si="1"/>
        <v>40603</v>
      </c>
      <c r="BT68" s="439">
        <f t="shared" si="1"/>
        <v>40634</v>
      </c>
      <c r="BU68" s="439">
        <f t="shared" si="1"/>
        <v>40664</v>
      </c>
      <c r="BV68" s="439">
        <f t="shared" si="1"/>
        <v>40695</v>
      </c>
      <c r="BW68" s="439">
        <f t="shared" si="1"/>
        <v>40725</v>
      </c>
      <c r="BX68" s="439">
        <f t="shared" si="1"/>
        <v>40756</v>
      </c>
      <c r="BY68" s="439">
        <f>BY3</f>
        <v>40787</v>
      </c>
      <c r="BZ68" s="440">
        <v>40817</v>
      </c>
      <c r="CA68" s="440">
        <v>40848</v>
      </c>
      <c r="CB68" s="440">
        <v>40878</v>
      </c>
      <c r="CC68" s="440">
        <v>40909</v>
      </c>
      <c r="CD68" s="440">
        <v>40940</v>
      </c>
      <c r="CE68" s="440">
        <v>40969</v>
      </c>
      <c r="CF68" s="440">
        <v>41000</v>
      </c>
      <c r="CG68" s="440">
        <v>41030</v>
      </c>
      <c r="CH68" s="440">
        <v>41061</v>
      </c>
      <c r="CI68" s="440">
        <v>41091</v>
      </c>
      <c r="CJ68" s="440">
        <v>41122</v>
      </c>
      <c r="CK68" s="440">
        <v>41153</v>
      </c>
      <c r="CL68" s="440">
        <v>41183</v>
      </c>
      <c r="CM68" s="440">
        <v>41214</v>
      </c>
      <c r="CN68" s="440">
        <v>41244</v>
      </c>
      <c r="CO68" s="440">
        <v>41275</v>
      </c>
      <c r="CP68" s="441">
        <v>41306</v>
      </c>
      <c r="CQ68" s="440">
        <v>41334</v>
      </c>
      <c r="CR68" s="440">
        <v>41365</v>
      </c>
      <c r="CS68" s="440" t="str">
        <f>CS3</f>
        <v>May-13</v>
      </c>
      <c r="CT68" s="440" t="str">
        <f>CT3</f>
        <v>June-13</v>
      </c>
      <c r="CU68" s="408" t="s">
        <v>379</v>
      </c>
      <c r="CV68" s="408" t="s">
        <v>380</v>
      </c>
      <c r="CW68" s="408" t="s">
        <v>381</v>
      </c>
      <c r="CX68" s="408" t="str">
        <f>CX3</f>
        <v>Oct-13</v>
      </c>
      <c r="CY68" s="408" t="s">
        <v>390</v>
      </c>
      <c r="CZ68" s="408" t="s">
        <v>391</v>
      </c>
      <c r="DA68" s="408" t="s">
        <v>392</v>
      </c>
      <c r="DB68" s="408" t="s">
        <v>383</v>
      </c>
      <c r="DC68" s="408" t="s">
        <v>384</v>
      </c>
      <c r="DD68" s="408" t="s">
        <v>385</v>
      </c>
      <c r="DE68" s="408" t="s">
        <v>386</v>
      </c>
      <c r="DF68" s="408" t="s">
        <v>387</v>
      </c>
      <c r="DG68" s="408" t="s">
        <v>388</v>
      </c>
      <c r="DH68" s="408">
        <v>41865</v>
      </c>
      <c r="DI68" s="408">
        <f>DI3</f>
        <v>41896</v>
      </c>
      <c r="DJ68" s="408">
        <v>41926</v>
      </c>
      <c r="DK68" s="408">
        <v>41957</v>
      </c>
      <c r="DL68" s="408">
        <v>41987</v>
      </c>
      <c r="DM68" s="408">
        <v>42018</v>
      </c>
      <c r="DN68" s="408">
        <v>42049</v>
      </c>
      <c r="DO68" s="408">
        <v>42077</v>
      </c>
      <c r="DP68" s="408">
        <v>42108</v>
      </c>
      <c r="DQ68" s="408">
        <v>42138</v>
      </c>
      <c r="DR68" s="408">
        <v>42169</v>
      </c>
      <c r="DS68" s="408">
        <v>42199</v>
      </c>
      <c r="DT68" s="408">
        <v>42230</v>
      </c>
      <c r="DU68" s="408">
        <v>42261</v>
      </c>
      <c r="DV68" s="408">
        <v>42291</v>
      </c>
      <c r="DW68" s="408">
        <v>42322</v>
      </c>
      <c r="DX68" s="408">
        <v>42352</v>
      </c>
      <c r="DY68" s="408">
        <v>42383</v>
      </c>
      <c r="DZ68" s="408">
        <v>42414</v>
      </c>
      <c r="EA68" s="408">
        <v>42443</v>
      </c>
      <c r="EB68" s="408">
        <v>42474</v>
      </c>
    </row>
    <row r="69" spans="1:132" ht="21" customHeight="1" thickTop="1" x14ac:dyDescent="0.25">
      <c r="A69" s="410" t="s">
        <v>324</v>
      </c>
      <c r="B69" s="411">
        <f>SUM(B71:B81)</f>
        <v>15534.715479992785</v>
      </c>
      <c r="C69" s="215">
        <f>SUM(C71:C81)</f>
        <v>15551.581107641709</v>
      </c>
      <c r="D69" s="215">
        <f>SUM(D71:D81)</f>
        <v>15857.540520883158</v>
      </c>
      <c r="E69" s="227">
        <f>SUM(E71:E81)</f>
        <v>16259.128164221001</v>
      </c>
      <c r="F69" s="215">
        <v>16621.625371383201</v>
      </c>
      <c r="G69" s="215">
        <v>17344.254700009402</v>
      </c>
      <c r="H69" s="215">
        <f>17142.8210698872+0.1</f>
        <v>17142.921069887198</v>
      </c>
      <c r="I69" s="215">
        <v>17412.348318011598</v>
      </c>
      <c r="J69" s="215">
        <v>17663.588057463399</v>
      </c>
      <c r="K69" s="227">
        <v>17331.447386046402</v>
      </c>
      <c r="L69" s="215">
        <v>17545.381388944999</v>
      </c>
      <c r="M69" s="215">
        <v>17873.917430271002</v>
      </c>
      <c r="N69" s="215">
        <v>17712.509658889609</v>
      </c>
      <c r="O69" s="227">
        <v>18221.417730355264</v>
      </c>
      <c r="P69" s="215">
        <v>18369.127777855472</v>
      </c>
      <c r="Q69" s="215">
        <v>18370.429783177602</v>
      </c>
      <c r="R69" s="413">
        <v>19238.7990283984</v>
      </c>
      <c r="S69" s="215">
        <v>20154.658659618399</v>
      </c>
      <c r="T69" s="215">
        <v>20322.221825653749</v>
      </c>
      <c r="U69" s="217">
        <v>20533.077547965935</v>
      </c>
      <c r="V69" s="217">
        <v>19898.464643666535</v>
      </c>
      <c r="W69" s="217">
        <v>19782.9814839311</v>
      </c>
      <c r="X69" s="217">
        <v>19424.235049867795</v>
      </c>
      <c r="Y69" s="217">
        <v>19407.224558435708</v>
      </c>
      <c r="Z69" s="217">
        <v>19736.423031155453</v>
      </c>
      <c r="AA69" s="217">
        <v>20057.757416782846</v>
      </c>
      <c r="AB69" s="217">
        <v>20490.007732765978</v>
      </c>
      <c r="AC69" s="217">
        <v>20534.883102903488</v>
      </c>
      <c r="AD69" s="217">
        <v>20642.523940806899</v>
      </c>
      <c r="AE69" s="217">
        <v>20944.717743009489</v>
      </c>
      <c r="AF69" s="217">
        <v>21265.296929418433</v>
      </c>
      <c r="AG69" s="217">
        <v>21314.696417409825</v>
      </c>
      <c r="AH69" s="217">
        <v>21267.47525240896</v>
      </c>
      <c r="AI69" s="217">
        <v>20172.098443272618</v>
      </c>
      <c r="AJ69" s="217">
        <v>19624.106964845541</v>
      </c>
      <c r="AK69" s="217">
        <v>19504.635869383401</v>
      </c>
      <c r="AL69" s="217">
        <v>20053.862372435593</v>
      </c>
      <c r="AM69" s="296">
        <v>20667.874862304339</v>
      </c>
      <c r="AN69" s="296">
        <v>20462.533228536126</v>
      </c>
      <c r="AO69" s="296">
        <v>22386.020096846762</v>
      </c>
      <c r="AP69" s="296">
        <v>22900.08146408058</v>
      </c>
      <c r="AQ69" s="296">
        <v>23457.071607187379</v>
      </c>
      <c r="AR69" s="411">
        <v>22934.230959316224</v>
      </c>
      <c r="AS69" s="411">
        <v>23234.684819306</v>
      </c>
      <c r="AT69" s="411">
        <v>22773.461748763268</v>
      </c>
      <c r="AU69" s="411">
        <v>22622.710745385102</v>
      </c>
      <c r="AV69" s="411">
        <v>22849.874717900842</v>
      </c>
      <c r="AW69" s="414">
        <v>22990.425057027864</v>
      </c>
      <c r="AX69" s="414">
        <v>23295.424851176209</v>
      </c>
      <c r="AY69" s="414">
        <v>22483.834127549278</v>
      </c>
      <c r="AZ69" s="414">
        <v>20492.530891308877</v>
      </c>
      <c r="BA69" s="414">
        <v>20441.184876816464</v>
      </c>
      <c r="BB69" s="414">
        <v>20088.507710416325</v>
      </c>
      <c r="BC69" s="414">
        <v>20510.609331320153</v>
      </c>
      <c r="BD69" s="414">
        <v>20423.716994714796</v>
      </c>
      <c r="BE69" s="414">
        <v>20748.261384012705</v>
      </c>
      <c r="BF69" s="414">
        <v>21108.894633266525</v>
      </c>
      <c r="BG69" s="414">
        <v>20572.551497059405</v>
      </c>
      <c r="BH69" s="414">
        <v>20632.168267715348</v>
      </c>
      <c r="BI69" s="414">
        <v>21121.063180578414</v>
      </c>
      <c r="BJ69" s="414">
        <v>22362.550845925103</v>
      </c>
      <c r="BK69" s="414">
        <v>22913.001886068058</v>
      </c>
      <c r="BL69" s="415">
        <v>23450.334374147646</v>
      </c>
      <c r="BM69" s="415">
        <v>23676.042296554071</v>
      </c>
      <c r="BN69" s="415">
        <v>23669.335457981753</v>
      </c>
      <c r="BO69" s="415">
        <v>24162.901493322493</v>
      </c>
      <c r="BP69" s="415">
        <v>24070.509099470339</v>
      </c>
      <c r="BQ69" s="415">
        <v>24240.234066081899</v>
      </c>
      <c r="BR69" s="415">
        <v>24012.672125783309</v>
      </c>
      <c r="BS69" s="415">
        <v>24286.518985130639</v>
      </c>
      <c r="BT69" s="415">
        <v>24138.731284891997</v>
      </c>
      <c r="BU69" s="415">
        <v>24529.939047737578</v>
      </c>
      <c r="BV69" s="415">
        <v>25185.746033479303</v>
      </c>
      <c r="BW69" s="415">
        <v>25188.948629781582</v>
      </c>
      <c r="BX69" s="415">
        <v>24907.081930107499</v>
      </c>
      <c r="BY69" s="415">
        <v>26092.947820135505</v>
      </c>
      <c r="BZ69" s="415">
        <v>26349.1</v>
      </c>
      <c r="CA69" s="415">
        <v>27206.612153176153</v>
      </c>
      <c r="CB69" s="415">
        <v>28681.643784660053</v>
      </c>
      <c r="CC69" s="415">
        <v>27785.594685889882</v>
      </c>
      <c r="CD69" s="415">
        <v>26832.265957792031</v>
      </c>
      <c r="CE69" s="415">
        <v>26097.291875733121</v>
      </c>
      <c r="CF69" s="415">
        <v>26267.037581531244</v>
      </c>
      <c r="CG69" s="415">
        <v>27405.717356457313</v>
      </c>
      <c r="CH69" s="415">
        <v>28698.361136745865</v>
      </c>
      <c r="CI69" s="415">
        <v>28414.864862639693</v>
      </c>
      <c r="CJ69" s="415">
        <v>30025.347683903914</v>
      </c>
      <c r="CK69" s="415">
        <v>29523.271206021916</v>
      </c>
      <c r="CL69" s="415">
        <v>29665.347799692237</v>
      </c>
      <c r="CM69" s="415">
        <v>30975.302527422784</v>
      </c>
      <c r="CN69" s="415">
        <v>31270.48650679236</v>
      </c>
      <c r="CO69" s="415">
        <v>29929.005352768458</v>
      </c>
      <c r="CP69" s="442">
        <v>29638.775421588238</v>
      </c>
      <c r="CQ69" s="414">
        <v>29997.878928081911</v>
      </c>
      <c r="CR69" s="414">
        <v>29959.801799941222</v>
      </c>
      <c r="CS69" s="414">
        <v>27179.48184400428</v>
      </c>
      <c r="CT69" s="414">
        <v>27646.230292458618</v>
      </c>
      <c r="CU69" s="414">
        <v>28092.996190544487</v>
      </c>
      <c r="CV69" s="414">
        <v>28058.066532249144</v>
      </c>
      <c r="CW69" s="414">
        <v>28292.560840040274</v>
      </c>
      <c r="CX69" s="414">
        <v>29761.787088236259</v>
      </c>
      <c r="CY69" s="414">
        <v>29598.640591170228</v>
      </c>
      <c r="CZ69" s="414">
        <v>28886.384578500332</v>
      </c>
      <c r="DA69" s="414">
        <v>29842.316659375214</v>
      </c>
      <c r="DB69" s="414">
        <v>28844.820263700629</v>
      </c>
      <c r="DC69" s="414">
        <v>28683.368316616696</v>
      </c>
      <c r="DD69" s="414">
        <v>29630.164175226539</v>
      </c>
      <c r="DE69" s="414">
        <v>29077.350179624467</v>
      </c>
      <c r="DF69" s="414">
        <v>31392.78113611753</v>
      </c>
      <c r="DG69" s="414">
        <v>29960.213866002698</v>
      </c>
      <c r="DH69" s="414">
        <v>29029.603343374689</v>
      </c>
      <c r="DI69" s="414">
        <v>30323.435513522774</v>
      </c>
      <c r="DJ69" s="414">
        <v>29307.51470376318</v>
      </c>
      <c r="DK69" s="414">
        <v>31433.952767863015</v>
      </c>
      <c r="DL69" s="414">
        <v>31498.306674303443</v>
      </c>
      <c r="DM69" s="414">
        <v>30793.484584881444</v>
      </c>
      <c r="DN69" s="414">
        <v>31634.440020418235</v>
      </c>
      <c r="DO69" s="414">
        <v>31080.475349560293</v>
      </c>
      <c r="DP69" s="414">
        <v>30460.241711645518</v>
      </c>
      <c r="DQ69" s="414">
        <v>30209.301077846336</v>
      </c>
      <c r="DR69" s="414">
        <v>30034.2841633073</v>
      </c>
      <c r="DS69" s="414">
        <v>29998.251371028218</v>
      </c>
      <c r="DT69" s="414">
        <v>30130.413851902253</v>
      </c>
      <c r="DU69" s="414">
        <v>30795.076807420846</v>
      </c>
      <c r="DV69" s="414">
        <v>30854.489598515356</v>
      </c>
      <c r="DW69" s="414">
        <v>31715.203908071457</v>
      </c>
      <c r="DX69" s="414">
        <v>31805.33094956986</v>
      </c>
      <c r="DY69" s="414">
        <v>31470.338807725955</v>
      </c>
      <c r="DZ69" s="414">
        <v>31378.040870494162</v>
      </c>
      <c r="EA69" s="414">
        <v>30892.743973904449</v>
      </c>
      <c r="EB69" s="414">
        <v>30466.997469298349</v>
      </c>
    </row>
    <row r="70" spans="1:132" ht="15.95" customHeight="1" x14ac:dyDescent="0.25">
      <c r="A70" s="417" t="s">
        <v>274</v>
      </c>
      <c r="B70" s="411"/>
      <c r="C70" s="215"/>
      <c r="D70" s="215"/>
      <c r="E70" s="227"/>
      <c r="F70" s="215"/>
      <c r="G70" s="215"/>
      <c r="H70" s="295"/>
      <c r="I70" s="295"/>
      <c r="J70" s="295"/>
      <c r="K70" s="224"/>
      <c r="L70" s="295"/>
      <c r="M70" s="295"/>
      <c r="N70" s="295"/>
      <c r="O70" s="224"/>
      <c r="P70" s="295"/>
      <c r="Q70" s="295"/>
      <c r="R70" s="224"/>
      <c r="S70" s="295"/>
      <c r="T70" s="295"/>
      <c r="U70" s="419"/>
      <c r="V70" s="419"/>
      <c r="W70" s="419"/>
      <c r="X70" s="419"/>
      <c r="Y70" s="419"/>
      <c r="Z70" s="419"/>
      <c r="AA70" s="419"/>
      <c r="AB70" s="419"/>
      <c r="AC70" s="419"/>
      <c r="AD70" s="419"/>
      <c r="AE70" s="419"/>
      <c r="AF70" s="419"/>
      <c r="AG70" s="419"/>
      <c r="AH70" s="419"/>
      <c r="AI70" s="419"/>
      <c r="AJ70" s="419"/>
      <c r="AK70" s="419"/>
      <c r="AL70" s="419"/>
      <c r="AM70" s="296"/>
      <c r="AN70" s="296"/>
      <c r="AO70" s="296"/>
      <c r="AP70" s="296"/>
      <c r="AQ70" s="296"/>
      <c r="AR70" s="411"/>
      <c r="AS70" s="411"/>
      <c r="AT70" s="411"/>
      <c r="AU70" s="411"/>
      <c r="AV70" s="411"/>
      <c r="AW70" s="414"/>
      <c r="AX70" s="414"/>
      <c r="AY70" s="414"/>
      <c r="AZ70" s="414"/>
      <c r="BA70" s="414"/>
      <c r="BB70" s="414"/>
      <c r="BC70" s="414"/>
      <c r="BD70" s="414"/>
      <c r="BE70" s="414"/>
      <c r="BF70" s="414"/>
      <c r="BG70" s="414"/>
      <c r="BH70" s="414"/>
      <c r="BI70" s="414"/>
      <c r="BJ70" s="414"/>
      <c r="BK70" s="414"/>
      <c r="BL70" s="414"/>
      <c r="BM70" s="414"/>
      <c r="BN70" s="414"/>
      <c r="BO70" s="414"/>
      <c r="BP70" s="414"/>
      <c r="BQ70" s="414"/>
      <c r="BR70" s="414"/>
      <c r="BS70" s="414"/>
      <c r="BT70" s="414"/>
      <c r="BU70" s="414"/>
      <c r="BV70" s="414"/>
      <c r="BW70" s="414"/>
      <c r="BX70" s="414"/>
      <c r="BY70" s="414"/>
      <c r="BZ70" s="414"/>
      <c r="CA70" s="414"/>
      <c r="CB70" s="414"/>
      <c r="CC70" s="414"/>
      <c r="CD70" s="414"/>
      <c r="CE70" s="414"/>
      <c r="CF70" s="414"/>
      <c r="CG70" s="414"/>
      <c r="CH70" s="414"/>
      <c r="CI70" s="414"/>
      <c r="CJ70" s="414"/>
      <c r="CK70" s="414"/>
      <c r="CL70" s="414"/>
      <c r="CM70" s="414"/>
      <c r="CN70" s="414"/>
      <c r="CO70" s="414"/>
      <c r="CP70" s="443"/>
      <c r="CQ70" s="414"/>
      <c r="CR70" s="414"/>
      <c r="CS70" s="414"/>
      <c r="CT70" s="414"/>
      <c r="CU70" s="414"/>
      <c r="CV70" s="414"/>
      <c r="CW70" s="414"/>
      <c r="CX70" s="414"/>
      <c r="CY70" s="414"/>
      <c r="CZ70" s="414"/>
      <c r="DA70" s="414"/>
      <c r="DB70" s="414"/>
      <c r="DC70" s="414"/>
      <c r="DD70" s="414"/>
      <c r="DE70" s="414"/>
      <c r="DF70" s="414"/>
      <c r="DG70" s="414"/>
      <c r="DH70" s="414"/>
      <c r="DI70" s="414"/>
      <c r="DJ70" s="414"/>
      <c r="DK70" s="414"/>
      <c r="DL70" s="414"/>
      <c r="DM70" s="414"/>
      <c r="DN70" s="414"/>
      <c r="DO70" s="414"/>
      <c r="DP70" s="414"/>
      <c r="DQ70" s="414"/>
      <c r="DR70" s="414"/>
      <c r="DS70" s="414"/>
      <c r="DT70" s="414"/>
      <c r="DU70" s="414"/>
      <c r="DV70" s="414"/>
      <c r="DW70" s="414"/>
      <c r="DX70" s="414"/>
      <c r="DY70" s="414"/>
      <c r="DZ70" s="414"/>
      <c r="EA70" s="414"/>
      <c r="EB70" s="414"/>
    </row>
    <row r="71" spans="1:132" ht="15.95" customHeight="1" x14ac:dyDescent="0.25">
      <c r="A71" s="417" t="s">
        <v>325</v>
      </c>
      <c r="B71" s="418">
        <v>0</v>
      </c>
      <c r="C71" s="295">
        <v>0.09</v>
      </c>
      <c r="D71" s="295">
        <v>8.6638469999999995E-2</v>
      </c>
      <c r="E71" s="224">
        <v>8.325805E-2</v>
      </c>
      <c r="F71" s="295">
        <v>7.9823539999999998E-2</v>
      </c>
      <c r="G71" s="295">
        <v>7.6382350000000002E-2</v>
      </c>
      <c r="H71" s="295">
        <v>7.2905770000000009E-2</v>
      </c>
      <c r="I71" s="295">
        <v>6.9449330000000004E-2</v>
      </c>
      <c r="J71" s="295">
        <v>6.5959859999999995E-2</v>
      </c>
      <c r="K71" s="224">
        <v>6.2377339999999996E-2</v>
      </c>
      <c r="L71" s="295">
        <v>5.8821589999999993E-2</v>
      </c>
      <c r="M71" s="295">
        <v>5.5212539999999997E-2</v>
      </c>
      <c r="N71" s="295">
        <v>5.1589999999999997E-2</v>
      </c>
      <c r="O71" s="224">
        <v>4.7920900000000002E-2</v>
      </c>
      <c r="P71" s="295">
        <v>4.4246000000000001E-2</v>
      </c>
      <c r="Q71" s="295">
        <v>4.0550999999999997E-2</v>
      </c>
      <c r="R71" s="224">
        <v>3.6823000000000002E-2</v>
      </c>
      <c r="S71" s="295">
        <v>3.2910000000000002E-2</v>
      </c>
      <c r="T71" s="295">
        <v>2.8943E-2</v>
      </c>
      <c r="U71" s="419">
        <v>2.5072000000000001E-2</v>
      </c>
      <c r="V71" s="419">
        <v>2.0902E-2</v>
      </c>
      <c r="W71" s="419">
        <v>1.6998580000000003E-2</v>
      </c>
      <c r="X71" s="419">
        <v>1.2823579999999999E-2</v>
      </c>
      <c r="Y71" s="419">
        <v>8.4860000000000005E-3</v>
      </c>
      <c r="Z71" s="419">
        <v>4.2700000000000004E-3</v>
      </c>
      <c r="AA71" s="419">
        <v>0</v>
      </c>
      <c r="AB71" s="419">
        <v>0</v>
      </c>
      <c r="AC71" s="419">
        <v>0</v>
      </c>
      <c r="AD71" s="419">
        <v>0</v>
      </c>
      <c r="AE71" s="419">
        <v>40</v>
      </c>
      <c r="AF71" s="419">
        <v>40.000040249999998</v>
      </c>
      <c r="AG71" s="419">
        <v>40.000080500000003</v>
      </c>
      <c r="AH71" s="419">
        <v>40.000120750000001</v>
      </c>
      <c r="AI71" s="419">
        <v>65.884674000000004</v>
      </c>
      <c r="AJ71" s="419">
        <v>66.036509249999995</v>
      </c>
      <c r="AK71" s="419">
        <v>69.496014500000001</v>
      </c>
      <c r="AL71" s="419">
        <v>65.900349750000004</v>
      </c>
      <c r="AM71" s="297">
        <v>63.422373999999998</v>
      </c>
      <c r="AN71" s="297">
        <v>67.356630249999995</v>
      </c>
      <c r="AO71" s="297">
        <v>69.935740499999994</v>
      </c>
      <c r="AP71" s="297">
        <v>71.045293479999998</v>
      </c>
      <c r="AQ71" s="297">
        <v>70.162619109999994</v>
      </c>
      <c r="AR71" s="418">
        <v>74.26285759999999</v>
      </c>
      <c r="AS71" s="418">
        <v>26.707017430000001</v>
      </c>
      <c r="AT71" s="418">
        <v>32.461019759999999</v>
      </c>
      <c r="AU71" s="418">
        <v>30.95263804</v>
      </c>
      <c r="AV71" s="418">
        <v>31.916826289999999</v>
      </c>
      <c r="AW71" s="218">
        <v>35.268438809999999</v>
      </c>
      <c r="AX71" s="218">
        <v>37.032233950000006</v>
      </c>
      <c r="AY71" s="218">
        <v>73.210119669999997</v>
      </c>
      <c r="AZ71" s="218">
        <v>72.112579999999994</v>
      </c>
      <c r="BA71" s="218">
        <v>78.899341280000002</v>
      </c>
      <c r="BB71" s="218">
        <v>35.566706739999994</v>
      </c>
      <c r="BC71" s="218">
        <v>37.909558780000005</v>
      </c>
      <c r="BD71" s="218">
        <v>40.815842297399996</v>
      </c>
      <c r="BE71" s="218">
        <v>35.230394079999996</v>
      </c>
      <c r="BF71" s="218">
        <v>39.455890247500001</v>
      </c>
      <c r="BG71" s="218">
        <v>37.955472969999995</v>
      </c>
      <c r="BH71" s="218">
        <v>38.657556060000005</v>
      </c>
      <c r="BI71" s="218">
        <v>73.740567228499998</v>
      </c>
      <c r="BJ71" s="218">
        <v>143.51296267960001</v>
      </c>
      <c r="BK71" s="218">
        <v>193.78753215999996</v>
      </c>
      <c r="BL71" s="218">
        <v>184.51179505000002</v>
      </c>
      <c r="BM71" s="218">
        <v>180.50757988999999</v>
      </c>
      <c r="BN71" s="218">
        <v>178.27711632999998</v>
      </c>
      <c r="BO71" s="218">
        <v>195.52900919000001</v>
      </c>
      <c r="BP71" s="218">
        <v>214.56956361000002</v>
      </c>
      <c r="BQ71" s="218">
        <v>281.61870282340004</v>
      </c>
      <c r="BR71" s="218">
        <v>124.35429277999999</v>
      </c>
      <c r="BS71" s="218">
        <v>175.51942728999998</v>
      </c>
      <c r="BT71" s="218">
        <v>150.91587566999999</v>
      </c>
      <c r="BU71" s="218">
        <v>153.38603529</v>
      </c>
      <c r="BV71" s="218">
        <v>87.660927779999994</v>
      </c>
      <c r="BW71" s="218">
        <v>102.80799241</v>
      </c>
      <c r="BX71" s="218">
        <v>109.44308829000001</v>
      </c>
      <c r="BY71" s="218">
        <v>88.189770620000004</v>
      </c>
      <c r="BZ71" s="218">
        <v>97.1</v>
      </c>
      <c r="CA71" s="218">
        <v>78.17432556</v>
      </c>
      <c r="CB71" s="218">
        <v>74.415321979999987</v>
      </c>
      <c r="CC71" s="218">
        <v>51.916857829999998</v>
      </c>
      <c r="CD71" s="218">
        <v>49.883047570000002</v>
      </c>
      <c r="CE71" s="218">
        <v>62.522683930000007</v>
      </c>
      <c r="CF71" s="218">
        <v>105.58336955999999</v>
      </c>
      <c r="CG71" s="218">
        <v>112.38330085000001</v>
      </c>
      <c r="CH71" s="218">
        <v>153.70215156</v>
      </c>
      <c r="CI71" s="218">
        <v>109.69872319000001</v>
      </c>
      <c r="CJ71" s="218">
        <v>78.38128737000001</v>
      </c>
      <c r="CK71" s="218">
        <v>109.12254866000001</v>
      </c>
      <c r="CL71" s="218">
        <v>114.89546239000001</v>
      </c>
      <c r="CM71" s="218">
        <v>117.99061675999999</v>
      </c>
      <c r="CN71" s="218">
        <v>118.35466631</v>
      </c>
      <c r="CO71" s="218">
        <v>117.80486821</v>
      </c>
      <c r="CP71" s="444">
        <v>116.40718635000002</v>
      </c>
      <c r="CQ71" s="218">
        <v>113.63216862</v>
      </c>
      <c r="CR71" s="218">
        <v>111.45332371000001</v>
      </c>
      <c r="CS71" s="218">
        <v>107.88536091499999</v>
      </c>
      <c r="CT71" s="218">
        <v>101.76213276</v>
      </c>
      <c r="CU71" s="218">
        <v>101.25621303000001</v>
      </c>
      <c r="CV71" s="218">
        <v>91.089384569999993</v>
      </c>
      <c r="CW71" s="218">
        <v>150.42750990000002</v>
      </c>
      <c r="CX71" s="218">
        <v>148.45705818000002</v>
      </c>
      <c r="CY71" s="218">
        <v>146.66517879000003</v>
      </c>
      <c r="CZ71" s="218">
        <v>136.61129738</v>
      </c>
      <c r="DA71" s="218">
        <v>98.102229873700011</v>
      </c>
      <c r="DB71" s="218">
        <v>91.420503261199997</v>
      </c>
      <c r="DC71" s="218">
        <v>92.620213490000012</v>
      </c>
      <c r="DD71" s="218">
        <v>86.29945310894999</v>
      </c>
      <c r="DE71" s="218">
        <v>91.245103329999992</v>
      </c>
      <c r="DF71" s="218">
        <v>92.505576790000006</v>
      </c>
      <c r="DG71" s="218">
        <v>94.824300919999999</v>
      </c>
      <c r="DH71" s="218">
        <v>89.880637840000006</v>
      </c>
      <c r="DI71" s="218">
        <v>91.239958189999996</v>
      </c>
      <c r="DJ71" s="218">
        <v>90.154767210000003</v>
      </c>
      <c r="DK71" s="218">
        <v>81.292921140000004</v>
      </c>
      <c r="DL71" s="218">
        <v>80.562246789999989</v>
      </c>
      <c r="DM71" s="218">
        <v>73.296371909999991</v>
      </c>
      <c r="DN71" s="218">
        <v>67.125684629999995</v>
      </c>
      <c r="DO71" s="218">
        <v>73.097727240000012</v>
      </c>
      <c r="DP71" s="218">
        <v>77.613396049999992</v>
      </c>
      <c r="DQ71" s="218">
        <v>74.787967229999992</v>
      </c>
      <c r="DR71" s="218">
        <v>71.937020189999998</v>
      </c>
      <c r="DS71" s="218">
        <v>70.582626189999999</v>
      </c>
      <c r="DT71" s="218">
        <v>76.722330329999991</v>
      </c>
      <c r="DU71" s="218">
        <v>84.807168269999991</v>
      </c>
      <c r="DV71" s="218">
        <v>87.955789749999994</v>
      </c>
      <c r="DW71" s="218">
        <v>91.648603239999986</v>
      </c>
      <c r="DX71" s="218">
        <v>94.027168509999996</v>
      </c>
      <c r="DY71" s="218">
        <v>89.152609289999987</v>
      </c>
      <c r="DZ71" s="218">
        <v>88.634177739999998</v>
      </c>
      <c r="EA71" s="218">
        <v>93.184282940000003</v>
      </c>
      <c r="EB71" s="218">
        <v>98.016479349999997</v>
      </c>
    </row>
    <row r="72" spans="1:132" ht="15.95" customHeight="1" x14ac:dyDescent="0.25">
      <c r="A72" s="417" t="s">
        <v>326</v>
      </c>
      <c r="B72" s="418">
        <v>4801.9291608290005</v>
      </c>
      <c r="C72" s="295">
        <v>4759.2846632575483</v>
      </c>
      <c r="D72" s="295">
        <v>4717.3441113181989</v>
      </c>
      <c r="E72" s="224">
        <v>4744.5460292265998</v>
      </c>
      <c r="F72" s="295">
        <v>5006.6376963431994</v>
      </c>
      <c r="G72" s="295">
        <v>5267.1195187976009</v>
      </c>
      <c r="H72" s="295">
        <v>5128.8869289823988</v>
      </c>
      <c r="I72" s="295">
        <v>5137.7694283115998</v>
      </c>
      <c r="J72" s="295">
        <v>5165.1287456633991</v>
      </c>
      <c r="K72" s="224">
        <v>4986.8268081463993</v>
      </c>
      <c r="L72" s="295">
        <v>4954.125306635</v>
      </c>
      <c r="M72" s="295">
        <v>4843.3042223599996</v>
      </c>
      <c r="N72" s="295">
        <v>4963.5991935547154</v>
      </c>
      <c r="O72" s="224">
        <v>4978.7087615500004</v>
      </c>
      <c r="P72" s="295">
        <v>4974.8439860499993</v>
      </c>
      <c r="Q72" s="295">
        <v>5005.7793210300006</v>
      </c>
      <c r="R72" s="224">
        <v>5172.2459096897001</v>
      </c>
      <c r="S72" s="295">
        <v>5331.2343545000003</v>
      </c>
      <c r="T72" s="295">
        <v>5518.4396569399996</v>
      </c>
      <c r="U72" s="419">
        <v>5650.6317937599997</v>
      </c>
      <c r="V72" s="419">
        <v>5617.2840117700016</v>
      </c>
      <c r="W72" s="419">
        <v>5500.3998213599989</v>
      </c>
      <c r="X72" s="419">
        <v>5291.3516298699997</v>
      </c>
      <c r="Y72" s="419">
        <v>5157.3504788400005</v>
      </c>
      <c r="Z72" s="419">
        <v>5163.7000148100005</v>
      </c>
      <c r="AA72" s="419">
        <v>5249.2593428299997</v>
      </c>
      <c r="AB72" s="419">
        <v>5490.1543430800011</v>
      </c>
      <c r="AC72" s="419">
        <v>5626.3869451800001</v>
      </c>
      <c r="AD72" s="419">
        <v>5471.9955111799991</v>
      </c>
      <c r="AE72" s="419">
        <v>5517.8750518899997</v>
      </c>
      <c r="AF72" s="419">
        <v>5548.9711237999991</v>
      </c>
      <c r="AG72" s="419">
        <v>5689.9503021299997</v>
      </c>
      <c r="AH72" s="419">
        <v>5791.2435988699999</v>
      </c>
      <c r="AI72" s="419">
        <v>5880.8294358100002</v>
      </c>
      <c r="AJ72" s="419">
        <v>5817.1835107500019</v>
      </c>
      <c r="AK72" s="419">
        <v>5858.5574976399994</v>
      </c>
      <c r="AL72" s="419">
        <v>5288.4021064299995</v>
      </c>
      <c r="AM72" s="297">
        <v>5235.132600179998</v>
      </c>
      <c r="AN72" s="297">
        <v>5246.0399278599989</v>
      </c>
      <c r="AO72" s="297">
        <v>5606.7399338099995</v>
      </c>
      <c r="AP72" s="297">
        <v>5998.8909088455002</v>
      </c>
      <c r="AQ72" s="297">
        <v>6137.9456962410013</v>
      </c>
      <c r="AR72" s="418">
        <v>6013.5165399901998</v>
      </c>
      <c r="AS72" s="418">
        <v>5955.472817169999</v>
      </c>
      <c r="AT72" s="418">
        <v>5630.4696661664011</v>
      </c>
      <c r="AU72" s="418">
        <v>5320.0144016908007</v>
      </c>
      <c r="AV72" s="418">
        <v>5461.0987823720006</v>
      </c>
      <c r="AW72" s="218">
        <v>5683.2238006892003</v>
      </c>
      <c r="AX72" s="218">
        <v>5591.8646669751997</v>
      </c>
      <c r="AY72" s="218">
        <v>5656.9115846762998</v>
      </c>
      <c r="AZ72" s="218">
        <v>5761.5939852316005</v>
      </c>
      <c r="BA72" s="218">
        <v>5497.7768871959997</v>
      </c>
      <c r="BB72" s="218">
        <v>5379.1090225311</v>
      </c>
      <c r="BC72" s="218">
        <v>5006.3627642468</v>
      </c>
      <c r="BD72" s="218">
        <v>5151.8808275650008</v>
      </c>
      <c r="BE72" s="218">
        <v>5057.7499322293997</v>
      </c>
      <c r="BF72" s="218">
        <v>4928.410437139999</v>
      </c>
      <c r="BG72" s="218">
        <v>4716.8883619879998</v>
      </c>
      <c r="BH72" s="218">
        <v>4751.9134925970993</v>
      </c>
      <c r="BI72" s="218">
        <v>5408.8134834074999</v>
      </c>
      <c r="BJ72" s="218">
        <v>5671.7072349247019</v>
      </c>
      <c r="BK72" s="218">
        <v>5897.5049680262</v>
      </c>
      <c r="BL72" s="218">
        <v>6204.9401673194998</v>
      </c>
      <c r="BM72" s="218">
        <v>5888.5219047831997</v>
      </c>
      <c r="BN72" s="218">
        <v>6046.7682283431277</v>
      </c>
      <c r="BO72" s="218">
        <v>6283.1909291006004</v>
      </c>
      <c r="BP72" s="218">
        <v>6330.7564188890492</v>
      </c>
      <c r="BQ72" s="218">
        <v>6167.8782648222004</v>
      </c>
      <c r="BR72" s="218">
        <v>6467.2638899251997</v>
      </c>
      <c r="BS72" s="218">
        <v>6367.9085448946762</v>
      </c>
      <c r="BT72" s="218">
        <v>6381.8194854620997</v>
      </c>
      <c r="BU72" s="218">
        <v>6749.3491056692365</v>
      </c>
      <c r="BV72" s="218">
        <v>7241.0043388553659</v>
      </c>
      <c r="BW72" s="218">
        <v>6786.3385415064304</v>
      </c>
      <c r="BX72" s="218">
        <v>6815.3658370779995</v>
      </c>
      <c r="BY72" s="218">
        <v>6911.7023201443017</v>
      </c>
      <c r="BZ72" s="218">
        <v>7263.1</v>
      </c>
      <c r="CA72" s="218">
        <v>7388.5526063938041</v>
      </c>
      <c r="CB72" s="218">
        <v>7547.0720378723963</v>
      </c>
      <c r="CC72" s="218">
        <v>6768.4239047359451</v>
      </c>
      <c r="CD72" s="218">
        <v>6805.3485322275374</v>
      </c>
      <c r="CE72" s="218">
        <v>6736.1073495979699</v>
      </c>
      <c r="CF72" s="218">
        <v>6792.5489526253505</v>
      </c>
      <c r="CG72" s="218">
        <v>7134.746267897287</v>
      </c>
      <c r="CH72" s="218">
        <v>7229.3674804323264</v>
      </c>
      <c r="CI72" s="218">
        <v>7096.6947141235978</v>
      </c>
      <c r="CJ72" s="218">
        <v>7451.8370485323494</v>
      </c>
      <c r="CK72" s="218">
        <v>7500.766539391997</v>
      </c>
      <c r="CL72" s="218">
        <v>7650.0924693496781</v>
      </c>
      <c r="CM72" s="218">
        <v>7817.6700292612404</v>
      </c>
      <c r="CN72" s="218">
        <v>8085.4989877531725</v>
      </c>
      <c r="CO72" s="218">
        <v>7727.4773731462374</v>
      </c>
      <c r="CP72" s="444">
        <v>7643.5817149262703</v>
      </c>
      <c r="CQ72" s="218">
        <v>7556.4804129604199</v>
      </c>
      <c r="CR72" s="218">
        <v>8756.8108241192404</v>
      </c>
      <c r="CS72" s="218">
        <v>8177.5538755447815</v>
      </c>
      <c r="CT72" s="218">
        <v>8499.041562096143</v>
      </c>
      <c r="CU72" s="218">
        <v>8300.7924956681854</v>
      </c>
      <c r="CV72" s="218">
        <v>8110.5558259318823</v>
      </c>
      <c r="CW72" s="218">
        <v>8479.7380274195602</v>
      </c>
      <c r="CX72" s="218">
        <v>8221.2874908374433</v>
      </c>
      <c r="CY72" s="218">
        <v>8652.4360688180077</v>
      </c>
      <c r="CZ72" s="218">
        <v>8552.8474322198945</v>
      </c>
      <c r="DA72" s="218">
        <v>8597.6057084384065</v>
      </c>
      <c r="DB72" s="218">
        <v>8582.0887501907637</v>
      </c>
      <c r="DC72" s="218">
        <v>8371.5569580113406</v>
      </c>
      <c r="DD72" s="218">
        <v>8472.8440092541314</v>
      </c>
      <c r="DE72" s="218">
        <v>8530.5675527327076</v>
      </c>
      <c r="DF72" s="218">
        <v>9318.1196702501147</v>
      </c>
      <c r="DG72" s="218">
        <v>8698.0336737686066</v>
      </c>
      <c r="DH72" s="218">
        <v>8562.9111510415969</v>
      </c>
      <c r="DI72" s="218">
        <v>8978.345930927404</v>
      </c>
      <c r="DJ72" s="218">
        <v>8612.6615920343575</v>
      </c>
      <c r="DK72" s="218">
        <v>9841.5720007285217</v>
      </c>
      <c r="DL72" s="218">
        <v>10311.893805219532</v>
      </c>
      <c r="DM72" s="218">
        <v>10063.898442691963</v>
      </c>
      <c r="DN72" s="218">
        <v>10209.715991198113</v>
      </c>
      <c r="DO72" s="218">
        <v>10021.888298101705</v>
      </c>
      <c r="DP72" s="218">
        <v>9830.6807718578584</v>
      </c>
      <c r="DQ72" s="218">
        <v>9266.1194702063349</v>
      </c>
      <c r="DR72" s="218">
        <v>9264.9463565600399</v>
      </c>
      <c r="DS72" s="218">
        <v>9171.2037661348713</v>
      </c>
      <c r="DT72" s="218">
        <v>9386.7851047647764</v>
      </c>
      <c r="DU72" s="218">
        <v>9531.7992417569003</v>
      </c>
      <c r="DV72" s="218">
        <v>9054.8250170384526</v>
      </c>
      <c r="DW72" s="218">
        <v>9505.481663128201</v>
      </c>
      <c r="DX72" s="218">
        <v>9467.0769150360411</v>
      </c>
      <c r="DY72" s="218">
        <v>9416.3221607021369</v>
      </c>
      <c r="DZ72" s="218">
        <v>9294.405468431627</v>
      </c>
      <c r="EA72" s="218">
        <v>8913.3468359205708</v>
      </c>
      <c r="EB72" s="218">
        <v>8832.2582692614287</v>
      </c>
    </row>
    <row r="73" spans="1:132" ht="15.95" customHeight="1" x14ac:dyDescent="0.25">
      <c r="A73" s="417" t="s">
        <v>327</v>
      </c>
      <c r="B73" s="418">
        <v>463.61466999999999</v>
      </c>
      <c r="C73" s="295">
        <v>460.04124200000001</v>
      </c>
      <c r="D73" s="295">
        <v>527.97652794999988</v>
      </c>
      <c r="E73" s="224">
        <v>331.33407254999997</v>
      </c>
      <c r="F73" s="295">
        <v>328.22978947999997</v>
      </c>
      <c r="G73" s="295">
        <v>326.45779430000005</v>
      </c>
      <c r="H73" s="295">
        <v>324.78940016000001</v>
      </c>
      <c r="I73" s="295">
        <v>323.22642472000001</v>
      </c>
      <c r="J73" s="295">
        <v>321.38803817000002</v>
      </c>
      <c r="K73" s="224">
        <v>319.82231972000005</v>
      </c>
      <c r="L73" s="295">
        <v>318.83213375999998</v>
      </c>
      <c r="M73" s="295">
        <v>316.57473702999999</v>
      </c>
      <c r="N73" s="295">
        <v>314.89337614999999</v>
      </c>
      <c r="O73" s="224">
        <v>313.28903300000002</v>
      </c>
      <c r="P73" s="295">
        <v>312.20782222000003</v>
      </c>
      <c r="Q73" s="295">
        <v>314.48892835999999</v>
      </c>
      <c r="R73" s="224">
        <v>313.55483516000004</v>
      </c>
      <c r="S73" s="295">
        <v>312.46192020999996</v>
      </c>
      <c r="T73" s="295">
        <v>311.04545960000002</v>
      </c>
      <c r="U73" s="419">
        <v>310.49595902999999</v>
      </c>
      <c r="V73" s="419">
        <v>309.28220864999997</v>
      </c>
      <c r="W73" s="419">
        <v>308.69362655999998</v>
      </c>
      <c r="X73" s="419">
        <v>307.26413308999997</v>
      </c>
      <c r="Y73" s="419">
        <v>306.08213506999999</v>
      </c>
      <c r="Z73" s="419">
        <v>305.74134270999997</v>
      </c>
      <c r="AA73" s="419">
        <v>304.23584457999999</v>
      </c>
      <c r="AB73" s="419">
        <v>303.29167229000001</v>
      </c>
      <c r="AC73" s="419">
        <v>302.04820057000006</v>
      </c>
      <c r="AD73" s="419">
        <v>300.32374507999998</v>
      </c>
      <c r="AE73" s="419">
        <v>300.24391585000001</v>
      </c>
      <c r="AF73" s="419">
        <v>299.06509364000004</v>
      </c>
      <c r="AG73" s="419">
        <v>298.31316783999995</v>
      </c>
      <c r="AH73" s="419">
        <v>34.999319290000003</v>
      </c>
      <c r="AI73" s="419">
        <v>35.936095689999995</v>
      </c>
      <c r="AJ73" s="419">
        <v>37.068945530000001</v>
      </c>
      <c r="AK73" s="419">
        <v>33.959943590000002</v>
      </c>
      <c r="AL73" s="419">
        <v>33.507819589999997</v>
      </c>
      <c r="AM73" s="297">
        <v>33.434737079999998</v>
      </c>
      <c r="AN73" s="297">
        <v>32.587087310000001</v>
      </c>
      <c r="AO73" s="297">
        <v>29.346412050000001</v>
      </c>
      <c r="AP73" s="297">
        <v>32.2090899397</v>
      </c>
      <c r="AQ73" s="297">
        <v>36.403392528200001</v>
      </c>
      <c r="AR73" s="418">
        <v>28.159200542799997</v>
      </c>
      <c r="AS73" s="418">
        <v>30.405619179999999</v>
      </c>
      <c r="AT73" s="418">
        <v>33.346280302000004</v>
      </c>
      <c r="AU73" s="418">
        <v>35.698895647599997</v>
      </c>
      <c r="AV73" s="418">
        <v>35.157134954999997</v>
      </c>
      <c r="AW73" s="218">
        <v>34.659364254799996</v>
      </c>
      <c r="AX73" s="218">
        <v>88.410551649599995</v>
      </c>
      <c r="AY73" s="218">
        <v>83.772859591300005</v>
      </c>
      <c r="AZ73" s="218">
        <v>81.49476982920001</v>
      </c>
      <c r="BA73" s="218">
        <v>82.081319884799981</v>
      </c>
      <c r="BB73" s="218">
        <v>23.374022628000002</v>
      </c>
      <c r="BC73" s="218">
        <v>22.3509908252</v>
      </c>
      <c r="BD73" s="218">
        <v>21.518016328800002</v>
      </c>
      <c r="BE73" s="218">
        <v>21.060665522500003</v>
      </c>
      <c r="BF73" s="218">
        <v>20.544640057500001</v>
      </c>
      <c r="BG73" s="218">
        <v>20.067021221999997</v>
      </c>
      <c r="BH73" s="218">
        <v>21.805428263</v>
      </c>
      <c r="BI73" s="218">
        <v>18.941307936000001</v>
      </c>
      <c r="BJ73" s="218">
        <v>22.021187008000002</v>
      </c>
      <c r="BK73" s="218">
        <v>15.800219370799999</v>
      </c>
      <c r="BL73" s="218">
        <v>14.698641909999997</v>
      </c>
      <c r="BM73" s="218">
        <v>14.382754859999999</v>
      </c>
      <c r="BN73" s="218">
        <v>14.0586225</v>
      </c>
      <c r="BO73" s="218">
        <v>13.713603150000001</v>
      </c>
      <c r="BP73" s="218">
        <v>13.38966102</v>
      </c>
      <c r="BQ73" s="218">
        <v>16.080341798699997</v>
      </c>
      <c r="BR73" s="218">
        <v>12.73725129</v>
      </c>
      <c r="BS73" s="218">
        <v>12.410176199999999</v>
      </c>
      <c r="BT73" s="218">
        <v>12.153275649999998</v>
      </c>
      <c r="BU73" s="218">
        <v>11.898136229999999</v>
      </c>
      <c r="BV73" s="218">
        <v>11.6764828</v>
      </c>
      <c r="BW73" s="218">
        <v>11.381365519999999</v>
      </c>
      <c r="BX73" s="218">
        <v>81.12511099999999</v>
      </c>
      <c r="BY73" s="218">
        <v>80.866627000000008</v>
      </c>
      <c r="BZ73" s="218">
        <v>80.599999999999994</v>
      </c>
      <c r="CA73" s="218">
        <v>80.342941179999997</v>
      </c>
      <c r="CB73" s="218">
        <v>80.078857909999996</v>
      </c>
      <c r="CC73" s="218">
        <v>79.816106419999997</v>
      </c>
      <c r="CD73" s="218">
        <v>81.113764966372003</v>
      </c>
      <c r="CE73" s="218">
        <v>81.76564231070482</v>
      </c>
      <c r="CF73" s="218">
        <v>79.010723110000001</v>
      </c>
      <c r="CG73" s="218">
        <v>78.739303860000007</v>
      </c>
      <c r="CH73" s="218">
        <v>107.73715645999999</v>
      </c>
      <c r="CI73" s="218">
        <v>106.32602219</v>
      </c>
      <c r="CJ73" s="218">
        <v>105.17999456180999</v>
      </c>
      <c r="CK73" s="218">
        <v>103.48969524</v>
      </c>
      <c r="CL73" s="218">
        <v>102.12764074038117</v>
      </c>
      <c r="CM73" s="218">
        <v>101.22154418</v>
      </c>
      <c r="CN73" s="218">
        <v>99.206509080000004</v>
      </c>
      <c r="CO73" s="218">
        <v>97.773225859999997</v>
      </c>
      <c r="CP73" s="444">
        <v>96.332073750000006</v>
      </c>
      <c r="CQ73" s="218">
        <v>110.57416019</v>
      </c>
      <c r="CR73" s="218">
        <v>108.44005010000001</v>
      </c>
      <c r="CS73" s="218">
        <v>106.98742422999999</v>
      </c>
      <c r="CT73" s="218">
        <v>105.58009297</v>
      </c>
      <c r="CU73" s="218">
        <v>104.06996937</v>
      </c>
      <c r="CV73" s="218">
        <v>102.60505359999999</v>
      </c>
      <c r="CW73" s="218">
        <v>101.13585977</v>
      </c>
      <c r="CX73" s="218">
        <v>99.696978880000003</v>
      </c>
      <c r="CY73" s="218">
        <v>98.183399809999983</v>
      </c>
      <c r="CZ73" s="218">
        <v>96.701153660000003</v>
      </c>
      <c r="DA73" s="218">
        <v>95.214491440000003</v>
      </c>
      <c r="DB73" s="218">
        <v>94.146089360000005</v>
      </c>
      <c r="DC73" s="218">
        <v>94.073760499999992</v>
      </c>
      <c r="DD73" s="218">
        <v>105.72653864</v>
      </c>
      <c r="DE73" s="218">
        <v>91.373411310000009</v>
      </c>
      <c r="DF73" s="218">
        <v>91.12467006</v>
      </c>
      <c r="DG73" s="218">
        <v>104.550239</v>
      </c>
      <c r="DH73" s="218">
        <v>132.99527358</v>
      </c>
      <c r="DI73" s="218">
        <v>131.64444337</v>
      </c>
      <c r="DJ73" s="218">
        <v>136.16279753000001</v>
      </c>
      <c r="DK73" s="218">
        <v>128.70052939000001</v>
      </c>
      <c r="DL73" s="218">
        <v>127.23415077</v>
      </c>
      <c r="DM73" s="218">
        <v>128.34238235999999</v>
      </c>
      <c r="DN73" s="218">
        <v>137.93941971999999</v>
      </c>
      <c r="DO73" s="218">
        <v>128.91374316</v>
      </c>
      <c r="DP73" s="218">
        <v>123.59649903</v>
      </c>
      <c r="DQ73" s="218">
        <v>134.08348241000002</v>
      </c>
      <c r="DR73" s="218">
        <v>127.6354123</v>
      </c>
      <c r="DS73" s="218">
        <v>121.57566433000001</v>
      </c>
      <c r="DT73" s="218">
        <v>124.61314504999999</v>
      </c>
      <c r="DU73" s="218">
        <v>120.62890632999999</v>
      </c>
      <c r="DV73" s="218">
        <v>141.22602688999999</v>
      </c>
      <c r="DW73" s="218">
        <v>119.97137151000001</v>
      </c>
      <c r="DX73" s="218">
        <v>120.10558337000001</v>
      </c>
      <c r="DY73" s="218">
        <v>113.68284810999999</v>
      </c>
      <c r="DZ73" s="218">
        <v>145.37414175000001</v>
      </c>
      <c r="EA73" s="218">
        <v>155.65535385999999</v>
      </c>
      <c r="EB73" s="218">
        <v>155.81292735999997</v>
      </c>
    </row>
    <row r="74" spans="1:132" ht="15.95" customHeight="1" x14ac:dyDescent="0.25">
      <c r="A74" s="417" t="s">
        <v>328</v>
      </c>
      <c r="B74" s="418">
        <v>926.66425083000013</v>
      </c>
      <c r="C74" s="295">
        <v>879.92626970000003</v>
      </c>
      <c r="D74" s="295">
        <v>721.28566178000017</v>
      </c>
      <c r="E74" s="224">
        <v>929.83909610000012</v>
      </c>
      <c r="F74" s="295">
        <v>902.82179521</v>
      </c>
      <c r="G74" s="295">
        <v>909.41921696000009</v>
      </c>
      <c r="H74" s="295">
        <v>880.78451079000013</v>
      </c>
      <c r="I74" s="295">
        <v>883.15317335999987</v>
      </c>
      <c r="J74" s="295">
        <v>900.60429081999996</v>
      </c>
      <c r="K74" s="224">
        <v>890.01803747999998</v>
      </c>
      <c r="L74" s="295">
        <v>886.7274124999999</v>
      </c>
      <c r="M74" s="295">
        <v>873.53984866999997</v>
      </c>
      <c r="N74" s="295">
        <v>889.11386275999996</v>
      </c>
      <c r="O74" s="224">
        <v>872.65250204999995</v>
      </c>
      <c r="P74" s="295">
        <v>872.16586286999996</v>
      </c>
      <c r="Q74" s="295">
        <v>891.71102997000003</v>
      </c>
      <c r="R74" s="224">
        <v>871.26575363000006</v>
      </c>
      <c r="S74" s="295">
        <v>860.87499797999988</v>
      </c>
      <c r="T74" s="295">
        <v>835.72423736999986</v>
      </c>
      <c r="U74" s="419">
        <v>830.63649598999984</v>
      </c>
      <c r="V74" s="419">
        <v>845.81191568999986</v>
      </c>
      <c r="W74" s="419">
        <v>836.76174532999994</v>
      </c>
      <c r="X74" s="419">
        <v>817.8099050400001</v>
      </c>
      <c r="Y74" s="419">
        <v>823.86468667000008</v>
      </c>
      <c r="Z74" s="419">
        <v>833.83114121000006</v>
      </c>
      <c r="AA74" s="419">
        <v>817.63071453999999</v>
      </c>
      <c r="AB74" s="419">
        <v>836.00137828999993</v>
      </c>
      <c r="AC74" s="419">
        <v>831.54717403000006</v>
      </c>
      <c r="AD74" s="419">
        <v>852.89268622999987</v>
      </c>
      <c r="AE74" s="419">
        <v>856.97527100000002</v>
      </c>
      <c r="AF74" s="419">
        <v>804.02007961999993</v>
      </c>
      <c r="AG74" s="419">
        <v>711.6000750500001</v>
      </c>
      <c r="AH74" s="419">
        <v>467.72730281000003</v>
      </c>
      <c r="AI74" s="419">
        <v>472.09961955</v>
      </c>
      <c r="AJ74" s="419">
        <v>494.27120891000004</v>
      </c>
      <c r="AK74" s="419">
        <v>490.81321795000002</v>
      </c>
      <c r="AL74" s="419">
        <v>494.44802592000002</v>
      </c>
      <c r="AM74" s="297">
        <v>516.21782875000008</v>
      </c>
      <c r="AN74" s="297">
        <v>516.31213220999996</v>
      </c>
      <c r="AO74" s="297">
        <v>503.24425951000001</v>
      </c>
      <c r="AP74" s="297">
        <v>489.51330487719997</v>
      </c>
      <c r="AQ74" s="297">
        <v>494.68707912579993</v>
      </c>
      <c r="AR74" s="418">
        <v>493.81222262200004</v>
      </c>
      <c r="AS74" s="418">
        <v>486.04974214000003</v>
      </c>
      <c r="AT74" s="418">
        <v>516.13286075120004</v>
      </c>
      <c r="AU74" s="418">
        <v>498.80503430060003</v>
      </c>
      <c r="AV74" s="418">
        <v>496.87984067799999</v>
      </c>
      <c r="AW74" s="218">
        <v>519.60404782559999</v>
      </c>
      <c r="AX74" s="218">
        <v>474.93454998679999</v>
      </c>
      <c r="AY74" s="218">
        <v>481.47123866149997</v>
      </c>
      <c r="AZ74" s="218">
        <v>447.3326192586</v>
      </c>
      <c r="BA74" s="218">
        <v>485.86792073180004</v>
      </c>
      <c r="BB74" s="218">
        <v>472.0427263931</v>
      </c>
      <c r="BC74" s="218">
        <v>481.23702713040001</v>
      </c>
      <c r="BD74" s="218">
        <v>460.94670880360002</v>
      </c>
      <c r="BE74" s="218">
        <v>449.63064349939998</v>
      </c>
      <c r="BF74" s="218">
        <v>470.08273794999991</v>
      </c>
      <c r="BG74" s="218">
        <v>448.99094998199985</v>
      </c>
      <c r="BH74" s="218">
        <v>439.66528039430005</v>
      </c>
      <c r="BI74" s="218">
        <v>434.68208784780001</v>
      </c>
      <c r="BJ74" s="218">
        <v>450.70070639740004</v>
      </c>
      <c r="BK74" s="218">
        <v>457.86751363100007</v>
      </c>
      <c r="BL74" s="218">
        <v>400.0052360578</v>
      </c>
      <c r="BM74" s="218">
        <v>403.70361882059996</v>
      </c>
      <c r="BN74" s="218">
        <v>408.73126425599992</v>
      </c>
      <c r="BO74" s="218">
        <v>401.21387894959992</v>
      </c>
      <c r="BP74" s="218">
        <v>380.2568783136</v>
      </c>
      <c r="BQ74" s="218">
        <v>485.74684915030008</v>
      </c>
      <c r="BR74" s="218">
        <v>517.963246637</v>
      </c>
      <c r="BS74" s="218">
        <v>504.60812642280007</v>
      </c>
      <c r="BT74" s="218">
        <v>483.89338643153002</v>
      </c>
      <c r="BU74" s="218">
        <v>479.56802858334601</v>
      </c>
      <c r="BV74" s="218">
        <v>477.45625522236799</v>
      </c>
      <c r="BW74" s="218">
        <v>485.99207357335996</v>
      </c>
      <c r="BX74" s="218">
        <v>468.25889443049999</v>
      </c>
      <c r="BY74" s="218">
        <v>445.58355986949999</v>
      </c>
      <c r="BZ74" s="218">
        <v>451.2</v>
      </c>
      <c r="CA74" s="218">
        <v>483.75838031869989</v>
      </c>
      <c r="CB74" s="218">
        <v>461.25243156440001</v>
      </c>
      <c r="CC74" s="218">
        <v>446.00571831914999</v>
      </c>
      <c r="CD74" s="218">
        <v>472.01393812999999</v>
      </c>
      <c r="CE74" s="218">
        <v>507.09064146016942</v>
      </c>
      <c r="CF74" s="218">
        <v>490.99175295152531</v>
      </c>
      <c r="CG74" s="218">
        <v>514.58348983351334</v>
      </c>
      <c r="CH74" s="218">
        <v>546.80701069030192</v>
      </c>
      <c r="CI74" s="218">
        <v>542.35762074010916</v>
      </c>
      <c r="CJ74" s="218">
        <v>544.37967601215598</v>
      </c>
      <c r="CK74" s="218">
        <v>536.70750467680602</v>
      </c>
      <c r="CL74" s="218">
        <v>504.64102840385732</v>
      </c>
      <c r="CM74" s="218">
        <v>542.84317762875435</v>
      </c>
      <c r="CN74" s="218">
        <v>512.20168699431201</v>
      </c>
      <c r="CO74" s="218">
        <v>538.75947649696298</v>
      </c>
      <c r="CP74" s="444">
        <v>548.78758542749995</v>
      </c>
      <c r="CQ74" s="218">
        <v>567.69197324000004</v>
      </c>
      <c r="CR74" s="218">
        <v>559.27361561999999</v>
      </c>
      <c r="CS74" s="218">
        <v>555.45307115000003</v>
      </c>
      <c r="CT74" s="218">
        <v>619.93068026000003</v>
      </c>
      <c r="CU74" s="218">
        <v>588.99706949000006</v>
      </c>
      <c r="CV74" s="218">
        <v>590.88022125999998</v>
      </c>
      <c r="CW74" s="218">
        <v>583.22427706000008</v>
      </c>
      <c r="CX74" s="218">
        <v>998.25334305000013</v>
      </c>
      <c r="CY74" s="218">
        <v>978.01990172000001</v>
      </c>
      <c r="CZ74" s="218">
        <v>962.18271893999997</v>
      </c>
      <c r="DA74" s="218">
        <v>958.88803188999998</v>
      </c>
      <c r="DB74" s="218">
        <v>1006.2574788400001</v>
      </c>
      <c r="DC74" s="218">
        <v>1000.0271624799999</v>
      </c>
      <c r="DD74" s="218">
        <v>1080.92912237</v>
      </c>
      <c r="DE74" s="218">
        <v>1094.2082605000003</v>
      </c>
      <c r="DF74" s="218">
        <v>1066.57196694</v>
      </c>
      <c r="DG74" s="218">
        <v>1091.9584613499999</v>
      </c>
      <c r="DH74" s="218">
        <v>673.33953372000008</v>
      </c>
      <c r="DI74" s="218">
        <v>688.86393816999987</v>
      </c>
      <c r="DJ74" s="218">
        <v>723.87679664999985</v>
      </c>
      <c r="DK74" s="218">
        <v>747.56198700999994</v>
      </c>
      <c r="DL74" s="218">
        <v>672.49670784</v>
      </c>
      <c r="DM74" s="218">
        <v>677.02169824999999</v>
      </c>
      <c r="DN74" s="218">
        <v>708.13079029980861</v>
      </c>
      <c r="DO74" s="218">
        <v>695.53511806607457</v>
      </c>
      <c r="DP74" s="218">
        <v>672.91700115999993</v>
      </c>
      <c r="DQ74" s="218">
        <v>687.54619785999989</v>
      </c>
      <c r="DR74" s="218">
        <v>646.33820180999999</v>
      </c>
      <c r="DS74" s="218">
        <v>855.38182652004627</v>
      </c>
      <c r="DT74" s="218">
        <v>693.78107405145681</v>
      </c>
      <c r="DU74" s="218">
        <v>776.49843071999999</v>
      </c>
      <c r="DV74" s="218">
        <v>793.74611619999985</v>
      </c>
      <c r="DW74" s="218">
        <v>881.63888858000007</v>
      </c>
      <c r="DX74" s="218">
        <v>866.73267591000001</v>
      </c>
      <c r="DY74" s="218">
        <v>860.92989016000013</v>
      </c>
      <c r="DZ74" s="218">
        <v>855.57662803999995</v>
      </c>
      <c r="EA74" s="218">
        <v>899.91801198999997</v>
      </c>
      <c r="EB74" s="218">
        <v>962.63373680999996</v>
      </c>
    </row>
    <row r="75" spans="1:132" ht="15.95" customHeight="1" x14ac:dyDescent="0.25">
      <c r="A75" s="417" t="s">
        <v>329</v>
      </c>
      <c r="B75" s="418">
        <v>186.14744039999999</v>
      </c>
      <c r="C75" s="295">
        <v>187.10678686</v>
      </c>
      <c r="D75" s="295">
        <v>189.75268499999999</v>
      </c>
      <c r="E75" s="224">
        <v>175.98013710000001</v>
      </c>
      <c r="F75" s="295">
        <v>174.55431373000002</v>
      </c>
      <c r="G75" s="295">
        <v>173.75905835</v>
      </c>
      <c r="H75" s="295">
        <v>169.44216917000003</v>
      </c>
      <c r="I75" s="295">
        <v>164.99673525999998</v>
      </c>
      <c r="J75" s="295">
        <v>183.91171595999998</v>
      </c>
      <c r="K75" s="224">
        <v>186.02389178000001</v>
      </c>
      <c r="L75" s="295">
        <v>185.92303680999999</v>
      </c>
      <c r="M75" s="295">
        <v>175.03429691999995</v>
      </c>
      <c r="N75" s="295">
        <v>174.95816884999999</v>
      </c>
      <c r="O75" s="224">
        <v>165.35744124000004</v>
      </c>
      <c r="P75" s="295">
        <v>162.01578569999998</v>
      </c>
      <c r="Q75" s="295">
        <v>162.06440347759997</v>
      </c>
      <c r="R75" s="224">
        <v>161.98261532570001</v>
      </c>
      <c r="S75" s="295">
        <v>167.7799984822</v>
      </c>
      <c r="T75" s="295">
        <v>167.53320865000001</v>
      </c>
      <c r="U75" s="419">
        <v>164.917172871372</v>
      </c>
      <c r="V75" s="419">
        <v>162.58138676768903</v>
      </c>
      <c r="W75" s="419">
        <v>172.43472713000003</v>
      </c>
      <c r="X75" s="419">
        <v>167.40726746000001</v>
      </c>
      <c r="Y75" s="419">
        <v>177.54057162000004</v>
      </c>
      <c r="Z75" s="419">
        <v>179.81377861999997</v>
      </c>
      <c r="AA75" s="419">
        <v>174.40572451999998</v>
      </c>
      <c r="AB75" s="419">
        <v>180.70153113000001</v>
      </c>
      <c r="AC75" s="419">
        <v>179.96928896</v>
      </c>
      <c r="AD75" s="419">
        <v>178.71513716000004</v>
      </c>
      <c r="AE75" s="419">
        <v>178.17449837999999</v>
      </c>
      <c r="AF75" s="419">
        <v>166.80457544000001</v>
      </c>
      <c r="AG75" s="419">
        <v>167.08164574</v>
      </c>
      <c r="AH75" s="419">
        <v>175.25542058999997</v>
      </c>
      <c r="AI75" s="419">
        <v>752.18570819000001</v>
      </c>
      <c r="AJ75" s="419">
        <v>734.99452112000006</v>
      </c>
      <c r="AK75" s="419">
        <v>745.51023939999993</v>
      </c>
      <c r="AL75" s="419">
        <v>739.94353736000005</v>
      </c>
      <c r="AM75" s="297">
        <v>741.12781962999998</v>
      </c>
      <c r="AN75" s="297">
        <v>756.38254243999995</v>
      </c>
      <c r="AO75" s="297">
        <v>785.4882633200001</v>
      </c>
      <c r="AP75" s="297">
        <v>809.98620676199994</v>
      </c>
      <c r="AQ75" s="297">
        <v>864.79353068779994</v>
      </c>
      <c r="AR75" s="418">
        <v>914.62968764599987</v>
      </c>
      <c r="AS75" s="418">
        <v>898.02266308000003</v>
      </c>
      <c r="AT75" s="418">
        <v>935.38487593080004</v>
      </c>
      <c r="AU75" s="418">
        <v>884.47698831079992</v>
      </c>
      <c r="AV75" s="418">
        <v>832.87873712199996</v>
      </c>
      <c r="AW75" s="218">
        <v>828.74389951640001</v>
      </c>
      <c r="AX75" s="218">
        <v>888.51102266320004</v>
      </c>
      <c r="AY75" s="218">
        <v>825.73654690770013</v>
      </c>
      <c r="AZ75" s="218">
        <v>823.01476382279998</v>
      </c>
      <c r="BA75" s="218">
        <v>841.76958637940015</v>
      </c>
      <c r="BB75" s="218">
        <v>843.67550342549987</v>
      </c>
      <c r="BC75" s="218">
        <v>868.55369373959991</v>
      </c>
      <c r="BD75" s="218">
        <v>897.70448814240001</v>
      </c>
      <c r="BE75" s="218">
        <v>899.17694909120007</v>
      </c>
      <c r="BF75" s="218">
        <v>915.62233810249995</v>
      </c>
      <c r="BG75" s="218">
        <v>891.57650141800002</v>
      </c>
      <c r="BH75" s="218">
        <v>938.2487139527999</v>
      </c>
      <c r="BI75" s="218">
        <v>912.56412091890002</v>
      </c>
      <c r="BJ75" s="218">
        <v>909.59748445460002</v>
      </c>
      <c r="BK75" s="218">
        <v>992.61143203080007</v>
      </c>
      <c r="BL75" s="218">
        <v>992.27485632780019</v>
      </c>
      <c r="BM75" s="218">
        <v>1032.2106445340003</v>
      </c>
      <c r="BN75" s="218">
        <v>1079.7766805432</v>
      </c>
      <c r="BO75" s="218">
        <v>1239.1260732700002</v>
      </c>
      <c r="BP75" s="218">
        <v>1062.3887654531002</v>
      </c>
      <c r="BQ75" s="218">
        <v>1130.9641294654</v>
      </c>
      <c r="BR75" s="218">
        <v>1098.7327395093</v>
      </c>
      <c r="BS75" s="218">
        <v>1100.6389286132001</v>
      </c>
      <c r="BT75" s="218">
        <v>1177.5242219673401</v>
      </c>
      <c r="BU75" s="218">
        <v>1171.417237608646</v>
      </c>
      <c r="BV75" s="218">
        <v>1186.2358472719218</v>
      </c>
      <c r="BW75" s="218">
        <v>1197.7618255544601</v>
      </c>
      <c r="BX75" s="218">
        <v>1265.0550022524999</v>
      </c>
      <c r="BY75" s="218">
        <v>1277.6651078774998</v>
      </c>
      <c r="BZ75" s="218">
        <v>1319</v>
      </c>
      <c r="CA75" s="218">
        <v>1269.8683946234</v>
      </c>
      <c r="CB75" s="218">
        <v>1304.0401360731998</v>
      </c>
      <c r="CC75" s="218">
        <v>1309.9843362778411</v>
      </c>
      <c r="CD75" s="218">
        <v>1322.24007439207</v>
      </c>
      <c r="CE75" s="218">
        <v>541.23542118127739</v>
      </c>
      <c r="CF75" s="218">
        <v>579.61671099889668</v>
      </c>
      <c r="CG75" s="218">
        <v>598.47547357846668</v>
      </c>
      <c r="CH75" s="218">
        <v>629.13419809977199</v>
      </c>
      <c r="CI75" s="218">
        <v>646.85512958223751</v>
      </c>
      <c r="CJ75" s="218">
        <v>688.00854390890004</v>
      </c>
      <c r="CK75" s="218">
        <v>720.64402928694301</v>
      </c>
      <c r="CL75" s="218">
        <v>854.81494301050418</v>
      </c>
      <c r="CM75" s="218">
        <v>835.19653343992434</v>
      </c>
      <c r="CN75" s="218">
        <v>730.81915361000006</v>
      </c>
      <c r="CO75" s="218">
        <v>731.01756843999999</v>
      </c>
      <c r="CP75" s="444">
        <v>725.16304448000017</v>
      </c>
      <c r="CQ75" s="218">
        <v>715.05834578999998</v>
      </c>
      <c r="CR75" s="218">
        <v>733.96338172000003</v>
      </c>
      <c r="CS75" s="218">
        <v>758.74847326999998</v>
      </c>
      <c r="CT75" s="218">
        <v>782.81314371000008</v>
      </c>
      <c r="CU75" s="218">
        <v>750.7947954199999</v>
      </c>
      <c r="CV75" s="218">
        <v>766.92318803000001</v>
      </c>
      <c r="CW75" s="218">
        <v>784.40896153000006</v>
      </c>
      <c r="CX75" s="218">
        <v>985.93276459000003</v>
      </c>
      <c r="CY75" s="218">
        <v>930.50932288999991</v>
      </c>
      <c r="CZ75" s="218">
        <v>716.67516918000001</v>
      </c>
      <c r="DA75" s="218">
        <v>822.58834567000008</v>
      </c>
      <c r="DB75" s="218">
        <v>746.52305612999999</v>
      </c>
      <c r="DC75" s="218">
        <v>761.52718533000007</v>
      </c>
      <c r="DD75" s="218">
        <v>655.71375993999993</v>
      </c>
      <c r="DE75" s="218">
        <v>668.67767007999987</v>
      </c>
      <c r="DF75" s="218">
        <v>690.13727838999978</v>
      </c>
      <c r="DG75" s="218">
        <v>692.2316590800001</v>
      </c>
      <c r="DH75" s="218">
        <v>664.79691659000014</v>
      </c>
      <c r="DI75" s="218">
        <v>658.23449946000005</v>
      </c>
      <c r="DJ75" s="218">
        <v>683.45975632</v>
      </c>
      <c r="DK75" s="218">
        <v>689.72517367</v>
      </c>
      <c r="DL75" s="218">
        <v>639.66828518</v>
      </c>
      <c r="DM75" s="218">
        <v>635.19884071999979</v>
      </c>
      <c r="DN75" s="218">
        <v>678.08833588000005</v>
      </c>
      <c r="DO75" s="218">
        <v>790.41878989999998</v>
      </c>
      <c r="DP75" s="218">
        <v>653.70342850999987</v>
      </c>
      <c r="DQ75" s="218">
        <v>636.31359792000001</v>
      </c>
      <c r="DR75" s="218">
        <v>656.32608120000009</v>
      </c>
      <c r="DS75" s="218">
        <v>726.77818362051562</v>
      </c>
      <c r="DT75" s="218">
        <v>666.01221651999992</v>
      </c>
      <c r="DU75" s="218">
        <v>649.5063356899999</v>
      </c>
      <c r="DV75" s="218">
        <v>664.51233519000004</v>
      </c>
      <c r="DW75" s="218">
        <v>670.07135106999988</v>
      </c>
      <c r="DX75" s="218">
        <v>619.10831582999992</v>
      </c>
      <c r="DY75" s="218">
        <v>652.60707327</v>
      </c>
      <c r="DZ75" s="218">
        <v>644.2711205600001</v>
      </c>
      <c r="EA75" s="218">
        <v>671.85854796000001</v>
      </c>
      <c r="EB75" s="218">
        <v>677.89355665999994</v>
      </c>
    </row>
    <row r="76" spans="1:132" ht="15.95" customHeight="1" x14ac:dyDescent="0.25">
      <c r="A76" s="417" t="s">
        <v>330</v>
      </c>
      <c r="B76" s="418">
        <v>170.93642864999998</v>
      </c>
      <c r="C76" s="295">
        <v>175.64514153000002</v>
      </c>
      <c r="D76" s="295">
        <v>174.31251030999999</v>
      </c>
      <c r="E76" s="224">
        <v>188.90680407000002</v>
      </c>
      <c r="F76" s="295">
        <v>204.02006085000002</v>
      </c>
      <c r="G76" s="295">
        <v>207.46759636000002</v>
      </c>
      <c r="H76" s="295">
        <v>186.83438080000002</v>
      </c>
      <c r="I76" s="295">
        <v>203.05580090000001</v>
      </c>
      <c r="J76" s="295">
        <v>213.76240427000005</v>
      </c>
      <c r="K76" s="224">
        <v>219.99311474000001</v>
      </c>
      <c r="L76" s="295">
        <v>217.92985419999999</v>
      </c>
      <c r="M76" s="295">
        <v>211.85448992000002</v>
      </c>
      <c r="N76" s="295">
        <v>215.92993747</v>
      </c>
      <c r="O76" s="224">
        <v>239.70803556999999</v>
      </c>
      <c r="P76" s="295">
        <v>239.47330370999998</v>
      </c>
      <c r="Q76" s="295">
        <v>234.80672807999997</v>
      </c>
      <c r="R76" s="224">
        <v>229.53913087999999</v>
      </c>
      <c r="S76" s="295">
        <v>232.65987643</v>
      </c>
      <c r="T76" s="295">
        <v>237.163645</v>
      </c>
      <c r="U76" s="419">
        <v>234.72337445999997</v>
      </c>
      <c r="V76" s="419">
        <v>221.31178463000001</v>
      </c>
      <c r="W76" s="419">
        <v>221.83543841000002</v>
      </c>
      <c r="X76" s="419">
        <v>230.05137770000002</v>
      </c>
      <c r="Y76" s="419">
        <v>236.59052191999996</v>
      </c>
      <c r="Z76" s="419">
        <v>223.99127999999999</v>
      </c>
      <c r="AA76" s="419">
        <v>225.81422472000003</v>
      </c>
      <c r="AB76" s="419">
        <v>237.78054563000001</v>
      </c>
      <c r="AC76" s="419">
        <v>247.32675651999998</v>
      </c>
      <c r="AD76" s="419">
        <v>264.40925977000001</v>
      </c>
      <c r="AE76" s="419">
        <v>261.59533142999999</v>
      </c>
      <c r="AF76" s="419">
        <v>262.79012418999997</v>
      </c>
      <c r="AG76" s="419">
        <v>295.97219816</v>
      </c>
      <c r="AH76" s="419">
        <v>271.45400555000003</v>
      </c>
      <c r="AI76" s="419">
        <v>141.67146149999999</v>
      </c>
      <c r="AJ76" s="419">
        <v>151.87152971</v>
      </c>
      <c r="AK76" s="419">
        <v>157.54848267</v>
      </c>
      <c r="AL76" s="419">
        <v>175.15908869999998</v>
      </c>
      <c r="AM76" s="297">
        <v>230.81793827000001</v>
      </c>
      <c r="AN76" s="297">
        <v>232.78885572000002</v>
      </c>
      <c r="AO76" s="297">
        <v>247.72780985</v>
      </c>
      <c r="AP76" s="297">
        <v>249.77579708810001</v>
      </c>
      <c r="AQ76" s="297">
        <v>248.07917641699999</v>
      </c>
      <c r="AR76" s="418">
        <v>280.53135767120006</v>
      </c>
      <c r="AS76" s="418">
        <v>286.10883836999994</v>
      </c>
      <c r="AT76" s="418">
        <v>180.45772566280002</v>
      </c>
      <c r="AU76" s="418">
        <v>183.11724538059997</v>
      </c>
      <c r="AV76" s="418">
        <v>215.32241526800001</v>
      </c>
      <c r="AW76" s="218">
        <v>211.46693414039996</v>
      </c>
      <c r="AX76" s="218">
        <v>171.08989449640001</v>
      </c>
      <c r="AY76" s="218">
        <v>166.26716344330001</v>
      </c>
      <c r="AZ76" s="218">
        <v>164.67558920899998</v>
      </c>
      <c r="BA76" s="218">
        <v>187.57540123659999</v>
      </c>
      <c r="BB76" s="218">
        <v>193.76297881369999</v>
      </c>
      <c r="BC76" s="218">
        <v>216.64504129520003</v>
      </c>
      <c r="BD76" s="218">
        <v>216.47867992580004</v>
      </c>
      <c r="BE76" s="218">
        <v>211.00784626560002</v>
      </c>
      <c r="BF76" s="218">
        <v>211.91192256750003</v>
      </c>
      <c r="BG76" s="218">
        <v>206.22795136600001</v>
      </c>
      <c r="BH76" s="218">
        <v>239.92225561059999</v>
      </c>
      <c r="BI76" s="218">
        <v>295.14115235830008</v>
      </c>
      <c r="BJ76" s="218">
        <v>298.80265741639994</v>
      </c>
      <c r="BK76" s="218">
        <v>333.97132795199997</v>
      </c>
      <c r="BL76" s="218">
        <v>259.44426351089999</v>
      </c>
      <c r="BM76" s="218">
        <v>258.60289073280001</v>
      </c>
      <c r="BN76" s="218">
        <v>262.26013967080002</v>
      </c>
      <c r="BO76" s="218">
        <v>164.52896009719998</v>
      </c>
      <c r="BP76" s="218">
        <v>131.42626697189999</v>
      </c>
      <c r="BQ76" s="218">
        <v>190.6306799745</v>
      </c>
      <c r="BR76" s="218">
        <v>127.36142975099999</v>
      </c>
      <c r="BS76" s="218">
        <v>136.14031297399998</v>
      </c>
      <c r="BT76" s="218">
        <v>131.06173741124002</v>
      </c>
      <c r="BU76" s="218">
        <v>129.10293678930799</v>
      </c>
      <c r="BV76" s="218">
        <v>129.331952724876</v>
      </c>
      <c r="BW76" s="218">
        <v>129.31503727795001</v>
      </c>
      <c r="BX76" s="218">
        <v>129.39308274300001</v>
      </c>
      <c r="BY76" s="218">
        <v>170.70647576779999</v>
      </c>
      <c r="BZ76" s="218">
        <v>182.8</v>
      </c>
      <c r="CA76" s="218">
        <v>183.56752952760002</v>
      </c>
      <c r="CB76" s="218">
        <v>176.43751019959998</v>
      </c>
      <c r="CC76" s="218">
        <v>139.01630945023601</v>
      </c>
      <c r="CD76" s="218">
        <v>186.31399057854202</v>
      </c>
      <c r="CE76" s="218">
        <v>182.56490639530557</v>
      </c>
      <c r="CF76" s="218">
        <v>183.41916571177896</v>
      </c>
      <c r="CG76" s="218">
        <v>300.87996754313997</v>
      </c>
      <c r="CH76" s="218">
        <v>189.34976841782549</v>
      </c>
      <c r="CI76" s="218">
        <v>193.58912469958003</v>
      </c>
      <c r="CJ76" s="218">
        <v>192.55311272310198</v>
      </c>
      <c r="CK76" s="218">
        <v>191.438390016401</v>
      </c>
      <c r="CL76" s="218">
        <v>193.37200410465812</v>
      </c>
      <c r="CM76" s="218">
        <v>194.80463224966198</v>
      </c>
      <c r="CN76" s="218">
        <v>190.30474627999999</v>
      </c>
      <c r="CO76" s="218">
        <v>184.10183146</v>
      </c>
      <c r="CP76" s="444">
        <v>181.42891610827499</v>
      </c>
      <c r="CQ76" s="218">
        <v>174.67768907999999</v>
      </c>
      <c r="CR76" s="218">
        <v>180.19488547999998</v>
      </c>
      <c r="CS76" s="218">
        <v>150.65892059999999</v>
      </c>
      <c r="CT76" s="218">
        <v>142.95549656999998</v>
      </c>
      <c r="CU76" s="218">
        <v>141.83691468999999</v>
      </c>
      <c r="CV76" s="218">
        <v>140.13510443999999</v>
      </c>
      <c r="CW76" s="218">
        <v>139.62258399999999</v>
      </c>
      <c r="CX76" s="218">
        <v>138.89434047</v>
      </c>
      <c r="CY76" s="218">
        <v>138.78926120000003</v>
      </c>
      <c r="CZ76" s="218">
        <v>150.20258319853718</v>
      </c>
      <c r="DA76" s="218">
        <v>413.15019207000006</v>
      </c>
      <c r="DB76" s="218">
        <v>171.24994308000001</v>
      </c>
      <c r="DC76" s="218">
        <v>201.09359677</v>
      </c>
      <c r="DD76" s="218">
        <v>221.87566929999997</v>
      </c>
      <c r="DE76" s="218">
        <v>228.24603564000006</v>
      </c>
      <c r="DF76" s="218">
        <v>213.37095017899802</v>
      </c>
      <c r="DG76" s="218">
        <v>212.35251475000001</v>
      </c>
      <c r="DH76" s="218">
        <v>206.87660702553265</v>
      </c>
      <c r="DI76" s="218">
        <v>187.68953066000003</v>
      </c>
      <c r="DJ76" s="218">
        <v>209.31629297999996</v>
      </c>
      <c r="DK76" s="218">
        <v>226.36426821999996</v>
      </c>
      <c r="DL76" s="218">
        <v>218.14491839937037</v>
      </c>
      <c r="DM76" s="218">
        <v>232.44302400000001</v>
      </c>
      <c r="DN76" s="218">
        <v>240.83120893</v>
      </c>
      <c r="DO76" s="218">
        <v>230.89062262000002</v>
      </c>
      <c r="DP76" s="218">
        <v>218.4844049147022</v>
      </c>
      <c r="DQ76" s="218">
        <v>221.70121785999999</v>
      </c>
      <c r="DR76" s="218">
        <v>216.98977625222841</v>
      </c>
      <c r="DS76" s="218">
        <v>295.62213912711297</v>
      </c>
      <c r="DT76" s="218">
        <v>225.81273562000001</v>
      </c>
      <c r="DU76" s="218">
        <v>224.03767503999998</v>
      </c>
      <c r="DV76" s="218">
        <v>213.36966798</v>
      </c>
      <c r="DW76" s="218">
        <v>210.43515686999999</v>
      </c>
      <c r="DX76" s="218">
        <v>192.72986306999999</v>
      </c>
      <c r="DY76" s="218">
        <v>185.59059072000002</v>
      </c>
      <c r="DZ76" s="218">
        <v>187.59709548000001</v>
      </c>
      <c r="EA76" s="218">
        <v>185.17919606000001</v>
      </c>
      <c r="EB76" s="218">
        <v>184.66693631999999</v>
      </c>
    </row>
    <row r="77" spans="1:132" ht="15.95" customHeight="1" x14ac:dyDescent="0.25">
      <c r="A77" s="417" t="s">
        <v>331</v>
      </c>
      <c r="B77" s="418">
        <v>2596.5501865300002</v>
      </c>
      <c r="C77" s="295">
        <v>2728.3344441499999</v>
      </c>
      <c r="D77" s="295">
        <v>2909.5961742900004</v>
      </c>
      <c r="E77" s="224">
        <v>3079.1591940899998</v>
      </c>
      <c r="F77" s="295">
        <v>3128.8147533699994</v>
      </c>
      <c r="G77" s="295">
        <v>3144.2081140699997</v>
      </c>
      <c r="H77" s="295">
        <v>2845.62037237</v>
      </c>
      <c r="I77" s="295">
        <v>2823.7775653399995</v>
      </c>
      <c r="J77" s="295">
        <v>2814.7364334700001</v>
      </c>
      <c r="K77" s="224">
        <v>2904.39077292</v>
      </c>
      <c r="L77" s="295">
        <v>2962.4178192599998</v>
      </c>
      <c r="M77" s="295">
        <v>2980.2817295200007</v>
      </c>
      <c r="N77" s="295">
        <v>3029.2860634099998</v>
      </c>
      <c r="O77" s="224">
        <v>3010.2675460300002</v>
      </c>
      <c r="P77" s="295">
        <v>3019.2060799900009</v>
      </c>
      <c r="Q77" s="295">
        <v>2939.8605268599999</v>
      </c>
      <c r="R77" s="224">
        <v>2756.4904686899999</v>
      </c>
      <c r="S77" s="295">
        <v>2915.9152344465542</v>
      </c>
      <c r="T77" s="295">
        <v>2768.6500578450004</v>
      </c>
      <c r="U77" s="419">
        <v>2772.4131680392511</v>
      </c>
      <c r="V77" s="419">
        <v>2766.7621733125252</v>
      </c>
      <c r="W77" s="419">
        <v>2763.1446843929002</v>
      </c>
      <c r="X77" s="419">
        <v>2668.1514365939761</v>
      </c>
      <c r="Y77" s="419">
        <v>2653.2518810400002</v>
      </c>
      <c r="Z77" s="419">
        <v>3042.3274812900004</v>
      </c>
      <c r="AA77" s="419">
        <v>2877.4674097799998</v>
      </c>
      <c r="AB77" s="419">
        <v>2752.9006161899997</v>
      </c>
      <c r="AC77" s="419">
        <v>2830.40396177</v>
      </c>
      <c r="AD77" s="419">
        <v>2790.82607723</v>
      </c>
      <c r="AE77" s="419">
        <v>3026.9384281099997</v>
      </c>
      <c r="AF77" s="419">
        <v>3177.5101067699998</v>
      </c>
      <c r="AG77" s="419">
        <v>2987.8335995299994</v>
      </c>
      <c r="AH77" s="419">
        <v>2730.6400684799996</v>
      </c>
      <c r="AI77" s="419">
        <v>2627.1761495200003</v>
      </c>
      <c r="AJ77" s="419">
        <v>2675.84780133</v>
      </c>
      <c r="AK77" s="419">
        <v>2474.4114968300005</v>
      </c>
      <c r="AL77" s="419">
        <v>3197.7035656499997</v>
      </c>
      <c r="AM77" s="297">
        <v>3274.6508887300001</v>
      </c>
      <c r="AN77" s="297">
        <v>3229.1463569000002</v>
      </c>
      <c r="AO77" s="297">
        <v>3177.4947331900007</v>
      </c>
      <c r="AP77" s="297">
        <v>3187.3629540861002</v>
      </c>
      <c r="AQ77" s="297">
        <v>3349.3619741813991</v>
      </c>
      <c r="AR77" s="418">
        <v>3366.4795072812003</v>
      </c>
      <c r="AS77" s="418">
        <v>3303.6324183299998</v>
      </c>
      <c r="AT77" s="418">
        <v>3111.1945311803993</v>
      </c>
      <c r="AU77" s="418">
        <v>3193.7910912100001</v>
      </c>
      <c r="AV77" s="418">
        <v>3103.8781085839996</v>
      </c>
      <c r="AW77" s="218">
        <v>2928.6133920955999</v>
      </c>
      <c r="AX77" s="218">
        <v>2963.7313020492002</v>
      </c>
      <c r="AY77" s="218">
        <v>2938.3566646252002</v>
      </c>
      <c r="AZ77" s="218">
        <v>2711.3066640202996</v>
      </c>
      <c r="BA77" s="218">
        <v>2795.3987405204002</v>
      </c>
      <c r="BB77" s="218">
        <v>2880.5267584588801</v>
      </c>
      <c r="BC77" s="218">
        <v>2952.6115308552003</v>
      </c>
      <c r="BD77" s="218">
        <v>2864.8586043250007</v>
      </c>
      <c r="BE77" s="218">
        <v>2930.8580810880003</v>
      </c>
      <c r="BF77" s="218">
        <v>2891.5895283575001</v>
      </c>
      <c r="BG77" s="218">
        <v>2838.0617190780004</v>
      </c>
      <c r="BH77" s="218">
        <v>2944.6366314465995</v>
      </c>
      <c r="BI77" s="218">
        <v>3008.9769236990005</v>
      </c>
      <c r="BJ77" s="218">
        <v>3533.2368273919001</v>
      </c>
      <c r="BK77" s="218">
        <v>3618.4034594908999</v>
      </c>
      <c r="BL77" s="218">
        <v>3551.8792267910994</v>
      </c>
      <c r="BM77" s="218">
        <v>3832.3431801232</v>
      </c>
      <c r="BN77" s="218">
        <v>3809.0509310370885</v>
      </c>
      <c r="BO77" s="218">
        <v>3798.5976251253501</v>
      </c>
      <c r="BP77" s="218">
        <v>3831.1426068228502</v>
      </c>
      <c r="BQ77" s="218">
        <v>3547.1549992627006</v>
      </c>
      <c r="BR77" s="218">
        <v>3418.2093466778997</v>
      </c>
      <c r="BS77" s="218">
        <v>3340.9128605368005</v>
      </c>
      <c r="BT77" s="218">
        <v>3380.4020304581895</v>
      </c>
      <c r="BU77" s="218">
        <v>3323.1456490375858</v>
      </c>
      <c r="BV77" s="218">
        <v>2968.4846577102885</v>
      </c>
      <c r="BW77" s="218">
        <v>2813.6489838014845</v>
      </c>
      <c r="BX77" s="218">
        <v>2732.2719128364997</v>
      </c>
      <c r="BY77" s="218">
        <v>2974.0951833459003</v>
      </c>
      <c r="BZ77" s="218">
        <v>2817</v>
      </c>
      <c r="CA77" s="218">
        <v>2837.3510708371996</v>
      </c>
      <c r="CB77" s="218">
        <v>3102.4689712722002</v>
      </c>
      <c r="CC77" s="218">
        <v>3055.04111768346</v>
      </c>
      <c r="CD77" s="218">
        <v>3065.8865691988594</v>
      </c>
      <c r="CE77" s="218">
        <v>4081.1573370679516</v>
      </c>
      <c r="CF77" s="218">
        <v>3915.3233154245936</v>
      </c>
      <c r="CG77" s="218">
        <v>4015.0784773517562</v>
      </c>
      <c r="CH77" s="218">
        <v>4089.6324566280032</v>
      </c>
      <c r="CI77" s="218">
        <v>3974.6736125931457</v>
      </c>
      <c r="CJ77" s="218">
        <v>4073.050410438012</v>
      </c>
      <c r="CK77" s="218">
        <v>4211.3877397280557</v>
      </c>
      <c r="CL77" s="218">
        <v>4272.3848789349922</v>
      </c>
      <c r="CM77" s="218">
        <v>4291.6108485981404</v>
      </c>
      <c r="CN77" s="218">
        <v>4616.543225557617</v>
      </c>
      <c r="CO77" s="218">
        <v>4096.2518992411524</v>
      </c>
      <c r="CP77" s="444">
        <v>4115.1193051536993</v>
      </c>
      <c r="CQ77" s="218">
        <v>4081.4234265000291</v>
      </c>
      <c r="CR77" s="218">
        <v>4309.7097870683847</v>
      </c>
      <c r="CS77" s="218">
        <v>4108.5485677510987</v>
      </c>
      <c r="CT77" s="218">
        <v>4488.7173207579272</v>
      </c>
      <c r="CU77" s="218">
        <v>4213.6033043803018</v>
      </c>
      <c r="CV77" s="218">
        <v>4199.9083640801036</v>
      </c>
      <c r="CW77" s="218">
        <v>4115.1903926876957</v>
      </c>
      <c r="CX77" s="218">
        <v>4170.14068813214</v>
      </c>
      <c r="CY77" s="218">
        <v>4315.4660694582199</v>
      </c>
      <c r="CZ77" s="218">
        <v>4081.9804658373801</v>
      </c>
      <c r="DA77" s="218">
        <v>3673.6774374420838</v>
      </c>
      <c r="DB77" s="218">
        <v>4151.1975831125192</v>
      </c>
      <c r="DC77" s="218">
        <v>4081.7156975464591</v>
      </c>
      <c r="DD77" s="218">
        <v>3959.0655665604713</v>
      </c>
      <c r="DE77" s="218">
        <v>3906.7081656705291</v>
      </c>
      <c r="DF77" s="218">
        <v>4349.5844960782042</v>
      </c>
      <c r="DG77" s="218">
        <v>4192.9559920410848</v>
      </c>
      <c r="DH77" s="218">
        <v>4201.7592408856599</v>
      </c>
      <c r="DI77" s="218">
        <v>4183.4163093699008</v>
      </c>
      <c r="DJ77" s="218">
        <v>4079.3917044130503</v>
      </c>
      <c r="DK77" s="218">
        <v>4430.5178980626324</v>
      </c>
      <c r="DL77" s="218">
        <v>4165.6654143317483</v>
      </c>
      <c r="DM77" s="218">
        <v>4249.3336483746889</v>
      </c>
      <c r="DN77" s="218">
        <v>4542.1858834884351</v>
      </c>
      <c r="DO77" s="218">
        <v>4353.3015644878624</v>
      </c>
      <c r="DP77" s="218">
        <v>4383.0347837673398</v>
      </c>
      <c r="DQ77" s="218">
        <v>4173.3990278289375</v>
      </c>
      <c r="DR77" s="218">
        <v>4222.1446682646138</v>
      </c>
      <c r="DS77" s="218">
        <v>4049.465353286575</v>
      </c>
      <c r="DT77" s="218">
        <v>3977.058288260625</v>
      </c>
      <c r="DU77" s="218">
        <v>4308.2451038013987</v>
      </c>
      <c r="DV77" s="218">
        <v>4147.4662306167911</v>
      </c>
      <c r="DW77" s="218">
        <v>3983.3924302652281</v>
      </c>
      <c r="DX77" s="218">
        <v>3995.8194678224281</v>
      </c>
      <c r="DY77" s="218">
        <v>4000.0699492429708</v>
      </c>
      <c r="DZ77" s="218">
        <v>4248.345505298329</v>
      </c>
      <c r="EA77" s="218">
        <v>3928.7115468695652</v>
      </c>
      <c r="EB77" s="218">
        <v>3770.4451516473569</v>
      </c>
    </row>
    <row r="78" spans="1:132" ht="15.95" customHeight="1" x14ac:dyDescent="0.25">
      <c r="A78" s="417" t="s">
        <v>332</v>
      </c>
      <c r="B78" s="418">
        <v>980.23024373999999</v>
      </c>
      <c r="C78" s="295">
        <v>984.92177760000004</v>
      </c>
      <c r="D78" s="295">
        <v>1064.8516445400001</v>
      </c>
      <c r="E78" s="224">
        <v>1161.73213667</v>
      </c>
      <c r="F78" s="295">
        <v>1264.4477160399999</v>
      </c>
      <c r="G78" s="295">
        <v>1295.9474507599998</v>
      </c>
      <c r="H78" s="295">
        <v>1317.1489695400001</v>
      </c>
      <c r="I78" s="295">
        <v>1447.0662225500002</v>
      </c>
      <c r="J78" s="295">
        <v>1383.5399454999999</v>
      </c>
      <c r="K78" s="224">
        <v>1317.8374725399999</v>
      </c>
      <c r="L78" s="295">
        <v>1343.9419001899998</v>
      </c>
      <c r="M78" s="295">
        <v>1396.99730494</v>
      </c>
      <c r="N78" s="295">
        <v>1340.56581104</v>
      </c>
      <c r="O78" s="224">
        <v>1387.26277254</v>
      </c>
      <c r="P78" s="295">
        <v>1372.9394664400002</v>
      </c>
      <c r="Q78" s="295">
        <v>1421.6276175900002</v>
      </c>
      <c r="R78" s="224">
        <v>1507.6636117924002</v>
      </c>
      <c r="S78" s="295">
        <v>1573.9949470318002</v>
      </c>
      <c r="T78" s="295">
        <v>1722.4363136500001</v>
      </c>
      <c r="U78" s="419">
        <v>1795.7383503288502</v>
      </c>
      <c r="V78" s="419">
        <v>1773.439615981202</v>
      </c>
      <c r="W78" s="419">
        <v>1717.7745489742003</v>
      </c>
      <c r="X78" s="419">
        <v>1637.4366985464499</v>
      </c>
      <c r="Y78" s="419">
        <v>1539.8403402826239</v>
      </c>
      <c r="Z78" s="419">
        <v>1585.6892814952</v>
      </c>
      <c r="AA78" s="419">
        <v>1592.1849157792997</v>
      </c>
      <c r="AB78" s="419">
        <v>1640.9179640605998</v>
      </c>
      <c r="AC78" s="419">
        <v>1626.9668408</v>
      </c>
      <c r="AD78" s="419">
        <v>1647.3935448851748</v>
      </c>
      <c r="AE78" s="419">
        <v>1711.3549261478584</v>
      </c>
      <c r="AF78" s="419">
        <v>1852.0161032668748</v>
      </c>
      <c r="AG78" s="419">
        <v>1851.7207908294001</v>
      </c>
      <c r="AH78" s="419">
        <v>1744.009102191</v>
      </c>
      <c r="AI78" s="419">
        <v>2003.3701400983998</v>
      </c>
      <c r="AJ78" s="419">
        <v>2014.3410036432999</v>
      </c>
      <c r="AK78" s="419">
        <v>1972.1951292074</v>
      </c>
      <c r="AL78" s="419">
        <v>2008.5439573236997</v>
      </c>
      <c r="AM78" s="297">
        <v>1950.3677723226499</v>
      </c>
      <c r="AN78" s="297">
        <v>1957.1964882681498</v>
      </c>
      <c r="AO78" s="297">
        <v>1974.7794164961749</v>
      </c>
      <c r="AP78" s="297">
        <v>2040.8925058418999</v>
      </c>
      <c r="AQ78" s="297">
        <v>2094.5599331476001</v>
      </c>
      <c r="AR78" s="418">
        <v>2273.3662403398002</v>
      </c>
      <c r="AS78" s="418">
        <v>2284.82513453</v>
      </c>
      <c r="AT78" s="418">
        <v>2312.4173463711995</v>
      </c>
      <c r="AU78" s="418">
        <v>2405.5725340179001</v>
      </c>
      <c r="AV78" s="418">
        <v>2080.4320675500003</v>
      </c>
      <c r="AW78" s="218">
        <v>2038.9051181703999</v>
      </c>
      <c r="AX78" s="218">
        <v>1996.8411880880001</v>
      </c>
      <c r="AY78" s="218">
        <v>1839.1334042208</v>
      </c>
      <c r="AZ78" s="218">
        <v>1775.2370680224001</v>
      </c>
      <c r="BA78" s="218">
        <v>1781.8879383338997</v>
      </c>
      <c r="BB78" s="218">
        <v>1733.3280549572999</v>
      </c>
      <c r="BC78" s="218">
        <v>1687.4421625119001</v>
      </c>
      <c r="BD78" s="218">
        <v>1728.2964649740002</v>
      </c>
      <c r="BE78" s="218">
        <v>1709.5587619982248</v>
      </c>
      <c r="BF78" s="218">
        <v>1680.2670195575001</v>
      </c>
      <c r="BG78" s="218">
        <v>1765.4473968919001</v>
      </c>
      <c r="BH78" s="218">
        <v>1630.264748087083</v>
      </c>
      <c r="BI78" s="218">
        <v>1758.4906230155573</v>
      </c>
      <c r="BJ78" s="218">
        <v>1774.2342625040048</v>
      </c>
      <c r="BK78" s="218">
        <v>1917.176053046619</v>
      </c>
      <c r="BL78" s="218">
        <v>1887.4419548123219</v>
      </c>
      <c r="BM78" s="218">
        <v>1949.9066522285577</v>
      </c>
      <c r="BN78" s="218">
        <v>2092.846193699133</v>
      </c>
      <c r="BO78" s="218">
        <v>2157.2972576502075</v>
      </c>
      <c r="BP78" s="218">
        <v>2272.024509281342</v>
      </c>
      <c r="BQ78" s="218">
        <v>2187.863911019781</v>
      </c>
      <c r="BR78" s="218">
        <v>2205.0417271563315</v>
      </c>
      <c r="BS78" s="218">
        <v>2132.1853027837919</v>
      </c>
      <c r="BT78" s="218">
        <v>2101.391174822535</v>
      </c>
      <c r="BU78" s="218">
        <v>2035.8902032148819</v>
      </c>
      <c r="BV78" s="218">
        <v>2057.3524325162798</v>
      </c>
      <c r="BW78" s="218">
        <v>1909.773003650515</v>
      </c>
      <c r="BX78" s="218">
        <v>2062.5337066614998</v>
      </c>
      <c r="BY78" s="218">
        <v>2208.2855191596996</v>
      </c>
      <c r="BZ78" s="218">
        <v>2115</v>
      </c>
      <c r="CA78" s="218">
        <v>2373.060328675218</v>
      </c>
      <c r="CB78" s="218">
        <v>2399.3921269732755</v>
      </c>
      <c r="CC78" s="218">
        <v>2664.4811327528801</v>
      </c>
      <c r="CD78" s="218">
        <v>2625.5790305945056</v>
      </c>
      <c r="CE78" s="218">
        <v>2615.944451690405</v>
      </c>
      <c r="CF78" s="218">
        <v>2629.3997733608912</v>
      </c>
      <c r="CG78" s="218">
        <v>2650.000372491847</v>
      </c>
      <c r="CH78" s="218">
        <v>2727.9983327963355</v>
      </c>
      <c r="CI78" s="218">
        <v>2554.8705156994642</v>
      </c>
      <c r="CJ78" s="218">
        <v>2640.3368523476615</v>
      </c>
      <c r="CK78" s="218">
        <v>2518.1580746859022</v>
      </c>
      <c r="CL78" s="218">
        <v>2492.8496561276129</v>
      </c>
      <c r="CM78" s="218">
        <v>2648.9423054894769</v>
      </c>
      <c r="CN78" s="218">
        <v>2733.3545994332299</v>
      </c>
      <c r="CO78" s="218">
        <v>2691.7913271471339</v>
      </c>
      <c r="CP78" s="444">
        <v>2622.3686264012754</v>
      </c>
      <c r="CQ78" s="218">
        <v>2545.1727399460792</v>
      </c>
      <c r="CR78" s="218">
        <v>2581.0379001508049</v>
      </c>
      <c r="CS78" s="218">
        <v>2634.5466143439139</v>
      </c>
      <c r="CT78" s="218">
        <v>2776.7886738517936</v>
      </c>
      <c r="CU78" s="218">
        <v>2771.2324755480768</v>
      </c>
      <c r="CV78" s="218">
        <v>2765.4879292110641</v>
      </c>
      <c r="CW78" s="218">
        <v>2817.2013231710243</v>
      </c>
      <c r="CX78" s="218">
        <v>2692.3051130650115</v>
      </c>
      <c r="CY78" s="218">
        <v>2758.7257345080266</v>
      </c>
      <c r="CZ78" s="218">
        <v>2626.4922853346998</v>
      </c>
      <c r="DA78" s="218">
        <v>2699.280615270914</v>
      </c>
      <c r="DB78" s="218">
        <v>2781.9294618926419</v>
      </c>
      <c r="DC78" s="218">
        <v>2853.8265496089525</v>
      </c>
      <c r="DD78" s="218">
        <v>2980.9015684985775</v>
      </c>
      <c r="DE78" s="218">
        <v>3115.6708627065382</v>
      </c>
      <c r="DF78" s="218">
        <v>3176.2129110240426</v>
      </c>
      <c r="DG78" s="218">
        <v>3138.3813854848954</v>
      </c>
      <c r="DH78" s="218">
        <v>3205.526862177162</v>
      </c>
      <c r="DI78" s="218">
        <v>3253.2728800943682</v>
      </c>
      <c r="DJ78" s="218">
        <v>3118.7979194380932</v>
      </c>
      <c r="DK78" s="218">
        <v>3234.9649206519321</v>
      </c>
      <c r="DL78" s="218">
        <v>3311.0891876378682</v>
      </c>
      <c r="DM78" s="218">
        <v>3392.5145879029296</v>
      </c>
      <c r="DN78" s="218">
        <v>3305.5478652147808</v>
      </c>
      <c r="DO78" s="218">
        <v>3317.0097368279821</v>
      </c>
      <c r="DP78" s="218">
        <v>3477.1383056122017</v>
      </c>
      <c r="DQ78" s="218">
        <v>3539.528827914563</v>
      </c>
      <c r="DR78" s="218">
        <v>3464.6939366267161</v>
      </c>
      <c r="DS78" s="218">
        <v>3501.6309818412997</v>
      </c>
      <c r="DT78" s="218">
        <v>3607.9660098089271</v>
      </c>
      <c r="DU78" s="218">
        <v>3666.9043339487594</v>
      </c>
      <c r="DV78" s="218">
        <v>3743.0239011166468</v>
      </c>
      <c r="DW78" s="218">
        <v>3774.6801385012468</v>
      </c>
      <c r="DX78" s="218">
        <v>3875.4854928695354</v>
      </c>
      <c r="DY78" s="218">
        <v>3738.676880784486</v>
      </c>
      <c r="DZ78" s="218">
        <v>3748.9283036975021</v>
      </c>
      <c r="EA78" s="218">
        <v>3784.8594443479451</v>
      </c>
      <c r="EB78" s="218">
        <v>3868.1297761583996</v>
      </c>
    </row>
    <row r="79" spans="1:132" ht="15.95" customHeight="1" x14ac:dyDescent="0.25">
      <c r="A79" s="417" t="s">
        <v>333</v>
      </c>
      <c r="B79" s="418">
        <v>413.84675399999998</v>
      </c>
      <c r="C79" s="295">
        <v>387.71471287000003</v>
      </c>
      <c r="D79" s="295">
        <v>420.55177997999999</v>
      </c>
      <c r="E79" s="224">
        <v>470.66794386439994</v>
      </c>
      <c r="F79" s="295">
        <v>402.09864603999995</v>
      </c>
      <c r="G79" s="295">
        <v>553.79862693180007</v>
      </c>
      <c r="H79" s="295">
        <f>573.9972542648+0.1</f>
        <v>574.09725426479997</v>
      </c>
      <c r="I79" s="295">
        <v>577.83011993000002</v>
      </c>
      <c r="J79" s="295">
        <v>615.03901163</v>
      </c>
      <c r="K79" s="224">
        <v>584.54138517000013</v>
      </c>
      <c r="L79" s="295">
        <v>579.0469243</v>
      </c>
      <c r="M79" s="295">
        <v>712.27345866100006</v>
      </c>
      <c r="N79" s="295">
        <v>620.18349624489792</v>
      </c>
      <c r="O79" s="224">
        <v>713.96697638269995</v>
      </c>
      <c r="P79" s="295">
        <v>658.40485823000006</v>
      </c>
      <c r="Q79" s="295">
        <v>608.51311649000002</v>
      </c>
      <c r="R79" s="224">
        <v>688.01962002999994</v>
      </c>
      <c r="S79" s="295">
        <v>686.71307084999989</v>
      </c>
      <c r="T79" s="295">
        <v>780.01989613875003</v>
      </c>
      <c r="U79" s="419">
        <v>675.14715115000001</v>
      </c>
      <c r="V79" s="419">
        <v>569.92586416000006</v>
      </c>
      <c r="W79" s="419">
        <v>726.47181881870006</v>
      </c>
      <c r="X79" s="419">
        <v>685.60675810999999</v>
      </c>
      <c r="Y79" s="419">
        <v>716.73692900072194</v>
      </c>
      <c r="Z79" s="419">
        <v>750.5275350931081</v>
      </c>
      <c r="AA79" s="419">
        <v>829.34354624986327</v>
      </c>
      <c r="AB79" s="419">
        <v>841.05852379507746</v>
      </c>
      <c r="AC79" s="419">
        <v>668.65738075090007</v>
      </c>
      <c r="AD79" s="419">
        <v>687.12652243302</v>
      </c>
      <c r="AE79" s="419">
        <v>735.16956825000011</v>
      </c>
      <c r="AF79" s="419">
        <v>900.72184819898757</v>
      </c>
      <c r="AG79" s="419">
        <v>626.33675765084809</v>
      </c>
      <c r="AH79" s="419">
        <v>702.53576076392005</v>
      </c>
      <c r="AI79" s="419">
        <v>880.88564889200006</v>
      </c>
      <c r="AJ79" s="419">
        <v>675.45435220000002</v>
      </c>
      <c r="AK79" s="419">
        <v>584.44780127317597</v>
      </c>
      <c r="AL79" s="419">
        <v>737.85789605069522</v>
      </c>
      <c r="AM79" s="297">
        <v>866.56231034441009</v>
      </c>
      <c r="AN79" s="297">
        <v>678.29072574095608</v>
      </c>
      <c r="AO79" s="297">
        <v>1527.3805499036951</v>
      </c>
      <c r="AP79" s="297">
        <v>1295.2263184526551</v>
      </c>
      <c r="AQ79" s="297">
        <v>1422.3451943110181</v>
      </c>
      <c r="AR79" s="418">
        <v>1056.7846609286521</v>
      </c>
      <c r="AS79" s="418">
        <v>1229.6104045939999</v>
      </c>
      <c r="AT79" s="418">
        <v>906.67905668905587</v>
      </c>
      <c r="AU79" s="418">
        <v>578.81288210366392</v>
      </c>
      <c r="AV79" s="418">
        <v>861.26879576268004</v>
      </c>
      <c r="AW79" s="218">
        <v>603.29581028851203</v>
      </c>
      <c r="AX79" s="218">
        <v>911.56455797679996</v>
      </c>
      <c r="AY79" s="218">
        <v>656.64490213699992</v>
      </c>
      <c r="AZ79" s="218">
        <v>613.94171576660403</v>
      </c>
      <c r="BA79" s="218">
        <v>778.01353414814605</v>
      </c>
      <c r="BB79" s="218">
        <v>330.39156201943399</v>
      </c>
      <c r="BC79" s="218">
        <v>703.752658738896</v>
      </c>
      <c r="BD79" s="218">
        <v>378.31303774711597</v>
      </c>
      <c r="BE79" s="218">
        <v>777.61764231255211</v>
      </c>
      <c r="BF79" s="218">
        <v>972.54357222907504</v>
      </c>
      <c r="BG79" s="218">
        <v>507.13602484279994</v>
      </c>
      <c r="BH79" s="218">
        <v>371.76182853999802</v>
      </c>
      <c r="BI79" s="218">
        <v>489.59653219372797</v>
      </c>
      <c r="BJ79" s="218">
        <v>932.86962041714389</v>
      </c>
      <c r="BK79" s="218">
        <v>687.25684644849991</v>
      </c>
      <c r="BL79" s="218">
        <v>761.78819383127779</v>
      </c>
      <c r="BM79" s="218">
        <v>512.278613165058</v>
      </c>
      <c r="BN79" s="218">
        <v>530.18748350047599</v>
      </c>
      <c r="BO79" s="218">
        <v>531.17929945000003</v>
      </c>
      <c r="BP79" s="218">
        <v>425.31569058415681</v>
      </c>
      <c r="BQ79" s="218">
        <v>670.35461767999993</v>
      </c>
      <c r="BR79" s="218">
        <v>483.4098159166</v>
      </c>
      <c r="BS79" s="218">
        <v>868.84150808879997</v>
      </c>
      <c r="BT79" s="218">
        <v>603.08980525999993</v>
      </c>
      <c r="BU79" s="218">
        <v>798.9584258299999</v>
      </c>
      <c r="BV79" s="218">
        <v>705.69252717999996</v>
      </c>
      <c r="BW79" s="218">
        <v>894.33995304000007</v>
      </c>
      <c r="BX79" s="218">
        <v>306.80834706000002</v>
      </c>
      <c r="BY79" s="218">
        <v>873.98799632000009</v>
      </c>
      <c r="BZ79" s="218">
        <v>528.9</v>
      </c>
      <c r="CA79" s="218">
        <v>518.87873169</v>
      </c>
      <c r="CB79" s="218">
        <v>865.17307844000004</v>
      </c>
      <c r="CC79" s="218">
        <v>806.41236710429996</v>
      </c>
      <c r="CD79" s="218">
        <v>451.12586156000003</v>
      </c>
      <c r="CE79" s="218">
        <v>815.53057077999995</v>
      </c>
      <c r="CF79" s="218">
        <v>730.49962983000012</v>
      </c>
      <c r="CG79" s="218">
        <v>216.06602546103662</v>
      </c>
      <c r="CH79" s="218">
        <v>1095.51882439</v>
      </c>
      <c r="CI79" s="218">
        <v>825.96856993999995</v>
      </c>
      <c r="CJ79" s="218">
        <v>1838.2583189299999</v>
      </c>
      <c r="CK79" s="218">
        <v>1395.7559655300001</v>
      </c>
      <c r="CL79" s="218">
        <v>630.60741853000002</v>
      </c>
      <c r="CM79" s="218">
        <v>1621.0615097153709</v>
      </c>
      <c r="CN79" s="218">
        <v>1220.36357656</v>
      </c>
      <c r="CO79" s="218">
        <v>819.69090984999991</v>
      </c>
      <c r="CP79" s="444">
        <v>504.16003483999998</v>
      </c>
      <c r="CQ79" s="218">
        <v>1238.1449269100001</v>
      </c>
      <c r="CR79" s="218">
        <v>1140.04035649</v>
      </c>
      <c r="CS79" s="218">
        <v>703.21733310000002</v>
      </c>
      <c r="CT79" s="218">
        <v>684.36384705</v>
      </c>
      <c r="CU79" s="218">
        <v>1301.96150128</v>
      </c>
      <c r="CV79" s="218">
        <v>864.33347046000006</v>
      </c>
      <c r="CW79" s="218">
        <v>914.98422255999992</v>
      </c>
      <c r="CX79" s="218">
        <v>1790.3749071999998</v>
      </c>
      <c r="CY79" s="218">
        <v>1304.99932317</v>
      </c>
      <c r="CZ79" s="218">
        <v>827.68946298000003</v>
      </c>
      <c r="DA79" s="218">
        <v>1578.7827972000002</v>
      </c>
      <c r="DB79" s="218">
        <v>1071.8888474293335</v>
      </c>
      <c r="DC79" s="218">
        <v>736.10564290999991</v>
      </c>
      <c r="DD79" s="218">
        <v>1451.38889421</v>
      </c>
      <c r="DE79" s="218">
        <v>823.87108721000004</v>
      </c>
      <c r="DF79" s="218">
        <v>1712.3264184899999</v>
      </c>
      <c r="DG79" s="218">
        <v>1029.4043384700001</v>
      </c>
      <c r="DH79" s="218">
        <v>755.77667117999999</v>
      </c>
      <c r="DI79" s="218">
        <v>1601.5692715500002</v>
      </c>
      <c r="DJ79" s="218">
        <v>1197.8285538500002</v>
      </c>
      <c r="DK79" s="218">
        <v>1778.7056714099999</v>
      </c>
      <c r="DL79" s="218">
        <v>1602.5889971900001</v>
      </c>
      <c r="DM79" s="218">
        <v>1254.8049255399999</v>
      </c>
      <c r="DN79" s="218">
        <v>1805.6067520099998</v>
      </c>
      <c r="DO79" s="218">
        <v>1329.1787626800001</v>
      </c>
      <c r="DP79" s="218">
        <v>985.26555260999987</v>
      </c>
      <c r="DQ79" s="218">
        <v>1361.29465749</v>
      </c>
      <c r="DR79" s="218">
        <v>1195.96058219</v>
      </c>
      <c r="DS79" s="218">
        <v>983.55960474000005</v>
      </c>
      <c r="DT79" s="218">
        <v>1189.0937919</v>
      </c>
      <c r="DU79" s="218">
        <v>1364.5876762</v>
      </c>
      <c r="DV79" s="218">
        <v>1570.7599306399998</v>
      </c>
      <c r="DW79" s="218">
        <v>1405.9668866299999</v>
      </c>
      <c r="DX79" s="218">
        <v>1460.9066630100001</v>
      </c>
      <c r="DY79" s="218">
        <v>1459.9530748299999</v>
      </c>
      <c r="DZ79" s="218">
        <v>1451.6816150700001</v>
      </c>
      <c r="EA79" s="218">
        <v>1364.1336540999998</v>
      </c>
      <c r="EB79" s="218">
        <v>1160.7364001800001</v>
      </c>
    </row>
    <row r="80" spans="1:132" ht="15.95" customHeight="1" x14ac:dyDescent="0.25">
      <c r="A80" s="417" t="s">
        <v>334</v>
      </c>
      <c r="B80" s="418">
        <v>9.2082149999999992</v>
      </c>
      <c r="C80" s="295">
        <v>15.130636729999999</v>
      </c>
      <c r="D80" s="295">
        <v>14.09070981</v>
      </c>
      <c r="E80" s="224">
        <v>14.09967275</v>
      </c>
      <c r="F80" s="295">
        <v>14.232358609999999</v>
      </c>
      <c r="G80" s="295">
        <v>14.381935169999998</v>
      </c>
      <c r="H80" s="295">
        <v>12.192188849999999</v>
      </c>
      <c r="I80" s="295">
        <v>18.957254389999999</v>
      </c>
      <c r="J80" s="295">
        <v>15.979137799999998</v>
      </c>
      <c r="K80" s="224">
        <v>13.42206968</v>
      </c>
      <c r="L80" s="295">
        <v>11.74652305</v>
      </c>
      <c r="M80" s="295">
        <v>9.4889074499999992</v>
      </c>
      <c r="N80" s="295">
        <v>8.4947467400000001</v>
      </c>
      <c r="O80" s="224">
        <v>8.0731414399999988</v>
      </c>
      <c r="P80" s="295">
        <v>8.4483048000000007</v>
      </c>
      <c r="Q80" s="295">
        <v>11.525518999999999</v>
      </c>
      <c r="R80" s="224">
        <v>6.68418913</v>
      </c>
      <c r="S80" s="295">
        <v>4.1223927099999997</v>
      </c>
      <c r="T80" s="295">
        <v>4.8287272199999993</v>
      </c>
      <c r="U80" s="419">
        <v>4.8251895599999992</v>
      </c>
      <c r="V80" s="419">
        <v>4.6974282199999999</v>
      </c>
      <c r="W80" s="419">
        <v>4.7213665000000002</v>
      </c>
      <c r="X80" s="419">
        <v>6.0938232400000008</v>
      </c>
      <c r="Y80" s="419">
        <v>8.2278201000000006</v>
      </c>
      <c r="Z80" s="419">
        <v>4.2234435599999998</v>
      </c>
      <c r="AA80" s="419">
        <v>9.0342966699999998</v>
      </c>
      <c r="AB80" s="419">
        <v>4.7046386199999999</v>
      </c>
      <c r="AC80" s="419">
        <v>5.1620789599999997</v>
      </c>
      <c r="AD80" s="419">
        <v>3.4242601499999998</v>
      </c>
      <c r="AE80" s="419">
        <v>3.1273637999999999</v>
      </c>
      <c r="AF80" s="419">
        <v>3.1480537799999997</v>
      </c>
      <c r="AG80" s="419">
        <v>7.4009362200000011</v>
      </c>
      <c r="AH80" s="419">
        <v>3.9887107999999998</v>
      </c>
      <c r="AI80" s="419">
        <v>14.303279709999998</v>
      </c>
      <c r="AJ80" s="419">
        <v>14.514705289271999</v>
      </c>
      <c r="AK80" s="419">
        <v>17.635619590000001</v>
      </c>
      <c r="AL80" s="419">
        <v>17.674157600000001</v>
      </c>
      <c r="AM80" s="297">
        <v>19.120787249999999</v>
      </c>
      <c r="AN80" s="297">
        <v>20.53060009</v>
      </c>
      <c r="AO80" s="297">
        <v>14.456015839999999</v>
      </c>
      <c r="AP80" s="297">
        <v>30.108672459999998</v>
      </c>
      <c r="AQ80" s="297">
        <v>29.023399640000001</v>
      </c>
      <c r="AR80" s="418">
        <v>41.703878620000005</v>
      </c>
      <c r="AS80" s="418">
        <v>32.84776462</v>
      </c>
      <c r="AT80" s="418">
        <v>23.172390910000001</v>
      </c>
      <c r="AU80" s="418">
        <v>76.196029580000001</v>
      </c>
      <c r="AV80" s="418">
        <v>80.532109470000009</v>
      </c>
      <c r="AW80" s="218">
        <v>77.896253770000015</v>
      </c>
      <c r="AX80" s="218">
        <v>26.108179939999996</v>
      </c>
      <c r="AY80" s="218">
        <v>24.000301149999999</v>
      </c>
      <c r="AZ80" s="218">
        <v>40.929119119999996</v>
      </c>
      <c r="BA80" s="218">
        <v>27.802093929999998</v>
      </c>
      <c r="BB80" s="218">
        <v>39.650065099999999</v>
      </c>
      <c r="BC80" s="218">
        <v>81.149647590000001</v>
      </c>
      <c r="BD80" s="218">
        <v>70.597618319999995</v>
      </c>
      <c r="BE80" s="218">
        <v>73.868281710000005</v>
      </c>
      <c r="BF80" s="218">
        <v>77.145528659999997</v>
      </c>
      <c r="BG80" s="218">
        <v>112.07570609999999</v>
      </c>
      <c r="BH80" s="218">
        <v>110.97133771999999</v>
      </c>
      <c r="BI80" s="218">
        <v>105.62168512999999</v>
      </c>
      <c r="BJ80" s="218">
        <v>115.63004670999999</v>
      </c>
      <c r="BK80" s="218">
        <v>135.46235916000003</v>
      </c>
      <c r="BL80" s="218">
        <v>118.27584425000001</v>
      </c>
      <c r="BM80" s="218">
        <v>108.35563309</v>
      </c>
      <c r="BN80" s="218">
        <v>61.374925559999994</v>
      </c>
      <c r="BO80" s="218">
        <v>50.97808637</v>
      </c>
      <c r="BP80" s="218">
        <v>57.732735480000002</v>
      </c>
      <c r="BQ80" s="218">
        <v>136.51918113490001</v>
      </c>
      <c r="BR80" s="218">
        <v>114.97277867999999</v>
      </c>
      <c r="BS80" s="218">
        <v>129.1735818192</v>
      </c>
      <c r="BT80" s="218">
        <v>98.425029780000003</v>
      </c>
      <c r="BU80" s="218">
        <v>36.445019000000002</v>
      </c>
      <c r="BV80" s="218">
        <v>39.417606970000001</v>
      </c>
      <c r="BW80" s="218">
        <v>49.537174469999997</v>
      </c>
      <c r="BX80" s="218">
        <v>43.361054930000002</v>
      </c>
      <c r="BY80" s="218">
        <v>42.657346789999998</v>
      </c>
      <c r="BZ80" s="218">
        <v>47.9</v>
      </c>
      <c r="CA80" s="218">
        <v>49.624005610000005</v>
      </c>
      <c r="CB80" s="218">
        <v>53.410277410000006</v>
      </c>
      <c r="CC80" s="218">
        <v>53.435988109999997</v>
      </c>
      <c r="CD80" s="218">
        <v>56.111443069999993</v>
      </c>
      <c r="CE80" s="218">
        <v>59.040814670000003</v>
      </c>
      <c r="CF80" s="218">
        <v>60.972492910000007</v>
      </c>
      <c r="CG80" s="218">
        <v>56.591775729999995</v>
      </c>
      <c r="CH80" s="218">
        <v>55.420263720000001</v>
      </c>
      <c r="CI80" s="218">
        <v>55.170731809999992</v>
      </c>
      <c r="CJ80" s="218">
        <v>52.737524820000004</v>
      </c>
      <c r="CK80" s="218">
        <v>56.316799119999999</v>
      </c>
      <c r="CL80" s="218">
        <v>59.480185040000009</v>
      </c>
      <c r="CM80" s="218">
        <v>64.688852100000005</v>
      </c>
      <c r="CN80" s="218">
        <v>63.55995179</v>
      </c>
      <c r="CO80" s="218">
        <v>58.849288099999995</v>
      </c>
      <c r="CP80" s="444">
        <v>59.669811960000004</v>
      </c>
      <c r="CQ80" s="218">
        <v>56.489300840000006</v>
      </c>
      <c r="CR80" s="218">
        <v>61.732204480000007</v>
      </c>
      <c r="CS80" s="218">
        <v>60.791036019999993</v>
      </c>
      <c r="CT80" s="218">
        <v>52.729257779999998</v>
      </c>
      <c r="CU80" s="218">
        <v>55.053156649999998</v>
      </c>
      <c r="CV80" s="218">
        <v>54.0093417</v>
      </c>
      <c r="CW80" s="218">
        <v>51.48196154</v>
      </c>
      <c r="CX80" s="218">
        <v>57.194897049999994</v>
      </c>
      <c r="CY80" s="218">
        <v>60.277570370000007</v>
      </c>
      <c r="CZ80" s="218">
        <v>57.276198210000004</v>
      </c>
      <c r="DA80" s="218">
        <v>55.833487549999994</v>
      </c>
      <c r="DB80" s="218">
        <v>61.062275380000003</v>
      </c>
      <c r="DC80" s="218">
        <v>59.272628750000003</v>
      </c>
      <c r="DD80" s="218">
        <v>60.745875379999994</v>
      </c>
      <c r="DE80" s="218">
        <v>54.220516029999999</v>
      </c>
      <c r="DF80" s="218">
        <v>56.449836439999999</v>
      </c>
      <c r="DG80" s="218">
        <v>56.236165960000001</v>
      </c>
      <c r="DH80" s="218">
        <v>55.596055460000002</v>
      </c>
      <c r="DI80" s="218">
        <v>57.476976110000003</v>
      </c>
      <c r="DJ80" s="218">
        <v>54.946668330000001</v>
      </c>
      <c r="DK80" s="218">
        <v>55.423784859999998</v>
      </c>
      <c r="DL80" s="218">
        <v>59.019814869999998</v>
      </c>
      <c r="DM80" s="218">
        <v>61.050812544380001</v>
      </c>
      <c r="DN80" s="218">
        <v>61.959026568079999</v>
      </c>
      <c r="DO80" s="218">
        <v>62.32832135476</v>
      </c>
      <c r="DP80" s="218">
        <v>62.387436439999995</v>
      </c>
      <c r="DQ80" s="218">
        <v>55.462148570000004</v>
      </c>
      <c r="DR80" s="218">
        <v>53.484053680000002</v>
      </c>
      <c r="DS80" s="218">
        <v>52.000515540000009</v>
      </c>
      <c r="DT80" s="218">
        <v>87.486286000000007</v>
      </c>
      <c r="DU80" s="218">
        <v>48.712510639999998</v>
      </c>
      <c r="DV80" s="218">
        <v>50.596906359999998</v>
      </c>
      <c r="DW80" s="218">
        <v>58.467320916702</v>
      </c>
      <c r="DX80" s="218">
        <v>50.946250769999999</v>
      </c>
      <c r="DY80" s="218">
        <v>55.050475420000005</v>
      </c>
      <c r="DZ80" s="218">
        <v>57.15270232000001</v>
      </c>
      <c r="EA80" s="218">
        <v>54.110015879999992</v>
      </c>
      <c r="EB80" s="218">
        <v>58.024336499999997</v>
      </c>
    </row>
    <row r="81" spans="1:132" ht="15.95" customHeight="1" x14ac:dyDescent="0.25">
      <c r="A81" s="417" t="s">
        <v>283</v>
      </c>
      <c r="B81" s="418">
        <v>4985.5881300137844</v>
      </c>
      <c r="C81" s="295">
        <v>4973.3854329441583</v>
      </c>
      <c r="D81" s="295">
        <v>5117.6920774349583</v>
      </c>
      <c r="E81" s="224">
        <v>5162.7798197499997</v>
      </c>
      <c r="F81" s="295">
        <v>5195.6884181699997</v>
      </c>
      <c r="G81" s="295">
        <v>5451.6190059600003</v>
      </c>
      <c r="H81" s="295">
        <v>5703.0519891900003</v>
      </c>
      <c r="I81" s="295">
        <v>5832.4461439200004</v>
      </c>
      <c r="J81" s="295">
        <v>6049.4323743200002</v>
      </c>
      <c r="K81" s="224">
        <v>5908.5091365299995</v>
      </c>
      <c r="L81" s="295">
        <v>6084.6316566500009</v>
      </c>
      <c r="M81" s="295">
        <v>6354.5132222600005</v>
      </c>
      <c r="N81" s="295">
        <v>6155.4334126700005</v>
      </c>
      <c r="O81" s="224">
        <v>6532.083599652563</v>
      </c>
      <c r="P81" s="295">
        <v>6749.3780618454721</v>
      </c>
      <c r="Q81" s="295">
        <v>6780.0120413199984</v>
      </c>
      <c r="R81" s="224">
        <v>7531.3160710706006</v>
      </c>
      <c r="S81" s="295">
        <v>8068.8689569777998</v>
      </c>
      <c r="T81" s="295">
        <v>7976.3516802399981</v>
      </c>
      <c r="U81" s="419">
        <v>8093.5238207764642</v>
      </c>
      <c r="V81" s="419">
        <v>7627.3473524851206</v>
      </c>
      <c r="W81" s="419">
        <v>7530.7267078753011</v>
      </c>
      <c r="X81" s="419">
        <v>7613.0491966373693</v>
      </c>
      <c r="Y81" s="419">
        <v>7787.7307078923632</v>
      </c>
      <c r="Z81" s="419">
        <v>7646.5734623671451</v>
      </c>
      <c r="AA81" s="419">
        <v>7978.3813971136833</v>
      </c>
      <c r="AB81" s="419">
        <v>8202.4965196803005</v>
      </c>
      <c r="AC81" s="419">
        <v>8216.4144753625878</v>
      </c>
      <c r="AD81" s="419">
        <v>8445.4171966887043</v>
      </c>
      <c r="AE81" s="419">
        <v>8313.2633881516322</v>
      </c>
      <c r="AF81" s="419">
        <v>8210.2497804625746</v>
      </c>
      <c r="AG81" s="419">
        <v>8638.4868637595773</v>
      </c>
      <c r="AH81" s="419">
        <v>9305.6218423140381</v>
      </c>
      <c r="AI81" s="419">
        <v>7297.7562303122168</v>
      </c>
      <c r="AJ81" s="419">
        <v>6942.5228771129687</v>
      </c>
      <c r="AK81" s="419">
        <v>7100.0604267328245</v>
      </c>
      <c r="AL81" s="419">
        <v>7294.7218680612004</v>
      </c>
      <c r="AM81" s="297">
        <v>7737.019805747279</v>
      </c>
      <c r="AN81" s="297">
        <v>7725.9018817470196</v>
      </c>
      <c r="AO81" s="297">
        <v>8449.4269623768923</v>
      </c>
      <c r="AP81" s="297">
        <v>8695.070412247429</v>
      </c>
      <c r="AQ81" s="297">
        <v>8709.7096117975616</v>
      </c>
      <c r="AR81" s="418">
        <v>8390.984806074368</v>
      </c>
      <c r="AS81" s="418">
        <v>8701.0023998619999</v>
      </c>
      <c r="AT81" s="418">
        <v>9091.7459950394077</v>
      </c>
      <c r="AU81" s="418">
        <v>9415.2730051031376</v>
      </c>
      <c r="AV81" s="418">
        <v>9650.5098998491594</v>
      </c>
      <c r="AW81" s="218">
        <v>10028.74799746695</v>
      </c>
      <c r="AX81" s="218">
        <v>10145.336703401004</v>
      </c>
      <c r="AY81" s="218">
        <v>9738.3293424661751</v>
      </c>
      <c r="AZ81" s="218">
        <v>8000.89201702837</v>
      </c>
      <c r="BA81" s="218">
        <v>7884.1121131754171</v>
      </c>
      <c r="BB81" s="218">
        <v>8157.0803093493105</v>
      </c>
      <c r="BC81" s="218">
        <v>8452.5942556069567</v>
      </c>
      <c r="BD81" s="218">
        <v>8592.3067062856771</v>
      </c>
      <c r="BE81" s="218">
        <v>8582.5021862158301</v>
      </c>
      <c r="BF81" s="218">
        <v>8901.3210183974497</v>
      </c>
      <c r="BG81" s="218">
        <v>9028.1243912007048</v>
      </c>
      <c r="BH81" s="218">
        <v>9144.3209950438686</v>
      </c>
      <c r="BI81" s="218">
        <v>8614.4946968431268</v>
      </c>
      <c r="BJ81" s="218">
        <v>8510.237856021351</v>
      </c>
      <c r="BK81" s="218">
        <v>8663.1601747512395</v>
      </c>
      <c r="BL81" s="218">
        <v>9075.0741942869445</v>
      </c>
      <c r="BM81" s="218">
        <v>9495.2288243266521</v>
      </c>
      <c r="BN81" s="218">
        <v>9186.0038725419308</v>
      </c>
      <c r="BO81" s="218">
        <v>9327.5467709695313</v>
      </c>
      <c r="BP81" s="218">
        <v>9351.5060030443401</v>
      </c>
      <c r="BQ81" s="218">
        <v>9425.4223889500154</v>
      </c>
      <c r="BR81" s="218">
        <v>9442.6256074599787</v>
      </c>
      <c r="BS81" s="218">
        <v>9518.1802155073656</v>
      </c>
      <c r="BT81" s="218">
        <v>9618.0552619790633</v>
      </c>
      <c r="BU81" s="218">
        <v>9640.7782704845777</v>
      </c>
      <c r="BV81" s="218">
        <v>10281.433004448209</v>
      </c>
      <c r="BW81" s="218">
        <v>10808.052678977388</v>
      </c>
      <c r="BX81" s="218">
        <v>10893.465892825499</v>
      </c>
      <c r="BY81" s="218">
        <v>11019.207913240802</v>
      </c>
      <c r="BZ81" s="218">
        <v>11446.5</v>
      </c>
      <c r="CA81" s="218">
        <v>11943.433838760233</v>
      </c>
      <c r="CB81" s="218">
        <v>12617.90303496498</v>
      </c>
      <c r="CC81" s="218">
        <v>12411.06084720607</v>
      </c>
      <c r="CD81" s="218">
        <v>11716.649705504142</v>
      </c>
      <c r="CE81" s="218">
        <v>10414.332056649338</v>
      </c>
      <c r="CF81" s="218">
        <v>10699.671695048206</v>
      </c>
      <c r="CG81" s="218">
        <v>11728.172901860264</v>
      </c>
      <c r="CH81" s="218">
        <v>11873.6934935513</v>
      </c>
      <c r="CI81" s="218">
        <v>12308.660098071556</v>
      </c>
      <c r="CJ81" s="218">
        <v>12360.624914259924</v>
      </c>
      <c r="CK81" s="218">
        <v>12179.483919685807</v>
      </c>
      <c r="CL81" s="218">
        <v>12790.082113060556</v>
      </c>
      <c r="CM81" s="218">
        <v>12739.272478000217</v>
      </c>
      <c r="CN81" s="218">
        <v>12900.279403424031</v>
      </c>
      <c r="CO81" s="218">
        <v>12865.487584816965</v>
      </c>
      <c r="CP81" s="444">
        <v>13025.75712219122</v>
      </c>
      <c r="CQ81" s="218">
        <v>12838.533784005382</v>
      </c>
      <c r="CR81" s="218">
        <v>11417.145471002792</v>
      </c>
      <c r="CS81" s="218">
        <v>9815.0911670794885</v>
      </c>
      <c r="CT81" s="218">
        <v>9391.5480846527498</v>
      </c>
      <c r="CU81" s="218">
        <v>9763.3982950179234</v>
      </c>
      <c r="CV81" s="218">
        <v>10372.138648966094</v>
      </c>
      <c r="CW81" s="218">
        <v>10155.145720401993</v>
      </c>
      <c r="CX81" s="218">
        <v>10459.249506781667</v>
      </c>
      <c r="CY81" s="218">
        <v>10214.56876043597</v>
      </c>
      <c r="CZ81" s="218">
        <v>10677.725811559822</v>
      </c>
      <c r="DA81" s="218">
        <v>10849.193322530111</v>
      </c>
      <c r="DB81" s="218">
        <v>10087.056275024168</v>
      </c>
      <c r="DC81" s="218">
        <v>10431.548921219945</v>
      </c>
      <c r="DD81" s="218">
        <v>10554.673717964411</v>
      </c>
      <c r="DE81" s="218">
        <v>10472.561514414696</v>
      </c>
      <c r="DF81" s="218">
        <v>10626.377361476169</v>
      </c>
      <c r="DG81" s="218">
        <v>10649.285135178112</v>
      </c>
      <c r="DH81" s="218">
        <v>10480.144393874738</v>
      </c>
      <c r="DI81" s="218">
        <v>10491.6817756211</v>
      </c>
      <c r="DJ81" s="218">
        <v>10400.917855007685</v>
      </c>
      <c r="DK81" s="218">
        <v>10219.123612719926</v>
      </c>
      <c r="DL81" s="218">
        <v>10309.943146074927</v>
      </c>
      <c r="DM81" s="218">
        <v>10025.579850587479</v>
      </c>
      <c r="DN81" s="218">
        <v>9877.3090624790166</v>
      </c>
      <c r="DO81" s="218">
        <v>10077.912665121907</v>
      </c>
      <c r="DP81" s="218">
        <v>9975.4201316934195</v>
      </c>
      <c r="DQ81" s="218">
        <v>10059.0644825565</v>
      </c>
      <c r="DR81" s="218">
        <v>10113.828074233703</v>
      </c>
      <c r="DS81" s="218">
        <v>10170.450709697792</v>
      </c>
      <c r="DT81" s="218">
        <v>10095.082869596466</v>
      </c>
      <c r="DU81" s="218">
        <v>10019.349425023787</v>
      </c>
      <c r="DV81" s="218">
        <v>10387.007676733467</v>
      </c>
      <c r="DW81" s="218">
        <v>11013.450097360077</v>
      </c>
      <c r="DX81" s="218">
        <v>11062.392553371852</v>
      </c>
      <c r="DY81" s="218">
        <v>10898.303255196362</v>
      </c>
      <c r="DZ81" s="218">
        <v>10656.074112106706</v>
      </c>
      <c r="EA81" s="218">
        <v>10841.787083976367</v>
      </c>
      <c r="EB81" s="218">
        <v>10698.379899051164</v>
      </c>
    </row>
    <row r="82" spans="1:132" ht="7.7" customHeight="1" x14ac:dyDescent="0.25">
      <c r="A82" s="410"/>
      <c r="B82" s="411"/>
      <c r="C82" s="215"/>
      <c r="D82" s="215"/>
      <c r="E82" s="227"/>
      <c r="F82" s="215"/>
      <c r="G82" s="215"/>
      <c r="H82" s="295"/>
      <c r="I82" s="295"/>
      <c r="J82" s="295"/>
      <c r="K82" s="224"/>
      <c r="L82" s="295"/>
      <c r="M82" s="295"/>
      <c r="N82" s="295"/>
      <c r="O82" s="224"/>
      <c r="P82" s="295"/>
      <c r="Q82" s="295"/>
      <c r="R82" s="224"/>
      <c r="S82" s="295"/>
      <c r="T82" s="295"/>
      <c r="U82" s="419"/>
      <c r="V82" s="419"/>
      <c r="W82" s="419"/>
      <c r="X82" s="419"/>
      <c r="Y82" s="419"/>
      <c r="Z82" s="419"/>
      <c r="AA82" s="419"/>
      <c r="AB82" s="419"/>
      <c r="AC82" s="419"/>
      <c r="AD82" s="419"/>
      <c r="AE82" s="419"/>
      <c r="AF82" s="419"/>
      <c r="AG82" s="419"/>
      <c r="AH82" s="419"/>
      <c r="AI82" s="419"/>
      <c r="AJ82" s="419"/>
      <c r="AK82" s="419"/>
      <c r="AL82" s="419"/>
      <c r="AM82" s="296"/>
      <c r="AN82" s="296"/>
      <c r="AO82" s="296"/>
      <c r="AP82" s="296"/>
      <c r="AQ82" s="296"/>
      <c r="AR82" s="411"/>
      <c r="AS82" s="411"/>
      <c r="AT82" s="411"/>
      <c r="AU82" s="411"/>
      <c r="AV82" s="411"/>
      <c r="AW82" s="414"/>
      <c r="AX82" s="414"/>
      <c r="AY82" s="414"/>
      <c r="AZ82" s="414"/>
      <c r="BA82" s="414"/>
      <c r="BB82" s="414"/>
      <c r="BC82" s="414"/>
      <c r="BD82" s="414"/>
      <c r="BE82" s="414"/>
      <c r="BF82" s="414"/>
      <c r="BG82" s="414"/>
      <c r="BH82" s="414"/>
      <c r="BI82" s="414"/>
      <c r="BJ82" s="414"/>
      <c r="BK82" s="414"/>
      <c r="BL82" s="414"/>
      <c r="BM82" s="414"/>
      <c r="BN82" s="414"/>
      <c r="BO82" s="414"/>
      <c r="BP82" s="414"/>
      <c r="BQ82" s="414"/>
      <c r="BR82" s="414"/>
      <c r="BS82" s="414"/>
      <c r="BT82" s="414"/>
      <c r="BU82" s="414"/>
      <c r="BV82" s="414"/>
      <c r="BW82" s="414"/>
      <c r="BX82" s="414"/>
      <c r="BY82" s="414"/>
      <c r="BZ82" s="414"/>
      <c r="CA82" s="414"/>
      <c r="CB82" s="414"/>
      <c r="CC82" s="414"/>
      <c r="CD82" s="414"/>
      <c r="CE82" s="414"/>
      <c r="CF82" s="414"/>
      <c r="CG82" s="414"/>
      <c r="CH82" s="414"/>
      <c r="CI82" s="414"/>
      <c r="CJ82" s="414"/>
      <c r="CK82" s="414"/>
      <c r="CL82" s="414"/>
      <c r="CM82" s="414"/>
      <c r="CN82" s="414"/>
      <c r="CO82" s="414"/>
      <c r="CP82" s="443"/>
      <c r="CQ82" s="414"/>
      <c r="CR82" s="414"/>
      <c r="CS82" s="414"/>
      <c r="CT82" s="414"/>
      <c r="CU82" s="414"/>
      <c r="CV82" s="414"/>
      <c r="CW82" s="414"/>
      <c r="CX82" s="414"/>
      <c r="CY82" s="414"/>
      <c r="CZ82" s="414"/>
      <c r="DA82" s="414"/>
      <c r="DB82" s="414"/>
      <c r="DC82" s="414"/>
      <c r="DD82" s="414"/>
      <c r="DE82" s="414"/>
      <c r="DF82" s="414"/>
      <c r="DG82" s="414"/>
      <c r="DH82" s="414"/>
      <c r="DI82" s="414"/>
      <c r="DJ82" s="414"/>
      <c r="DK82" s="414"/>
      <c r="DL82" s="414"/>
      <c r="DM82" s="414"/>
      <c r="DN82" s="414"/>
      <c r="DO82" s="414"/>
      <c r="DP82" s="414"/>
      <c r="DQ82" s="414"/>
      <c r="DR82" s="414"/>
      <c r="DS82" s="414"/>
      <c r="DT82" s="414"/>
      <c r="DU82" s="414"/>
      <c r="DV82" s="414"/>
      <c r="DW82" s="414"/>
      <c r="DX82" s="414"/>
      <c r="DY82" s="414"/>
      <c r="DZ82" s="414"/>
      <c r="EA82" s="414"/>
      <c r="EB82" s="414"/>
    </row>
    <row r="83" spans="1:132" x14ac:dyDescent="0.25">
      <c r="A83" s="410" t="s">
        <v>335</v>
      </c>
      <c r="B83" s="411">
        <f>SUM(B85:B91)</f>
        <v>1288.4028966999999</v>
      </c>
      <c r="C83" s="215">
        <f>SUM(C85:C91)</f>
        <v>1142.4710314399999</v>
      </c>
      <c r="D83" s="215">
        <f>SUM(D85:D91)</f>
        <v>364.89010446999998</v>
      </c>
      <c r="E83" s="227">
        <f>SUM(E85:E91)</f>
        <v>371.53711342999998</v>
      </c>
      <c r="F83" s="215">
        <v>377.74261174999998</v>
      </c>
      <c r="G83" s="215">
        <v>361.2731708799999</v>
      </c>
      <c r="H83" s="215">
        <v>392.79629721999999</v>
      </c>
      <c r="I83" s="215">
        <v>395.96978152280002</v>
      </c>
      <c r="J83" s="215">
        <v>406.29339423999994</v>
      </c>
      <c r="K83" s="227">
        <v>392.84435288999998</v>
      </c>
      <c r="L83" s="215">
        <v>435.65119946000004</v>
      </c>
      <c r="M83" s="215">
        <v>464.57500348000002</v>
      </c>
      <c r="N83" s="215">
        <v>492.18883113999999</v>
      </c>
      <c r="O83" s="227">
        <v>485.78555505999992</v>
      </c>
      <c r="P83" s="215">
        <v>494.79382902999998</v>
      </c>
      <c r="Q83" s="215">
        <v>489.35476612000002</v>
      </c>
      <c r="R83" s="227">
        <v>512.43925998999998</v>
      </c>
      <c r="S83" s="215">
        <v>482.94430677999998</v>
      </c>
      <c r="T83" s="215">
        <v>523.65306783000005</v>
      </c>
      <c r="U83" s="217">
        <v>563.13052413000003</v>
      </c>
      <c r="V83" s="217">
        <v>525.50622984999995</v>
      </c>
      <c r="W83" s="217">
        <v>541.17276724999999</v>
      </c>
      <c r="X83" s="217">
        <v>601.70877480000001</v>
      </c>
      <c r="Y83" s="217">
        <v>579.38835280000001</v>
      </c>
      <c r="Z83" s="217">
        <v>599.22890469000004</v>
      </c>
      <c r="AA83" s="217">
        <v>578.31237429000009</v>
      </c>
      <c r="AB83" s="217">
        <v>627.31717042000002</v>
      </c>
      <c r="AC83" s="217">
        <v>614.52894823999998</v>
      </c>
      <c r="AD83" s="217">
        <v>619.44313608000004</v>
      </c>
      <c r="AE83" s="217">
        <v>644.72197798000002</v>
      </c>
      <c r="AF83" s="217">
        <v>669.98763797000004</v>
      </c>
      <c r="AG83" s="217">
        <v>875.19918820237604</v>
      </c>
      <c r="AH83" s="217">
        <v>905.16163470832009</v>
      </c>
      <c r="AI83" s="217">
        <v>908.12934231320014</v>
      </c>
      <c r="AJ83" s="217">
        <v>881.49437006085202</v>
      </c>
      <c r="AK83" s="217">
        <v>918.61654992675187</v>
      </c>
      <c r="AL83" s="217">
        <v>924.92525241010003</v>
      </c>
      <c r="AM83" s="296">
        <v>913.10821523229492</v>
      </c>
      <c r="AN83" s="296">
        <v>912.74951691573392</v>
      </c>
      <c r="AO83" s="296">
        <v>954.65386559680007</v>
      </c>
      <c r="AP83" s="296">
        <v>972.78625592079709</v>
      </c>
      <c r="AQ83" s="296">
        <v>961.43556071123601</v>
      </c>
      <c r="AR83" s="411">
        <v>935.60417892166424</v>
      </c>
      <c r="AS83" s="411">
        <v>972.64749743000004</v>
      </c>
      <c r="AT83" s="411">
        <v>1006.2832463537439</v>
      </c>
      <c r="AU83" s="411">
        <v>974.55496344596088</v>
      </c>
      <c r="AV83" s="411">
        <v>1145.2025050770162</v>
      </c>
      <c r="AW83" s="414">
        <v>1102.7026943426999</v>
      </c>
      <c r="AX83" s="414">
        <v>1244.6777932577199</v>
      </c>
      <c r="AY83" s="414">
        <v>1178.324305945951</v>
      </c>
      <c r="AZ83" s="414">
        <v>1147.4822046049328</v>
      </c>
      <c r="BA83" s="414">
        <v>1226.0130953266641</v>
      </c>
      <c r="BB83" s="414">
        <v>1130.831365794076</v>
      </c>
      <c r="BC83" s="414">
        <v>1161.0049242005227</v>
      </c>
      <c r="BD83" s="414">
        <v>1138.1084595318023</v>
      </c>
      <c r="BE83" s="414">
        <v>1123.993487389524</v>
      </c>
      <c r="BF83" s="414">
        <v>1133.0116091832831</v>
      </c>
      <c r="BG83" s="414">
        <v>1305.724522441257</v>
      </c>
      <c r="BH83" s="414">
        <v>1224.3618363164971</v>
      </c>
      <c r="BI83" s="414">
        <v>1163.8796294166771</v>
      </c>
      <c r="BJ83" s="414">
        <v>1237.3087397362349</v>
      </c>
      <c r="BK83" s="414">
        <v>1102.0277948633261</v>
      </c>
      <c r="BL83" s="414">
        <v>1174.2555251794386</v>
      </c>
      <c r="BM83" s="414">
        <v>1155.302251097108</v>
      </c>
      <c r="BN83" s="414">
        <v>1085.1373713034893</v>
      </c>
      <c r="BO83" s="414">
        <v>1086.6804317518943</v>
      </c>
      <c r="BP83" s="414">
        <v>1071.348358192444</v>
      </c>
      <c r="BQ83" s="414">
        <v>1073.1653971900901</v>
      </c>
      <c r="BR83" s="414">
        <v>1065.5033262616471</v>
      </c>
      <c r="BS83" s="414">
        <v>1045.2787308082959</v>
      </c>
      <c r="BT83" s="414">
        <v>1041.0996945637849</v>
      </c>
      <c r="BU83" s="414">
        <v>1060.6760272550459</v>
      </c>
      <c r="BV83" s="414">
        <v>1176.4084249068701</v>
      </c>
      <c r="BW83" s="414">
        <v>1185.024616495182</v>
      </c>
      <c r="BX83" s="414">
        <v>1162.3262351214998</v>
      </c>
      <c r="BY83" s="414">
        <v>1183.6110580476</v>
      </c>
      <c r="BZ83" s="414">
        <v>1195.5999999999999</v>
      </c>
      <c r="CA83" s="414">
        <v>1192.1574438227958</v>
      </c>
      <c r="CB83" s="414">
        <v>1073.6470583212299</v>
      </c>
      <c r="CC83" s="414">
        <v>1077.9918923652272</v>
      </c>
      <c r="CD83" s="414">
        <v>1084.1454481332021</v>
      </c>
      <c r="CE83" s="414">
        <v>1103.6823464717027</v>
      </c>
      <c r="CF83" s="414">
        <v>1119.5677648416001</v>
      </c>
      <c r="CG83" s="414">
        <v>1230.3950879736667</v>
      </c>
      <c r="CH83" s="414">
        <v>1236.8341882504856</v>
      </c>
      <c r="CI83" s="414">
        <v>1315.6299738747839</v>
      </c>
      <c r="CJ83" s="414">
        <v>1204.5498861639221</v>
      </c>
      <c r="CK83" s="414">
        <v>1224.7085962183671</v>
      </c>
      <c r="CL83" s="414">
        <v>1222.2855631336461</v>
      </c>
      <c r="CM83" s="414">
        <v>1253.1570082457781</v>
      </c>
      <c r="CN83" s="414">
        <v>1340.4090720608729</v>
      </c>
      <c r="CO83" s="414">
        <v>1285.152678053041</v>
      </c>
      <c r="CP83" s="443">
        <v>1203.5330269084211</v>
      </c>
      <c r="CQ83" s="414">
        <v>1185.2295300993678</v>
      </c>
      <c r="CR83" s="414">
        <v>1050.9601270441888</v>
      </c>
      <c r="CS83" s="414">
        <v>1084.9958140152501</v>
      </c>
      <c r="CT83" s="414">
        <v>1375.5698792012197</v>
      </c>
      <c r="CU83" s="414">
        <v>1370.2377132451343</v>
      </c>
      <c r="CV83" s="414">
        <v>1350.585967172934</v>
      </c>
      <c r="CW83" s="414">
        <v>1373.4327111839955</v>
      </c>
      <c r="CX83" s="414">
        <v>1332.5046689217406</v>
      </c>
      <c r="CY83" s="414">
        <v>1336.7554205829538</v>
      </c>
      <c r="CZ83" s="414">
        <v>1252.3352645025147</v>
      </c>
      <c r="DA83" s="414">
        <v>1273.5328912109403</v>
      </c>
      <c r="DB83" s="414">
        <v>1289.9589856081277</v>
      </c>
      <c r="DC83" s="414">
        <v>1317.3019212758447</v>
      </c>
      <c r="DD83" s="414">
        <v>2009.7277145174887</v>
      </c>
      <c r="DE83" s="414">
        <v>1244.4504689778098</v>
      </c>
      <c r="DF83" s="414">
        <v>1227.2223286829815</v>
      </c>
      <c r="DG83" s="414">
        <v>1244.4623825058254</v>
      </c>
      <c r="DH83" s="414">
        <v>1240.4854044115564</v>
      </c>
      <c r="DI83" s="414">
        <v>1383.0682589324119</v>
      </c>
      <c r="DJ83" s="414">
        <v>1394.8524117580632</v>
      </c>
      <c r="DK83" s="414">
        <v>1461.6030579531766</v>
      </c>
      <c r="DL83" s="414">
        <v>1382.2403897159975</v>
      </c>
      <c r="DM83" s="414">
        <v>1699.0973855192269</v>
      </c>
      <c r="DN83" s="414">
        <v>1409.7661563671188</v>
      </c>
      <c r="DO83" s="414">
        <v>1481.6152616289041</v>
      </c>
      <c r="DP83" s="414">
        <v>1361.1112552448722</v>
      </c>
      <c r="DQ83" s="414">
        <v>1520.3844904136786</v>
      </c>
      <c r="DR83" s="414">
        <v>1492.0034283807863</v>
      </c>
      <c r="DS83" s="414">
        <v>1495.6052801904202</v>
      </c>
      <c r="DT83" s="414">
        <v>1606.3142713043308</v>
      </c>
      <c r="DU83" s="414">
        <v>1795.555977700026</v>
      </c>
      <c r="DV83" s="414">
        <v>1802.9055711234937</v>
      </c>
      <c r="DW83" s="414">
        <v>1807.3602586846184</v>
      </c>
      <c r="DX83" s="414">
        <v>1868.591027948127</v>
      </c>
      <c r="DY83" s="414">
        <v>1883.9468097949482</v>
      </c>
      <c r="DZ83" s="414">
        <v>1875.3110904958023</v>
      </c>
      <c r="EA83" s="414">
        <v>1821.2273148146896</v>
      </c>
      <c r="EB83" s="414">
        <v>1849.8022236071779</v>
      </c>
    </row>
    <row r="84" spans="1:132" x14ac:dyDescent="0.25">
      <c r="A84" s="417" t="s">
        <v>274</v>
      </c>
      <c r="B84" s="411"/>
      <c r="C84" s="215"/>
      <c r="D84" s="215"/>
      <c r="E84" s="227"/>
      <c r="F84" s="215"/>
      <c r="G84" s="215"/>
      <c r="H84" s="295"/>
      <c r="I84" s="295"/>
      <c r="J84" s="295"/>
      <c r="K84" s="224"/>
      <c r="L84" s="295"/>
      <c r="M84" s="295"/>
      <c r="N84" s="295"/>
      <c r="O84" s="224"/>
      <c r="P84" s="295"/>
      <c r="Q84" s="295"/>
      <c r="R84" s="224"/>
      <c r="S84" s="295"/>
      <c r="T84" s="295"/>
      <c r="U84" s="419"/>
      <c r="V84" s="419"/>
      <c r="W84" s="419"/>
      <c r="X84" s="419"/>
      <c r="Y84" s="419"/>
      <c r="Z84" s="419"/>
      <c r="AA84" s="419"/>
      <c r="AB84" s="419"/>
      <c r="AC84" s="419"/>
      <c r="AD84" s="419"/>
      <c r="AE84" s="419"/>
      <c r="AF84" s="419"/>
      <c r="AG84" s="419"/>
      <c r="AH84" s="419"/>
      <c r="AI84" s="419"/>
      <c r="AJ84" s="419"/>
      <c r="AK84" s="419"/>
      <c r="AL84" s="419"/>
      <c r="AM84" s="296"/>
      <c r="AN84" s="296"/>
      <c r="AO84" s="296"/>
      <c r="AP84" s="296"/>
      <c r="AQ84" s="296"/>
      <c r="AR84" s="411"/>
      <c r="AS84" s="411"/>
      <c r="AT84" s="411"/>
      <c r="AU84" s="411"/>
      <c r="AV84" s="411"/>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414"/>
      <c r="CB84" s="414"/>
      <c r="CC84" s="414"/>
      <c r="CD84" s="414"/>
      <c r="CE84" s="414"/>
      <c r="CF84" s="414"/>
      <c r="CG84" s="414"/>
      <c r="CH84" s="414"/>
      <c r="CI84" s="414"/>
      <c r="CJ84" s="414"/>
      <c r="CK84" s="414"/>
      <c r="CL84" s="414"/>
      <c r="CM84" s="414"/>
      <c r="CN84" s="414"/>
      <c r="CO84" s="414"/>
      <c r="CP84" s="443"/>
      <c r="CQ84" s="414"/>
      <c r="CR84" s="414"/>
      <c r="CS84" s="414"/>
      <c r="CT84" s="414"/>
      <c r="CU84" s="414"/>
      <c r="CV84" s="414"/>
      <c r="CW84" s="414"/>
      <c r="CX84" s="414"/>
      <c r="CY84" s="414"/>
      <c r="CZ84" s="414"/>
      <c r="DA84" s="414"/>
      <c r="DB84" s="414"/>
      <c r="DC84" s="414"/>
      <c r="DD84" s="414"/>
      <c r="DE84" s="414"/>
      <c r="DF84" s="414"/>
      <c r="DG84" s="414"/>
      <c r="DH84" s="414"/>
      <c r="DI84" s="414"/>
      <c r="DJ84" s="414"/>
      <c r="DK84" s="414"/>
      <c r="DL84" s="414"/>
      <c r="DM84" s="414"/>
      <c r="DN84" s="414"/>
      <c r="DO84" s="414"/>
      <c r="DP84" s="414"/>
      <c r="DQ84" s="414"/>
      <c r="DR84" s="414"/>
      <c r="DS84" s="414"/>
      <c r="DT84" s="414"/>
      <c r="DU84" s="414"/>
      <c r="DV84" s="414"/>
      <c r="DW84" s="414"/>
      <c r="DX84" s="414"/>
      <c r="DY84" s="414"/>
      <c r="DZ84" s="414"/>
      <c r="EA84" s="414"/>
      <c r="EB84" s="414"/>
    </row>
    <row r="85" spans="1:132" ht="15.95" customHeight="1" x14ac:dyDescent="0.25">
      <c r="A85" s="417" t="s">
        <v>336</v>
      </c>
      <c r="B85" s="418">
        <v>1003.3572246700001</v>
      </c>
      <c r="C85" s="295">
        <v>990.17613920999997</v>
      </c>
      <c r="D85" s="295">
        <v>215.02073419999999</v>
      </c>
      <c r="E85" s="224">
        <v>221.98029814999995</v>
      </c>
      <c r="F85" s="295">
        <v>196.36938244999999</v>
      </c>
      <c r="G85" s="295">
        <v>180.39305244999997</v>
      </c>
      <c r="H85" s="295">
        <v>201.92223041999998</v>
      </c>
      <c r="I85" s="295">
        <v>173.67776625279998</v>
      </c>
      <c r="J85" s="295">
        <v>179.38042033000002</v>
      </c>
      <c r="K85" s="224">
        <v>158.81067775</v>
      </c>
      <c r="L85" s="295">
        <v>168.05945237</v>
      </c>
      <c r="M85" s="295">
        <v>164.56924794000003</v>
      </c>
      <c r="N85" s="295">
        <v>179.80557682</v>
      </c>
      <c r="O85" s="224">
        <v>166.23065051</v>
      </c>
      <c r="P85" s="295">
        <v>169.56623184</v>
      </c>
      <c r="Q85" s="295">
        <v>166.04875318000001</v>
      </c>
      <c r="R85" s="224">
        <v>184.46480410999999</v>
      </c>
      <c r="S85" s="295">
        <v>168.46826140000002</v>
      </c>
      <c r="T85" s="295">
        <v>186.75646523</v>
      </c>
      <c r="U85" s="419">
        <v>204.83071408999999</v>
      </c>
      <c r="V85" s="419">
        <v>159.12027782999999</v>
      </c>
      <c r="W85" s="419">
        <v>164.30575118000002</v>
      </c>
      <c r="X85" s="419">
        <v>208.15284751999999</v>
      </c>
      <c r="Y85" s="419">
        <v>177.17968572999999</v>
      </c>
      <c r="Z85" s="419">
        <v>179.72442908000005</v>
      </c>
      <c r="AA85" s="419">
        <v>163.6702607</v>
      </c>
      <c r="AB85" s="419">
        <v>194.11456060000003</v>
      </c>
      <c r="AC85" s="419">
        <v>181.42659131000002</v>
      </c>
      <c r="AD85" s="419">
        <v>183.23072406</v>
      </c>
      <c r="AE85" s="419">
        <v>211.39669401999998</v>
      </c>
      <c r="AF85" s="419">
        <v>254.59472289000001</v>
      </c>
      <c r="AG85" s="419">
        <v>219.42867057999999</v>
      </c>
      <c r="AH85" s="419">
        <v>254.90609262000001</v>
      </c>
      <c r="AI85" s="419">
        <v>238.30351843</v>
      </c>
      <c r="AJ85" s="419">
        <v>236.07852179000002</v>
      </c>
      <c r="AK85" s="419">
        <v>248.97932025</v>
      </c>
      <c r="AL85" s="419">
        <v>239.93421801000002</v>
      </c>
      <c r="AM85" s="297">
        <v>217.57599929</v>
      </c>
      <c r="AN85" s="297">
        <v>210.66561617000002</v>
      </c>
      <c r="AO85" s="297">
        <v>262.96666052</v>
      </c>
      <c r="AP85" s="297">
        <v>225.77103247660003</v>
      </c>
      <c r="AQ85" s="297">
        <v>224.08543610160001</v>
      </c>
      <c r="AR85" s="418">
        <v>231.24230522960002</v>
      </c>
      <c r="AS85" s="418">
        <v>236.88848839000002</v>
      </c>
      <c r="AT85" s="418">
        <v>181.029583328</v>
      </c>
      <c r="AU85" s="418">
        <v>188.22738373880003</v>
      </c>
      <c r="AV85" s="418">
        <v>196.95278670100001</v>
      </c>
      <c r="AW85" s="218">
        <v>185.25011029319998</v>
      </c>
      <c r="AX85" s="218">
        <v>306.73583615759998</v>
      </c>
      <c r="AY85" s="218">
        <v>251.26642658920002</v>
      </c>
      <c r="AZ85" s="218">
        <v>197.22532055729997</v>
      </c>
      <c r="BA85" s="218">
        <v>274.34911475900009</v>
      </c>
      <c r="BB85" s="218">
        <v>193.47024474830002</v>
      </c>
      <c r="BC85" s="218">
        <v>206.91007548119998</v>
      </c>
      <c r="BD85" s="218">
        <v>215.83015771499998</v>
      </c>
      <c r="BE85" s="218">
        <v>207.41798266519996</v>
      </c>
      <c r="BF85" s="218">
        <v>203.47366546500001</v>
      </c>
      <c r="BG85" s="218">
        <v>205.13348557200004</v>
      </c>
      <c r="BH85" s="218">
        <v>285.42884916269998</v>
      </c>
      <c r="BI85" s="218">
        <v>339.10770391759996</v>
      </c>
      <c r="BJ85" s="218">
        <v>424.96512534879992</v>
      </c>
      <c r="BK85" s="218">
        <v>256.48091189859997</v>
      </c>
      <c r="BL85" s="218">
        <v>324.61175804378843</v>
      </c>
      <c r="BM85" s="218">
        <v>300.32245418939993</v>
      </c>
      <c r="BN85" s="218">
        <v>256.75641149479998</v>
      </c>
      <c r="BO85" s="218">
        <v>251.25756277279999</v>
      </c>
      <c r="BP85" s="218">
        <v>242.95102314580001</v>
      </c>
      <c r="BQ85" s="218">
        <v>246.05658869679999</v>
      </c>
      <c r="BR85" s="218">
        <v>247.79219444950002</v>
      </c>
      <c r="BS85" s="218">
        <v>252.7615975352</v>
      </c>
      <c r="BT85" s="218">
        <v>255.26522692211003</v>
      </c>
      <c r="BU85" s="218">
        <v>262.26037256841801</v>
      </c>
      <c r="BV85" s="218">
        <v>244.542399468474</v>
      </c>
      <c r="BW85" s="218">
        <v>249.18572984496501</v>
      </c>
      <c r="BX85" s="218">
        <v>242.13766908349999</v>
      </c>
      <c r="BY85" s="218">
        <v>244.60551647039998</v>
      </c>
      <c r="BZ85" s="218">
        <v>249.7</v>
      </c>
      <c r="CA85" s="218">
        <v>239.05725530160001</v>
      </c>
      <c r="CB85" s="218">
        <v>223.12175609920001</v>
      </c>
      <c r="CC85" s="218">
        <v>222.00437685750001</v>
      </c>
      <c r="CD85" s="218">
        <v>225.39189220846197</v>
      </c>
      <c r="CE85" s="218">
        <v>228.25089033133003</v>
      </c>
      <c r="CF85" s="218">
        <v>260.344546273844</v>
      </c>
      <c r="CG85" s="218">
        <v>403.9193663578933</v>
      </c>
      <c r="CH85" s="218">
        <v>422.73584837028716</v>
      </c>
      <c r="CI85" s="218">
        <v>498.70842374931783</v>
      </c>
      <c r="CJ85" s="218">
        <v>449.50701056563202</v>
      </c>
      <c r="CK85" s="218">
        <v>457.74191750031201</v>
      </c>
      <c r="CL85" s="218">
        <v>436.37944778426061</v>
      </c>
      <c r="CM85" s="218">
        <v>454.40869176505646</v>
      </c>
      <c r="CN85" s="218">
        <v>544.47681704779188</v>
      </c>
      <c r="CO85" s="218">
        <v>498.23170117533186</v>
      </c>
      <c r="CP85" s="444">
        <v>429.92996635384986</v>
      </c>
      <c r="CQ85" s="218">
        <v>536.90287988065995</v>
      </c>
      <c r="CR85" s="218">
        <v>526.45395714839992</v>
      </c>
      <c r="CS85" s="218">
        <v>558.27703357620783</v>
      </c>
      <c r="CT85" s="218">
        <v>832.16802287475002</v>
      </c>
      <c r="CU85" s="218">
        <v>838.31134106369711</v>
      </c>
      <c r="CV85" s="218">
        <v>821.7342159315341</v>
      </c>
      <c r="CW85" s="218">
        <v>822.7100180825546</v>
      </c>
      <c r="CX85" s="218">
        <v>826.17907805708876</v>
      </c>
      <c r="CY85" s="218">
        <v>812.0897602953728</v>
      </c>
      <c r="CZ85" s="218">
        <v>779.39175986923283</v>
      </c>
      <c r="DA85" s="218">
        <v>782.00286858929098</v>
      </c>
      <c r="DB85" s="218">
        <v>784.65236538743227</v>
      </c>
      <c r="DC85" s="218">
        <v>780.3561318879166</v>
      </c>
      <c r="DD85" s="218">
        <v>1529.8206326550162</v>
      </c>
      <c r="DE85" s="218">
        <v>763.18501363538701</v>
      </c>
      <c r="DF85" s="218">
        <v>756.57795844539646</v>
      </c>
      <c r="DG85" s="218">
        <v>738.22107946955589</v>
      </c>
      <c r="DH85" s="218">
        <v>738.76880550987391</v>
      </c>
      <c r="DI85" s="218">
        <v>885.91490831141346</v>
      </c>
      <c r="DJ85" s="218">
        <v>864.43063726545608</v>
      </c>
      <c r="DK85" s="218">
        <v>866.94804403871331</v>
      </c>
      <c r="DL85" s="218">
        <v>817.20980379988396</v>
      </c>
      <c r="DM85" s="218">
        <v>1163.4992237663746</v>
      </c>
      <c r="DN85" s="218">
        <v>827.87004594927282</v>
      </c>
      <c r="DO85" s="218">
        <v>844.43472738634784</v>
      </c>
      <c r="DP85" s="218">
        <v>746.65889414821095</v>
      </c>
      <c r="DQ85" s="218">
        <v>885.94352426289311</v>
      </c>
      <c r="DR85" s="218">
        <v>897.58859149795342</v>
      </c>
      <c r="DS85" s="218">
        <v>933.12139271190165</v>
      </c>
      <c r="DT85" s="218">
        <v>1044.7764218821048</v>
      </c>
      <c r="DU85" s="218">
        <v>1084.7913268004256</v>
      </c>
      <c r="DV85" s="218">
        <v>1089.5960193851611</v>
      </c>
      <c r="DW85" s="218">
        <v>1078.2517679283583</v>
      </c>
      <c r="DX85" s="218">
        <v>1177.3252021620501</v>
      </c>
      <c r="DY85" s="218">
        <v>1133.1973787165732</v>
      </c>
      <c r="DZ85" s="218">
        <v>1144.2221414424421</v>
      </c>
      <c r="EA85" s="218">
        <v>1130.2109668782277</v>
      </c>
      <c r="EB85" s="218">
        <v>1126.0791234353746</v>
      </c>
    </row>
    <row r="86" spans="1:132" ht="15.95" customHeight="1" x14ac:dyDescent="0.25">
      <c r="A86" s="417" t="s">
        <v>337</v>
      </c>
      <c r="B86" s="418">
        <v>0.69274532</v>
      </c>
      <c r="C86" s="295">
        <v>0.66161731999999995</v>
      </c>
      <c r="D86" s="295">
        <v>0.27465232000000001</v>
      </c>
      <c r="E86" s="224">
        <v>0.14202632000000001</v>
      </c>
      <c r="F86" s="295">
        <v>0.13103186</v>
      </c>
      <c r="G86" s="295">
        <v>0.24168931999999999</v>
      </c>
      <c r="H86" s="295">
        <v>0.25872931999999998</v>
      </c>
      <c r="I86" s="295">
        <v>0.28362831999999999</v>
      </c>
      <c r="J86" s="295">
        <v>0.28638832000000003</v>
      </c>
      <c r="K86" s="224">
        <v>1.7274504099999999</v>
      </c>
      <c r="L86" s="295">
        <v>27.220345469999998</v>
      </c>
      <c r="M86" s="295">
        <v>65.214018910000007</v>
      </c>
      <c r="N86" s="295">
        <v>93.588372230000004</v>
      </c>
      <c r="O86" s="224">
        <v>106.64346950999999</v>
      </c>
      <c r="P86" s="295">
        <v>113.03227240000001</v>
      </c>
      <c r="Q86" s="295">
        <v>117.39399884000001</v>
      </c>
      <c r="R86" s="224">
        <v>122.96482440999999</v>
      </c>
      <c r="S86" s="295">
        <v>132.68995436999998</v>
      </c>
      <c r="T86" s="295">
        <v>159.77552125</v>
      </c>
      <c r="U86" s="419">
        <v>164.5992067</v>
      </c>
      <c r="V86" s="419">
        <v>179.22844996999999</v>
      </c>
      <c r="W86" s="419">
        <v>184.32212657999997</v>
      </c>
      <c r="X86" s="419">
        <v>194.23318760999996</v>
      </c>
      <c r="Y86" s="419">
        <v>195.56070651999994</v>
      </c>
      <c r="Z86" s="419">
        <v>221.84858540000002</v>
      </c>
      <c r="AA86" s="419">
        <v>226.38540115999999</v>
      </c>
      <c r="AB86" s="419">
        <v>245.87974885000003</v>
      </c>
      <c r="AC86" s="419">
        <v>250.15751631999998</v>
      </c>
      <c r="AD86" s="419">
        <v>247.13055068999998</v>
      </c>
      <c r="AE86" s="419">
        <v>247.61354051000001</v>
      </c>
      <c r="AF86" s="419">
        <v>227.39873095999997</v>
      </c>
      <c r="AG86" s="419">
        <v>223.87538663999999</v>
      </c>
      <c r="AH86" s="419">
        <v>225.03130724000002</v>
      </c>
      <c r="AI86" s="419">
        <v>227.25464790999999</v>
      </c>
      <c r="AJ86" s="419">
        <v>214.41177765</v>
      </c>
      <c r="AK86" s="419">
        <v>226.21673707999994</v>
      </c>
      <c r="AL86" s="419">
        <v>228.80407049999999</v>
      </c>
      <c r="AM86" s="297">
        <v>217.30634305000001</v>
      </c>
      <c r="AN86" s="297">
        <v>233.65335765</v>
      </c>
      <c r="AO86" s="297">
        <v>238.91322309000003</v>
      </c>
      <c r="AP86" s="297">
        <v>257.98632599000001</v>
      </c>
      <c r="AQ86" s="297">
        <v>249.25280749000001</v>
      </c>
      <c r="AR86" s="418">
        <v>247.67783625000001</v>
      </c>
      <c r="AS86" s="418">
        <v>253.48509066</v>
      </c>
      <c r="AT86" s="418">
        <v>308.40863846999997</v>
      </c>
      <c r="AU86" s="418">
        <v>303.74237059999996</v>
      </c>
      <c r="AV86" s="418">
        <v>316.36196386</v>
      </c>
      <c r="AW86" s="218">
        <v>316.75506407</v>
      </c>
      <c r="AX86" s="218">
        <v>309.59709845999998</v>
      </c>
      <c r="AY86" s="218">
        <v>311.43951162999997</v>
      </c>
      <c r="AZ86" s="218">
        <v>302.01984916999993</v>
      </c>
      <c r="BA86" s="218">
        <v>291.15736994999997</v>
      </c>
      <c r="BB86" s="218">
        <v>297.84480109000003</v>
      </c>
      <c r="BC86" s="218">
        <v>288.90294362999998</v>
      </c>
      <c r="BD86" s="218">
        <v>264.04311855000003</v>
      </c>
      <c r="BE86" s="218">
        <v>264.68516525000001</v>
      </c>
      <c r="BF86" s="218">
        <v>271.55939524000001</v>
      </c>
      <c r="BG86" s="218">
        <v>271.02884849999998</v>
      </c>
      <c r="BH86" s="218">
        <v>273.57531112000004</v>
      </c>
      <c r="BI86" s="218">
        <v>247.33716596000002</v>
      </c>
      <c r="BJ86" s="218">
        <v>233.13455670999997</v>
      </c>
      <c r="BK86" s="218">
        <v>266.32883949000001</v>
      </c>
      <c r="BL86" s="218">
        <v>271.90960486000006</v>
      </c>
      <c r="BM86" s="218">
        <v>266.44189790000001</v>
      </c>
      <c r="BN86" s="218">
        <v>261.55825563175</v>
      </c>
      <c r="BO86" s="218">
        <v>268.16998295000002</v>
      </c>
      <c r="BP86" s="218">
        <v>267.61853050999997</v>
      </c>
      <c r="BQ86" s="218">
        <v>260.98292048999997</v>
      </c>
      <c r="BR86" s="218">
        <v>258.61594904999998</v>
      </c>
      <c r="BS86" s="218">
        <v>250.83898643999999</v>
      </c>
      <c r="BT86" s="218">
        <v>241.67748234000001</v>
      </c>
      <c r="BU86" s="218">
        <v>246.19869747000004</v>
      </c>
      <c r="BV86" s="218">
        <v>248.85800791000003</v>
      </c>
      <c r="BW86" s="218">
        <v>246.92093638999998</v>
      </c>
      <c r="BX86" s="218">
        <v>246.738968</v>
      </c>
      <c r="BY86" s="218">
        <v>256.77900899999997</v>
      </c>
      <c r="BZ86" s="218">
        <v>255.6</v>
      </c>
      <c r="CA86" s="218">
        <v>258.98447447999996</v>
      </c>
      <c r="CB86" s="218">
        <v>259.18894384999999</v>
      </c>
      <c r="CC86" s="218">
        <v>259.93746066</v>
      </c>
      <c r="CD86" s="218">
        <v>256.17625300999998</v>
      </c>
      <c r="CE86" s="218">
        <v>249.93565891999998</v>
      </c>
      <c r="CF86" s="218">
        <v>253.60360581999998</v>
      </c>
      <c r="CG86" s="218">
        <v>255.39421365999999</v>
      </c>
      <c r="CH86" s="218">
        <v>264.76110014</v>
      </c>
      <c r="CI86" s="218">
        <v>261.38856346000006</v>
      </c>
      <c r="CJ86" s="218">
        <v>252.94617406000003</v>
      </c>
      <c r="CK86" s="218">
        <v>253.98390782000001</v>
      </c>
      <c r="CL86" s="218">
        <v>251.01374727999999</v>
      </c>
      <c r="CM86" s="218">
        <v>252.89396282000001</v>
      </c>
      <c r="CN86" s="218">
        <v>247.84343826</v>
      </c>
      <c r="CO86" s="218">
        <v>243.08996217000001</v>
      </c>
      <c r="CP86" s="444">
        <v>246.77994147000001</v>
      </c>
      <c r="CQ86" s="218">
        <v>116.81339804000001</v>
      </c>
      <c r="CR86" s="218">
        <v>5.6238310399999998</v>
      </c>
      <c r="CS86" s="218">
        <v>6.0006972700000016</v>
      </c>
      <c r="CT86" s="218">
        <v>6.1138989400000003</v>
      </c>
      <c r="CU86" s="218">
        <v>5.5399524799999984</v>
      </c>
      <c r="CV86" s="218">
        <v>5.2206779400000007</v>
      </c>
      <c r="CW86" s="218">
        <v>5.4294547200000007</v>
      </c>
      <c r="CX86" s="218">
        <v>5.2941119699999994</v>
      </c>
      <c r="CY86" s="218">
        <v>5.4066203399999999</v>
      </c>
      <c r="CZ86" s="218">
        <v>5.1348933400000005</v>
      </c>
      <c r="DA86" s="218">
        <v>5.2320298799999998</v>
      </c>
      <c r="DB86" s="218">
        <v>5.2259854099999998</v>
      </c>
      <c r="DC86" s="218">
        <v>5.1571857199999993</v>
      </c>
      <c r="DD86" s="218">
        <v>4.5793302900000006</v>
      </c>
      <c r="DE86" s="218">
        <v>4.6517931500000005</v>
      </c>
      <c r="DF86" s="218">
        <v>4.6599851099999992</v>
      </c>
      <c r="DG86" s="218">
        <v>4.7162356500000007</v>
      </c>
      <c r="DH86" s="218">
        <v>3.7479601600000003</v>
      </c>
      <c r="DI86" s="218">
        <v>3.8764950899999997</v>
      </c>
      <c r="DJ86" s="218">
        <v>3.6064033799999997</v>
      </c>
      <c r="DK86" s="218">
        <v>3.5923565293499995</v>
      </c>
      <c r="DL86" s="218">
        <v>3.3858569467000001</v>
      </c>
      <c r="DM86" s="218">
        <v>3.1217522244999993</v>
      </c>
      <c r="DN86" s="218">
        <v>3.3032621486999996</v>
      </c>
      <c r="DO86" s="218">
        <v>3.0349442620000002</v>
      </c>
      <c r="DP86" s="218">
        <v>2.60493942</v>
      </c>
      <c r="DQ86" s="218">
        <v>1.3307196799999998</v>
      </c>
      <c r="DR86" s="218">
        <v>1.6347010399999997</v>
      </c>
      <c r="DS86" s="218">
        <v>1.2806866199999998</v>
      </c>
      <c r="DT86" s="218">
        <v>1.13988322</v>
      </c>
      <c r="DU86" s="218">
        <v>1.3995876199999999</v>
      </c>
      <c r="DV86" s="218">
        <v>1.6486506200000002</v>
      </c>
      <c r="DW86" s="218">
        <v>0.94478141000000004</v>
      </c>
      <c r="DX86" s="218">
        <v>1.1518311800000001</v>
      </c>
      <c r="DY86" s="218">
        <v>0.85715359000000002</v>
      </c>
      <c r="DZ86" s="218">
        <v>0.84286718000000016</v>
      </c>
      <c r="EA86" s="218">
        <v>0.83611290999999999</v>
      </c>
      <c r="EB86" s="218">
        <v>0.82540357000000009</v>
      </c>
    </row>
    <row r="87" spans="1:132" ht="15.95" customHeight="1" x14ac:dyDescent="0.25">
      <c r="A87" s="417" t="s">
        <v>338</v>
      </c>
      <c r="B87" s="418">
        <v>6.0675792799999995</v>
      </c>
      <c r="C87" s="295">
        <v>6.3799121000000003</v>
      </c>
      <c r="D87" s="295">
        <v>5.7025643199999996</v>
      </c>
      <c r="E87" s="224">
        <v>5.5092628999999995</v>
      </c>
      <c r="F87" s="295">
        <v>5.2635429900000004</v>
      </c>
      <c r="G87" s="295">
        <v>5.6278757300000004</v>
      </c>
      <c r="H87" s="295">
        <v>5.3140654899999999</v>
      </c>
      <c r="I87" s="295">
        <v>5.32739312</v>
      </c>
      <c r="J87" s="295">
        <v>5.5304802300000002</v>
      </c>
      <c r="K87" s="224">
        <v>5.0026731900000003</v>
      </c>
      <c r="L87" s="295">
        <v>4.2434131200000005</v>
      </c>
      <c r="M87" s="295">
        <v>4.7794964099999815</v>
      </c>
      <c r="N87" s="295">
        <v>3.3449213600000118</v>
      </c>
      <c r="O87" s="224">
        <v>4.3645148799999998</v>
      </c>
      <c r="P87" s="295">
        <v>4.125483259999986</v>
      </c>
      <c r="Q87" s="295">
        <v>4.2113440599999992</v>
      </c>
      <c r="R87" s="224">
        <v>4.18420813</v>
      </c>
      <c r="S87" s="295">
        <v>2.9359140299999997</v>
      </c>
      <c r="T87" s="295">
        <v>5.1041778499999992</v>
      </c>
      <c r="U87" s="419">
        <v>4.8015753099999996</v>
      </c>
      <c r="V87" s="419">
        <v>4.7329412300000007</v>
      </c>
      <c r="W87" s="419">
        <v>4.6795259600000003</v>
      </c>
      <c r="X87" s="419">
        <v>4.702836379999999</v>
      </c>
      <c r="Y87" s="419">
        <v>4.73150885</v>
      </c>
      <c r="Z87" s="419">
        <v>2.1199692799999998</v>
      </c>
      <c r="AA87" s="419">
        <v>2.9562785599999999</v>
      </c>
      <c r="AB87" s="419">
        <v>2.8312427599999999</v>
      </c>
      <c r="AC87" s="419">
        <v>3.4715882499999999</v>
      </c>
      <c r="AD87" s="419">
        <v>2.8188206899999999</v>
      </c>
      <c r="AE87" s="419">
        <v>3.5744988099999997</v>
      </c>
      <c r="AF87" s="419">
        <v>2.9232478199999998</v>
      </c>
      <c r="AG87" s="419">
        <v>234.58632690000002</v>
      </c>
      <c r="AH87" s="419">
        <v>233.60753159000001</v>
      </c>
      <c r="AI87" s="419">
        <v>233.60228148000002</v>
      </c>
      <c r="AJ87" s="419">
        <v>234.32091231999999</v>
      </c>
      <c r="AK87" s="419">
        <v>236.30657102000001</v>
      </c>
      <c r="AL87" s="419">
        <v>226.58450656999997</v>
      </c>
      <c r="AM87" s="297">
        <v>225.27045018999999</v>
      </c>
      <c r="AN87" s="297">
        <v>225.43403218</v>
      </c>
      <c r="AO87" s="297">
        <v>226.08997924000002</v>
      </c>
      <c r="AP87" s="297">
        <v>225.84874418999999</v>
      </c>
      <c r="AQ87" s="297">
        <v>228.13656768999999</v>
      </c>
      <c r="AR87" s="418">
        <v>219.38014188</v>
      </c>
      <c r="AS87" s="418">
        <v>213.3855557</v>
      </c>
      <c r="AT87" s="418">
        <v>213.79904245</v>
      </c>
      <c r="AU87" s="418">
        <v>214.54623911000002</v>
      </c>
      <c r="AV87" s="418">
        <v>214.72194997</v>
      </c>
      <c r="AW87" s="218">
        <v>214.13554803</v>
      </c>
      <c r="AX87" s="218">
        <v>203.95354651</v>
      </c>
      <c r="AY87" s="218">
        <v>203.59980625999998</v>
      </c>
      <c r="AZ87" s="218">
        <v>203.55187291999999</v>
      </c>
      <c r="BA87" s="218">
        <v>203.58630334</v>
      </c>
      <c r="BB87" s="218">
        <v>203.57906084000001</v>
      </c>
      <c r="BC87" s="218">
        <v>203.45796325999999</v>
      </c>
      <c r="BD87" s="218">
        <v>193.83738475999999</v>
      </c>
      <c r="BE87" s="218">
        <v>193.79641894</v>
      </c>
      <c r="BF87" s="218">
        <v>193.75864953999999</v>
      </c>
      <c r="BG87" s="218">
        <v>193.65226262000002</v>
      </c>
      <c r="BH87" s="218">
        <v>193.69717065999998</v>
      </c>
      <c r="BI87" s="218">
        <v>193.69332840000001</v>
      </c>
      <c r="BJ87" s="218">
        <v>184.11560825000001</v>
      </c>
      <c r="BK87" s="218">
        <v>184.04030236</v>
      </c>
      <c r="BL87" s="218">
        <v>184.21403699000001</v>
      </c>
      <c r="BM87" s="218">
        <v>184.30588549000001</v>
      </c>
      <c r="BN87" s="218">
        <v>184.31617674</v>
      </c>
      <c r="BO87" s="218">
        <v>184.30898919999998</v>
      </c>
      <c r="BP87" s="218">
        <v>174.59579892999997</v>
      </c>
      <c r="BQ87" s="218">
        <v>174.5394287</v>
      </c>
      <c r="BR87" s="218">
        <v>174.5150907</v>
      </c>
      <c r="BS87" s="218">
        <v>174.53697056000001</v>
      </c>
      <c r="BT87" s="218">
        <v>174.46204139</v>
      </c>
      <c r="BU87" s="218">
        <v>174.48525966</v>
      </c>
      <c r="BV87" s="218">
        <v>165.05113765000002</v>
      </c>
      <c r="BW87" s="218">
        <v>165.02227711</v>
      </c>
      <c r="BX87" s="218">
        <v>164.99763299999998</v>
      </c>
      <c r="BY87" s="218">
        <v>165.11437699999999</v>
      </c>
      <c r="BZ87" s="218">
        <v>165.2</v>
      </c>
      <c r="CA87" s="218">
        <v>165.41982898000001</v>
      </c>
      <c r="CB87" s="218">
        <v>155.66405348999999</v>
      </c>
      <c r="CC87" s="218">
        <v>155.58247512</v>
      </c>
      <c r="CD87" s="218">
        <v>155.53206240999998</v>
      </c>
      <c r="CE87" s="218">
        <v>155.51997097</v>
      </c>
      <c r="CF87" s="218">
        <v>155.46880864999997</v>
      </c>
      <c r="CG87" s="218">
        <v>155.37889684000001</v>
      </c>
      <c r="CH87" s="218">
        <v>145.81984776000002</v>
      </c>
      <c r="CI87" s="218">
        <v>145.67974021000001</v>
      </c>
      <c r="CJ87" s="218">
        <v>146.32464302</v>
      </c>
      <c r="CK87" s="218">
        <v>146.38995348</v>
      </c>
      <c r="CL87" s="218">
        <v>146.39728055</v>
      </c>
      <c r="CM87" s="218">
        <v>146.38539861999999</v>
      </c>
      <c r="CN87" s="218">
        <v>136.94207484</v>
      </c>
      <c r="CO87" s="218">
        <v>136.93775564999999</v>
      </c>
      <c r="CP87" s="444">
        <v>136.77724720000001</v>
      </c>
      <c r="CQ87" s="218">
        <v>136.88843818999999</v>
      </c>
      <c r="CR87" s="218">
        <v>137.06781093000001</v>
      </c>
      <c r="CS87" s="218">
        <v>136.85389631000001</v>
      </c>
      <c r="CT87" s="218">
        <v>127.30109185999999</v>
      </c>
      <c r="CU87" s="218">
        <v>127.29734956</v>
      </c>
      <c r="CV87" s="218">
        <v>127.29398020000001</v>
      </c>
      <c r="CW87" s="218">
        <v>127.30244962</v>
      </c>
      <c r="CX87" s="218">
        <v>126.80610003</v>
      </c>
      <c r="CY87" s="218">
        <v>126.67771062999999</v>
      </c>
      <c r="CZ87" s="218">
        <v>117.05678791000001</v>
      </c>
      <c r="DA87" s="218">
        <v>116.92483731</v>
      </c>
      <c r="DB87" s="218">
        <v>116.8346667</v>
      </c>
      <c r="DC87" s="218">
        <v>115.84498125</v>
      </c>
      <c r="DD87" s="218">
        <v>115.94173655</v>
      </c>
      <c r="DE87" s="218">
        <v>115.88119394</v>
      </c>
      <c r="DF87" s="218">
        <v>106.26444859</v>
      </c>
      <c r="DG87" s="218">
        <v>106.26280471</v>
      </c>
      <c r="DH87" s="218">
        <v>106.40242615999999</v>
      </c>
      <c r="DI87" s="218">
        <v>106.3283332</v>
      </c>
      <c r="DJ87" s="218">
        <v>106.26352594000001</v>
      </c>
      <c r="DK87" s="218">
        <v>106.24769055</v>
      </c>
      <c r="DL87" s="218">
        <v>96.646371500000001</v>
      </c>
      <c r="DM87" s="218">
        <v>96.833212560000007</v>
      </c>
      <c r="DN87" s="218">
        <v>96.72623428</v>
      </c>
      <c r="DO87" s="218">
        <v>96.732194859999993</v>
      </c>
      <c r="DP87" s="218">
        <v>96.785409760000007</v>
      </c>
      <c r="DQ87" s="218">
        <v>96.672800680000009</v>
      </c>
      <c r="DR87" s="218">
        <v>87.072953249999998</v>
      </c>
      <c r="DS87" s="218">
        <v>87.078980139999999</v>
      </c>
      <c r="DT87" s="218">
        <v>87.070648230000003</v>
      </c>
      <c r="DU87" s="218">
        <v>87.182784249999997</v>
      </c>
      <c r="DV87" s="218">
        <v>87.691700890000007</v>
      </c>
      <c r="DW87" s="218">
        <v>87.72062785</v>
      </c>
      <c r="DX87" s="218">
        <v>78.181230689999978</v>
      </c>
      <c r="DY87" s="218">
        <v>78.246563340000009</v>
      </c>
      <c r="DZ87" s="218">
        <v>78.274066379999994</v>
      </c>
      <c r="EA87" s="218">
        <v>78.216187680000004</v>
      </c>
      <c r="EB87" s="218">
        <v>78.246810178399997</v>
      </c>
    </row>
    <row r="88" spans="1:132" ht="15.95" customHeight="1" x14ac:dyDescent="0.25">
      <c r="A88" s="417" t="s">
        <v>339</v>
      </c>
      <c r="B88" s="418">
        <v>64.305025139999998</v>
      </c>
      <c r="C88" s="295">
        <v>64.410387069999999</v>
      </c>
      <c r="D88" s="295">
        <v>62.527931809999998</v>
      </c>
      <c r="E88" s="224">
        <v>53.491311119999999</v>
      </c>
      <c r="F88" s="295">
        <v>72.454271090000006</v>
      </c>
      <c r="G88" s="295">
        <v>69.507567269999996</v>
      </c>
      <c r="H88" s="295">
        <v>75.590285519999995</v>
      </c>
      <c r="I88" s="295">
        <v>74.361456689999997</v>
      </c>
      <c r="J88" s="295">
        <v>72.97030676</v>
      </c>
      <c r="K88" s="224">
        <v>75.488963999999996</v>
      </c>
      <c r="L88" s="295">
        <v>83.428469750000005</v>
      </c>
      <c r="M88" s="295">
        <v>82.422700240000012</v>
      </c>
      <c r="N88" s="295">
        <v>75.975285179999986</v>
      </c>
      <c r="O88" s="224">
        <v>62.716257620000007</v>
      </c>
      <c r="P88" s="295">
        <v>63.299879750000002</v>
      </c>
      <c r="Q88" s="295">
        <v>61.133792390000004</v>
      </c>
      <c r="R88" s="224">
        <v>67.217385300000018</v>
      </c>
      <c r="S88" s="295">
        <v>49.633252129999995</v>
      </c>
      <c r="T88" s="295">
        <v>50.677388480000005</v>
      </c>
      <c r="U88" s="419">
        <v>63.656802670000005</v>
      </c>
      <c r="V88" s="419">
        <v>55.248537539999994</v>
      </c>
      <c r="W88" s="419">
        <v>58.833755610000004</v>
      </c>
      <c r="X88" s="419">
        <v>57.916210050000011</v>
      </c>
      <c r="Y88" s="419">
        <v>60.2835222</v>
      </c>
      <c r="Z88" s="419">
        <v>53.650485880000005</v>
      </c>
      <c r="AA88" s="419">
        <v>52.967518839999997</v>
      </c>
      <c r="AB88" s="419">
        <v>53.362233800000006</v>
      </c>
      <c r="AC88" s="419">
        <v>47.478002830000001</v>
      </c>
      <c r="AD88" s="419">
        <v>55.202753009999988</v>
      </c>
      <c r="AE88" s="419">
        <v>45.670907369999995</v>
      </c>
      <c r="AF88" s="419">
        <v>49.274646359999998</v>
      </c>
      <c r="AG88" s="419">
        <v>48.01154141</v>
      </c>
      <c r="AH88" s="419">
        <v>42.093704580000001</v>
      </c>
      <c r="AI88" s="419">
        <v>32.948458199999997</v>
      </c>
      <c r="AJ88" s="419">
        <v>35.583476000000005</v>
      </c>
      <c r="AK88" s="419">
        <v>43.305932970000008</v>
      </c>
      <c r="AL88" s="419">
        <v>53.374015479999997</v>
      </c>
      <c r="AM88" s="297">
        <v>46.158967839999995</v>
      </c>
      <c r="AN88" s="297">
        <v>54.347754619999996</v>
      </c>
      <c r="AO88" s="297">
        <v>48.525518700000006</v>
      </c>
      <c r="AP88" s="297">
        <v>52.860461799799992</v>
      </c>
      <c r="AQ88" s="297">
        <v>53.070695175200001</v>
      </c>
      <c r="AR88" s="418">
        <v>63.981940783999995</v>
      </c>
      <c r="AS88" s="418">
        <v>55.699059699999992</v>
      </c>
      <c r="AT88" s="418">
        <v>56.677409847200003</v>
      </c>
      <c r="AU88" s="418">
        <v>59.019868471200006</v>
      </c>
      <c r="AV88" s="418">
        <v>63.042268194000002</v>
      </c>
      <c r="AW88" s="218">
        <v>55.394679115200006</v>
      </c>
      <c r="AX88" s="218">
        <v>53.872736435199997</v>
      </c>
      <c r="AY88" s="218">
        <v>49.063188840800002</v>
      </c>
      <c r="AZ88" s="218">
        <v>53.4720252973</v>
      </c>
      <c r="BA88" s="218">
        <v>52.107485867799994</v>
      </c>
      <c r="BB88" s="218">
        <v>47.097178803000006</v>
      </c>
      <c r="BC88" s="218">
        <v>50.952590386399997</v>
      </c>
      <c r="BD88" s="218">
        <v>52.515943265000018</v>
      </c>
      <c r="BE88" s="218">
        <v>44.703751737499999</v>
      </c>
      <c r="BF88" s="218">
        <v>49.227843590000006</v>
      </c>
      <c r="BG88" s="218">
        <v>45.595012431999997</v>
      </c>
      <c r="BH88" s="218">
        <v>47.1451664792</v>
      </c>
      <c r="BI88" s="218">
        <v>50.2027641102</v>
      </c>
      <c r="BJ88" s="218">
        <v>50.072110066200004</v>
      </c>
      <c r="BK88" s="218">
        <v>54.903676090600008</v>
      </c>
      <c r="BL88" s="218">
        <v>53.200212702500004</v>
      </c>
      <c r="BM88" s="218">
        <v>52.8312616746</v>
      </c>
      <c r="BN88" s="218">
        <v>55.053590408799998</v>
      </c>
      <c r="BO88" s="218">
        <v>57.961530281199998</v>
      </c>
      <c r="BP88" s="218">
        <v>66.371450070899996</v>
      </c>
      <c r="BQ88" s="218">
        <v>68.323603144499984</v>
      </c>
      <c r="BR88" s="218">
        <v>60.966072810099995</v>
      </c>
      <c r="BS88" s="218">
        <v>56.997552879200015</v>
      </c>
      <c r="BT88" s="218">
        <v>53.629983508960009</v>
      </c>
      <c r="BU88" s="218">
        <v>60.554701980456002</v>
      </c>
      <c r="BV88" s="218">
        <v>55.701739239142</v>
      </c>
      <c r="BW88" s="218">
        <v>58.668343509259998</v>
      </c>
      <c r="BX88" s="218">
        <v>57.457198165000001</v>
      </c>
      <c r="BY88" s="218">
        <v>55.877334342600008</v>
      </c>
      <c r="BZ88" s="218">
        <v>56.2</v>
      </c>
      <c r="CA88" s="218">
        <v>53.228000044300003</v>
      </c>
      <c r="CB88" s="218">
        <v>53.528072708800003</v>
      </c>
      <c r="CC88" s="218">
        <v>52.917980476316998</v>
      </c>
      <c r="CD88" s="218">
        <v>62.460235662292007</v>
      </c>
      <c r="CE88" s="218">
        <v>62.935848441642207</v>
      </c>
      <c r="CF88" s="218">
        <v>62.663625340576239</v>
      </c>
      <c r="CG88" s="218">
        <v>65.742422482846678</v>
      </c>
      <c r="CH88" s="218">
        <v>60.632789729900004</v>
      </c>
      <c r="CI88" s="218">
        <v>62.870534400000004</v>
      </c>
      <c r="CJ88" s="218">
        <v>67.517907890000018</v>
      </c>
      <c r="CK88" s="218">
        <v>60.903891130000005</v>
      </c>
      <c r="CL88" s="218">
        <v>63.550595969999996</v>
      </c>
      <c r="CM88" s="218">
        <v>63.836284769999992</v>
      </c>
      <c r="CN88" s="218">
        <v>64.490997109999995</v>
      </c>
      <c r="CO88" s="218">
        <v>60.317251660000011</v>
      </c>
      <c r="CP88" s="444">
        <v>64.099128999999991</v>
      </c>
      <c r="CQ88" s="218">
        <v>69.426817790000001</v>
      </c>
      <c r="CR88" s="218">
        <v>69.655805470000004</v>
      </c>
      <c r="CS88" s="218">
        <v>69.590133350000002</v>
      </c>
      <c r="CT88" s="218">
        <v>78.614045930000017</v>
      </c>
      <c r="CU88" s="218">
        <v>77.726854810000006</v>
      </c>
      <c r="CV88" s="218">
        <v>73.146281900000005</v>
      </c>
      <c r="CW88" s="218">
        <v>75.100519570000003</v>
      </c>
      <c r="CX88" s="218">
        <v>82.259164069999997</v>
      </c>
      <c r="CY88" s="218">
        <v>57.754491030000004</v>
      </c>
      <c r="CZ88" s="218">
        <v>53.748318859999998</v>
      </c>
      <c r="DA88" s="218">
        <v>45.218840970000002</v>
      </c>
      <c r="DB88" s="218">
        <v>51.003858790000002</v>
      </c>
      <c r="DC88" s="218">
        <v>58.100974149999999</v>
      </c>
      <c r="DD88" s="218">
        <v>59.261466720000008</v>
      </c>
      <c r="DE88" s="218">
        <v>60.502115269999997</v>
      </c>
      <c r="DF88" s="218">
        <v>52.653595539999998</v>
      </c>
      <c r="DG88" s="218">
        <v>69.056925430000007</v>
      </c>
      <c r="DH88" s="218">
        <v>72.283822109999988</v>
      </c>
      <c r="DI88" s="218">
        <v>67.56104237000001</v>
      </c>
      <c r="DJ88" s="218">
        <v>70.78484091</v>
      </c>
      <c r="DK88" s="218">
        <v>64.53209145999999</v>
      </c>
      <c r="DL88" s="218">
        <v>70.601233409999992</v>
      </c>
      <c r="DM88" s="218">
        <v>61.400073259999999</v>
      </c>
      <c r="DN88" s="218">
        <v>55.563116941712813</v>
      </c>
      <c r="DO88" s="218">
        <v>61.539926560000005</v>
      </c>
      <c r="DP88" s="218">
        <v>56.516585380000002</v>
      </c>
      <c r="DQ88" s="218">
        <v>57.272328560000005</v>
      </c>
      <c r="DR88" s="218">
        <v>66.535300469999996</v>
      </c>
      <c r="DS88" s="218">
        <v>67.239951119999986</v>
      </c>
      <c r="DT88" s="218">
        <v>65.353980190000001</v>
      </c>
      <c r="DU88" s="218">
        <v>62.980796359999992</v>
      </c>
      <c r="DV88" s="218">
        <v>64.161109400000015</v>
      </c>
      <c r="DW88" s="218">
        <v>74.705066599999995</v>
      </c>
      <c r="DX88" s="218">
        <v>79.993561849999992</v>
      </c>
      <c r="DY88" s="218">
        <v>82.095971950000006</v>
      </c>
      <c r="DZ88" s="218">
        <v>83.151110139999986</v>
      </c>
      <c r="EA88" s="218">
        <v>84.064112160000008</v>
      </c>
      <c r="EB88" s="218">
        <v>81.861896858800009</v>
      </c>
    </row>
    <row r="89" spans="1:132" ht="15.95" customHeight="1" x14ac:dyDescent="0.25">
      <c r="A89" s="417" t="s">
        <v>340</v>
      </c>
      <c r="B89" s="418">
        <v>171.65605704000001</v>
      </c>
      <c r="C89" s="295">
        <v>33.317444590000001</v>
      </c>
      <c r="D89" s="295">
        <v>32.025845710000006</v>
      </c>
      <c r="E89" s="224">
        <v>34.958413289999996</v>
      </c>
      <c r="F89" s="295">
        <v>45.978065890000003</v>
      </c>
      <c r="G89" s="295">
        <v>50.347736910000002</v>
      </c>
      <c r="H89" s="295">
        <v>49.352268650000006</v>
      </c>
      <c r="I89" s="295">
        <v>82.946417170000004</v>
      </c>
      <c r="J89" s="295">
        <v>85.933542500000001</v>
      </c>
      <c r="K89" s="224">
        <v>89.194672460000007</v>
      </c>
      <c r="L89" s="295">
        <v>93.413848460000011</v>
      </c>
      <c r="M89" s="295">
        <v>94.379553670000007</v>
      </c>
      <c r="N89" s="295">
        <v>90.990209329999999</v>
      </c>
      <c r="O89" s="224">
        <v>94.149863209999992</v>
      </c>
      <c r="P89" s="295">
        <v>92.369877990000006</v>
      </c>
      <c r="Q89" s="295">
        <v>87.737623689999992</v>
      </c>
      <c r="R89" s="224">
        <v>87.24471521000001</v>
      </c>
      <c r="S89" s="295">
        <v>87.121757759999994</v>
      </c>
      <c r="T89" s="295">
        <v>85.740809509999991</v>
      </c>
      <c r="U89" s="419">
        <v>86.460201620000007</v>
      </c>
      <c r="V89" s="419">
        <v>88.641028899999995</v>
      </c>
      <c r="W89" s="419">
        <v>86.879794500000003</v>
      </c>
      <c r="X89" s="419">
        <v>89.822815009999999</v>
      </c>
      <c r="Y89" s="419">
        <v>89.170840589999997</v>
      </c>
      <c r="Z89" s="419">
        <v>88.372358590000005</v>
      </c>
      <c r="AA89" s="419">
        <v>80.77291922000002</v>
      </c>
      <c r="AB89" s="419">
        <v>81.217964789999996</v>
      </c>
      <c r="AC89" s="419">
        <v>80.568758670000008</v>
      </c>
      <c r="AD89" s="419">
        <v>76.571829509999986</v>
      </c>
      <c r="AE89" s="419">
        <v>80.062509559999995</v>
      </c>
      <c r="AF89" s="419">
        <v>77.912084700000023</v>
      </c>
      <c r="AG89" s="419">
        <v>76.315950380000004</v>
      </c>
      <c r="AH89" s="419">
        <v>73.958580850000004</v>
      </c>
      <c r="AI89" s="419">
        <v>68.50618252000001</v>
      </c>
      <c r="AJ89" s="419">
        <v>67.849605120000007</v>
      </c>
      <c r="AK89" s="419">
        <v>68.041894810000002</v>
      </c>
      <c r="AL89" s="419">
        <v>84.150337359999995</v>
      </c>
      <c r="AM89" s="297">
        <v>88.72816112000001</v>
      </c>
      <c r="AN89" s="297">
        <v>70.906875680000013</v>
      </c>
      <c r="AO89" s="297">
        <v>67.887707739999996</v>
      </c>
      <c r="AP89" s="297">
        <v>59.662527829999995</v>
      </c>
      <c r="AQ89" s="297">
        <v>61.711041339999994</v>
      </c>
      <c r="AR89" s="418">
        <v>64.561846590000002</v>
      </c>
      <c r="AS89" s="418">
        <v>65.349665520000002</v>
      </c>
      <c r="AT89" s="418">
        <v>66.132030009999994</v>
      </c>
      <c r="AU89" s="418">
        <v>68.530294299999994</v>
      </c>
      <c r="AV89" s="418">
        <v>67.346674230000005</v>
      </c>
      <c r="AW89" s="218">
        <v>68.428518339999997</v>
      </c>
      <c r="AX89" s="218">
        <v>67.595359039999991</v>
      </c>
      <c r="AY89" s="218">
        <v>70.949900530000008</v>
      </c>
      <c r="AZ89" s="218">
        <v>75.698302859999998</v>
      </c>
      <c r="BA89" s="218">
        <v>71.952421629999989</v>
      </c>
      <c r="BB89" s="218">
        <v>70.688085779999994</v>
      </c>
      <c r="BC89" s="218">
        <v>74.886116440000009</v>
      </c>
      <c r="BD89" s="218">
        <v>73.004373120000011</v>
      </c>
      <c r="BE89" s="218">
        <v>69.971568810000008</v>
      </c>
      <c r="BF89" s="218">
        <v>70.604772030000007</v>
      </c>
      <c r="BG89" s="218">
        <v>74.759382679999987</v>
      </c>
      <c r="BH89" s="218">
        <v>74.46674895999999</v>
      </c>
      <c r="BI89" s="218">
        <v>77.837999969999984</v>
      </c>
      <c r="BJ89" s="218">
        <v>77.776151370000008</v>
      </c>
      <c r="BK89" s="218">
        <v>81.26819024000001</v>
      </c>
      <c r="BL89" s="218">
        <v>84.65606695999999</v>
      </c>
      <c r="BM89" s="218">
        <v>86.687970650000011</v>
      </c>
      <c r="BN89" s="218">
        <v>76.606500778907304</v>
      </c>
      <c r="BO89" s="218">
        <v>80.129626369999997</v>
      </c>
      <c r="BP89" s="218">
        <v>76.146434189999994</v>
      </c>
      <c r="BQ89" s="218">
        <v>76.137253459999997</v>
      </c>
      <c r="BR89" s="218">
        <v>86.024590925200016</v>
      </c>
      <c r="BS89" s="218">
        <v>88.017500857999991</v>
      </c>
      <c r="BT89" s="218">
        <v>87.20189198885501</v>
      </c>
      <c r="BU89" s="218">
        <v>85.859602339001981</v>
      </c>
      <c r="BV89" s="218">
        <v>226.50688152617801</v>
      </c>
      <c r="BW89" s="218">
        <v>227.66101207839</v>
      </c>
      <c r="BX89" s="218">
        <v>230.08876346149998</v>
      </c>
      <c r="BY89" s="218">
        <v>239.28996293630001</v>
      </c>
      <c r="BZ89" s="218">
        <v>237</v>
      </c>
      <c r="CA89" s="218">
        <v>232.2070900443</v>
      </c>
      <c r="CB89" s="218">
        <v>239.4707059328</v>
      </c>
      <c r="CC89" s="218">
        <v>243.71081602237001</v>
      </c>
      <c r="CD89" s="218">
        <v>243.962094719954</v>
      </c>
      <c r="CE89" s="218">
        <v>241.43516961573351</v>
      </c>
      <c r="CF89" s="218">
        <v>242.29445710160002</v>
      </c>
      <c r="CG89" s="218">
        <v>96.027138010000002</v>
      </c>
      <c r="CH89" s="218">
        <v>97.850375230000012</v>
      </c>
      <c r="CI89" s="218">
        <v>99.224728550000009</v>
      </c>
      <c r="CJ89" s="218">
        <v>97.954183380000003</v>
      </c>
      <c r="CK89" s="218">
        <v>100.86540133999999</v>
      </c>
      <c r="CL89" s="218">
        <v>90.72438425</v>
      </c>
      <c r="CM89" s="218">
        <v>88.612013609999991</v>
      </c>
      <c r="CN89" s="218">
        <v>92.881800429999998</v>
      </c>
      <c r="CO89" s="218">
        <v>88.91664947999999</v>
      </c>
      <c r="CP89" s="444">
        <v>91.698979600000001</v>
      </c>
      <c r="CQ89" s="218">
        <v>92.021359369999999</v>
      </c>
      <c r="CR89" s="218">
        <v>93.928577939999997</v>
      </c>
      <c r="CS89" s="218">
        <v>98.989123570000004</v>
      </c>
      <c r="CT89" s="218">
        <v>90.918288380000021</v>
      </c>
      <c r="CU89" s="218">
        <v>91.066912460000012</v>
      </c>
      <c r="CV89" s="218">
        <v>89.96277465999998</v>
      </c>
      <c r="CW89" s="218">
        <v>85.893793500000001</v>
      </c>
      <c r="CX89" s="218">
        <v>73.588310719999996</v>
      </c>
      <c r="CY89" s="218">
        <v>72.161642999999998</v>
      </c>
      <c r="CZ89" s="218">
        <v>81.088658556183702</v>
      </c>
      <c r="DA89" s="218">
        <v>79.622661533098423</v>
      </c>
      <c r="DB89" s="218">
        <v>77.206293464550811</v>
      </c>
      <c r="DC89" s="218">
        <v>71.352654421427985</v>
      </c>
      <c r="DD89" s="218">
        <v>75.683002871389093</v>
      </c>
      <c r="DE89" s="218">
        <v>74.555756884214404</v>
      </c>
      <c r="DF89" s="218">
        <v>77.798387907891097</v>
      </c>
      <c r="DG89" s="218">
        <v>74.786735778267882</v>
      </c>
      <c r="DH89" s="218">
        <v>74.082008359732782</v>
      </c>
      <c r="DI89" s="218">
        <v>72.80334858111587</v>
      </c>
      <c r="DJ89" s="218">
        <v>76.1247785646691</v>
      </c>
      <c r="DK89" s="218">
        <v>110.48954897258547</v>
      </c>
      <c r="DL89" s="218">
        <v>122.57562448626562</v>
      </c>
      <c r="DM89" s="218">
        <v>127.4092732165761</v>
      </c>
      <c r="DN89" s="218">
        <v>123.638123747379</v>
      </c>
      <c r="DO89" s="218">
        <v>133.6862812760636</v>
      </c>
      <c r="DP89" s="218">
        <v>132.21669604780624</v>
      </c>
      <c r="DQ89" s="218">
        <v>132.11499578055054</v>
      </c>
      <c r="DR89" s="218">
        <v>134.76311590274804</v>
      </c>
      <c r="DS89" s="218">
        <v>127.71736481000001</v>
      </c>
      <c r="DT89" s="218">
        <v>128.97083714858812</v>
      </c>
      <c r="DU89" s="218">
        <v>133.18735813000001</v>
      </c>
      <c r="DV89" s="218">
        <v>132.22417268000001</v>
      </c>
      <c r="DW89" s="218">
        <v>132.80906179000002</v>
      </c>
      <c r="DX89" s="218">
        <v>130.91794755000001</v>
      </c>
      <c r="DY89" s="218">
        <v>134.10634272999999</v>
      </c>
      <c r="DZ89" s="218">
        <v>132.25005241000002</v>
      </c>
      <c r="EA89" s="218">
        <v>118.5997966</v>
      </c>
      <c r="EB89" s="218">
        <v>114.37491235019999</v>
      </c>
    </row>
    <row r="90" spans="1:132" ht="15.95" customHeight="1" x14ac:dyDescent="0.25">
      <c r="A90" s="417" t="s">
        <v>341</v>
      </c>
      <c r="B90" s="418">
        <v>7.8734201000000006</v>
      </c>
      <c r="C90" s="295">
        <v>8.12423948</v>
      </c>
      <c r="D90" s="295">
        <v>7.4374948200000004</v>
      </c>
      <c r="E90" s="224">
        <v>15.363490969999999</v>
      </c>
      <c r="F90" s="295">
        <v>14.68003485</v>
      </c>
      <c r="G90" s="295">
        <v>14.86879944</v>
      </c>
      <c r="H90" s="295">
        <v>14.666910120000001</v>
      </c>
      <c r="I90" s="295">
        <v>14.995390180000001</v>
      </c>
      <c r="J90" s="295">
        <v>14.288696640000001</v>
      </c>
      <c r="K90" s="224">
        <v>14.823433869999999</v>
      </c>
      <c r="L90" s="295">
        <v>14.216058840000001</v>
      </c>
      <c r="M90" s="295">
        <v>14.1933004</v>
      </c>
      <c r="N90" s="295">
        <v>13.89542456</v>
      </c>
      <c r="O90" s="224">
        <v>14.277940580000003</v>
      </c>
      <c r="P90" s="295">
        <v>13.777528200000001</v>
      </c>
      <c r="Q90" s="295">
        <v>14.250351239999999</v>
      </c>
      <c r="R90" s="224">
        <v>6.6764971199999996</v>
      </c>
      <c r="S90" s="295">
        <v>6.8548293599999992</v>
      </c>
      <c r="T90" s="295">
        <v>5.5056059800000003</v>
      </c>
      <c r="U90" s="419">
        <v>6.72710074</v>
      </c>
      <c r="V90" s="419">
        <v>6.6411584599999998</v>
      </c>
      <c r="W90" s="419">
        <v>6.8288568300000003</v>
      </c>
      <c r="X90" s="419">
        <v>6.98856156</v>
      </c>
      <c r="Y90" s="419">
        <v>6.73687272</v>
      </c>
      <c r="Z90" s="419">
        <v>7.4647409799999993</v>
      </c>
      <c r="AA90" s="419">
        <v>7.1861999299999999</v>
      </c>
      <c r="AB90" s="419">
        <v>7.373802959999999</v>
      </c>
      <c r="AC90" s="419">
        <v>6.9942047000000001</v>
      </c>
      <c r="AD90" s="419">
        <v>7.6367300800000004</v>
      </c>
      <c r="AE90" s="419">
        <v>8.1040530900000007</v>
      </c>
      <c r="AF90" s="419">
        <v>7.9350608200000003</v>
      </c>
      <c r="AG90" s="419">
        <v>7.8289382100000005</v>
      </c>
      <c r="AH90" s="419">
        <v>8.3825039399999994</v>
      </c>
      <c r="AI90" s="419">
        <v>31.542864260000002</v>
      </c>
      <c r="AJ90" s="419">
        <v>18.03628471</v>
      </c>
      <c r="AK90" s="419">
        <v>19.145671919999998</v>
      </c>
      <c r="AL90" s="419">
        <v>18.712149989999997</v>
      </c>
      <c r="AM90" s="297">
        <v>41.505096800000004</v>
      </c>
      <c r="AN90" s="297">
        <v>42.360433559999997</v>
      </c>
      <c r="AO90" s="297">
        <v>41.83166671</v>
      </c>
      <c r="AP90" s="297">
        <v>68.379420391599993</v>
      </c>
      <c r="AQ90" s="297">
        <v>59.1442670494</v>
      </c>
      <c r="AR90" s="418">
        <v>16.4931554996</v>
      </c>
      <c r="AS90" s="418">
        <v>44.900507609999991</v>
      </c>
      <c r="AT90" s="418">
        <v>72.50665291</v>
      </c>
      <c r="AU90" s="418">
        <v>26.51654826</v>
      </c>
      <c r="AV90" s="418">
        <v>57.734432510000005</v>
      </c>
      <c r="AW90" s="218">
        <v>23.938626840000001</v>
      </c>
      <c r="AX90" s="218">
        <v>48.143872219999999</v>
      </c>
      <c r="AY90" s="218">
        <v>28.353222479999999</v>
      </c>
      <c r="AZ90" s="218">
        <v>31.982017369999998</v>
      </c>
      <c r="BA90" s="218">
        <v>46.835380539999996</v>
      </c>
      <c r="BB90" s="218">
        <v>27.304262089999995</v>
      </c>
      <c r="BC90" s="218">
        <v>43.336962039999996</v>
      </c>
      <c r="BD90" s="218">
        <v>36.119298010000009</v>
      </c>
      <c r="BE90" s="218">
        <v>31.421963569999999</v>
      </c>
      <c r="BF90" s="218">
        <v>44.027103930000003</v>
      </c>
      <c r="BG90" s="218">
        <v>42.438372439999995</v>
      </c>
      <c r="BH90" s="218">
        <v>45.179139249999999</v>
      </c>
      <c r="BI90" s="218">
        <v>43.399822940000007</v>
      </c>
      <c r="BJ90" s="218">
        <v>34.93027867</v>
      </c>
      <c r="BK90" s="218">
        <v>30.263303269999994</v>
      </c>
      <c r="BL90" s="218">
        <v>39.21497875</v>
      </c>
      <c r="BM90" s="218">
        <v>44.532608019999998</v>
      </c>
      <c r="BN90" s="218">
        <v>41.192827639999997</v>
      </c>
      <c r="BO90" s="218">
        <v>29.850978990000002</v>
      </c>
      <c r="BP90" s="218">
        <v>39.425444129999995</v>
      </c>
      <c r="BQ90" s="218">
        <v>36.882975649999999</v>
      </c>
      <c r="BR90" s="218">
        <v>26.469191049999999</v>
      </c>
      <c r="BS90" s="218">
        <v>32.950469429999998</v>
      </c>
      <c r="BT90" s="218">
        <v>39.605742369999994</v>
      </c>
      <c r="BU90" s="218">
        <v>40.789607630000006</v>
      </c>
      <c r="BV90" s="218">
        <v>25.394526640000002</v>
      </c>
      <c r="BW90" s="218">
        <v>47.133704529999996</v>
      </c>
      <c r="BX90" s="218">
        <v>26.737968890000005</v>
      </c>
      <c r="BY90" s="218">
        <v>26.272059080000002</v>
      </c>
      <c r="BZ90" s="218">
        <v>30.8</v>
      </c>
      <c r="CA90" s="218">
        <v>33.13356211</v>
      </c>
      <c r="CB90" s="218">
        <v>27.833203090000001</v>
      </c>
      <c r="CC90" s="218">
        <v>34.178283350000008</v>
      </c>
      <c r="CD90" s="218">
        <v>25.864871340000001</v>
      </c>
      <c r="CE90" s="218">
        <v>32.431764259999994</v>
      </c>
      <c r="CF90" s="218">
        <v>28.648397790000004</v>
      </c>
      <c r="CG90" s="218">
        <v>50.38823235000001</v>
      </c>
      <c r="CH90" s="218">
        <v>40.501472410000005</v>
      </c>
      <c r="CI90" s="218">
        <v>43.239404429999993</v>
      </c>
      <c r="CJ90" s="218">
        <v>42.928889280000007</v>
      </c>
      <c r="CK90" s="218">
        <v>34.252710650000004</v>
      </c>
      <c r="CL90" s="218">
        <v>47.699756809999997</v>
      </c>
      <c r="CM90" s="218">
        <v>44.162795569999993</v>
      </c>
      <c r="CN90" s="218">
        <v>58.573878050000005</v>
      </c>
      <c r="CO90" s="218">
        <v>55.066359299999988</v>
      </c>
      <c r="CP90" s="444">
        <v>40.254336479999999</v>
      </c>
      <c r="CQ90" s="218">
        <v>37.934387520000001</v>
      </c>
      <c r="CR90" s="218">
        <v>30.141398909999999</v>
      </c>
      <c r="CS90" s="218">
        <v>23.714226109999995</v>
      </c>
      <c r="CT90" s="218">
        <v>37.06716883</v>
      </c>
      <c r="CU90" s="218">
        <v>32.434444190000001</v>
      </c>
      <c r="CV90" s="218">
        <v>46.275090080000005</v>
      </c>
      <c r="CW90" s="218">
        <v>63.554715440000003</v>
      </c>
      <c r="CX90" s="218">
        <v>39.878240130000002</v>
      </c>
      <c r="CY90" s="218">
        <v>41.779197780000004</v>
      </c>
      <c r="CZ90" s="218">
        <v>47.039528079999997</v>
      </c>
      <c r="DA90" s="218">
        <v>45.913244030000008</v>
      </c>
      <c r="DB90" s="218">
        <v>57.296017600000006</v>
      </c>
      <c r="DC90" s="218">
        <v>65.390123649999992</v>
      </c>
      <c r="DD90" s="218">
        <v>36.795868299999995</v>
      </c>
      <c r="DE90" s="218">
        <v>41.339515679999998</v>
      </c>
      <c r="DF90" s="218">
        <v>42.910654219999998</v>
      </c>
      <c r="DG90" s="218">
        <v>46.388134280000003</v>
      </c>
      <c r="DH90" s="218">
        <v>44.901870600000002</v>
      </c>
      <c r="DI90" s="218">
        <v>41.630560350000003</v>
      </c>
      <c r="DJ90" s="218">
        <v>62.997918209999987</v>
      </c>
      <c r="DK90" s="218">
        <v>54.7326804</v>
      </c>
      <c r="DL90" s="218">
        <v>36.720799749999998</v>
      </c>
      <c r="DM90" s="218">
        <v>43.042611660000006</v>
      </c>
      <c r="DN90" s="218">
        <v>48.533553179999991</v>
      </c>
      <c r="DO90" s="218">
        <v>47.663824629999993</v>
      </c>
      <c r="DP90" s="218">
        <v>54.007771890000001</v>
      </c>
      <c r="DQ90" s="218">
        <v>68.503948750000006</v>
      </c>
      <c r="DR90" s="218">
        <v>46.300855769999998</v>
      </c>
      <c r="DS90" s="218">
        <v>52.299126159999993</v>
      </c>
      <c r="DT90" s="218">
        <v>61.64593344</v>
      </c>
      <c r="DU90" s="218">
        <v>56.2667796</v>
      </c>
      <c r="DV90" s="218">
        <v>58.351256469999996</v>
      </c>
      <c r="DW90" s="218">
        <v>46.086282729999994</v>
      </c>
      <c r="DX90" s="218">
        <v>46.501981630000003</v>
      </c>
      <c r="DY90" s="218">
        <v>47.27866238</v>
      </c>
      <c r="DZ90" s="218">
        <v>41.418870909999995</v>
      </c>
      <c r="EA90" s="218">
        <v>31.375675790000003</v>
      </c>
      <c r="EB90" s="218">
        <v>58.221588797199992</v>
      </c>
    </row>
    <row r="91" spans="1:132" ht="15.95" customHeight="1" x14ac:dyDescent="0.25">
      <c r="A91" s="417" t="s">
        <v>283</v>
      </c>
      <c r="B91" s="418">
        <v>34.450845149999999</v>
      </c>
      <c r="C91" s="295">
        <v>39.401291669999999</v>
      </c>
      <c r="D91" s="295">
        <v>41.900881290000001</v>
      </c>
      <c r="E91" s="224">
        <v>40.092310679999997</v>
      </c>
      <c r="F91" s="295">
        <v>42.866282620000007</v>
      </c>
      <c r="G91" s="295">
        <v>40.286449760000004</v>
      </c>
      <c r="H91" s="295">
        <v>45.691807700000005</v>
      </c>
      <c r="I91" s="295">
        <v>44.377729790000004</v>
      </c>
      <c r="J91" s="295">
        <v>47.903559460000004</v>
      </c>
      <c r="K91" s="224">
        <v>47.79648121000001</v>
      </c>
      <c r="L91" s="295">
        <v>45.069611450000004</v>
      </c>
      <c r="M91" s="295">
        <v>39.01668591</v>
      </c>
      <c r="N91" s="295">
        <v>34.589041659999999</v>
      </c>
      <c r="O91" s="224">
        <v>37.40285875</v>
      </c>
      <c r="P91" s="295">
        <v>38.622555589999997</v>
      </c>
      <c r="Q91" s="295">
        <v>38.578902720000002</v>
      </c>
      <c r="R91" s="224">
        <v>39.686825710000001</v>
      </c>
      <c r="S91" s="295">
        <v>35.24033773</v>
      </c>
      <c r="T91" s="295">
        <v>30.093099529999996</v>
      </c>
      <c r="U91" s="419">
        <v>32.054923000000002</v>
      </c>
      <c r="V91" s="419">
        <v>31.893835920000001</v>
      </c>
      <c r="W91" s="419">
        <v>35.322956590000004</v>
      </c>
      <c r="X91" s="419">
        <v>39.892316670000007</v>
      </c>
      <c r="Y91" s="419">
        <v>45.725216189999998</v>
      </c>
      <c r="Z91" s="419">
        <v>46.048335479999999</v>
      </c>
      <c r="AA91" s="419">
        <v>44.373795880000003</v>
      </c>
      <c r="AB91" s="419">
        <v>42.537616660000005</v>
      </c>
      <c r="AC91" s="419">
        <v>44.432286159999997</v>
      </c>
      <c r="AD91" s="419">
        <v>46.851728039999998</v>
      </c>
      <c r="AE91" s="419">
        <v>48.299774620000001</v>
      </c>
      <c r="AF91" s="419">
        <v>49.949144420000003</v>
      </c>
      <c r="AG91" s="419">
        <v>65.152374082375999</v>
      </c>
      <c r="AH91" s="419">
        <v>67.181913888319997</v>
      </c>
      <c r="AI91" s="419">
        <v>75.971389513199995</v>
      </c>
      <c r="AJ91" s="419">
        <v>75.213792470851985</v>
      </c>
      <c r="AK91" s="419">
        <v>76.620421876752005</v>
      </c>
      <c r="AL91" s="419">
        <v>73.365954500099988</v>
      </c>
      <c r="AM91" s="297">
        <v>76.563196942294979</v>
      </c>
      <c r="AN91" s="297">
        <v>75.381447055734</v>
      </c>
      <c r="AO91" s="297">
        <v>68.439109596799995</v>
      </c>
      <c r="AP91" s="297">
        <v>82.277743242797001</v>
      </c>
      <c r="AQ91" s="297">
        <v>86.034745865036001</v>
      </c>
      <c r="AR91" s="418">
        <v>92.266952688464002</v>
      </c>
      <c r="AS91" s="418">
        <v>102.93912985000003</v>
      </c>
      <c r="AT91" s="418">
        <v>107.729889338544</v>
      </c>
      <c r="AU91" s="418">
        <v>113.97225896596099</v>
      </c>
      <c r="AV91" s="418">
        <v>229.04242961201598</v>
      </c>
      <c r="AW91" s="218">
        <v>238.80014765429999</v>
      </c>
      <c r="AX91" s="218">
        <v>254.77934443492001</v>
      </c>
      <c r="AY91" s="218">
        <v>263.65224961595101</v>
      </c>
      <c r="AZ91" s="218">
        <v>283.53281643033296</v>
      </c>
      <c r="BA91" s="218">
        <v>286.02501923986404</v>
      </c>
      <c r="BB91" s="218">
        <v>290.84773244277602</v>
      </c>
      <c r="BC91" s="218">
        <v>292.55827296292267</v>
      </c>
      <c r="BD91" s="218">
        <v>302.75818411180222</v>
      </c>
      <c r="BE91" s="218">
        <v>311.996636416824</v>
      </c>
      <c r="BF91" s="218">
        <v>300.36017938828309</v>
      </c>
      <c r="BG91" s="218">
        <v>473.11715819725703</v>
      </c>
      <c r="BH91" s="218">
        <v>304.86945068459704</v>
      </c>
      <c r="BI91" s="218">
        <v>212.300844118877</v>
      </c>
      <c r="BJ91" s="218">
        <v>232.31490932123504</v>
      </c>
      <c r="BK91" s="218">
        <v>228.74257151412601</v>
      </c>
      <c r="BL91" s="218">
        <v>216.44886687315</v>
      </c>
      <c r="BM91" s="218">
        <v>220.18017317310799</v>
      </c>
      <c r="BN91" s="218">
        <v>209.65360860923204</v>
      </c>
      <c r="BO91" s="218">
        <v>215.001761187894</v>
      </c>
      <c r="BP91" s="218">
        <v>204.239677215744</v>
      </c>
      <c r="BQ91" s="218">
        <v>210.24262704879001</v>
      </c>
      <c r="BR91" s="218">
        <v>211.12023727684701</v>
      </c>
      <c r="BS91" s="218">
        <v>189.17565310589603</v>
      </c>
      <c r="BT91" s="218">
        <v>189.25732604385999</v>
      </c>
      <c r="BU91" s="218">
        <v>190.52778560716999</v>
      </c>
      <c r="BV91" s="218">
        <v>210.35373247307604</v>
      </c>
      <c r="BW91" s="218">
        <v>190.43261303256702</v>
      </c>
      <c r="BX91" s="218">
        <v>194.16803452149998</v>
      </c>
      <c r="BY91" s="218">
        <v>195.67279921830001</v>
      </c>
      <c r="BZ91" s="218">
        <v>201.2</v>
      </c>
      <c r="CA91" s="218">
        <v>210.127232862596</v>
      </c>
      <c r="CB91" s="218">
        <v>114.84032315042998</v>
      </c>
      <c r="CC91" s="218">
        <v>109.66049987904</v>
      </c>
      <c r="CD91" s="218">
        <v>114.75803878249401</v>
      </c>
      <c r="CE91" s="218">
        <v>133.17304393299699</v>
      </c>
      <c r="CF91" s="218">
        <v>116.54432386558001</v>
      </c>
      <c r="CG91" s="218">
        <v>203.54481827292668</v>
      </c>
      <c r="CH91" s="218">
        <v>204.53275461029818</v>
      </c>
      <c r="CI91" s="218">
        <v>204.51857907546582</v>
      </c>
      <c r="CJ91" s="218">
        <v>147.37107796829</v>
      </c>
      <c r="CK91" s="218">
        <v>170.57081429805498</v>
      </c>
      <c r="CL91" s="218">
        <v>186.52035048938532</v>
      </c>
      <c r="CM91" s="218">
        <v>202.85786109072151</v>
      </c>
      <c r="CN91" s="218">
        <v>195.20006632308102</v>
      </c>
      <c r="CO91" s="218">
        <v>202.59299861770899</v>
      </c>
      <c r="CP91" s="444">
        <v>193.99342680457102</v>
      </c>
      <c r="CQ91" s="218">
        <v>195.24224930870801</v>
      </c>
      <c r="CR91" s="218">
        <v>188.08874560578897</v>
      </c>
      <c r="CS91" s="218">
        <v>191.57070382904212</v>
      </c>
      <c r="CT91" s="218">
        <v>203.38736238646993</v>
      </c>
      <c r="CU91" s="218">
        <v>197.86085868143721</v>
      </c>
      <c r="CV91" s="218">
        <v>186.95294646140005</v>
      </c>
      <c r="CW91" s="218">
        <v>193.44176025144068</v>
      </c>
      <c r="CX91" s="218">
        <v>178.4996639446515</v>
      </c>
      <c r="CY91" s="218">
        <v>220.88599750758075</v>
      </c>
      <c r="CZ91" s="218">
        <v>168.87531788709833</v>
      </c>
      <c r="DA91" s="218">
        <v>198.61840889855105</v>
      </c>
      <c r="DB91" s="218">
        <v>197.73979825614455</v>
      </c>
      <c r="DC91" s="218">
        <v>221.0998701965004</v>
      </c>
      <c r="DD91" s="218">
        <v>187.64567713108357</v>
      </c>
      <c r="DE91" s="218">
        <v>184.33508041820849</v>
      </c>
      <c r="DF91" s="218">
        <v>186.35729886969401</v>
      </c>
      <c r="DG91" s="218">
        <v>205.03046718800198</v>
      </c>
      <c r="DH91" s="218">
        <v>200.29851151194995</v>
      </c>
      <c r="DI91" s="218">
        <v>204.9535710298826</v>
      </c>
      <c r="DJ91" s="218">
        <v>210.64430748793797</v>
      </c>
      <c r="DK91" s="218">
        <v>255.06064600252765</v>
      </c>
      <c r="DL91" s="218">
        <v>235.10069982314795</v>
      </c>
      <c r="DM91" s="218">
        <v>203.79123883177641</v>
      </c>
      <c r="DN91" s="218">
        <v>254.13182012005402</v>
      </c>
      <c r="DO91" s="218">
        <v>294.52336265449253</v>
      </c>
      <c r="DP91" s="218">
        <v>272.32095859885476</v>
      </c>
      <c r="DQ91" s="218">
        <v>278.54617270023499</v>
      </c>
      <c r="DR91" s="218">
        <v>258.107910450085</v>
      </c>
      <c r="DS91" s="218">
        <v>226.86777862851852</v>
      </c>
      <c r="DT91" s="218">
        <v>217.3565671936378</v>
      </c>
      <c r="DU91" s="218">
        <v>369.74734493960096</v>
      </c>
      <c r="DV91" s="218">
        <v>369.23266167833242</v>
      </c>
      <c r="DW91" s="218">
        <v>386.8426703762604</v>
      </c>
      <c r="DX91" s="218">
        <v>354.51927288607692</v>
      </c>
      <c r="DY91" s="218">
        <v>408.16473708837486</v>
      </c>
      <c r="DZ91" s="218">
        <v>395.15198203336001</v>
      </c>
      <c r="EA91" s="218">
        <v>377.92446279646168</v>
      </c>
      <c r="EB91" s="218">
        <v>390.19248841720349</v>
      </c>
    </row>
    <row r="92" spans="1:132" ht="7.7" customHeight="1" x14ac:dyDescent="0.25">
      <c r="A92" s="410"/>
      <c r="B92" s="411"/>
      <c r="C92" s="215"/>
      <c r="D92" s="215"/>
      <c r="E92" s="227"/>
      <c r="F92" s="215"/>
      <c r="G92" s="215"/>
      <c r="H92" s="295"/>
      <c r="I92" s="295"/>
      <c r="J92" s="295"/>
      <c r="K92" s="224"/>
      <c r="L92" s="295"/>
      <c r="M92" s="295"/>
      <c r="N92" s="295"/>
      <c r="O92" s="224"/>
      <c r="P92" s="295"/>
      <c r="Q92" s="295"/>
      <c r="R92" s="224"/>
      <c r="S92" s="295"/>
      <c r="T92" s="295"/>
      <c r="U92" s="419"/>
      <c r="V92" s="419"/>
      <c r="W92" s="419"/>
      <c r="X92" s="419"/>
      <c r="Y92" s="419"/>
      <c r="Z92" s="419"/>
      <c r="AA92" s="419"/>
      <c r="AB92" s="419"/>
      <c r="AC92" s="419"/>
      <c r="AD92" s="419"/>
      <c r="AE92" s="419"/>
      <c r="AF92" s="419"/>
      <c r="AG92" s="419"/>
      <c r="AH92" s="419"/>
      <c r="AI92" s="419"/>
      <c r="AJ92" s="419"/>
      <c r="AK92" s="419"/>
      <c r="AL92" s="419"/>
      <c r="AM92" s="296"/>
      <c r="AN92" s="296"/>
      <c r="AO92" s="296"/>
      <c r="AP92" s="296"/>
      <c r="AQ92" s="296"/>
      <c r="AR92" s="411"/>
      <c r="AS92" s="411"/>
      <c r="AT92" s="411"/>
      <c r="AU92" s="411"/>
      <c r="AV92" s="411"/>
      <c r="AW92" s="414"/>
      <c r="AX92" s="414"/>
      <c r="AY92" s="414"/>
      <c r="AZ92" s="414"/>
      <c r="BA92" s="414"/>
      <c r="BB92" s="414"/>
      <c r="BC92" s="414"/>
      <c r="BD92" s="414"/>
      <c r="BE92" s="414"/>
      <c r="BF92" s="414"/>
      <c r="BG92" s="414"/>
      <c r="BH92" s="414"/>
      <c r="BI92" s="414"/>
      <c r="BJ92" s="414"/>
      <c r="BK92" s="414"/>
      <c r="BL92" s="414"/>
      <c r="BM92" s="414"/>
      <c r="BN92" s="414"/>
      <c r="BO92" s="414"/>
      <c r="BP92" s="414"/>
      <c r="BQ92" s="414"/>
      <c r="BR92" s="414"/>
      <c r="BS92" s="414"/>
      <c r="BT92" s="414"/>
      <c r="BU92" s="414"/>
      <c r="BV92" s="414"/>
      <c r="BW92" s="414"/>
      <c r="BX92" s="414"/>
      <c r="BY92" s="414"/>
      <c r="BZ92" s="414"/>
      <c r="CA92" s="414"/>
      <c r="CB92" s="414"/>
      <c r="CC92" s="414"/>
      <c r="CD92" s="414"/>
      <c r="CE92" s="414"/>
      <c r="CF92" s="414"/>
      <c r="CG92" s="414"/>
      <c r="CH92" s="414"/>
      <c r="CI92" s="414"/>
      <c r="CJ92" s="414"/>
      <c r="CK92" s="414"/>
      <c r="CL92" s="414"/>
      <c r="CM92" s="414"/>
      <c r="CN92" s="414"/>
      <c r="CO92" s="414"/>
      <c r="CP92" s="443"/>
      <c r="CQ92" s="414"/>
      <c r="CR92" s="414"/>
      <c r="CS92" s="414"/>
      <c r="CT92" s="414"/>
      <c r="CU92" s="414"/>
      <c r="CV92" s="414"/>
      <c r="CW92" s="414"/>
      <c r="CX92" s="414"/>
      <c r="CY92" s="414"/>
      <c r="CZ92" s="414"/>
      <c r="DA92" s="414"/>
      <c r="DB92" s="414"/>
      <c r="DC92" s="414"/>
      <c r="DD92" s="414"/>
      <c r="DE92" s="414"/>
      <c r="DF92" s="414"/>
      <c r="DG92" s="414"/>
      <c r="DH92" s="414"/>
      <c r="DI92" s="414"/>
      <c r="DJ92" s="414"/>
      <c r="DK92" s="414"/>
      <c r="DL92" s="414"/>
      <c r="DM92" s="414"/>
      <c r="DN92" s="414"/>
      <c r="DO92" s="414"/>
      <c r="DP92" s="414"/>
      <c r="DQ92" s="414"/>
      <c r="DR92" s="414"/>
      <c r="DS92" s="414"/>
      <c r="DT92" s="414"/>
      <c r="DU92" s="414"/>
      <c r="DV92" s="414"/>
      <c r="DW92" s="414"/>
      <c r="DX92" s="414"/>
      <c r="DY92" s="414"/>
      <c r="DZ92" s="414"/>
      <c r="EA92" s="414"/>
      <c r="EB92" s="414"/>
    </row>
    <row r="93" spans="1:132" x14ac:dyDescent="0.25">
      <c r="A93" s="410" t="s">
        <v>342</v>
      </c>
      <c r="B93" s="411">
        <f>SUM(B95:B102)</f>
        <v>10239.246763938054</v>
      </c>
      <c r="C93" s="215">
        <f>SUM(C95:C102)</f>
        <v>10406.182058156483</v>
      </c>
      <c r="D93" s="215">
        <f>SUM(D95:D102)</f>
        <v>10207.053605573472</v>
      </c>
      <c r="E93" s="227">
        <f>SUM(E95:E102)</f>
        <v>10786.014004384326</v>
      </c>
      <c r="F93" s="215">
        <v>10348.732947104645</v>
      </c>
      <c r="G93" s="215">
        <v>10426.856366008687</v>
      </c>
      <c r="H93" s="215">
        <v>11402.531127569615</v>
      </c>
      <c r="I93" s="215">
        <v>11073.310422100827</v>
      </c>
      <c r="J93" s="215">
        <v>11170.116311757378</v>
      </c>
      <c r="K93" s="227">
        <v>11054.893956455007</v>
      </c>
      <c r="L93" s="215">
        <v>12706.913193714905</v>
      </c>
      <c r="M93" s="215">
        <v>12624.32533644574</v>
      </c>
      <c r="N93" s="215">
        <v>13343.68223578252</v>
      </c>
      <c r="O93" s="227">
        <v>13659.3271729853</v>
      </c>
      <c r="P93" s="215">
        <v>14471.049994724812</v>
      </c>
      <c r="Q93" s="215">
        <v>14862.707732863666</v>
      </c>
      <c r="R93" s="227">
        <v>15438.589441814758</v>
      </c>
      <c r="S93" s="215">
        <v>15668.785733133715</v>
      </c>
      <c r="T93" s="215">
        <v>16003.344815273844</v>
      </c>
      <c r="U93" s="217">
        <v>16714.050458770602</v>
      </c>
      <c r="V93" s="217">
        <v>15142.192310342396</v>
      </c>
      <c r="W93" s="217">
        <v>15948.306659457523</v>
      </c>
      <c r="X93" s="217">
        <v>15900.124786</v>
      </c>
      <c r="Y93" s="217">
        <v>15404.169353650997</v>
      </c>
      <c r="Z93" s="217">
        <v>15812.706045893879</v>
      </c>
      <c r="AA93" s="217">
        <v>15423.414469372505</v>
      </c>
      <c r="AB93" s="217">
        <v>15310.448769935267</v>
      </c>
      <c r="AC93" s="217">
        <v>16362.525815941681</v>
      </c>
      <c r="AD93" s="217">
        <v>16138.628881567543</v>
      </c>
      <c r="AE93" s="217">
        <v>16160.348298210391</v>
      </c>
      <c r="AF93" s="217">
        <v>16216.779619660781</v>
      </c>
      <c r="AG93" s="217">
        <v>16390.852792142639</v>
      </c>
      <c r="AH93" s="217">
        <v>15922.520545061707</v>
      </c>
      <c r="AI93" s="217">
        <v>17485.29606659507</v>
      </c>
      <c r="AJ93" s="217">
        <v>17364.193502192957</v>
      </c>
      <c r="AK93" s="217">
        <v>18294.640226317864</v>
      </c>
      <c r="AL93" s="217">
        <v>18819.651354419897</v>
      </c>
      <c r="AM93" s="296">
        <v>19679.802381715544</v>
      </c>
      <c r="AN93" s="296">
        <v>19463.126268720087</v>
      </c>
      <c r="AO93" s="296">
        <v>20223.846397168621</v>
      </c>
      <c r="AP93" s="296">
        <v>20303.324707540163</v>
      </c>
      <c r="AQ93" s="296">
        <v>20364.055083839761</v>
      </c>
      <c r="AR93" s="411">
        <v>20822.89067202574</v>
      </c>
      <c r="AS93" s="411">
        <v>19557.570671908437</v>
      </c>
      <c r="AT93" s="411">
        <v>19269.636936507271</v>
      </c>
      <c r="AU93" s="411">
        <v>19150.347099241455</v>
      </c>
      <c r="AV93" s="411">
        <v>19332.347141066122</v>
      </c>
      <c r="AW93" s="414">
        <v>18795.00539029521</v>
      </c>
      <c r="AX93" s="414">
        <v>18928.356050725099</v>
      </c>
      <c r="AY93" s="414">
        <v>18978.535396493622</v>
      </c>
      <c r="AZ93" s="414">
        <v>19955.178358342735</v>
      </c>
      <c r="BA93" s="414">
        <v>19768.854747974161</v>
      </c>
      <c r="BB93" s="414">
        <v>20904.672550630432</v>
      </c>
      <c r="BC93" s="414">
        <v>21025.776580457215</v>
      </c>
      <c r="BD93" s="414">
        <v>19830.579092448563</v>
      </c>
      <c r="BE93" s="414">
        <v>19787.438907336189</v>
      </c>
      <c r="BF93" s="414">
        <v>19946.015008541341</v>
      </c>
      <c r="BG93" s="414">
        <v>20150.551190495727</v>
      </c>
      <c r="BH93" s="414">
        <v>19914.750258629472</v>
      </c>
      <c r="BI93" s="414">
        <v>20106.847045109447</v>
      </c>
      <c r="BJ93" s="414">
        <v>20470.558232820073</v>
      </c>
      <c r="BK93" s="414">
        <v>20452.789682178445</v>
      </c>
      <c r="BL93" s="414">
        <v>20343.869900526428</v>
      </c>
      <c r="BM93" s="414">
        <v>20952.144708045562</v>
      </c>
      <c r="BN93" s="414">
        <v>21170.056383717772</v>
      </c>
      <c r="BO93" s="414">
        <v>21383.799717185822</v>
      </c>
      <c r="BP93" s="414">
        <v>23371.213060601367</v>
      </c>
      <c r="BQ93" s="414">
        <v>23048.414177633484</v>
      </c>
      <c r="BR93" s="414">
        <v>23299.47600025362</v>
      </c>
      <c r="BS93" s="414">
        <v>23845.265687813891</v>
      </c>
      <c r="BT93" s="414">
        <v>24301.653611378882</v>
      </c>
      <c r="BU93" s="414">
        <v>23937.36804056762</v>
      </c>
      <c r="BV93" s="414">
        <v>24471.318421993863</v>
      </c>
      <c r="BW93" s="414">
        <v>23955.212876430243</v>
      </c>
      <c r="BX93" s="414">
        <v>24413.351969916002</v>
      </c>
      <c r="BY93" s="414">
        <v>23387.569997847299</v>
      </c>
      <c r="BZ93" s="414">
        <v>23468.3</v>
      </c>
      <c r="CA93" s="414">
        <v>23751.442743380012</v>
      </c>
      <c r="CB93" s="414">
        <v>24033.783697151473</v>
      </c>
      <c r="CC93" s="414">
        <v>24173.990273972569</v>
      </c>
      <c r="CD93" s="414">
        <v>24028.50165559406</v>
      </c>
      <c r="CE93" s="414">
        <v>24375.446816106429</v>
      </c>
      <c r="CF93" s="414">
        <v>23380.959747794779</v>
      </c>
      <c r="CG93" s="414">
        <v>24021.056730519056</v>
      </c>
      <c r="CH93" s="414">
        <v>24964.162093929892</v>
      </c>
      <c r="CI93" s="414">
        <v>24792.829702087362</v>
      </c>
      <c r="CJ93" s="414">
        <v>24729.814581393097</v>
      </c>
      <c r="CK93" s="414">
        <v>24795.856673251728</v>
      </c>
      <c r="CL93" s="414">
        <v>24541.949671436556</v>
      </c>
      <c r="CM93" s="414">
        <v>25004.852043611609</v>
      </c>
      <c r="CN93" s="414">
        <v>25463.076390590864</v>
      </c>
      <c r="CO93" s="414">
        <v>25595.92829118748</v>
      </c>
      <c r="CP93" s="443">
        <v>26630.255842917002</v>
      </c>
      <c r="CQ93" s="414">
        <v>26748.677093003345</v>
      </c>
      <c r="CR93" s="414">
        <v>26349.225214531518</v>
      </c>
      <c r="CS93" s="414">
        <v>25364.052077620039</v>
      </c>
      <c r="CT93" s="414">
        <v>25252.914524948963</v>
      </c>
      <c r="CU93" s="414">
        <v>27771.122987536764</v>
      </c>
      <c r="CV93" s="414">
        <v>28885.718648634469</v>
      </c>
      <c r="CW93" s="414">
        <v>29459.886091005686</v>
      </c>
      <c r="CX93" s="414">
        <v>27707.103174228989</v>
      </c>
      <c r="CY93" s="414">
        <v>28095.359953203377</v>
      </c>
      <c r="CZ93" s="414">
        <v>26834.627262810794</v>
      </c>
      <c r="DA93" s="414">
        <v>27729.428585533013</v>
      </c>
      <c r="DB93" s="414">
        <v>27119.448253740287</v>
      </c>
      <c r="DC93" s="414">
        <v>27707.902277206635</v>
      </c>
      <c r="DD93" s="414">
        <v>28101.653905989235</v>
      </c>
      <c r="DE93" s="414">
        <v>27129.934244061391</v>
      </c>
      <c r="DF93" s="414">
        <v>23363.474391706975</v>
      </c>
      <c r="DG93" s="414">
        <v>22705.604534104263</v>
      </c>
      <c r="DH93" s="414">
        <v>22655.791487124548</v>
      </c>
      <c r="DI93" s="414">
        <v>22596.265627962213</v>
      </c>
      <c r="DJ93" s="414">
        <v>22931.135051345198</v>
      </c>
      <c r="DK93" s="414">
        <v>24389.575557540276</v>
      </c>
      <c r="DL93" s="414">
        <v>24947.679510099508</v>
      </c>
      <c r="DM93" s="414">
        <v>25472.650362189721</v>
      </c>
      <c r="DN93" s="414">
        <v>25394.408897972589</v>
      </c>
      <c r="DO93" s="414">
        <v>27557.666867430591</v>
      </c>
      <c r="DP93" s="414">
        <v>26961.094316152092</v>
      </c>
      <c r="DQ93" s="414">
        <v>26036.762215727453</v>
      </c>
      <c r="DR93" s="414">
        <v>25012.17838102438</v>
      </c>
      <c r="DS93" s="414">
        <v>25531.938196028968</v>
      </c>
      <c r="DT93" s="414">
        <v>25886.430263164035</v>
      </c>
      <c r="DU93" s="414">
        <v>25624.378669068559</v>
      </c>
      <c r="DV93" s="414">
        <v>26149.197293963956</v>
      </c>
      <c r="DW93" s="414">
        <v>26303.16573081521</v>
      </c>
      <c r="DX93" s="414">
        <v>26653.348279524707</v>
      </c>
      <c r="DY93" s="414">
        <v>26813.266200352431</v>
      </c>
      <c r="DZ93" s="414">
        <v>26258.129759412393</v>
      </c>
      <c r="EA93" s="414">
        <v>26026.062363651556</v>
      </c>
      <c r="EB93" s="414">
        <v>26209.250499317368</v>
      </c>
    </row>
    <row r="94" spans="1:132" ht="15.95" customHeight="1" x14ac:dyDescent="0.25">
      <c r="A94" s="417" t="s">
        <v>274</v>
      </c>
      <c r="B94" s="411"/>
      <c r="C94" s="215"/>
      <c r="D94" s="215"/>
      <c r="E94" s="227"/>
      <c r="F94" s="215"/>
      <c r="G94" s="215"/>
      <c r="H94" s="295"/>
      <c r="I94" s="295"/>
      <c r="J94" s="295"/>
      <c r="K94" s="224"/>
      <c r="L94" s="295"/>
      <c r="M94" s="295"/>
      <c r="N94" s="295"/>
      <c r="O94" s="224"/>
      <c r="P94" s="295"/>
      <c r="Q94" s="295"/>
      <c r="R94" s="224"/>
      <c r="S94" s="295"/>
      <c r="T94" s="295"/>
      <c r="U94" s="419"/>
      <c r="V94" s="419"/>
      <c r="W94" s="419"/>
      <c r="X94" s="419"/>
      <c r="Y94" s="419"/>
      <c r="Z94" s="419"/>
      <c r="AA94" s="419"/>
      <c r="AB94" s="419"/>
      <c r="AC94" s="419"/>
      <c r="AD94" s="419"/>
      <c r="AE94" s="419"/>
      <c r="AF94" s="419"/>
      <c r="AG94" s="419"/>
      <c r="AH94" s="419"/>
      <c r="AI94" s="419"/>
      <c r="AJ94" s="419"/>
      <c r="AK94" s="419"/>
      <c r="AL94" s="419"/>
      <c r="AM94" s="296"/>
      <c r="AN94" s="296"/>
      <c r="AO94" s="296"/>
      <c r="AP94" s="296"/>
      <c r="AQ94" s="296"/>
      <c r="AR94" s="411"/>
      <c r="AS94" s="411"/>
      <c r="AT94" s="411"/>
      <c r="AU94" s="411"/>
      <c r="AV94" s="411"/>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14"/>
      <c r="BU94" s="414"/>
      <c r="BV94" s="414"/>
      <c r="BW94" s="414"/>
      <c r="BX94" s="414"/>
      <c r="BY94" s="414"/>
      <c r="BZ94" s="414"/>
      <c r="CA94" s="414"/>
      <c r="CB94" s="414"/>
      <c r="CC94" s="414"/>
      <c r="CD94" s="414"/>
      <c r="CE94" s="414"/>
      <c r="CF94" s="414"/>
      <c r="CG94" s="414"/>
      <c r="CH94" s="414"/>
      <c r="CI94" s="414"/>
      <c r="CJ94" s="414"/>
      <c r="CK94" s="414"/>
      <c r="CL94" s="414"/>
      <c r="CM94" s="414"/>
      <c r="CN94" s="414"/>
      <c r="CO94" s="414"/>
      <c r="CP94" s="443"/>
      <c r="CQ94" s="414"/>
      <c r="CR94" s="414"/>
      <c r="CS94" s="414"/>
      <c r="CT94" s="414"/>
      <c r="CU94" s="414"/>
      <c r="CV94" s="414"/>
      <c r="CW94" s="414"/>
      <c r="CX94" s="414"/>
      <c r="CY94" s="414"/>
      <c r="CZ94" s="414"/>
      <c r="DA94" s="414"/>
      <c r="DB94" s="414"/>
      <c r="DC94" s="414"/>
      <c r="DD94" s="414"/>
      <c r="DE94" s="414"/>
      <c r="DF94" s="414"/>
      <c r="DG94" s="414"/>
      <c r="DH94" s="414"/>
      <c r="DI94" s="414"/>
      <c r="DJ94" s="414"/>
      <c r="DK94" s="414"/>
      <c r="DL94" s="414"/>
      <c r="DM94" s="414"/>
      <c r="DN94" s="414"/>
      <c r="DO94" s="414"/>
      <c r="DP94" s="414"/>
      <c r="DQ94" s="414"/>
      <c r="DR94" s="414"/>
      <c r="DS94" s="414"/>
      <c r="DT94" s="414"/>
      <c r="DU94" s="414"/>
      <c r="DV94" s="414"/>
      <c r="DW94" s="414"/>
      <c r="DX94" s="414"/>
      <c r="DY94" s="414"/>
      <c r="DZ94" s="414"/>
      <c r="EA94" s="414"/>
      <c r="EB94" s="414"/>
    </row>
    <row r="95" spans="1:132" ht="15.95" customHeight="1" x14ac:dyDescent="0.25">
      <c r="A95" s="417" t="s">
        <v>343</v>
      </c>
      <c r="B95" s="418">
        <v>4.9045179999999995</v>
      </c>
      <c r="C95" s="295">
        <v>2.5930610000000001</v>
      </c>
      <c r="D95" s="295">
        <v>2.7619479999999998</v>
      </c>
      <c r="E95" s="224">
        <v>2.6722790000000001</v>
      </c>
      <c r="F95" s="295">
        <v>4.4402275400000004</v>
      </c>
      <c r="G95" s="295">
        <v>8.8841290499999985</v>
      </c>
      <c r="H95" s="295">
        <v>3.6144039500000003</v>
      </c>
      <c r="I95" s="295">
        <v>9.9661430000000006</v>
      </c>
      <c r="J95" s="295">
        <v>9.8340397300000006</v>
      </c>
      <c r="K95" s="224">
        <v>10.246136890000001</v>
      </c>
      <c r="L95" s="295">
        <v>9.9625671999999987</v>
      </c>
      <c r="M95" s="295">
        <v>14.934986349999999</v>
      </c>
      <c r="N95" s="295">
        <v>14.874248570000001</v>
      </c>
      <c r="O95" s="224">
        <v>15.06938912</v>
      </c>
      <c r="P95" s="295">
        <v>16.276806060000002</v>
      </c>
      <c r="Q95" s="295">
        <v>11.71659125</v>
      </c>
      <c r="R95" s="224">
        <v>10.555385080000001</v>
      </c>
      <c r="S95" s="295">
        <v>11.46800625</v>
      </c>
      <c r="T95" s="295">
        <v>11.013948210000001</v>
      </c>
      <c r="U95" s="419">
        <v>12.57314891</v>
      </c>
      <c r="V95" s="419">
        <v>12.443879340000001</v>
      </c>
      <c r="W95" s="419">
        <v>16.364145780000001</v>
      </c>
      <c r="X95" s="419">
        <v>19.069219009999998</v>
      </c>
      <c r="Y95" s="419">
        <v>13.8105504</v>
      </c>
      <c r="Z95" s="419">
        <v>12.69293869</v>
      </c>
      <c r="AA95" s="419">
        <v>12.691935800000001</v>
      </c>
      <c r="AB95" s="419">
        <v>14.188990689999999</v>
      </c>
      <c r="AC95" s="419">
        <v>9.862601960000001</v>
      </c>
      <c r="AD95" s="419">
        <v>11.321037499999999</v>
      </c>
      <c r="AE95" s="419">
        <v>12.87908021</v>
      </c>
      <c r="AF95" s="419">
        <v>16.04744938</v>
      </c>
      <c r="AG95" s="419">
        <v>13.398075990000001</v>
      </c>
      <c r="AH95" s="419">
        <v>10.005299619999999</v>
      </c>
      <c r="AI95" s="419">
        <v>28.95724968</v>
      </c>
      <c r="AJ95" s="419">
        <v>21.930325359999998</v>
      </c>
      <c r="AK95" s="419">
        <v>16.845786539999999</v>
      </c>
      <c r="AL95" s="419">
        <v>19.348860689999999</v>
      </c>
      <c r="AM95" s="297">
        <v>29.22510132</v>
      </c>
      <c r="AN95" s="297">
        <v>30.019139630000002</v>
      </c>
      <c r="AO95" s="297">
        <v>42.983233649999995</v>
      </c>
      <c r="AP95" s="297">
        <v>69.737272219999994</v>
      </c>
      <c r="AQ95" s="297">
        <v>70.885334819999997</v>
      </c>
      <c r="AR95" s="418">
        <v>60.793728689999995</v>
      </c>
      <c r="AS95" s="418">
        <v>61.134252320000002</v>
      </c>
      <c r="AT95" s="418">
        <v>61.990585320000001</v>
      </c>
      <c r="AU95" s="418">
        <v>82.084445319999986</v>
      </c>
      <c r="AV95" s="418">
        <v>73.414663250000004</v>
      </c>
      <c r="AW95" s="218">
        <v>69.813362720000001</v>
      </c>
      <c r="AX95" s="218">
        <v>61.827411549999994</v>
      </c>
      <c r="AY95" s="218">
        <v>66.063057000000001</v>
      </c>
      <c r="AZ95" s="218">
        <v>56.058306439999996</v>
      </c>
      <c r="BA95" s="218">
        <v>66.997788409999998</v>
      </c>
      <c r="BB95" s="218">
        <v>56.892161300000005</v>
      </c>
      <c r="BC95" s="218">
        <v>47.256914389999999</v>
      </c>
      <c r="BD95" s="218">
        <v>34.731450000000002</v>
      </c>
      <c r="BE95" s="218">
        <v>37.430674000000003</v>
      </c>
      <c r="BF95" s="218">
        <v>36.551178999999998</v>
      </c>
      <c r="BG95" s="218">
        <v>33.25754981</v>
      </c>
      <c r="BH95" s="218">
        <v>38.052050739999999</v>
      </c>
      <c r="BI95" s="218">
        <v>37.943505999999999</v>
      </c>
      <c r="BJ95" s="218">
        <v>42.199926989999994</v>
      </c>
      <c r="BK95" s="218">
        <v>36.935164</v>
      </c>
      <c r="BL95" s="218">
        <v>37.87817708</v>
      </c>
      <c r="BM95" s="218">
        <v>42.307136</v>
      </c>
      <c r="BN95" s="218">
        <v>43.304243230000004</v>
      </c>
      <c r="BO95" s="218">
        <v>48.659097000000003</v>
      </c>
      <c r="BP95" s="218">
        <v>50.835060769999998</v>
      </c>
      <c r="BQ95" s="218">
        <v>51.045758890000002</v>
      </c>
      <c r="BR95" s="218">
        <v>50.124512790000004</v>
      </c>
      <c r="BS95" s="218">
        <v>54.963033589999995</v>
      </c>
      <c r="BT95" s="218">
        <v>44.677905659999993</v>
      </c>
      <c r="BU95" s="218">
        <v>49.875298099999995</v>
      </c>
      <c r="BV95" s="218">
        <v>44.972405109999997</v>
      </c>
      <c r="BW95" s="218">
        <v>45.128035730000001</v>
      </c>
      <c r="BX95" s="218">
        <v>47.923345999999995</v>
      </c>
      <c r="BY95" s="218">
        <v>50.804738</v>
      </c>
      <c r="BZ95" s="218">
        <v>38.4</v>
      </c>
      <c r="CA95" s="218">
        <v>37.006069629999999</v>
      </c>
      <c r="CB95" s="218">
        <v>40.081002810000001</v>
      </c>
      <c r="CC95" s="218">
        <v>42.238968499999999</v>
      </c>
      <c r="CD95" s="218">
        <v>41.647586230000002</v>
      </c>
      <c r="CE95" s="218">
        <v>46.654936120000002</v>
      </c>
      <c r="CF95" s="218">
        <v>32.151660239999998</v>
      </c>
      <c r="CG95" s="218">
        <v>34.580458130000004</v>
      </c>
      <c r="CH95" s="218">
        <v>33.636910820000004</v>
      </c>
      <c r="CI95" s="218">
        <v>33.018045020000002</v>
      </c>
      <c r="CJ95" s="218">
        <v>34.541678240000003</v>
      </c>
      <c r="CK95" s="218">
        <v>32.667870839999999</v>
      </c>
      <c r="CL95" s="218">
        <v>54.789500190000005</v>
      </c>
      <c r="CM95" s="218">
        <v>33.50317416</v>
      </c>
      <c r="CN95" s="218">
        <v>33.827824470000003</v>
      </c>
      <c r="CO95" s="218">
        <v>29.114454440000003</v>
      </c>
      <c r="CP95" s="444">
        <v>28.524955730000002</v>
      </c>
      <c r="CQ95" s="218">
        <v>28.659801880000003</v>
      </c>
      <c r="CR95" s="218">
        <v>24.293492359999998</v>
      </c>
      <c r="CS95" s="218">
        <v>23.770483940000002</v>
      </c>
      <c r="CT95" s="218">
        <v>141.22192183999999</v>
      </c>
      <c r="CU95" s="218">
        <v>24.491336759999999</v>
      </c>
      <c r="CV95" s="218">
        <v>24.46257932</v>
      </c>
      <c r="CW95" s="218">
        <v>50.934829010000001</v>
      </c>
      <c r="CX95" s="218">
        <v>34.879935400000001</v>
      </c>
      <c r="CY95" s="218">
        <v>23.763957870000002</v>
      </c>
      <c r="CZ95" s="218">
        <v>26.331423149999999</v>
      </c>
      <c r="DA95" s="218">
        <v>24.1905</v>
      </c>
      <c r="DB95" s="218">
        <v>25.682256729999999</v>
      </c>
      <c r="DC95" s="218">
        <v>38.623691000000001</v>
      </c>
      <c r="DD95" s="218">
        <v>61.093420999999999</v>
      </c>
      <c r="DE95" s="218">
        <v>59.058878999999997</v>
      </c>
      <c r="DF95" s="218">
        <v>59.998329470000002</v>
      </c>
      <c r="DG95" s="218">
        <v>36.553356000000001</v>
      </c>
      <c r="DH95" s="218">
        <v>36.447496999999998</v>
      </c>
      <c r="DI95" s="218">
        <v>65.518071000000006</v>
      </c>
      <c r="DJ95" s="218">
        <v>37.250983000000005</v>
      </c>
      <c r="DK95" s="218">
        <v>50.346398480000005</v>
      </c>
      <c r="DL95" s="218">
        <v>39.501899000000002</v>
      </c>
      <c r="DM95" s="218">
        <v>49.752325999999996</v>
      </c>
      <c r="DN95" s="218">
        <v>54.025466439999995</v>
      </c>
      <c r="DO95" s="218">
        <v>58.91399406</v>
      </c>
      <c r="DP95" s="218">
        <v>46.173605999999999</v>
      </c>
      <c r="DQ95" s="218">
        <v>46.082400999999997</v>
      </c>
      <c r="DR95" s="218">
        <v>45.91007175</v>
      </c>
      <c r="DS95" s="218">
        <v>57.690325999999999</v>
      </c>
      <c r="DT95" s="218">
        <v>71.608918000000003</v>
      </c>
      <c r="DU95" s="218">
        <v>91.198826150000002</v>
      </c>
      <c r="DV95" s="218">
        <v>78.635765000000006</v>
      </c>
      <c r="DW95" s="218">
        <v>83.246570450000007</v>
      </c>
      <c r="DX95" s="218">
        <v>84.667849779999997</v>
      </c>
      <c r="DY95" s="218">
        <v>78.002532520000017</v>
      </c>
      <c r="DZ95" s="218">
        <v>87.343222060000002</v>
      </c>
      <c r="EA95" s="218">
        <v>112.97699208999998</v>
      </c>
      <c r="EB95" s="218">
        <v>100.90324256</v>
      </c>
    </row>
    <row r="96" spans="1:132" ht="15.95" customHeight="1" x14ac:dyDescent="0.25">
      <c r="A96" s="417" t="s">
        <v>344</v>
      </c>
      <c r="B96" s="418">
        <v>458.56225221</v>
      </c>
      <c r="C96" s="295">
        <v>410.25812970000004</v>
      </c>
      <c r="D96" s="295">
        <v>403.02830119000004</v>
      </c>
      <c r="E96" s="224">
        <v>329.05903873000386</v>
      </c>
      <c r="F96" s="295">
        <v>341.95476552078139</v>
      </c>
      <c r="G96" s="295">
        <v>339.09278306834017</v>
      </c>
      <c r="H96" s="295">
        <v>420.28988859024321</v>
      </c>
      <c r="I96" s="295">
        <v>378.73481136024321</v>
      </c>
      <c r="J96" s="295">
        <v>360.9729199002432</v>
      </c>
      <c r="K96" s="224">
        <v>355.90044921367502</v>
      </c>
      <c r="L96" s="295">
        <v>390.51876092775501</v>
      </c>
      <c r="M96" s="295">
        <v>389.15838209775501</v>
      </c>
      <c r="N96" s="295">
        <v>181.60498554</v>
      </c>
      <c r="O96" s="224">
        <v>204.11329756000001</v>
      </c>
      <c r="P96" s="295">
        <v>197.38224117999999</v>
      </c>
      <c r="Q96" s="295">
        <v>292.87685069010007</v>
      </c>
      <c r="R96" s="224">
        <v>254.40152639999997</v>
      </c>
      <c r="S96" s="295">
        <v>208.07787175000004</v>
      </c>
      <c r="T96" s="295">
        <v>248.59148288</v>
      </c>
      <c r="U96" s="419">
        <v>302.94367345000006</v>
      </c>
      <c r="V96" s="419">
        <v>307.40363624000003</v>
      </c>
      <c r="W96" s="419">
        <v>470.47246289999998</v>
      </c>
      <c r="X96" s="419">
        <v>438.98922529000004</v>
      </c>
      <c r="Y96" s="419">
        <v>476.09153550000002</v>
      </c>
      <c r="Z96" s="419">
        <v>453.07723897999995</v>
      </c>
      <c r="AA96" s="419">
        <v>481.83735429000006</v>
      </c>
      <c r="AB96" s="419">
        <v>522.59824073999994</v>
      </c>
      <c r="AC96" s="419">
        <v>539.11396489999993</v>
      </c>
      <c r="AD96" s="419">
        <v>551.16096037</v>
      </c>
      <c r="AE96" s="419">
        <v>533.11707913999999</v>
      </c>
      <c r="AF96" s="419">
        <v>571.28253526999993</v>
      </c>
      <c r="AG96" s="419">
        <v>550.96294891000002</v>
      </c>
      <c r="AH96" s="419">
        <v>528.01371347999998</v>
      </c>
      <c r="AI96" s="419">
        <v>522.64509634000001</v>
      </c>
      <c r="AJ96" s="419">
        <v>472.12721420999998</v>
      </c>
      <c r="AK96" s="419">
        <v>419.47476452000001</v>
      </c>
      <c r="AL96" s="419">
        <v>415.71260592000004</v>
      </c>
      <c r="AM96" s="297">
        <v>415.73243699</v>
      </c>
      <c r="AN96" s="297">
        <v>414.82680673999999</v>
      </c>
      <c r="AO96" s="297">
        <v>431.93540259000002</v>
      </c>
      <c r="AP96" s="297">
        <v>505.06526922210003</v>
      </c>
      <c r="AQ96" s="297">
        <v>426.30727753039997</v>
      </c>
      <c r="AR96" s="418">
        <v>459.28211493840001</v>
      </c>
      <c r="AS96" s="418">
        <v>400.14385020999998</v>
      </c>
      <c r="AT96" s="418">
        <v>423.051291026</v>
      </c>
      <c r="AU96" s="418">
        <v>401.35562827059999</v>
      </c>
      <c r="AV96" s="418">
        <v>384.34107685000015</v>
      </c>
      <c r="AW96" s="218">
        <v>220.02334320040001</v>
      </c>
      <c r="AX96" s="218">
        <v>207.45671959079999</v>
      </c>
      <c r="AY96" s="218">
        <v>210.0750525981</v>
      </c>
      <c r="AZ96" s="218">
        <v>184.37448961959998</v>
      </c>
      <c r="BA96" s="218">
        <v>214.48794284760001</v>
      </c>
      <c r="BB96" s="218">
        <v>199.46192767739998</v>
      </c>
      <c r="BC96" s="218">
        <v>172.30331233359999</v>
      </c>
      <c r="BD96" s="218">
        <v>111.413711564</v>
      </c>
      <c r="BE96" s="218">
        <v>111.09404101280001</v>
      </c>
      <c r="BF96" s="218">
        <v>120.67677614750001</v>
      </c>
      <c r="BG96" s="218">
        <v>149.15916136200002</v>
      </c>
      <c r="BH96" s="218">
        <v>151.92989694620002</v>
      </c>
      <c r="BI96" s="218">
        <v>151.90765576679999</v>
      </c>
      <c r="BJ96" s="218">
        <v>168.5504862057</v>
      </c>
      <c r="BK96" s="218">
        <v>142.80875612940002</v>
      </c>
      <c r="BL96" s="218">
        <v>140.34380577929997</v>
      </c>
      <c r="BM96" s="218">
        <v>161.80180081260002</v>
      </c>
      <c r="BN96" s="218">
        <v>163.47942299759998</v>
      </c>
      <c r="BO96" s="218">
        <v>161.8139939216</v>
      </c>
      <c r="BP96" s="218">
        <v>151.78985120440001</v>
      </c>
      <c r="BQ96" s="218">
        <v>146.00171220810003</v>
      </c>
      <c r="BR96" s="218">
        <v>161.91336487500001</v>
      </c>
      <c r="BS96" s="218">
        <v>192.13894060680002</v>
      </c>
      <c r="BT96" s="218">
        <v>156.65662444099999</v>
      </c>
      <c r="BU96" s="218">
        <v>281.23640318665201</v>
      </c>
      <c r="BV96" s="218">
        <v>301.19833118999998</v>
      </c>
      <c r="BW96" s="218">
        <v>326.28566699527499</v>
      </c>
      <c r="BX96" s="218">
        <v>322.96316003800001</v>
      </c>
      <c r="BY96" s="218">
        <v>329.38223694919998</v>
      </c>
      <c r="BZ96" s="218">
        <v>343.2</v>
      </c>
      <c r="CA96" s="218">
        <v>374.67520907369999</v>
      </c>
      <c r="CB96" s="218">
        <v>310.43440835119998</v>
      </c>
      <c r="CC96" s="218">
        <v>258.92055705416186</v>
      </c>
      <c r="CD96" s="218">
        <v>334.06053435010597</v>
      </c>
      <c r="CE96" s="218">
        <v>297.98444443243886</v>
      </c>
      <c r="CF96" s="218">
        <v>307.04168828399003</v>
      </c>
      <c r="CG96" s="218">
        <v>335.6517644195867</v>
      </c>
      <c r="CH96" s="218">
        <v>284.06548669775566</v>
      </c>
      <c r="CI96" s="218">
        <v>342.46164094060055</v>
      </c>
      <c r="CJ96" s="218">
        <v>347.40254422716998</v>
      </c>
      <c r="CK96" s="218">
        <v>381.41656484351699</v>
      </c>
      <c r="CL96" s="218">
        <v>339.72788373997435</v>
      </c>
      <c r="CM96" s="218">
        <v>347.978404498136</v>
      </c>
      <c r="CN96" s="218">
        <v>320.29628878</v>
      </c>
      <c r="CO96" s="218">
        <v>352.42983462000007</v>
      </c>
      <c r="CP96" s="444">
        <v>331.95163834672496</v>
      </c>
      <c r="CQ96" s="218">
        <v>353.74473520000004</v>
      </c>
      <c r="CR96" s="218">
        <v>355.04234875999998</v>
      </c>
      <c r="CS96" s="218">
        <v>357.92982588999996</v>
      </c>
      <c r="CT96" s="218">
        <v>358.99640338</v>
      </c>
      <c r="CU96" s="218">
        <v>904.44422775999976</v>
      </c>
      <c r="CV96" s="218">
        <v>876.02381897999987</v>
      </c>
      <c r="CW96" s="218">
        <v>936.6637754300001</v>
      </c>
      <c r="CX96" s="218">
        <v>898.01396697999996</v>
      </c>
      <c r="CY96" s="218">
        <v>884.68272397999988</v>
      </c>
      <c r="CZ96" s="218">
        <v>800.574101047049</v>
      </c>
      <c r="DA96" s="218">
        <v>887.76587046999998</v>
      </c>
      <c r="DB96" s="218">
        <v>904.26917709999998</v>
      </c>
      <c r="DC96" s="218">
        <v>798.01032484999996</v>
      </c>
      <c r="DD96" s="218">
        <v>880.87621766999996</v>
      </c>
      <c r="DE96" s="218">
        <v>777.35534666000001</v>
      </c>
      <c r="DF96" s="218">
        <v>839.33726257000001</v>
      </c>
      <c r="DG96" s="218">
        <v>819.33210000870224</v>
      </c>
      <c r="DH96" s="218">
        <v>809.13104234999992</v>
      </c>
      <c r="DI96" s="218">
        <v>691.53982414491668</v>
      </c>
      <c r="DJ96" s="218">
        <v>687.22357140893666</v>
      </c>
      <c r="DK96" s="218">
        <v>680.49266599822943</v>
      </c>
      <c r="DL96" s="218">
        <v>666.33046329999991</v>
      </c>
      <c r="DM96" s="218">
        <v>660.65074218999996</v>
      </c>
      <c r="DN96" s="218">
        <v>707.50651142000004</v>
      </c>
      <c r="DO96" s="218">
        <v>675.44007203000001</v>
      </c>
      <c r="DP96" s="218">
        <v>643.34385859999998</v>
      </c>
      <c r="DQ96" s="218">
        <v>669.22791522424097</v>
      </c>
      <c r="DR96" s="218">
        <v>666.54704335999998</v>
      </c>
      <c r="DS96" s="218">
        <v>658.64743405999991</v>
      </c>
      <c r="DT96" s="218">
        <v>667.90343987000006</v>
      </c>
      <c r="DU96" s="218">
        <v>660.11341123</v>
      </c>
      <c r="DV96" s="218">
        <v>711.90241319999996</v>
      </c>
      <c r="DW96" s="218">
        <v>665.79268482000009</v>
      </c>
      <c r="DX96" s="218">
        <v>657.66531725999994</v>
      </c>
      <c r="DY96" s="218">
        <v>685.58438392999994</v>
      </c>
      <c r="DZ96" s="218">
        <v>657.62928541000008</v>
      </c>
      <c r="EA96" s="218">
        <v>659.07089530999997</v>
      </c>
      <c r="EB96" s="218">
        <v>657.93322795309996</v>
      </c>
    </row>
    <row r="97" spans="1:132" ht="15.95" customHeight="1" x14ac:dyDescent="0.25">
      <c r="A97" s="417" t="s">
        <v>345</v>
      </c>
      <c r="B97" s="418">
        <v>2563.9704272600002</v>
      </c>
      <c r="C97" s="295">
        <v>3245.9522036799999</v>
      </c>
      <c r="D97" s="295">
        <v>3247.1019830000005</v>
      </c>
      <c r="E97" s="224">
        <v>3415.5594353922224</v>
      </c>
      <c r="F97" s="295">
        <v>3169.5879776383335</v>
      </c>
      <c r="G97" s="295">
        <v>3198.0400410183333</v>
      </c>
      <c r="H97" s="295">
        <v>3294.6856943783332</v>
      </c>
      <c r="I97" s="295">
        <v>3219.9639974583329</v>
      </c>
      <c r="J97" s="295">
        <v>3253.6764692583333</v>
      </c>
      <c r="K97" s="224">
        <v>3262.317456528333</v>
      </c>
      <c r="L97" s="295">
        <v>3138.7950710183336</v>
      </c>
      <c r="M97" s="295">
        <v>3221.2310814983334</v>
      </c>
      <c r="N97" s="295">
        <v>3583.5491130699997</v>
      </c>
      <c r="O97" s="224">
        <v>3697.6646452499995</v>
      </c>
      <c r="P97" s="295">
        <v>3885.34004052</v>
      </c>
      <c r="Q97" s="295">
        <v>4123.0217166231005</v>
      </c>
      <c r="R97" s="224">
        <v>4200.1537452088196</v>
      </c>
      <c r="S97" s="295">
        <v>4117.6612422323396</v>
      </c>
      <c r="T97" s="295">
        <v>4447.8047711792506</v>
      </c>
      <c r="U97" s="419">
        <v>4588.8682646858597</v>
      </c>
      <c r="V97" s="419">
        <v>4308.3374376725251</v>
      </c>
      <c r="W97" s="419">
        <v>4473.3940746526996</v>
      </c>
      <c r="X97" s="419">
        <v>4472.6898375225492</v>
      </c>
      <c r="Y97" s="419">
        <v>4246.7176312110614</v>
      </c>
      <c r="Z97" s="419">
        <v>4476.5082070665367</v>
      </c>
      <c r="AA97" s="419">
        <v>4362.1870549193436</v>
      </c>
      <c r="AB97" s="419">
        <v>4206.2011534326502</v>
      </c>
      <c r="AC97" s="419">
        <v>4129.0862973779995</v>
      </c>
      <c r="AD97" s="419">
        <v>3821.8227647000699</v>
      </c>
      <c r="AE97" s="419">
        <v>3719.218586447143</v>
      </c>
      <c r="AF97" s="419">
        <v>3778.5605503167508</v>
      </c>
      <c r="AG97" s="419">
        <v>3698.0188956592401</v>
      </c>
      <c r="AH97" s="419">
        <v>3453.3596177423997</v>
      </c>
      <c r="AI97" s="419">
        <v>3403.1616083785075</v>
      </c>
      <c r="AJ97" s="419">
        <v>3200.4759877640563</v>
      </c>
      <c r="AK97" s="419">
        <v>3245.9896350499871</v>
      </c>
      <c r="AL97" s="419">
        <v>2879.4464343076015</v>
      </c>
      <c r="AM97" s="297">
        <v>3133.7692147697339</v>
      </c>
      <c r="AN97" s="297">
        <v>3613.3243036667777</v>
      </c>
      <c r="AO97" s="297">
        <v>3826.3674270747147</v>
      </c>
      <c r="AP97" s="297">
        <v>4046.4495650802146</v>
      </c>
      <c r="AQ97" s="297">
        <v>4175.2848149041147</v>
      </c>
      <c r="AR97" s="418">
        <v>4365.1638130544643</v>
      </c>
      <c r="AS97" s="418">
        <v>4171.0563628956643</v>
      </c>
      <c r="AT97" s="418">
        <v>4019.995452652769</v>
      </c>
      <c r="AU97" s="418">
        <v>3939.1217516854126</v>
      </c>
      <c r="AV97" s="418">
        <v>3907.7119051107138</v>
      </c>
      <c r="AW97" s="218">
        <v>4119.3108599709149</v>
      </c>
      <c r="AX97" s="218">
        <v>4213.5366982021142</v>
      </c>
      <c r="AY97" s="218">
        <v>3936.749447916256</v>
      </c>
      <c r="AZ97" s="218">
        <v>3511.5180610625944</v>
      </c>
      <c r="BA97" s="218">
        <v>3436.4015037429949</v>
      </c>
      <c r="BB97" s="218">
        <v>3618.7884375695144</v>
      </c>
      <c r="BC97" s="218">
        <v>3581.5214842677137</v>
      </c>
      <c r="BD97" s="218">
        <v>3275.4391089557548</v>
      </c>
      <c r="BE97" s="218">
        <v>3233.4531317637343</v>
      </c>
      <c r="BF97" s="218">
        <v>3235.8133675267145</v>
      </c>
      <c r="BG97" s="218">
        <v>3605.179638938514</v>
      </c>
      <c r="BH97" s="218">
        <v>3199.6223504474342</v>
      </c>
      <c r="BI97" s="218">
        <v>3622.6036794827346</v>
      </c>
      <c r="BJ97" s="218">
        <v>3514.1536301157748</v>
      </c>
      <c r="BK97" s="218">
        <v>3331.9965153145727</v>
      </c>
      <c r="BL97" s="218">
        <v>3253.8211511223139</v>
      </c>
      <c r="BM97" s="218">
        <v>3269.4633381787689</v>
      </c>
      <c r="BN97" s="218">
        <v>3323.3014528958024</v>
      </c>
      <c r="BO97" s="218">
        <v>3313.6797171324238</v>
      </c>
      <c r="BP97" s="218">
        <v>3112.0300106809682</v>
      </c>
      <c r="BQ97" s="218">
        <v>3051.2564302442966</v>
      </c>
      <c r="BR97" s="218">
        <v>3045.1375149969799</v>
      </c>
      <c r="BS97" s="218">
        <v>3543.4071539475199</v>
      </c>
      <c r="BT97" s="218">
        <v>3803.0876005267</v>
      </c>
      <c r="BU97" s="218">
        <v>3280.8602856862803</v>
      </c>
      <c r="BV97" s="218">
        <v>3352.6545404298581</v>
      </c>
      <c r="BW97" s="218">
        <v>3046.052725914335</v>
      </c>
      <c r="BX97" s="218">
        <v>2775.2754322005003</v>
      </c>
      <c r="BY97" s="218">
        <v>2848.2652017419005</v>
      </c>
      <c r="BZ97" s="218">
        <v>2634.5</v>
      </c>
      <c r="CA97" s="218">
        <v>2446.6151896215697</v>
      </c>
      <c r="CB97" s="218">
        <v>2350.7854610935169</v>
      </c>
      <c r="CC97" s="218">
        <v>2126.6094122995</v>
      </c>
      <c r="CD97" s="218">
        <v>2145.3452387380676</v>
      </c>
      <c r="CE97" s="218">
        <v>2368.4847978793455</v>
      </c>
      <c r="CF97" s="218">
        <v>2109.3762112946088</v>
      </c>
      <c r="CG97" s="218">
        <v>2175.8216241959267</v>
      </c>
      <c r="CH97" s="218">
        <v>2345.7790300879487</v>
      </c>
      <c r="CI97" s="218">
        <v>2233.5758634700451</v>
      </c>
      <c r="CJ97" s="218">
        <v>2249.7278603445702</v>
      </c>
      <c r="CK97" s="218">
        <v>2457.9441949691059</v>
      </c>
      <c r="CL97" s="218">
        <v>1983.392954014688</v>
      </c>
      <c r="CM97" s="218">
        <v>1926.8855084993738</v>
      </c>
      <c r="CN97" s="218">
        <v>2257.5859043407841</v>
      </c>
      <c r="CO97" s="218">
        <v>2161.0683882842072</v>
      </c>
      <c r="CP97" s="444">
        <v>2289.9324891702995</v>
      </c>
      <c r="CQ97" s="218">
        <v>2422.3803993368942</v>
      </c>
      <c r="CR97" s="218">
        <v>2308.3390554223297</v>
      </c>
      <c r="CS97" s="218">
        <v>2191.7788932584826</v>
      </c>
      <c r="CT97" s="218">
        <v>2011.5525712232723</v>
      </c>
      <c r="CU97" s="218">
        <v>1639.8655949700315</v>
      </c>
      <c r="CV97" s="218">
        <v>1947.2806476823612</v>
      </c>
      <c r="CW97" s="218">
        <v>2372.5158765136866</v>
      </c>
      <c r="CX97" s="218">
        <v>2324.4142931514948</v>
      </c>
      <c r="CY97" s="218">
        <v>2341.7145521846946</v>
      </c>
      <c r="CZ97" s="218">
        <v>2444.753452619072</v>
      </c>
      <c r="DA97" s="218">
        <v>2788.8584901584186</v>
      </c>
      <c r="DB97" s="218">
        <v>2876.6598361499823</v>
      </c>
      <c r="DC97" s="218">
        <v>2762.4759220969863</v>
      </c>
      <c r="DD97" s="218">
        <v>2511.0927440616392</v>
      </c>
      <c r="DE97" s="218">
        <v>2469.1877783743607</v>
      </c>
      <c r="DF97" s="218">
        <v>3025.1342439427049</v>
      </c>
      <c r="DG97" s="218">
        <v>2964.9849221098852</v>
      </c>
      <c r="DH97" s="218">
        <v>3050.2676840142904</v>
      </c>
      <c r="DI97" s="218">
        <v>3350.7326457806339</v>
      </c>
      <c r="DJ97" s="218">
        <v>3217.1991652585371</v>
      </c>
      <c r="DK97" s="218">
        <v>3058.4906984371701</v>
      </c>
      <c r="DL97" s="218">
        <v>3272.4405647690437</v>
      </c>
      <c r="DM97" s="218">
        <v>3409.4609178312503</v>
      </c>
      <c r="DN97" s="218">
        <v>3424.4836323525924</v>
      </c>
      <c r="DO97" s="218">
        <v>3498.0221148993032</v>
      </c>
      <c r="DP97" s="218">
        <v>2982.6134180323434</v>
      </c>
      <c r="DQ97" s="218">
        <v>2813.7123291165217</v>
      </c>
      <c r="DR97" s="218">
        <v>2897.8682146747328</v>
      </c>
      <c r="DS97" s="218">
        <v>2728.6565033225538</v>
      </c>
      <c r="DT97" s="218">
        <v>2730.6774112392268</v>
      </c>
      <c r="DU97" s="218">
        <v>2942.2494150807943</v>
      </c>
      <c r="DV97" s="218">
        <v>2627.409046292471</v>
      </c>
      <c r="DW97" s="218">
        <v>2771.5651242863955</v>
      </c>
      <c r="DX97" s="218">
        <v>2827.9998306694001</v>
      </c>
      <c r="DY97" s="218">
        <v>2722.5202731013228</v>
      </c>
      <c r="DZ97" s="218">
        <v>2877.897827455994</v>
      </c>
      <c r="EA97" s="218">
        <v>3008.0187255284723</v>
      </c>
      <c r="EB97" s="218">
        <v>2908.0186186646415</v>
      </c>
    </row>
    <row r="98" spans="1:132" ht="15.95" customHeight="1" x14ac:dyDescent="0.25">
      <c r="A98" s="417" t="s">
        <v>346</v>
      </c>
      <c r="B98" s="418">
        <v>87.711047879999995</v>
      </c>
      <c r="C98" s="295">
        <v>87.23537374</v>
      </c>
      <c r="D98" s="295">
        <v>86.763602249999991</v>
      </c>
      <c r="E98" s="224">
        <v>136.29410518</v>
      </c>
      <c r="F98" s="295">
        <v>136.37495138</v>
      </c>
      <c r="G98" s="295">
        <v>135.31764812</v>
      </c>
      <c r="H98" s="295">
        <v>24.832373199999999</v>
      </c>
      <c r="I98" s="295">
        <v>24.364547479999999</v>
      </c>
      <c r="J98" s="295">
        <v>24.216398359999999</v>
      </c>
      <c r="K98" s="224">
        <v>23.514482040000001</v>
      </c>
      <c r="L98" s="295">
        <v>22.901835519999999</v>
      </c>
      <c r="M98" s="295">
        <v>22.402974329999999</v>
      </c>
      <c r="N98" s="295">
        <v>21.906625369999997</v>
      </c>
      <c r="O98" s="224">
        <v>21.404850240000002</v>
      </c>
      <c r="P98" s="295">
        <v>6.5</v>
      </c>
      <c r="Q98" s="295">
        <v>6.53132</v>
      </c>
      <c r="R98" s="224">
        <v>6.5</v>
      </c>
      <c r="S98" s="295">
        <v>6.5</v>
      </c>
      <c r="T98" s="295">
        <v>6.5</v>
      </c>
      <c r="U98" s="419">
        <v>6.5</v>
      </c>
      <c r="V98" s="419">
        <v>6.5</v>
      </c>
      <c r="W98" s="419">
        <v>6.5</v>
      </c>
      <c r="X98" s="419">
        <v>6.5002195599999997</v>
      </c>
      <c r="Y98" s="419">
        <v>6.5</v>
      </c>
      <c r="Z98" s="419">
        <v>6.5</v>
      </c>
      <c r="AA98" s="419">
        <v>6.5</v>
      </c>
      <c r="AB98" s="419">
        <v>6.5</v>
      </c>
      <c r="AC98" s="419">
        <v>6.5</v>
      </c>
      <c r="AD98" s="419">
        <v>6.5</v>
      </c>
      <c r="AE98" s="419">
        <v>6.5</v>
      </c>
      <c r="AF98" s="419">
        <v>6.5002380000000004</v>
      </c>
      <c r="AG98" s="419">
        <v>6.5189180000000002</v>
      </c>
      <c r="AH98" s="419">
        <v>6.5002399999999998</v>
      </c>
      <c r="AI98" s="419">
        <v>6.5044225599999992</v>
      </c>
      <c r="AJ98" s="419">
        <v>6.5002360000000001</v>
      </c>
      <c r="AK98" s="419">
        <v>6.500254</v>
      </c>
      <c r="AL98" s="419">
        <v>84.972913100000014</v>
      </c>
      <c r="AM98" s="297">
        <v>116.23986896</v>
      </c>
      <c r="AN98" s="297">
        <v>292.0267952726</v>
      </c>
      <c r="AO98" s="297">
        <v>364.49077288310002</v>
      </c>
      <c r="AP98" s="297">
        <v>236.79753667800301</v>
      </c>
      <c r="AQ98" s="297">
        <v>236.19022687685401</v>
      </c>
      <c r="AR98" s="418">
        <v>234.39160893746799</v>
      </c>
      <c r="AS98" s="418">
        <v>291.83981005999999</v>
      </c>
      <c r="AT98" s="418">
        <v>136.85403206999999</v>
      </c>
      <c r="AU98" s="418">
        <v>134.99995465999999</v>
      </c>
      <c r="AV98" s="418">
        <v>132.88275013000001</v>
      </c>
      <c r="AW98" s="218">
        <v>130.69888889000001</v>
      </c>
      <c r="AX98" s="218">
        <v>128.58849473999999</v>
      </c>
      <c r="AY98" s="218">
        <v>126.43155626000001</v>
      </c>
      <c r="AZ98" s="218">
        <v>124.25816643</v>
      </c>
      <c r="BA98" s="218">
        <v>122.04283488999999</v>
      </c>
      <c r="BB98" s="218">
        <v>119.80981906000001</v>
      </c>
      <c r="BC98" s="218">
        <v>117.58767493000001</v>
      </c>
      <c r="BD98" s="218">
        <v>115.34965885</v>
      </c>
      <c r="BE98" s="218">
        <v>113.08956507000001</v>
      </c>
      <c r="BF98" s="218">
        <v>113.75152331</v>
      </c>
      <c r="BG98" s="218">
        <v>8.1195020299999996</v>
      </c>
      <c r="BH98" s="218">
        <v>8.1184999999999992</v>
      </c>
      <c r="BI98" s="218">
        <v>8.1184999999999992</v>
      </c>
      <c r="BJ98" s="218">
        <v>8.1705000000000005</v>
      </c>
      <c r="BK98" s="218">
        <v>8.1706395300000008</v>
      </c>
      <c r="BL98" s="218">
        <v>8.1710042499999993</v>
      </c>
      <c r="BM98" s="218">
        <v>8.2198796699999992</v>
      </c>
      <c r="BN98" s="218">
        <v>7.9494999999999996</v>
      </c>
      <c r="BO98" s="218">
        <v>7.9494999999999996</v>
      </c>
      <c r="BP98" s="218">
        <v>7.6764999999999999</v>
      </c>
      <c r="BQ98" s="218">
        <v>7.6764999999999999</v>
      </c>
      <c r="BR98" s="218">
        <v>7.6764999999999999</v>
      </c>
      <c r="BS98" s="218">
        <v>7.6764999999999999</v>
      </c>
      <c r="BT98" s="218">
        <v>7.6764999999999999</v>
      </c>
      <c r="BU98" s="218">
        <v>7.6764999999999999</v>
      </c>
      <c r="BV98" s="218">
        <v>9.2302020000000002</v>
      </c>
      <c r="BW98" s="218">
        <v>10.095631000000001</v>
      </c>
      <c r="BX98" s="218">
        <v>9.2302020000000002</v>
      </c>
      <c r="BY98" s="218">
        <v>9.23</v>
      </c>
      <c r="BZ98" s="218">
        <v>9.1999999999999993</v>
      </c>
      <c r="CA98" s="218">
        <v>9.23</v>
      </c>
      <c r="CB98" s="218">
        <v>9.3440100000000008</v>
      </c>
      <c r="CC98" s="218">
        <v>9.3440100000000008</v>
      </c>
      <c r="CD98" s="218">
        <v>9.3440100000000008</v>
      </c>
      <c r="CE98" s="218">
        <v>9.3546212200000003</v>
      </c>
      <c r="CF98" s="218">
        <v>9.3580840000000016</v>
      </c>
      <c r="CG98" s="218">
        <v>9.3579106200000002</v>
      </c>
      <c r="CH98" s="218">
        <v>1.3760290000000001E-2</v>
      </c>
      <c r="CI98" s="218">
        <v>5.9129999999999999E-3</v>
      </c>
      <c r="CJ98" s="218">
        <v>9.5551649999999988E-2</v>
      </c>
      <c r="CK98" s="218">
        <v>1.8079499999999998E-2</v>
      </c>
      <c r="CL98" s="218">
        <v>1.1941790000000001E-2</v>
      </c>
      <c r="CM98" s="218">
        <v>1.0566790000000001E-2</v>
      </c>
      <c r="CN98" s="218">
        <v>1.148191E-2</v>
      </c>
      <c r="CO98" s="218">
        <v>9.1796100000000012E-3</v>
      </c>
      <c r="CP98" s="444">
        <v>1.1176200000000001E-2</v>
      </c>
      <c r="CQ98" s="218">
        <v>1.0819229999999999E-2</v>
      </c>
      <c r="CR98" s="218">
        <v>8.0507200000000008E-3</v>
      </c>
      <c r="CS98" s="218">
        <v>1.147306E-2</v>
      </c>
      <c r="CT98" s="218">
        <v>6.222280000000001E-3</v>
      </c>
      <c r="CU98" s="218">
        <v>1.205376E-2</v>
      </c>
      <c r="CV98" s="218">
        <v>7.2006600000000002E-3</v>
      </c>
      <c r="CW98" s="218">
        <v>1.007565E-2</v>
      </c>
      <c r="CX98" s="218">
        <v>8.1689999999999992E-3</v>
      </c>
      <c r="CY98" s="218">
        <v>1.1121000000000001E-2</v>
      </c>
      <c r="CZ98" s="218">
        <v>1.3073E-2</v>
      </c>
      <c r="DA98" s="218">
        <v>9.9000000000000008E-3</v>
      </c>
      <c r="DB98" s="218">
        <v>0.64575324999999995</v>
      </c>
      <c r="DC98" s="218">
        <v>0.66820199999999996</v>
      </c>
      <c r="DD98" s="218">
        <v>0.65178309999999995</v>
      </c>
      <c r="DE98" s="218">
        <v>0.59056534999999999</v>
      </c>
      <c r="DF98" s="218">
        <v>0.62705959999999994</v>
      </c>
      <c r="DG98" s="218">
        <v>0.56498999999999999</v>
      </c>
      <c r="DH98" s="218">
        <v>0.53522899999999995</v>
      </c>
      <c r="DI98" s="218">
        <v>0.52442305</v>
      </c>
      <c r="DJ98" s="218">
        <v>0.50898500000000002</v>
      </c>
      <c r="DK98" s="218">
        <v>0.55007700000000004</v>
      </c>
      <c r="DL98" s="218">
        <v>0.46788800000000003</v>
      </c>
      <c r="DM98" s="218">
        <v>0.49244300000000002</v>
      </c>
      <c r="DN98" s="218">
        <v>0.48231750000000001</v>
      </c>
      <c r="DO98" s="218">
        <v>0.48597754999999998</v>
      </c>
      <c r="DP98" s="218">
        <v>0.40477400000000002</v>
      </c>
      <c r="DQ98" s="218">
        <v>0.38760705000000001</v>
      </c>
      <c r="DR98" s="218">
        <v>0.40856524999999999</v>
      </c>
      <c r="DS98" s="218">
        <v>0.355352</v>
      </c>
      <c r="DT98" s="218">
        <v>0.32790200000000003</v>
      </c>
      <c r="DU98" s="218">
        <v>0.37166204999999997</v>
      </c>
      <c r="DV98" s="218">
        <v>0.72912299999999997</v>
      </c>
      <c r="DW98" s="218">
        <v>0.68773700000000004</v>
      </c>
      <c r="DX98" s="218">
        <v>40.645190999999997</v>
      </c>
      <c r="DY98" s="218">
        <v>40.622925000000002</v>
      </c>
      <c r="DZ98" s="218">
        <v>40.628788</v>
      </c>
      <c r="EA98" s="218">
        <v>12.07308072</v>
      </c>
      <c r="EB98" s="218">
        <v>0.69756899999999999</v>
      </c>
    </row>
    <row r="99" spans="1:132" ht="15.95" customHeight="1" x14ac:dyDescent="0.25">
      <c r="A99" s="417" t="s">
        <v>347</v>
      </c>
      <c r="B99" s="418">
        <v>185.20317135999997</v>
      </c>
      <c r="C99" s="295">
        <v>187.90801233999997</v>
      </c>
      <c r="D99" s="295">
        <v>194.08208089000004</v>
      </c>
      <c r="E99" s="224">
        <v>210.36974814999999</v>
      </c>
      <c r="F99" s="295">
        <v>215.56163597000003</v>
      </c>
      <c r="G99" s="295">
        <v>235.5792629357</v>
      </c>
      <c r="H99" s="295">
        <v>435.39563840999995</v>
      </c>
      <c r="I99" s="295">
        <v>387.50842507000004</v>
      </c>
      <c r="J99" s="295">
        <v>304.06025365999994</v>
      </c>
      <c r="K99" s="224">
        <v>292.24339026000001</v>
      </c>
      <c r="L99" s="295">
        <v>306.38062955999999</v>
      </c>
      <c r="M99" s="295">
        <v>294.86824723000001</v>
      </c>
      <c r="N99" s="295">
        <v>282.02337148000004</v>
      </c>
      <c r="O99" s="224">
        <v>310.96630834999996</v>
      </c>
      <c r="P99" s="295">
        <v>318.34908197999994</v>
      </c>
      <c r="Q99" s="295">
        <v>319.90471190999995</v>
      </c>
      <c r="R99" s="224">
        <v>318.67521477999998</v>
      </c>
      <c r="S99" s="295">
        <v>318.77939139999995</v>
      </c>
      <c r="T99" s="295">
        <v>326.91259193000002</v>
      </c>
      <c r="U99" s="419">
        <v>358.82074175000002</v>
      </c>
      <c r="V99" s="419">
        <v>319.17839400000003</v>
      </c>
      <c r="W99" s="419">
        <v>327.59200720000001</v>
      </c>
      <c r="X99" s="419">
        <v>320.40623551000004</v>
      </c>
      <c r="Y99" s="419">
        <v>322.88736379999995</v>
      </c>
      <c r="Z99" s="419">
        <v>316.95812301000001</v>
      </c>
      <c r="AA99" s="419">
        <v>293.78175304000001</v>
      </c>
      <c r="AB99" s="419">
        <v>272.63401559000005</v>
      </c>
      <c r="AC99" s="419">
        <v>155.90102480000002</v>
      </c>
      <c r="AD99" s="419">
        <v>180.43408848000001</v>
      </c>
      <c r="AE99" s="419">
        <v>170.30640887999999</v>
      </c>
      <c r="AF99" s="419">
        <v>208.18358467000002</v>
      </c>
      <c r="AG99" s="419">
        <v>212.44825832000004</v>
      </c>
      <c r="AH99" s="419">
        <v>226.32060888000001</v>
      </c>
      <c r="AI99" s="419">
        <v>299.41302808000006</v>
      </c>
      <c r="AJ99" s="419">
        <v>388.99981198499995</v>
      </c>
      <c r="AK99" s="419">
        <v>401.00022699499999</v>
      </c>
      <c r="AL99" s="419">
        <v>378.60530072</v>
      </c>
      <c r="AM99" s="297">
        <v>414.23817852499997</v>
      </c>
      <c r="AN99" s="297">
        <v>372.24626378999994</v>
      </c>
      <c r="AO99" s="297">
        <v>346.29605989500004</v>
      </c>
      <c r="AP99" s="297">
        <v>328.88665951690001</v>
      </c>
      <c r="AQ99" s="297">
        <v>325.34614498399998</v>
      </c>
      <c r="AR99" s="418">
        <v>600.15440630260002</v>
      </c>
      <c r="AS99" s="418">
        <v>443.43151562999998</v>
      </c>
      <c r="AT99" s="418">
        <v>423.63595256740001</v>
      </c>
      <c r="AU99" s="418">
        <v>454.58265854299998</v>
      </c>
      <c r="AV99" s="418">
        <v>518.80168487600008</v>
      </c>
      <c r="AW99" s="218">
        <v>606.6952508700499</v>
      </c>
      <c r="AX99" s="218">
        <v>627.91408924847497</v>
      </c>
      <c r="AY99" s="218">
        <v>687.78706260697106</v>
      </c>
      <c r="AZ99" s="218">
        <v>787.65242554868598</v>
      </c>
      <c r="BA99" s="218">
        <v>773.61235472999999</v>
      </c>
      <c r="BB99" s="218">
        <v>752.88096248290003</v>
      </c>
      <c r="BC99" s="218">
        <v>769.81463182979996</v>
      </c>
      <c r="BD99" s="218">
        <v>902.64682031999996</v>
      </c>
      <c r="BE99" s="218">
        <v>897.72737644850008</v>
      </c>
      <c r="BF99" s="218">
        <v>847.74924172099986</v>
      </c>
      <c r="BG99" s="218">
        <v>788.22460027800003</v>
      </c>
      <c r="BH99" s="218">
        <v>811.39179054039994</v>
      </c>
      <c r="BI99" s="218">
        <v>872.47320154249996</v>
      </c>
      <c r="BJ99" s="218">
        <v>903.83692580930006</v>
      </c>
      <c r="BK99" s="218">
        <v>974.5391210002</v>
      </c>
      <c r="BL99" s="218">
        <v>915.34603206259987</v>
      </c>
      <c r="BM99" s="218">
        <v>977.19577565400004</v>
      </c>
      <c r="BN99" s="218">
        <v>956.09327772300003</v>
      </c>
      <c r="BO99" s="218">
        <v>916.69655005480001</v>
      </c>
      <c r="BP99" s="218">
        <v>978.89973404</v>
      </c>
      <c r="BQ99" s="218">
        <v>767.52691697629996</v>
      </c>
      <c r="BR99" s="218">
        <v>861.08378199299977</v>
      </c>
      <c r="BS99" s="218">
        <v>870.99274113440015</v>
      </c>
      <c r="BT99" s="218">
        <v>932.57963933649989</v>
      </c>
      <c r="BU99" s="218">
        <v>899.20173616124794</v>
      </c>
      <c r="BV99" s="218">
        <v>858.33024937361597</v>
      </c>
      <c r="BW99" s="218">
        <v>894.12813590486996</v>
      </c>
      <c r="BX99" s="218">
        <v>915.53442298300001</v>
      </c>
      <c r="BY99" s="218">
        <v>881.21824795549992</v>
      </c>
      <c r="BZ99" s="218">
        <v>1158.5999999999999</v>
      </c>
      <c r="CA99" s="218">
        <v>1669.7786998369002</v>
      </c>
      <c r="CB99" s="218">
        <v>979.50007842539981</v>
      </c>
      <c r="CC99" s="218">
        <v>1012.6294994022001</v>
      </c>
      <c r="CD99" s="218">
        <v>1008.9264088955917</v>
      </c>
      <c r="CE99" s="218">
        <v>588.16601591873723</v>
      </c>
      <c r="CF99" s="218">
        <v>567.61900842683986</v>
      </c>
      <c r="CG99" s="218">
        <v>555.40778413253668</v>
      </c>
      <c r="CH99" s="218">
        <v>581.84559862027345</v>
      </c>
      <c r="CI99" s="218">
        <v>628.92124794464837</v>
      </c>
      <c r="CJ99" s="218">
        <v>586.55950193630599</v>
      </c>
      <c r="CK99" s="218">
        <v>602.04242589</v>
      </c>
      <c r="CL99" s="218">
        <v>533.62354291999998</v>
      </c>
      <c r="CM99" s="218">
        <v>860.09848991500007</v>
      </c>
      <c r="CN99" s="218">
        <v>878.09817760500005</v>
      </c>
      <c r="CO99" s="218">
        <v>852.10210693249996</v>
      </c>
      <c r="CP99" s="444">
        <v>889.48670879999997</v>
      </c>
      <c r="CQ99" s="218">
        <v>870.44320116239999</v>
      </c>
      <c r="CR99" s="218">
        <v>858.00464179815003</v>
      </c>
      <c r="CS99" s="218">
        <v>860.94982790460006</v>
      </c>
      <c r="CT99" s="218">
        <v>815.58859447915006</v>
      </c>
      <c r="CU99" s="218">
        <v>1100.6979193138</v>
      </c>
      <c r="CV99" s="218">
        <v>1055.8780073256</v>
      </c>
      <c r="CW99" s="218">
        <v>1100.04526601159</v>
      </c>
      <c r="CX99" s="218">
        <v>1216.6347342155</v>
      </c>
      <c r="CY99" s="218">
        <v>1151.2902636325998</v>
      </c>
      <c r="CZ99" s="218">
        <v>1314.2256115204377</v>
      </c>
      <c r="DA99" s="218">
        <v>1292.1898150298798</v>
      </c>
      <c r="DB99" s="218">
        <v>1441.3608016859837</v>
      </c>
      <c r="DC99" s="218">
        <v>1503.8159876901475</v>
      </c>
      <c r="DD99" s="218">
        <v>1506.1630896509475</v>
      </c>
      <c r="DE99" s="218">
        <v>1402.38555701365</v>
      </c>
      <c r="DF99" s="218">
        <v>1178.6475296937558</v>
      </c>
      <c r="DG99" s="218">
        <v>1278.0989995925502</v>
      </c>
      <c r="DH99" s="218">
        <v>1263.4898136814518</v>
      </c>
      <c r="DI99" s="218">
        <v>1260.3316299266257</v>
      </c>
      <c r="DJ99" s="218">
        <v>1265.579770338863</v>
      </c>
      <c r="DK99" s="218">
        <v>1223.2230807963083</v>
      </c>
      <c r="DL99" s="218">
        <v>1480.3997288788673</v>
      </c>
      <c r="DM99" s="218">
        <v>1520.5696173755305</v>
      </c>
      <c r="DN99" s="218">
        <v>1449.5263210526216</v>
      </c>
      <c r="DO99" s="218">
        <v>1607.3225922758418</v>
      </c>
      <c r="DP99" s="218">
        <v>1483.4052473219367</v>
      </c>
      <c r="DQ99" s="218">
        <v>1407.8386261522307</v>
      </c>
      <c r="DR99" s="218">
        <v>1452.4552160355825</v>
      </c>
      <c r="DS99" s="218">
        <v>1575.8772619241872</v>
      </c>
      <c r="DT99" s="218">
        <v>1593.92074421405</v>
      </c>
      <c r="DU99" s="218">
        <v>1498.0826810616231</v>
      </c>
      <c r="DV99" s="218">
        <v>1447.8385321253752</v>
      </c>
      <c r="DW99" s="218">
        <v>1434.8648552753664</v>
      </c>
      <c r="DX99" s="218">
        <v>1485.4338118357009</v>
      </c>
      <c r="DY99" s="218">
        <v>1417.4057570143384</v>
      </c>
      <c r="DZ99" s="218">
        <v>1361.2510257744655</v>
      </c>
      <c r="EA99" s="218">
        <v>1715.1288279301023</v>
      </c>
      <c r="EB99" s="218">
        <v>1714.8888486155042</v>
      </c>
    </row>
    <row r="100" spans="1:132" ht="15.95" customHeight="1" x14ac:dyDescent="0.25">
      <c r="A100" s="417" t="s">
        <v>348</v>
      </c>
      <c r="B100" s="418">
        <v>714.69791464449997</v>
      </c>
      <c r="C100" s="295">
        <v>609.97317856999996</v>
      </c>
      <c r="D100" s="295">
        <v>584.83938008999996</v>
      </c>
      <c r="E100" s="224">
        <v>818.77560125039997</v>
      </c>
      <c r="F100" s="295">
        <v>822.05765346479996</v>
      </c>
      <c r="G100" s="295">
        <v>826.83608893626763</v>
      </c>
      <c r="H100" s="295">
        <v>890.8246249852001</v>
      </c>
      <c r="I100" s="295">
        <v>619.88005194136997</v>
      </c>
      <c r="J100" s="295">
        <v>703.13107186720003</v>
      </c>
      <c r="K100" s="224">
        <v>705.33570654439995</v>
      </c>
      <c r="L100" s="295">
        <v>695.09410273376739</v>
      </c>
      <c r="M100" s="295">
        <v>703.50408094345426</v>
      </c>
      <c r="N100" s="295">
        <v>734.68697424995776</v>
      </c>
      <c r="O100" s="224">
        <v>717.95744650379993</v>
      </c>
      <c r="P100" s="295">
        <v>723.59506086616409</v>
      </c>
      <c r="Q100" s="295">
        <v>754.56626723869999</v>
      </c>
      <c r="R100" s="224">
        <v>770.0674528510001</v>
      </c>
      <c r="S100" s="295">
        <v>808.44522681559999</v>
      </c>
      <c r="T100" s="295">
        <v>736.59105190999992</v>
      </c>
      <c r="U100" s="419">
        <v>799.79405567525794</v>
      </c>
      <c r="V100" s="419">
        <v>936.6830903924149</v>
      </c>
      <c r="W100" s="419">
        <v>1013.1736650591851</v>
      </c>
      <c r="X100" s="419">
        <v>1084.2326746755821</v>
      </c>
      <c r="Y100" s="419">
        <v>926.18866461550783</v>
      </c>
      <c r="Z100" s="419">
        <v>1855.4002443724978</v>
      </c>
      <c r="AA100" s="419">
        <v>1661.6434256461564</v>
      </c>
      <c r="AB100" s="419">
        <v>1657.9978314761324</v>
      </c>
      <c r="AC100" s="419">
        <v>1882.902730647935</v>
      </c>
      <c r="AD100" s="419">
        <v>2029.5459584542771</v>
      </c>
      <c r="AE100" s="419">
        <v>2121.655358206996</v>
      </c>
      <c r="AF100" s="419">
        <v>2098.0112250705502</v>
      </c>
      <c r="AG100" s="419">
        <v>2158.8833239561445</v>
      </c>
      <c r="AH100" s="419">
        <v>2489.7712049900401</v>
      </c>
      <c r="AI100" s="419">
        <v>3744.2692637208961</v>
      </c>
      <c r="AJ100" s="419">
        <v>4155.8679908568829</v>
      </c>
      <c r="AK100" s="419">
        <v>4454.3598172714346</v>
      </c>
      <c r="AL100" s="419">
        <v>4989.9076507462632</v>
      </c>
      <c r="AM100" s="297">
        <v>5493.4411654425985</v>
      </c>
      <c r="AN100" s="297">
        <v>4706.5288888501009</v>
      </c>
      <c r="AO100" s="297">
        <v>4838.4834164824651</v>
      </c>
      <c r="AP100" s="297">
        <v>4483.7849558840016</v>
      </c>
      <c r="AQ100" s="297">
        <v>4401.6200424451417</v>
      </c>
      <c r="AR100" s="418">
        <v>4013.7287109496592</v>
      </c>
      <c r="AS100" s="418">
        <v>3995.3991917870385</v>
      </c>
      <c r="AT100" s="418">
        <v>3807.2270378305357</v>
      </c>
      <c r="AU100" s="418">
        <v>3975.51400469891</v>
      </c>
      <c r="AV100" s="418">
        <v>4030.2719575240917</v>
      </c>
      <c r="AW100" s="218">
        <v>3822.1326939366368</v>
      </c>
      <c r="AX100" s="218">
        <v>3576.041704142755</v>
      </c>
      <c r="AY100" s="218">
        <v>3760.3622018337101</v>
      </c>
      <c r="AZ100" s="218">
        <v>4321.7628450836828</v>
      </c>
      <c r="BA100" s="218">
        <v>4286.1327192511326</v>
      </c>
      <c r="BB100" s="218">
        <v>5076.4133249375518</v>
      </c>
      <c r="BC100" s="218">
        <v>5032.9457677654027</v>
      </c>
      <c r="BD100" s="218">
        <v>4634.8070307125636</v>
      </c>
      <c r="BE100" s="218">
        <v>4566.9877742784865</v>
      </c>
      <c r="BF100" s="218">
        <v>4236.1309651734</v>
      </c>
      <c r="BG100" s="218">
        <v>4506.9717652589998</v>
      </c>
      <c r="BH100" s="218">
        <v>4438.0138212631291</v>
      </c>
      <c r="BI100" s="218">
        <v>4580.9228817900894</v>
      </c>
      <c r="BJ100" s="218">
        <v>4407.1366620156086</v>
      </c>
      <c r="BK100" s="218">
        <v>4107.1727612484401</v>
      </c>
      <c r="BL100" s="218">
        <v>4359.6045222536904</v>
      </c>
      <c r="BM100" s="218">
        <v>4668.4158780293619</v>
      </c>
      <c r="BN100" s="218">
        <v>4701.5166690812084</v>
      </c>
      <c r="BO100" s="218">
        <v>4783.799419619425</v>
      </c>
      <c r="BP100" s="218">
        <v>5260.9006798971914</v>
      </c>
      <c r="BQ100" s="218">
        <v>5096.2989496242744</v>
      </c>
      <c r="BR100" s="218">
        <v>5038.5606199521235</v>
      </c>
      <c r="BS100" s="218">
        <v>5474.6890044584716</v>
      </c>
      <c r="BT100" s="218">
        <v>5560.205297856578</v>
      </c>
      <c r="BU100" s="218">
        <v>5408.3974051894747</v>
      </c>
      <c r="BV100" s="218">
        <v>5598.2392397336644</v>
      </c>
      <c r="BW100" s="218">
        <v>5462.1298817169245</v>
      </c>
      <c r="BX100" s="218">
        <v>5525.5667349415007</v>
      </c>
      <c r="BY100" s="218">
        <v>5709.7100208644006</v>
      </c>
      <c r="BZ100" s="218">
        <v>5688.6</v>
      </c>
      <c r="CA100" s="218">
        <v>5611.7488778820198</v>
      </c>
      <c r="CB100" s="218">
        <v>6966.9247731276555</v>
      </c>
      <c r="CC100" s="218">
        <v>7859.6954385377103</v>
      </c>
      <c r="CD100" s="218">
        <v>7505.8112808411697</v>
      </c>
      <c r="CE100" s="218">
        <v>7215.123862775863</v>
      </c>
      <c r="CF100" s="218">
        <v>6457.8209475162639</v>
      </c>
      <c r="CG100" s="218">
        <v>6899.7869665262961</v>
      </c>
      <c r="CH100" s="218">
        <v>7303.4483771381629</v>
      </c>
      <c r="CI100" s="218">
        <v>6752.2187619599708</v>
      </c>
      <c r="CJ100" s="218">
        <v>6792.2447299277528</v>
      </c>
      <c r="CK100" s="218">
        <v>6712.9474384153946</v>
      </c>
      <c r="CL100" s="218">
        <v>6596.0007252802234</v>
      </c>
      <c r="CM100" s="218">
        <v>6605.9548178585792</v>
      </c>
      <c r="CN100" s="218">
        <v>6592.225891089859</v>
      </c>
      <c r="CO100" s="218">
        <v>6704.7852407125683</v>
      </c>
      <c r="CP100" s="444">
        <v>6826.2733793794241</v>
      </c>
      <c r="CQ100" s="218">
        <v>6946.1043188049434</v>
      </c>
      <c r="CR100" s="218">
        <v>6819.6101613116407</v>
      </c>
      <c r="CS100" s="218">
        <v>6664.5797204801511</v>
      </c>
      <c r="CT100" s="218">
        <v>6675.4499300752286</v>
      </c>
      <c r="CU100" s="218">
        <v>7567.5670321336547</v>
      </c>
      <c r="CV100" s="218">
        <v>7700.9670508598356</v>
      </c>
      <c r="CW100" s="218">
        <v>7315.2341064148295</v>
      </c>
      <c r="CX100" s="218">
        <v>6876.340800273194</v>
      </c>
      <c r="CY100" s="218">
        <v>6926.6989738109842</v>
      </c>
      <c r="CZ100" s="218">
        <v>6980.6843216399693</v>
      </c>
      <c r="DA100" s="218">
        <v>6703.0936189812028</v>
      </c>
      <c r="DB100" s="218">
        <v>6755.1600970247773</v>
      </c>
      <c r="DC100" s="218">
        <v>6698.8777939881966</v>
      </c>
      <c r="DD100" s="218">
        <v>7312.7797743858009</v>
      </c>
      <c r="DE100" s="218">
        <v>6956.1348550839439</v>
      </c>
      <c r="DF100" s="218">
        <v>6434.5231689045841</v>
      </c>
      <c r="DG100" s="218">
        <v>6967.7578188297221</v>
      </c>
      <c r="DH100" s="218">
        <v>6795.2356998493424</v>
      </c>
      <c r="DI100" s="218">
        <v>6749.6746463418267</v>
      </c>
      <c r="DJ100" s="218">
        <v>6972.1833089052279</v>
      </c>
      <c r="DK100" s="218">
        <v>7637.6274046470535</v>
      </c>
      <c r="DL100" s="218">
        <v>7493.1267395926407</v>
      </c>
      <c r="DM100" s="218">
        <v>7760.0315194170535</v>
      </c>
      <c r="DN100" s="218">
        <v>8020.1844446016503</v>
      </c>
      <c r="DO100" s="218">
        <v>9814.1384159155277</v>
      </c>
      <c r="DP100" s="218">
        <v>9726.4975266088477</v>
      </c>
      <c r="DQ100" s="218">
        <v>9542.4513246721635</v>
      </c>
      <c r="DR100" s="218">
        <v>8597.1218884299378</v>
      </c>
      <c r="DS100" s="218">
        <v>8774.1445939108125</v>
      </c>
      <c r="DT100" s="218">
        <v>8676.7987907263705</v>
      </c>
      <c r="DU100" s="218">
        <v>8575.590495855</v>
      </c>
      <c r="DV100" s="218">
        <v>9043.8737157113992</v>
      </c>
      <c r="DW100" s="218">
        <v>9163.9941051496007</v>
      </c>
      <c r="DX100" s="218">
        <v>9090.8897528324997</v>
      </c>
      <c r="DY100" s="218">
        <v>9092.3054662391296</v>
      </c>
      <c r="DZ100" s="218">
        <v>9248.707772457481</v>
      </c>
      <c r="EA100" s="218">
        <v>9153.2273619617899</v>
      </c>
      <c r="EB100" s="218">
        <v>9185.6362502494885</v>
      </c>
    </row>
    <row r="101" spans="1:132" ht="15.95" customHeight="1" x14ac:dyDescent="0.25">
      <c r="A101" s="417" t="s">
        <v>349</v>
      </c>
      <c r="B101" s="418">
        <v>381.14089100000001</v>
      </c>
      <c r="C101" s="295">
        <v>302.61128963000004</v>
      </c>
      <c r="D101" s="295">
        <v>285.53637800000001</v>
      </c>
      <c r="E101" s="224">
        <v>284.21448800000002</v>
      </c>
      <c r="F101" s="295">
        <v>274.02513800000003</v>
      </c>
      <c r="G101" s="295">
        <v>374.02534300000002</v>
      </c>
      <c r="H101" s="295">
        <v>368.18711999999999</v>
      </c>
      <c r="I101" s="295">
        <v>334.661451</v>
      </c>
      <c r="J101" s="295">
        <v>432.17281000000003</v>
      </c>
      <c r="K101" s="224">
        <v>441.52141273000001</v>
      </c>
      <c r="L101" s="295">
        <v>2052.3029062099999</v>
      </c>
      <c r="M101" s="295">
        <v>2048.7337489199999</v>
      </c>
      <c r="N101" s="295">
        <v>2338.9024081794018</v>
      </c>
      <c r="O101" s="224">
        <v>2353.964952379401</v>
      </c>
      <c r="P101" s="295">
        <v>2397.9630134694012</v>
      </c>
      <c r="Q101" s="295">
        <v>2389.7803961655663</v>
      </c>
      <c r="R101" s="224">
        <v>2339.8218220753397</v>
      </c>
      <c r="S101" s="295">
        <v>2366.8926311532732</v>
      </c>
      <c r="T101" s="295">
        <v>2347.6050583645938</v>
      </c>
      <c r="U101" s="419">
        <v>2338.7577917844678</v>
      </c>
      <c r="V101" s="419">
        <v>813.77663583446781</v>
      </c>
      <c r="W101" s="419">
        <v>800.93301396543848</v>
      </c>
      <c r="X101" s="419">
        <v>762.53315009543849</v>
      </c>
      <c r="Y101" s="419">
        <v>690.77569324543856</v>
      </c>
      <c r="Z101" s="419">
        <v>875.22545058905791</v>
      </c>
      <c r="AA101" s="419">
        <v>856.39211658905788</v>
      </c>
      <c r="AB101" s="419">
        <v>846.17491996905778</v>
      </c>
      <c r="AC101" s="419">
        <v>962.37317897051287</v>
      </c>
      <c r="AD101" s="419">
        <v>910.00165437592636</v>
      </c>
      <c r="AE101" s="419">
        <v>903.5156826259265</v>
      </c>
      <c r="AF101" s="419">
        <v>905.56880137592634</v>
      </c>
      <c r="AG101" s="419">
        <v>903.24171565592633</v>
      </c>
      <c r="AH101" s="419">
        <v>870.58053361592636</v>
      </c>
      <c r="AI101" s="419">
        <v>844.03356805300098</v>
      </c>
      <c r="AJ101" s="419">
        <v>789.98935332300096</v>
      </c>
      <c r="AK101" s="419">
        <v>776.08177119300103</v>
      </c>
      <c r="AL101" s="419">
        <v>739.87209321773605</v>
      </c>
      <c r="AM101" s="297">
        <v>729.26508691773608</v>
      </c>
      <c r="AN101" s="297">
        <v>629.52247591773607</v>
      </c>
      <c r="AO101" s="297">
        <v>634.03069074906625</v>
      </c>
      <c r="AP101" s="297">
        <v>628.47410435906625</v>
      </c>
      <c r="AQ101" s="297">
        <v>617.57752563906627</v>
      </c>
      <c r="AR101" s="418">
        <v>607.74584303573283</v>
      </c>
      <c r="AS101" s="418">
        <v>605.66193696573293</v>
      </c>
      <c r="AT101" s="418">
        <v>588.7356674257328</v>
      </c>
      <c r="AU101" s="418">
        <v>574.60864812609407</v>
      </c>
      <c r="AV101" s="418">
        <v>566.27279296609402</v>
      </c>
      <c r="AW101" s="218">
        <v>557.94309238609412</v>
      </c>
      <c r="AX101" s="218">
        <v>759.54389995805184</v>
      </c>
      <c r="AY101" s="218">
        <v>753.54239917805182</v>
      </c>
      <c r="AZ101" s="218">
        <v>695.2011811780518</v>
      </c>
      <c r="BA101" s="218">
        <v>702.75181049288278</v>
      </c>
      <c r="BB101" s="218">
        <v>691.00808081288278</v>
      </c>
      <c r="BC101" s="218">
        <v>679.33504925288287</v>
      </c>
      <c r="BD101" s="218">
        <v>788.07075187510304</v>
      </c>
      <c r="BE101" s="218">
        <v>777.97135363510301</v>
      </c>
      <c r="BF101" s="218">
        <v>763.48328460510299</v>
      </c>
      <c r="BG101" s="218">
        <v>768.64001738133641</v>
      </c>
      <c r="BH101" s="218">
        <v>755.30659838133647</v>
      </c>
      <c r="BI101" s="218">
        <v>741.97326438133643</v>
      </c>
      <c r="BJ101" s="218">
        <v>820.6427628737564</v>
      </c>
      <c r="BK101" s="218">
        <v>810.81510727375655</v>
      </c>
      <c r="BL101" s="218">
        <v>793.98801387375636</v>
      </c>
      <c r="BM101" s="218">
        <v>960.40302395000003</v>
      </c>
      <c r="BN101" s="218">
        <v>830.93890644232317</v>
      </c>
      <c r="BO101" s="218">
        <v>812.01249773232314</v>
      </c>
      <c r="BP101" s="218">
        <v>798.13518832049795</v>
      </c>
      <c r="BQ101" s="218">
        <v>785.70795316049794</v>
      </c>
      <c r="BR101" s="218">
        <v>771.47003816049789</v>
      </c>
      <c r="BS101" s="218">
        <v>764.92091790800782</v>
      </c>
      <c r="BT101" s="218">
        <v>728.10997330156067</v>
      </c>
      <c r="BU101" s="218">
        <v>746.36401860156059</v>
      </c>
      <c r="BV101" s="218">
        <v>884.22925797999994</v>
      </c>
      <c r="BW101" s="218">
        <v>852.79331327999989</v>
      </c>
      <c r="BX101" s="218">
        <v>931.98122499999999</v>
      </c>
      <c r="BY101" s="218">
        <v>932.64709300000004</v>
      </c>
      <c r="BZ101" s="218">
        <v>922.2</v>
      </c>
      <c r="CA101" s="218">
        <v>921.22766354275007</v>
      </c>
      <c r="CB101" s="218">
        <v>907.98291426275011</v>
      </c>
      <c r="CC101" s="218">
        <v>308.30996425000001</v>
      </c>
      <c r="CD101" s="218">
        <v>417.75223341999998</v>
      </c>
      <c r="CE101" s="218">
        <v>519.08684378999999</v>
      </c>
      <c r="CF101" s="218">
        <v>511.8668419</v>
      </c>
      <c r="CG101" s="218">
        <v>504.52041152000004</v>
      </c>
      <c r="CH101" s="218">
        <v>541.17620889</v>
      </c>
      <c r="CI101" s="218">
        <v>538.10996406000004</v>
      </c>
      <c r="CJ101" s="218">
        <v>540.13928379000004</v>
      </c>
      <c r="CK101" s="218">
        <v>536.76707811999995</v>
      </c>
      <c r="CL101" s="218">
        <v>456.26798581000003</v>
      </c>
      <c r="CM101" s="218">
        <v>425.08917665000001</v>
      </c>
      <c r="CN101" s="218">
        <v>412.26895896999997</v>
      </c>
      <c r="CO101" s="218">
        <v>398.37499306999996</v>
      </c>
      <c r="CP101" s="444">
        <v>467.71017252000007</v>
      </c>
      <c r="CQ101" s="218">
        <v>497.53095352999998</v>
      </c>
      <c r="CR101" s="218">
        <v>488.12421932000001</v>
      </c>
      <c r="CS101" s="218">
        <v>459.59498085000001</v>
      </c>
      <c r="CT101" s="218">
        <v>452.72130077000003</v>
      </c>
      <c r="CU101" s="218">
        <v>455.99258927999995</v>
      </c>
      <c r="CV101" s="218">
        <v>442.86412240999999</v>
      </c>
      <c r="CW101" s="218">
        <v>443.23145349999999</v>
      </c>
      <c r="CX101" s="218">
        <v>421.08020832</v>
      </c>
      <c r="CY101" s="218">
        <v>476.6715519</v>
      </c>
      <c r="CZ101" s="218">
        <v>495.43524981999997</v>
      </c>
      <c r="DA101" s="218">
        <v>688.71012415999996</v>
      </c>
      <c r="DB101" s="218">
        <v>701.68831126999999</v>
      </c>
      <c r="DC101" s="218">
        <v>651.76059376000001</v>
      </c>
      <c r="DD101" s="218">
        <v>664.56444291999992</v>
      </c>
      <c r="DE101" s="218">
        <v>495.46454969999996</v>
      </c>
      <c r="DF101" s="218">
        <v>479.94742694999997</v>
      </c>
      <c r="DG101" s="218">
        <v>456.11532117000002</v>
      </c>
      <c r="DH101" s="218">
        <v>445.02609278</v>
      </c>
      <c r="DI101" s="218">
        <v>433.99804361000002</v>
      </c>
      <c r="DJ101" s="218">
        <v>424.41120941000003</v>
      </c>
      <c r="DK101" s="218">
        <v>412.16601271999997</v>
      </c>
      <c r="DL101" s="218">
        <v>410.05272070000001</v>
      </c>
      <c r="DM101" s="218">
        <v>401.91943788999998</v>
      </c>
      <c r="DN101" s="218">
        <v>198.57784896000001</v>
      </c>
      <c r="DO101" s="218">
        <v>193.51114268000001</v>
      </c>
      <c r="DP101" s="218">
        <v>188.45730481000001</v>
      </c>
      <c r="DQ101" s="218">
        <v>183.56959449999999</v>
      </c>
      <c r="DR101" s="218">
        <v>178.36188095999998</v>
      </c>
      <c r="DS101" s="218">
        <v>173.30143766</v>
      </c>
      <c r="DT101" s="218">
        <v>170.77026812</v>
      </c>
      <c r="DU101" s="218">
        <v>165.76393031000001</v>
      </c>
      <c r="DV101" s="218">
        <v>160.66262437</v>
      </c>
      <c r="DW101" s="218">
        <v>155.60514318</v>
      </c>
      <c r="DX101" s="218">
        <v>150.60084295999999</v>
      </c>
      <c r="DY101" s="218">
        <v>145.55335915999999</v>
      </c>
      <c r="DZ101" s="218">
        <v>140.48673239999999</v>
      </c>
      <c r="EA101" s="218">
        <v>135.43293853999998</v>
      </c>
      <c r="EB101" s="218">
        <v>130.37692477000002</v>
      </c>
    </row>
    <row r="102" spans="1:132" ht="15.95" customHeight="1" x14ac:dyDescent="0.25">
      <c r="A102" s="417" t="s">
        <v>283</v>
      </c>
      <c r="B102" s="418">
        <v>5843.0565415835536</v>
      </c>
      <c r="C102" s="295">
        <v>5559.6508094964829</v>
      </c>
      <c r="D102" s="295">
        <v>5402.9399321534711</v>
      </c>
      <c r="E102" s="224">
        <v>5589.0693086817</v>
      </c>
      <c r="F102" s="295">
        <v>5384.7305975907293</v>
      </c>
      <c r="G102" s="295">
        <v>5309.0810698800469</v>
      </c>
      <c r="H102" s="295">
        <v>5964.7013840558393</v>
      </c>
      <c r="I102" s="295">
        <v>6098.2309947908798</v>
      </c>
      <c r="J102" s="295">
        <v>6082.0523489815996</v>
      </c>
      <c r="K102" s="224">
        <v>5963.8149222485999</v>
      </c>
      <c r="L102" s="295">
        <v>6090.9573205450479</v>
      </c>
      <c r="M102" s="295">
        <v>5929.4918350761973</v>
      </c>
      <c r="N102" s="295">
        <v>6186.1345093231603</v>
      </c>
      <c r="O102" s="224">
        <v>6338.1862835821003</v>
      </c>
      <c r="P102" s="295">
        <v>6925.6437506492466</v>
      </c>
      <c r="Q102" s="295">
        <v>6964.3098789862006</v>
      </c>
      <c r="R102" s="224">
        <v>7538.4142954195995</v>
      </c>
      <c r="S102" s="295">
        <v>7830.9613635325013</v>
      </c>
      <c r="T102" s="295">
        <v>7878.3259107999993</v>
      </c>
      <c r="U102" s="419">
        <v>8305.7927825150182</v>
      </c>
      <c r="V102" s="419">
        <v>8437.8692368629872</v>
      </c>
      <c r="W102" s="419">
        <v>8839.8772899001997</v>
      </c>
      <c r="X102" s="419">
        <v>8795.7042239999992</v>
      </c>
      <c r="Y102" s="419">
        <v>8721.1979148789906</v>
      </c>
      <c r="Z102" s="419">
        <v>7816.3438431857876</v>
      </c>
      <c r="AA102" s="419">
        <v>7748.380829087946</v>
      </c>
      <c r="AB102" s="419">
        <v>7784.153618037426</v>
      </c>
      <c r="AC102" s="419">
        <v>8676.7860172852324</v>
      </c>
      <c r="AD102" s="419">
        <v>8627.8424176872686</v>
      </c>
      <c r="AE102" s="419">
        <v>8693.1561027003245</v>
      </c>
      <c r="AF102" s="419">
        <v>8632.6252355775541</v>
      </c>
      <c r="AG102" s="419">
        <v>8847.3806556513282</v>
      </c>
      <c r="AH102" s="419">
        <v>8337.9693267333387</v>
      </c>
      <c r="AI102" s="419">
        <v>8636.3118297826659</v>
      </c>
      <c r="AJ102" s="419">
        <v>8328.3025826940157</v>
      </c>
      <c r="AK102" s="419">
        <v>8974.3879707484375</v>
      </c>
      <c r="AL102" s="419">
        <v>9311.7854957182954</v>
      </c>
      <c r="AM102" s="297">
        <v>9347.8913287904797</v>
      </c>
      <c r="AN102" s="297">
        <v>9404.6315948528718</v>
      </c>
      <c r="AO102" s="297">
        <v>9739.2593938442769</v>
      </c>
      <c r="AP102" s="297">
        <v>10004.12934457988</v>
      </c>
      <c r="AQ102" s="297">
        <v>10110.843716640182</v>
      </c>
      <c r="AR102" s="418">
        <v>10481.630446117419</v>
      </c>
      <c r="AS102" s="418">
        <v>9588.9037520400016</v>
      </c>
      <c r="AT102" s="418">
        <v>9808.146917614833</v>
      </c>
      <c r="AU102" s="418">
        <v>9588.0800079374403</v>
      </c>
      <c r="AV102" s="418">
        <v>9718.6503103592222</v>
      </c>
      <c r="AW102" s="218">
        <v>9268.3878983211143</v>
      </c>
      <c r="AX102" s="218">
        <v>9353.4470332928995</v>
      </c>
      <c r="AY102" s="218">
        <v>9437.5246191005372</v>
      </c>
      <c r="AZ102" s="218">
        <v>10274.352882980123</v>
      </c>
      <c r="BA102" s="218">
        <v>10166.427793609553</v>
      </c>
      <c r="BB102" s="218">
        <v>10389.417836790184</v>
      </c>
      <c r="BC102" s="218">
        <v>10625.011745687814</v>
      </c>
      <c r="BD102" s="218">
        <v>9968.1205601711408</v>
      </c>
      <c r="BE102" s="218">
        <v>10049.684991127566</v>
      </c>
      <c r="BF102" s="218">
        <v>10591.858671057624</v>
      </c>
      <c r="BG102" s="218">
        <v>10290.99895543688</v>
      </c>
      <c r="BH102" s="218">
        <v>10512.315250310969</v>
      </c>
      <c r="BI102" s="218">
        <v>10090.904356145989</v>
      </c>
      <c r="BJ102" s="218">
        <v>10605.867338809932</v>
      </c>
      <c r="BK102" s="218">
        <v>11040.351617682078</v>
      </c>
      <c r="BL102" s="218">
        <v>10834.717194104769</v>
      </c>
      <c r="BM102" s="218">
        <v>10864.337875750831</v>
      </c>
      <c r="BN102" s="218">
        <v>11143.472911347837</v>
      </c>
      <c r="BO102" s="218">
        <v>11339.18894172525</v>
      </c>
      <c r="BP102" s="218">
        <v>13010.94603568831</v>
      </c>
      <c r="BQ102" s="218">
        <v>13142.899956530015</v>
      </c>
      <c r="BR102" s="218">
        <v>13363.50966748602</v>
      </c>
      <c r="BS102" s="218">
        <v>12936.477396168693</v>
      </c>
      <c r="BT102" s="218">
        <v>13068.660070256547</v>
      </c>
      <c r="BU102" s="218">
        <v>13263.756393642407</v>
      </c>
      <c r="BV102" s="218">
        <v>13422.464196176719</v>
      </c>
      <c r="BW102" s="218">
        <v>13318.599485888837</v>
      </c>
      <c r="BX102" s="218">
        <v>13884.877446752998</v>
      </c>
      <c r="BY102" s="218">
        <v>12626.312459336299</v>
      </c>
      <c r="BZ102" s="218">
        <v>12673.5</v>
      </c>
      <c r="CA102" s="218">
        <v>12681.161033793069</v>
      </c>
      <c r="CB102" s="218">
        <v>12468.731049080949</v>
      </c>
      <c r="CC102" s="218">
        <v>12556.242423928998</v>
      </c>
      <c r="CD102" s="218">
        <v>12565.614363119123</v>
      </c>
      <c r="CE102" s="218">
        <v>13330.591293970043</v>
      </c>
      <c r="CF102" s="218">
        <v>13385.725306133078</v>
      </c>
      <c r="CG102" s="218">
        <v>13505.929810974714</v>
      </c>
      <c r="CH102" s="218">
        <v>13874.19672138575</v>
      </c>
      <c r="CI102" s="218">
        <v>14264.518265692097</v>
      </c>
      <c r="CJ102" s="218">
        <v>14179.103431277292</v>
      </c>
      <c r="CK102" s="218">
        <v>14072.053020673709</v>
      </c>
      <c r="CL102" s="218">
        <v>14578.135137691666</v>
      </c>
      <c r="CM102" s="218">
        <v>14805.33190524052</v>
      </c>
      <c r="CN102" s="218">
        <v>14968.761863425219</v>
      </c>
      <c r="CO102" s="218">
        <v>15098.044093518205</v>
      </c>
      <c r="CP102" s="444">
        <v>15796.365322770551</v>
      </c>
      <c r="CQ102" s="218">
        <v>15629.802863859108</v>
      </c>
      <c r="CR102" s="218">
        <v>15495.803244839399</v>
      </c>
      <c r="CS102" s="218">
        <v>14805.436872236807</v>
      </c>
      <c r="CT102" s="218">
        <v>14797.377580901317</v>
      </c>
      <c r="CU102" s="218">
        <v>16078.05223355928</v>
      </c>
      <c r="CV102" s="218">
        <v>16838.235221396673</v>
      </c>
      <c r="CW102" s="218">
        <v>17241.250708475582</v>
      </c>
      <c r="CX102" s="218">
        <v>15935.731066888802</v>
      </c>
      <c r="CY102" s="218">
        <v>16290.5268088251</v>
      </c>
      <c r="CZ102" s="218">
        <v>14772.610030014266</v>
      </c>
      <c r="DA102" s="218">
        <v>15344.610266733509</v>
      </c>
      <c r="DB102" s="218">
        <v>14413.982020529544</v>
      </c>
      <c r="DC102" s="218">
        <v>15253.669761821304</v>
      </c>
      <c r="DD102" s="218">
        <v>15164.432433200847</v>
      </c>
      <c r="DE102" s="218">
        <v>14969.756712879434</v>
      </c>
      <c r="DF102" s="218">
        <v>11345.259370575928</v>
      </c>
      <c r="DG102" s="218">
        <v>10182.197026393402</v>
      </c>
      <c r="DH102" s="218">
        <v>10255.658428449462</v>
      </c>
      <c r="DI102" s="218">
        <v>10043.946344108208</v>
      </c>
      <c r="DJ102" s="218">
        <v>10326.778058023629</v>
      </c>
      <c r="DK102" s="218">
        <v>11326.679219461514</v>
      </c>
      <c r="DL102" s="218">
        <v>11585.359505858953</v>
      </c>
      <c r="DM102" s="218">
        <v>11669.773358485883</v>
      </c>
      <c r="DN102" s="218">
        <v>11539.622355645724</v>
      </c>
      <c r="DO102" s="218">
        <v>11709.832558019918</v>
      </c>
      <c r="DP102" s="218">
        <v>11890.198580778962</v>
      </c>
      <c r="DQ102" s="218">
        <v>11373.492418012294</v>
      </c>
      <c r="DR102" s="218">
        <v>11173.50550056413</v>
      </c>
      <c r="DS102" s="218">
        <v>11563.265287151418</v>
      </c>
      <c r="DT102" s="218">
        <v>11974.422788994389</v>
      </c>
      <c r="DU102" s="218">
        <v>11691.008247331143</v>
      </c>
      <c r="DV102" s="218">
        <v>12078.146074264709</v>
      </c>
      <c r="DW102" s="218">
        <v>12027.409510653843</v>
      </c>
      <c r="DX102" s="218">
        <v>12315.445683187107</v>
      </c>
      <c r="DY102" s="218">
        <v>12631.271503387639</v>
      </c>
      <c r="DZ102" s="218">
        <v>11844.185105854451</v>
      </c>
      <c r="EA102" s="218">
        <v>11230.133541571187</v>
      </c>
      <c r="EB102" s="218">
        <v>11510.795817504635</v>
      </c>
    </row>
    <row r="103" spans="1:132" ht="7.7" customHeight="1" x14ac:dyDescent="0.25">
      <c r="A103" s="410"/>
      <c r="B103" s="411"/>
      <c r="C103" s="215"/>
      <c r="D103" s="215"/>
      <c r="E103" s="227"/>
      <c r="F103" s="215"/>
      <c r="G103" s="215"/>
      <c r="H103" s="295"/>
      <c r="I103" s="295"/>
      <c r="J103" s="295"/>
      <c r="K103" s="224"/>
      <c r="L103" s="295"/>
      <c r="M103" s="295"/>
      <c r="N103" s="295"/>
      <c r="O103" s="224"/>
      <c r="P103" s="295"/>
      <c r="Q103" s="295"/>
      <c r="R103" s="224"/>
      <c r="S103" s="295"/>
      <c r="T103" s="295"/>
      <c r="U103" s="419"/>
      <c r="V103" s="419"/>
      <c r="W103" s="419"/>
      <c r="X103" s="419"/>
      <c r="Y103" s="419"/>
      <c r="Z103" s="419"/>
      <c r="AA103" s="419"/>
      <c r="AB103" s="419"/>
      <c r="AC103" s="419"/>
      <c r="AD103" s="419"/>
      <c r="AE103" s="419"/>
      <c r="AF103" s="419"/>
      <c r="AG103" s="419"/>
      <c r="AH103" s="419"/>
      <c r="AI103" s="419"/>
      <c r="AJ103" s="419"/>
      <c r="AK103" s="419"/>
      <c r="AL103" s="419"/>
      <c r="AM103" s="296"/>
      <c r="AN103" s="296"/>
      <c r="AO103" s="296"/>
      <c r="AP103" s="296"/>
      <c r="AQ103" s="296"/>
      <c r="AR103" s="411"/>
      <c r="AS103" s="411"/>
      <c r="AT103" s="411"/>
      <c r="AU103" s="411"/>
      <c r="AV103" s="411"/>
      <c r="AW103" s="414"/>
      <c r="AX103" s="414"/>
      <c r="AY103" s="414"/>
      <c r="AZ103" s="414"/>
      <c r="BA103" s="414"/>
      <c r="BB103" s="414"/>
      <c r="BC103" s="414"/>
      <c r="BD103" s="414"/>
      <c r="BE103" s="414"/>
      <c r="BF103" s="414"/>
      <c r="BG103" s="414"/>
      <c r="BH103" s="414"/>
      <c r="BI103" s="414"/>
      <c r="BJ103" s="414"/>
      <c r="BK103" s="414"/>
      <c r="BL103" s="414"/>
      <c r="BM103" s="414"/>
      <c r="BN103" s="414"/>
      <c r="BO103" s="414"/>
      <c r="BP103" s="414"/>
      <c r="BQ103" s="414"/>
      <c r="BR103" s="414"/>
      <c r="BS103" s="414"/>
      <c r="BT103" s="414"/>
      <c r="BU103" s="414"/>
      <c r="BV103" s="414"/>
      <c r="BW103" s="414"/>
      <c r="BX103" s="414"/>
      <c r="BY103" s="414"/>
      <c r="BZ103" s="414"/>
      <c r="CA103" s="414"/>
      <c r="CB103" s="414"/>
      <c r="CC103" s="414"/>
      <c r="CD103" s="414"/>
      <c r="CE103" s="414"/>
      <c r="CF103" s="414"/>
      <c r="CG103" s="414"/>
      <c r="CH103" s="414"/>
      <c r="CI103" s="414"/>
      <c r="CJ103" s="414"/>
      <c r="CK103" s="414"/>
      <c r="CL103" s="414"/>
      <c r="CM103" s="414"/>
      <c r="CN103" s="414"/>
      <c r="CO103" s="414"/>
      <c r="CP103" s="443"/>
      <c r="CQ103" s="218"/>
      <c r="CR103" s="414"/>
      <c r="CS103" s="414"/>
      <c r="CT103" s="414"/>
      <c r="CU103" s="414"/>
      <c r="CV103" s="414"/>
      <c r="CW103" s="414"/>
      <c r="CX103" s="414"/>
      <c r="CY103" s="414"/>
      <c r="CZ103" s="414"/>
      <c r="DA103" s="414"/>
      <c r="DB103" s="414"/>
      <c r="DC103" s="414"/>
      <c r="DD103" s="414"/>
      <c r="DE103" s="414"/>
      <c r="DF103" s="414"/>
      <c r="DG103" s="414"/>
      <c r="DH103" s="414"/>
      <c r="DI103" s="414"/>
      <c r="DJ103" s="414"/>
      <c r="DK103" s="414"/>
      <c r="DL103" s="414"/>
      <c r="DM103" s="414"/>
      <c r="DN103" s="414"/>
      <c r="DO103" s="414"/>
      <c r="DP103" s="414"/>
      <c r="DQ103" s="414"/>
      <c r="DR103" s="414"/>
      <c r="DS103" s="414"/>
      <c r="DT103" s="414"/>
      <c r="DU103" s="414"/>
      <c r="DV103" s="414"/>
      <c r="DW103" s="414"/>
      <c r="DX103" s="414"/>
      <c r="DY103" s="414"/>
      <c r="DZ103" s="414"/>
      <c r="EA103" s="414"/>
      <c r="EB103" s="414"/>
    </row>
    <row r="104" spans="1:132" x14ac:dyDescent="0.25">
      <c r="A104" s="410" t="s">
        <v>350</v>
      </c>
      <c r="B104" s="411">
        <f>SUM(B106:B111)</f>
        <v>1509.70975011</v>
      </c>
      <c r="C104" s="215">
        <f>SUM(C106:C111)</f>
        <v>1523.1343472900003</v>
      </c>
      <c r="D104" s="215">
        <f>SUM(D106:D111)</f>
        <v>1435.4538235392199</v>
      </c>
      <c r="E104" s="227">
        <f>SUM(E106:E111)</f>
        <v>1777.6978128800001</v>
      </c>
      <c r="F104" s="215">
        <v>1783.0134692099998</v>
      </c>
      <c r="G104" s="215">
        <v>1782.97130324</v>
      </c>
      <c r="H104" s="215">
        <v>1928.6365559099997</v>
      </c>
      <c r="I104" s="215">
        <v>2159.7271055099995</v>
      </c>
      <c r="J104" s="215">
        <v>2096.2796883999999</v>
      </c>
      <c r="K104" s="227">
        <v>2240.9168075799998</v>
      </c>
      <c r="L104" s="215">
        <v>2359.1139275</v>
      </c>
      <c r="M104" s="215">
        <v>2532.0489711800001</v>
      </c>
      <c r="N104" s="215">
        <v>2832.795467736827</v>
      </c>
      <c r="O104" s="227">
        <v>3056.7181062300001</v>
      </c>
      <c r="P104" s="215">
        <v>2950.8056036100006</v>
      </c>
      <c r="Q104" s="215">
        <v>3271.7490953799997</v>
      </c>
      <c r="R104" s="227">
        <v>3261.0112979267997</v>
      </c>
      <c r="S104" s="215">
        <v>3222.4995605480003</v>
      </c>
      <c r="T104" s="215">
        <v>3446.5573752949999</v>
      </c>
      <c r="U104" s="217">
        <v>3722.3216707786</v>
      </c>
      <c r="V104" s="217">
        <v>3555.3852888812253</v>
      </c>
      <c r="W104" s="217">
        <v>3906.7524735088</v>
      </c>
      <c r="X104" s="217">
        <v>3980.1829983998005</v>
      </c>
      <c r="Y104" s="217">
        <v>3955.0857712682723</v>
      </c>
      <c r="Z104" s="217">
        <v>4136.6673557411377</v>
      </c>
      <c r="AA104" s="217">
        <v>4719.2753357909669</v>
      </c>
      <c r="AB104" s="217">
        <v>4731.3731359345293</v>
      </c>
      <c r="AC104" s="217">
        <v>5472.0266775643213</v>
      </c>
      <c r="AD104" s="217">
        <v>5284.1989032000001</v>
      </c>
      <c r="AE104" s="217">
        <v>5278.0772102500014</v>
      </c>
      <c r="AF104" s="217">
        <v>5297.4631043299996</v>
      </c>
      <c r="AG104" s="217">
        <v>5292.8926040299993</v>
      </c>
      <c r="AH104" s="217">
        <v>5252.9533871599997</v>
      </c>
      <c r="AI104" s="217">
        <v>5191.3927255099989</v>
      </c>
      <c r="AJ104" s="217">
        <v>5257.7029262500009</v>
      </c>
      <c r="AK104" s="217">
        <v>5222.8961423800001</v>
      </c>
      <c r="AL104" s="217">
        <v>5124.9316933700011</v>
      </c>
      <c r="AM104" s="296">
        <v>6001.12399671</v>
      </c>
      <c r="AN104" s="296">
        <v>5071.9550348500006</v>
      </c>
      <c r="AO104" s="296">
        <v>5134.7203384800005</v>
      </c>
      <c r="AP104" s="296">
        <v>5214.7937380833009</v>
      </c>
      <c r="AQ104" s="296">
        <v>5019.2706518697996</v>
      </c>
      <c r="AR104" s="411">
        <v>5011.9611979984011</v>
      </c>
      <c r="AS104" s="411">
        <v>5012.5874523900002</v>
      </c>
      <c r="AT104" s="411">
        <v>5093.6261356928017</v>
      </c>
      <c r="AU104" s="411">
        <v>5227.9352840696001</v>
      </c>
      <c r="AV104" s="411">
        <v>5213.4135083210003</v>
      </c>
      <c r="AW104" s="414">
        <v>5192.8869614513997</v>
      </c>
      <c r="AX104" s="414">
        <v>5170.2930121266008</v>
      </c>
      <c r="AY104" s="414">
        <v>5117.4767530987019</v>
      </c>
      <c r="AZ104" s="414">
        <v>4969.6525154068004</v>
      </c>
      <c r="BA104" s="414">
        <v>4952.8842333205994</v>
      </c>
      <c r="BB104" s="414">
        <v>4968.2237115259986</v>
      </c>
      <c r="BC104" s="414">
        <v>4991.351040043799</v>
      </c>
      <c r="BD104" s="414">
        <v>4679.0333738847994</v>
      </c>
      <c r="BE104" s="414">
        <v>4739.297370675099</v>
      </c>
      <c r="BF104" s="414">
        <v>4737.8399976220007</v>
      </c>
      <c r="BG104" s="414">
        <v>5011.7861140549994</v>
      </c>
      <c r="BH104" s="414">
        <v>4984.6044536206</v>
      </c>
      <c r="BI104" s="414">
        <v>4599.8889201365</v>
      </c>
      <c r="BJ104" s="414">
        <v>4626.6899196592994</v>
      </c>
      <c r="BK104" s="414">
        <v>4607.3518246560006</v>
      </c>
      <c r="BL104" s="414">
        <v>4604.0258776235996</v>
      </c>
      <c r="BM104" s="414">
        <v>4515.9871865396008</v>
      </c>
      <c r="BN104" s="414">
        <v>4503.6206132851003</v>
      </c>
      <c r="BO104" s="414">
        <v>4515.6693013260001</v>
      </c>
      <c r="BP104" s="414">
        <v>4596.0199963968998</v>
      </c>
      <c r="BQ104" s="414">
        <v>4538.0364011846996</v>
      </c>
      <c r="BR104" s="414">
        <v>4533.8173955696002</v>
      </c>
      <c r="BS104" s="414">
        <v>4561.4763032700002</v>
      </c>
      <c r="BT104" s="414">
        <v>4485.4882666535559</v>
      </c>
      <c r="BU104" s="414">
        <v>4742.118447319458</v>
      </c>
      <c r="BV104" s="414">
        <v>4869.9260031321537</v>
      </c>
      <c r="BW104" s="414">
        <v>4820.9327075944093</v>
      </c>
      <c r="BX104" s="414">
        <v>4778.5848931379996</v>
      </c>
      <c r="BY104" s="414">
        <v>4918.598412099901</v>
      </c>
      <c r="BZ104" s="414">
        <v>4850.2</v>
      </c>
      <c r="CA104" s="414">
        <v>4837.9414658570431</v>
      </c>
      <c r="CB104" s="414">
        <v>5008.919048558656</v>
      </c>
      <c r="CC104" s="414">
        <v>5247.7130071773581</v>
      </c>
      <c r="CD104" s="414">
        <v>4798.6357955309813</v>
      </c>
      <c r="CE104" s="414">
        <v>4772.9053229254278</v>
      </c>
      <c r="CF104" s="414">
        <v>5010.3745755004684</v>
      </c>
      <c r="CG104" s="414">
        <v>4983.999164788378</v>
      </c>
      <c r="CH104" s="414">
        <v>5339.7968440045843</v>
      </c>
      <c r="CI104" s="414">
        <v>5104.4157031112536</v>
      </c>
      <c r="CJ104" s="414">
        <v>4609.8845675915545</v>
      </c>
      <c r="CK104" s="414">
        <v>4519.6842046908441</v>
      </c>
      <c r="CL104" s="414">
        <v>4589.0669697419962</v>
      </c>
      <c r="CM104" s="414">
        <v>4611.6554767679072</v>
      </c>
      <c r="CN104" s="414">
        <v>4939.7034843434312</v>
      </c>
      <c r="CO104" s="414">
        <v>4601.7767237080379</v>
      </c>
      <c r="CP104" s="443">
        <v>4603.7480078824756</v>
      </c>
      <c r="CQ104" s="414">
        <v>4637.5540243965588</v>
      </c>
      <c r="CR104" s="414">
        <v>4574.5220597050047</v>
      </c>
      <c r="CS104" s="414">
        <v>4552.3019547040949</v>
      </c>
      <c r="CT104" s="414">
        <v>4528.6528754635538</v>
      </c>
      <c r="CU104" s="414">
        <v>4380.4741818151906</v>
      </c>
      <c r="CV104" s="414">
        <v>4296.8779493818765</v>
      </c>
      <c r="CW104" s="414">
        <v>4398.7340739368456</v>
      </c>
      <c r="CX104" s="414">
        <v>4415.143159425138</v>
      </c>
      <c r="CY104" s="414">
        <v>4407.5101466302431</v>
      </c>
      <c r="CZ104" s="414">
        <v>4470.4268681511494</v>
      </c>
      <c r="DA104" s="414">
        <v>4376.5370871671694</v>
      </c>
      <c r="DB104" s="414">
        <v>4363.4521039060683</v>
      </c>
      <c r="DC104" s="414">
        <v>4380.8822737070886</v>
      </c>
      <c r="DD104" s="414">
        <v>4399.4761551193196</v>
      </c>
      <c r="DE104" s="414">
        <v>4371.4322952930133</v>
      </c>
      <c r="DF104" s="414">
        <v>4333.4335600078566</v>
      </c>
      <c r="DG104" s="414">
        <v>4344.5340612890132</v>
      </c>
      <c r="DH104" s="414">
        <v>4268.946478711694</v>
      </c>
      <c r="DI104" s="414">
        <v>4310.2048651161331</v>
      </c>
      <c r="DJ104" s="414">
        <v>4275.8313822139444</v>
      </c>
      <c r="DK104" s="414">
        <v>4203.1573821018437</v>
      </c>
      <c r="DL104" s="414">
        <v>4263.3041402957606</v>
      </c>
      <c r="DM104" s="414">
        <v>4229.0416446045574</v>
      </c>
      <c r="DN104" s="414">
        <v>4255.4430132474681</v>
      </c>
      <c r="DO104" s="414">
        <v>4244.5046352017589</v>
      </c>
      <c r="DP104" s="414">
        <v>4043.0506175264936</v>
      </c>
      <c r="DQ104" s="414">
        <v>4040.6273291351226</v>
      </c>
      <c r="DR104" s="414">
        <v>4251.7090243905095</v>
      </c>
      <c r="DS104" s="414">
        <v>4419.9687974822427</v>
      </c>
      <c r="DT104" s="414">
        <v>4365.5970969509235</v>
      </c>
      <c r="DU104" s="414">
        <v>4381.0305828554592</v>
      </c>
      <c r="DV104" s="414">
        <v>4370.0249867136454</v>
      </c>
      <c r="DW104" s="414">
        <v>4409.1530043922266</v>
      </c>
      <c r="DX104" s="414">
        <v>4492.9997551447705</v>
      </c>
      <c r="DY104" s="414">
        <v>4349.5627874894144</v>
      </c>
      <c r="DZ104" s="414">
        <v>4490.3029661820037</v>
      </c>
      <c r="EA104" s="414">
        <v>4657.4642732063139</v>
      </c>
      <c r="EB104" s="414">
        <v>4661.0895746154902</v>
      </c>
    </row>
    <row r="105" spans="1:132" ht="15.95" customHeight="1" x14ac:dyDescent="0.25">
      <c r="A105" s="417" t="s">
        <v>274</v>
      </c>
      <c r="B105" s="411"/>
      <c r="C105" s="215"/>
      <c r="D105" s="215"/>
      <c r="E105" s="227"/>
      <c r="F105" s="215"/>
      <c r="G105" s="215"/>
      <c r="H105" s="295"/>
      <c r="I105" s="295"/>
      <c r="J105" s="295"/>
      <c r="K105" s="224"/>
      <c r="L105" s="295"/>
      <c r="M105" s="295"/>
      <c r="N105" s="295"/>
      <c r="O105" s="224"/>
      <c r="P105" s="295"/>
      <c r="Q105" s="295"/>
      <c r="R105" s="224"/>
      <c r="S105" s="295"/>
      <c r="T105" s="295"/>
      <c r="U105" s="419"/>
      <c r="V105" s="419"/>
      <c r="W105" s="419"/>
      <c r="X105" s="419"/>
      <c r="Y105" s="419"/>
      <c r="Z105" s="419"/>
      <c r="AA105" s="419"/>
      <c r="AB105" s="419"/>
      <c r="AC105" s="419"/>
      <c r="AD105" s="419"/>
      <c r="AE105" s="419"/>
      <c r="AF105" s="419"/>
      <c r="AG105" s="419"/>
      <c r="AH105" s="419"/>
      <c r="AI105" s="419"/>
      <c r="AJ105" s="419"/>
      <c r="AK105" s="419"/>
      <c r="AL105" s="419"/>
      <c r="AM105" s="296"/>
      <c r="AN105" s="296"/>
      <c r="AO105" s="296"/>
      <c r="AP105" s="296"/>
      <c r="AQ105" s="297"/>
      <c r="AR105" s="411"/>
      <c r="AS105" s="411"/>
      <c r="AT105" s="411"/>
      <c r="AU105" s="411"/>
      <c r="AV105" s="411"/>
      <c r="AW105" s="414"/>
      <c r="AX105" s="414"/>
      <c r="AY105" s="414"/>
      <c r="AZ105" s="414"/>
      <c r="BA105" s="414"/>
      <c r="BB105" s="414"/>
      <c r="BC105" s="414"/>
      <c r="BD105" s="414"/>
      <c r="BE105" s="414"/>
      <c r="BF105" s="414"/>
      <c r="BG105" s="414"/>
      <c r="BH105" s="414"/>
      <c r="BI105" s="414"/>
      <c r="BJ105" s="414"/>
      <c r="BK105" s="414"/>
      <c r="BL105" s="414"/>
      <c r="BM105" s="414"/>
      <c r="BN105" s="414"/>
      <c r="BO105" s="414"/>
      <c r="BP105" s="414"/>
      <c r="BQ105" s="414"/>
      <c r="BR105" s="414"/>
      <c r="BS105" s="414"/>
      <c r="BT105" s="414"/>
      <c r="BU105" s="414"/>
      <c r="BV105" s="414"/>
      <c r="BW105" s="414"/>
      <c r="BX105" s="414"/>
      <c r="BY105" s="414"/>
      <c r="BZ105" s="414"/>
      <c r="CA105" s="414"/>
      <c r="CB105" s="414"/>
      <c r="CC105" s="414"/>
      <c r="CD105" s="414"/>
      <c r="CE105" s="414"/>
      <c r="CF105" s="414"/>
      <c r="CG105" s="414"/>
      <c r="CH105" s="414"/>
      <c r="CI105" s="414"/>
      <c r="CJ105" s="414"/>
      <c r="CK105" s="414"/>
      <c r="CL105" s="414"/>
      <c r="CM105" s="414"/>
      <c r="CN105" s="414"/>
      <c r="CO105" s="414"/>
      <c r="CP105" s="443"/>
      <c r="CQ105" s="414"/>
      <c r="CR105" s="414"/>
      <c r="CS105" s="414"/>
      <c r="CT105" s="414"/>
      <c r="CU105" s="414"/>
      <c r="CV105" s="414"/>
      <c r="CW105" s="414"/>
      <c r="CX105" s="414"/>
      <c r="CY105" s="414"/>
      <c r="CZ105" s="414"/>
      <c r="DA105" s="414"/>
      <c r="DB105" s="414"/>
      <c r="DC105" s="414"/>
      <c r="DD105" s="414"/>
      <c r="DE105" s="414"/>
      <c r="DF105" s="414"/>
      <c r="DG105" s="414"/>
      <c r="DH105" s="414"/>
      <c r="DI105" s="414"/>
      <c r="DJ105" s="414"/>
      <c r="DK105" s="414"/>
      <c r="DL105" s="414"/>
      <c r="DM105" s="414"/>
      <c r="DN105" s="414"/>
      <c r="DO105" s="414"/>
      <c r="DP105" s="414"/>
      <c r="DQ105" s="414"/>
      <c r="DR105" s="414"/>
      <c r="DS105" s="414"/>
      <c r="DT105" s="414"/>
      <c r="DU105" s="414"/>
      <c r="DV105" s="414"/>
      <c r="DW105" s="414"/>
      <c r="DX105" s="414"/>
      <c r="DY105" s="414"/>
      <c r="DZ105" s="414"/>
      <c r="EA105" s="414"/>
      <c r="EB105" s="414"/>
    </row>
    <row r="106" spans="1:132" ht="15.95" customHeight="1" x14ac:dyDescent="0.25">
      <c r="A106" s="417" t="s">
        <v>351</v>
      </c>
      <c r="B106" s="418">
        <v>119.49455534000001</v>
      </c>
      <c r="C106" s="295">
        <v>119.30625034000001</v>
      </c>
      <c r="D106" s="295">
        <v>119.30625000000001</v>
      </c>
      <c r="E106" s="224">
        <v>112.289063</v>
      </c>
      <c r="F106" s="295">
        <v>112.48625563</v>
      </c>
      <c r="G106" s="295">
        <v>112.76867897</v>
      </c>
      <c r="H106" s="295">
        <v>105.74606136</v>
      </c>
      <c r="I106" s="295">
        <v>105.74100195</v>
      </c>
      <c r="J106" s="295">
        <v>105.73498293</v>
      </c>
      <c r="K106" s="224">
        <v>24.019706510000002</v>
      </c>
      <c r="L106" s="295">
        <v>0.45148349999999998</v>
      </c>
      <c r="M106" s="295">
        <v>0.44630403999999996</v>
      </c>
      <c r="N106" s="295">
        <v>0.44039478000000004</v>
      </c>
      <c r="O106" s="224">
        <v>20.754899780000002</v>
      </c>
      <c r="P106" s="295">
        <v>0.95627418999999991</v>
      </c>
      <c r="Q106" s="295">
        <v>0.94292693999999999</v>
      </c>
      <c r="R106" s="224">
        <v>1.03827666</v>
      </c>
      <c r="S106" s="295">
        <v>1.40527326</v>
      </c>
      <c r="T106" s="295">
        <v>1.38103205</v>
      </c>
      <c r="U106" s="419">
        <v>1.4526903</v>
      </c>
      <c r="V106" s="419">
        <v>1.53126601</v>
      </c>
      <c r="W106" s="419">
        <v>1.8102425200000001</v>
      </c>
      <c r="X106" s="419">
        <v>1.81593559</v>
      </c>
      <c r="Y106" s="419">
        <v>2.6619332999999998</v>
      </c>
      <c r="Z106" s="419">
        <v>2.6905306600000003</v>
      </c>
      <c r="AA106" s="419">
        <v>59.017689750000002</v>
      </c>
      <c r="AB106" s="419">
        <v>59.236836029999999</v>
      </c>
      <c r="AC106" s="419">
        <v>58.907486890000001</v>
      </c>
      <c r="AD106" s="419">
        <v>58.931897870000007</v>
      </c>
      <c r="AE106" s="419">
        <v>57.013748010000008</v>
      </c>
      <c r="AF106" s="419">
        <v>51.077286660000006</v>
      </c>
      <c r="AG106" s="419">
        <v>49.599513710000004</v>
      </c>
      <c r="AH106" s="419">
        <v>46.855433259999998</v>
      </c>
      <c r="AI106" s="419">
        <v>44.036852079999996</v>
      </c>
      <c r="AJ106" s="419">
        <v>48.907155380000006</v>
      </c>
      <c r="AK106" s="419">
        <v>51.11775424999999</v>
      </c>
      <c r="AL106" s="419">
        <v>25.436707629999997</v>
      </c>
      <c r="AM106" s="297">
        <v>47.410901860000003</v>
      </c>
      <c r="AN106" s="297">
        <v>43.159645169999997</v>
      </c>
      <c r="AO106" s="297">
        <v>41.302958429999997</v>
      </c>
      <c r="AP106" s="297">
        <v>45.216777900000004</v>
      </c>
      <c r="AQ106" s="297">
        <v>44.099737509999997</v>
      </c>
      <c r="AR106" s="418">
        <v>45.059103379999996</v>
      </c>
      <c r="AS106" s="418">
        <v>45.224328409999998</v>
      </c>
      <c r="AT106" s="418">
        <v>47.191116170000001</v>
      </c>
      <c r="AU106" s="418">
        <v>43.811339769999996</v>
      </c>
      <c r="AV106" s="418">
        <v>41.335493360000001</v>
      </c>
      <c r="AW106" s="218">
        <v>39.050217979999999</v>
      </c>
      <c r="AX106" s="218">
        <v>37.830638819999997</v>
      </c>
      <c r="AY106" s="218">
        <v>36.384225139999998</v>
      </c>
      <c r="AZ106" s="218">
        <v>35.162277520000004</v>
      </c>
      <c r="BA106" s="218">
        <v>33.40985053</v>
      </c>
      <c r="BB106" s="218">
        <v>33.574761459999998</v>
      </c>
      <c r="BC106" s="218">
        <v>29.755468539999999</v>
      </c>
      <c r="BD106" s="218">
        <v>34.904166840000002</v>
      </c>
      <c r="BE106" s="218">
        <v>34.125251879999993</v>
      </c>
      <c r="BF106" s="218">
        <v>34.632319320000001</v>
      </c>
      <c r="BG106" s="218">
        <v>465.04032915999994</v>
      </c>
      <c r="BH106" s="218">
        <v>466.30826980000001</v>
      </c>
      <c r="BI106" s="218">
        <v>41.138195430000003</v>
      </c>
      <c r="BJ106" s="218">
        <v>38.765016780000003</v>
      </c>
      <c r="BK106" s="218">
        <v>36.797917529999999</v>
      </c>
      <c r="BL106" s="218">
        <v>35.637485759999997</v>
      </c>
      <c r="BM106" s="218">
        <v>35.087282939999994</v>
      </c>
      <c r="BN106" s="218">
        <v>34.263288586750001</v>
      </c>
      <c r="BO106" s="218">
        <v>38.249361739999998</v>
      </c>
      <c r="BP106" s="218">
        <v>21.898889609999998</v>
      </c>
      <c r="BQ106" s="218">
        <v>20.16773263</v>
      </c>
      <c r="BR106" s="218">
        <v>25.65319182</v>
      </c>
      <c r="BS106" s="218">
        <v>17.75135903</v>
      </c>
      <c r="BT106" s="218">
        <v>16.87788802</v>
      </c>
      <c r="BU106" s="218">
        <v>14.272777870000001</v>
      </c>
      <c r="BV106" s="218">
        <v>13.225327569999999</v>
      </c>
      <c r="BW106" s="218">
        <v>12.52046803</v>
      </c>
      <c r="BX106" s="218">
        <v>11.871399</v>
      </c>
      <c r="BY106" s="218">
        <v>11.17329</v>
      </c>
      <c r="BZ106" s="218">
        <v>10.9</v>
      </c>
      <c r="CA106" s="218">
        <v>9.8260235500000004</v>
      </c>
      <c r="CB106" s="218">
        <v>8.2108843300000007</v>
      </c>
      <c r="CC106" s="218">
        <v>403.39722673</v>
      </c>
      <c r="CD106" s="218">
        <v>21.864306820000003</v>
      </c>
      <c r="CE106" s="218">
        <v>19.04434878</v>
      </c>
      <c r="CF106" s="218">
        <v>9.2798890000000007</v>
      </c>
      <c r="CG106" s="218">
        <v>5.2046002800000002</v>
      </c>
      <c r="CH106" s="218">
        <v>3.5374280100000002</v>
      </c>
      <c r="CI106" s="218">
        <v>2.3785914999999997</v>
      </c>
      <c r="CJ106" s="218">
        <v>3.4697751399999999</v>
      </c>
      <c r="CK106" s="218">
        <v>2.4355652700000001</v>
      </c>
      <c r="CL106" s="218">
        <v>16.650414300000001</v>
      </c>
      <c r="CM106" s="218">
        <v>32.544520750000004</v>
      </c>
      <c r="CN106" s="218">
        <v>64.723370339999988</v>
      </c>
      <c r="CO106" s="218">
        <v>71.935314459999987</v>
      </c>
      <c r="CP106" s="444">
        <v>126.1101657</v>
      </c>
      <c r="CQ106" s="218">
        <v>156.06813425000001</v>
      </c>
      <c r="CR106" s="218">
        <v>167.75473380000003</v>
      </c>
      <c r="CS106" s="218">
        <v>129.44003673999998</v>
      </c>
      <c r="CT106" s="218">
        <v>156.21530458999999</v>
      </c>
      <c r="CU106" s="218">
        <v>144.97523511000003</v>
      </c>
      <c r="CV106" s="218">
        <v>147.89160914000001</v>
      </c>
      <c r="CW106" s="218">
        <v>249.51444346999997</v>
      </c>
      <c r="CX106" s="218">
        <v>269.93679225</v>
      </c>
      <c r="CY106" s="218">
        <v>235.56546027000002</v>
      </c>
      <c r="CZ106" s="218">
        <v>234.09562825</v>
      </c>
      <c r="DA106" s="218">
        <v>233.48007157999999</v>
      </c>
      <c r="DB106" s="218">
        <v>281.82136236000002</v>
      </c>
      <c r="DC106" s="218">
        <v>340.39974451999996</v>
      </c>
      <c r="DD106" s="218">
        <v>372.42716636</v>
      </c>
      <c r="DE106" s="218">
        <v>377.80649629999999</v>
      </c>
      <c r="DF106" s="218">
        <v>286.05142635000004</v>
      </c>
      <c r="DG106" s="218">
        <v>286.11735727999996</v>
      </c>
      <c r="DH106" s="218">
        <v>353.56257081000001</v>
      </c>
      <c r="DI106" s="218">
        <v>350.60556394000002</v>
      </c>
      <c r="DJ106" s="218">
        <v>350.21187900000001</v>
      </c>
      <c r="DK106" s="218">
        <v>332.620181</v>
      </c>
      <c r="DL106" s="218">
        <v>332.63612799999999</v>
      </c>
      <c r="DM106" s="218">
        <v>332.93323299999997</v>
      </c>
      <c r="DN106" s="218">
        <v>387.90586695999997</v>
      </c>
      <c r="DO106" s="218">
        <v>364.09180627999996</v>
      </c>
      <c r="DP106" s="218">
        <v>315.063086</v>
      </c>
      <c r="DQ106" s="218">
        <v>297.59656899999999</v>
      </c>
      <c r="DR106" s="218">
        <v>297.93510099999997</v>
      </c>
      <c r="DS106" s="218">
        <v>297.66501833999996</v>
      </c>
      <c r="DT106" s="218">
        <v>280.01584600000001</v>
      </c>
      <c r="DU106" s="218">
        <v>281.53967088999997</v>
      </c>
      <c r="DV106" s="218">
        <v>281.63624506000002</v>
      </c>
      <c r="DW106" s="218">
        <v>264.01406818999999</v>
      </c>
      <c r="DX106" s="218">
        <v>263.90923599000001</v>
      </c>
      <c r="DY106" s="218">
        <v>262.62973274000001</v>
      </c>
      <c r="DZ106" s="218">
        <v>245.87297471000002</v>
      </c>
      <c r="EA106" s="218">
        <v>245.26625100000001</v>
      </c>
      <c r="EB106" s="218">
        <v>245.56434386000001</v>
      </c>
    </row>
    <row r="107" spans="1:132" ht="15.95" customHeight="1" x14ac:dyDescent="0.25">
      <c r="A107" s="417" t="s">
        <v>352</v>
      </c>
      <c r="B107" s="418">
        <v>8.6698999999999998E-2</v>
      </c>
      <c r="C107" s="295">
        <v>8.7903999999999996E-2</v>
      </c>
      <c r="D107" s="295">
        <v>0</v>
      </c>
      <c r="E107" s="224">
        <v>0</v>
      </c>
      <c r="F107" s="295">
        <v>0</v>
      </c>
      <c r="G107" s="295">
        <v>0</v>
      </c>
      <c r="H107" s="295">
        <v>0</v>
      </c>
      <c r="I107" s="295">
        <v>0</v>
      </c>
      <c r="J107" s="295">
        <v>0</v>
      </c>
      <c r="K107" s="224">
        <v>0</v>
      </c>
      <c r="L107" s="295">
        <v>0</v>
      </c>
      <c r="M107" s="295">
        <v>0</v>
      </c>
      <c r="N107" s="295">
        <v>1.7000000000000001E-7</v>
      </c>
      <c r="O107" s="224">
        <v>0</v>
      </c>
      <c r="P107" s="295">
        <v>0</v>
      </c>
      <c r="Q107" s="295">
        <v>0</v>
      </c>
      <c r="R107" s="224">
        <v>0</v>
      </c>
      <c r="S107" s="295">
        <v>0</v>
      </c>
      <c r="T107" s="295">
        <v>0</v>
      </c>
      <c r="U107" s="419">
        <v>0</v>
      </c>
      <c r="V107" s="419">
        <v>0</v>
      </c>
      <c r="W107" s="419">
        <v>0</v>
      </c>
      <c r="X107" s="419">
        <v>0</v>
      </c>
      <c r="Y107" s="419">
        <v>0</v>
      </c>
      <c r="Z107" s="419">
        <v>0</v>
      </c>
      <c r="AA107" s="419">
        <v>0</v>
      </c>
      <c r="AB107" s="419">
        <v>0</v>
      </c>
      <c r="AC107" s="419">
        <v>0</v>
      </c>
      <c r="AD107" s="419">
        <v>0</v>
      </c>
      <c r="AE107" s="419">
        <v>0</v>
      </c>
      <c r="AF107" s="419">
        <v>0</v>
      </c>
      <c r="AG107" s="419">
        <v>0.87286981999999991</v>
      </c>
      <c r="AH107" s="419">
        <v>0.83348158999999999</v>
      </c>
      <c r="AI107" s="419">
        <v>0.82566706999999995</v>
      </c>
      <c r="AJ107" s="419">
        <v>0.84184024000000002</v>
      </c>
      <c r="AK107" s="419">
        <v>0.84622047999999994</v>
      </c>
      <c r="AL107" s="419">
        <v>0.80138970999999992</v>
      </c>
      <c r="AM107" s="297">
        <v>0.80229708999999994</v>
      </c>
      <c r="AN107" s="297">
        <v>0.83257758999999998</v>
      </c>
      <c r="AO107" s="297">
        <v>0.83681335999999995</v>
      </c>
      <c r="AP107" s="297">
        <v>0.77550790000000003</v>
      </c>
      <c r="AQ107" s="297">
        <v>0.82390682000000004</v>
      </c>
      <c r="AR107" s="418">
        <v>0.77461053000000002</v>
      </c>
      <c r="AS107" s="418">
        <v>0.80295496000000011</v>
      </c>
      <c r="AT107" s="418">
        <v>0.78176608999999997</v>
      </c>
      <c r="AU107" s="418">
        <v>0.81492243999999991</v>
      </c>
      <c r="AV107" s="418">
        <v>0.87455806000000003</v>
      </c>
      <c r="AW107" s="218">
        <v>0.89304991999999994</v>
      </c>
      <c r="AX107" s="218">
        <v>0.88163465000000008</v>
      </c>
      <c r="AY107" s="218">
        <v>0.80285133000000009</v>
      </c>
      <c r="AZ107" s="218">
        <v>0.85393606000000011</v>
      </c>
      <c r="BA107" s="218">
        <v>0.89275982000000009</v>
      </c>
      <c r="BB107" s="218">
        <v>0.93817373999999998</v>
      </c>
      <c r="BC107" s="218">
        <v>0.89677717999999995</v>
      </c>
      <c r="BD107" s="218">
        <v>0.82711160000000006</v>
      </c>
      <c r="BE107" s="218">
        <v>0.82887506999999994</v>
      </c>
      <c r="BF107" s="218">
        <v>0.87387207000000011</v>
      </c>
      <c r="BG107" s="218">
        <v>0.83807326000000004</v>
      </c>
      <c r="BH107" s="218">
        <v>0.79597003</v>
      </c>
      <c r="BI107" s="218">
        <v>0.74438353000000002</v>
      </c>
      <c r="BJ107" s="218">
        <v>0.81301922999999998</v>
      </c>
      <c r="BK107" s="218">
        <v>0.89484501999999999</v>
      </c>
      <c r="BL107" s="218">
        <v>0.83976812000000001</v>
      </c>
      <c r="BM107" s="218">
        <v>0.77374410999999987</v>
      </c>
      <c r="BN107" s="218">
        <v>0.74394908000000004</v>
      </c>
      <c r="BO107" s="218">
        <v>0.95615585999999997</v>
      </c>
      <c r="BP107" s="218">
        <v>0.70921234000000011</v>
      </c>
      <c r="BQ107" s="218">
        <v>0.76676848000000009</v>
      </c>
      <c r="BR107" s="218">
        <v>0.78927779999999992</v>
      </c>
      <c r="BS107" s="218">
        <v>0.70710201000000006</v>
      </c>
      <c r="BT107" s="218">
        <v>0.75653966999999989</v>
      </c>
      <c r="BU107" s="218">
        <v>169.49915914499999</v>
      </c>
      <c r="BV107" s="218">
        <v>0.7341534999999999</v>
      </c>
      <c r="BW107" s="218">
        <v>1.5788452951299998</v>
      </c>
      <c r="BX107" s="218">
        <v>0.68706699999999998</v>
      </c>
      <c r="BY107" s="218">
        <v>0.63937699999999997</v>
      </c>
      <c r="BZ107" s="218">
        <v>0.7</v>
      </c>
      <c r="CA107" s="218">
        <v>0.66250910000000007</v>
      </c>
      <c r="CB107" s="218">
        <v>0.62058137000000002</v>
      </c>
      <c r="CC107" s="218">
        <v>0.64621927999999995</v>
      </c>
      <c r="CD107" s="218">
        <v>0.64745849999999994</v>
      </c>
      <c r="CE107" s="218">
        <v>0.59894466000000002</v>
      </c>
      <c r="CF107" s="218">
        <v>0.60216871000000005</v>
      </c>
      <c r="CG107" s="218">
        <v>0.59884506000000004</v>
      </c>
      <c r="CH107" s="218">
        <v>0.3291482</v>
      </c>
      <c r="CI107" s="218">
        <v>0.30758937000000003</v>
      </c>
      <c r="CJ107" s="218">
        <v>0.34192033999999993</v>
      </c>
      <c r="CK107" s="218">
        <v>0.33796384999999995</v>
      </c>
      <c r="CL107" s="218">
        <v>0.26031196999999995</v>
      </c>
      <c r="CM107" s="218">
        <v>0.32560691999999997</v>
      </c>
      <c r="CN107" s="218">
        <v>0.20557094000000001</v>
      </c>
      <c r="CO107" s="218">
        <v>0.16930111</v>
      </c>
      <c r="CP107" s="444">
        <v>0.25293156</v>
      </c>
      <c r="CQ107" s="218">
        <v>0.19770417999999998</v>
      </c>
      <c r="CR107" s="218">
        <v>0.27725835999999998</v>
      </c>
      <c r="CS107" s="218">
        <v>0.13611614999999999</v>
      </c>
      <c r="CT107" s="218">
        <v>3.7074570000000001E-2</v>
      </c>
      <c r="CU107" s="218">
        <v>0.11044973</v>
      </c>
      <c r="CV107" s="218">
        <v>0.12256629999999999</v>
      </c>
      <c r="CW107" s="218">
        <v>0.15521771000000001</v>
      </c>
      <c r="CX107" s="218">
        <v>0.11679244</v>
      </c>
      <c r="CY107" s="218">
        <v>9.779003E-2</v>
      </c>
      <c r="CZ107" s="218">
        <v>9.6887199999999996E-3</v>
      </c>
      <c r="DA107" s="218">
        <v>0.17491887</v>
      </c>
      <c r="DB107" s="218">
        <v>6.0992989999999997E-2</v>
      </c>
      <c r="DC107" s="218">
        <v>0.16526191999999998</v>
      </c>
      <c r="DD107" s="218">
        <v>9.3909430000000002E-2</v>
      </c>
      <c r="DE107" s="218">
        <v>3.9655199999999995E-2</v>
      </c>
      <c r="DF107" s="218">
        <v>0.12710466000000001</v>
      </c>
      <c r="DG107" s="218">
        <v>0.11402672</v>
      </c>
      <c r="DH107" s="218">
        <v>0.11514231</v>
      </c>
      <c r="DI107" s="218">
        <v>0.18028776000000002</v>
      </c>
      <c r="DJ107" s="218">
        <v>0.11009701</v>
      </c>
      <c r="DK107" s="218">
        <v>8.9523939999999996E-2</v>
      </c>
      <c r="DL107" s="218">
        <v>0</v>
      </c>
      <c r="DM107" s="218">
        <v>0</v>
      </c>
      <c r="DN107" s="218">
        <v>0</v>
      </c>
      <c r="DO107" s="218">
        <v>0</v>
      </c>
      <c r="DP107" s="218">
        <v>2.1949E-2</v>
      </c>
      <c r="DQ107" s="218">
        <v>8.3470000000000003E-3</v>
      </c>
      <c r="DR107" s="218">
        <v>2.8045E-2</v>
      </c>
      <c r="DS107" s="218">
        <v>1.5917000000000001E-2</v>
      </c>
      <c r="DT107" s="218">
        <v>1.635E-3</v>
      </c>
      <c r="DU107" s="218">
        <v>0</v>
      </c>
      <c r="DV107" s="218">
        <v>1.3786E-2</v>
      </c>
      <c r="DW107" s="218">
        <v>2.1076999999999999E-2</v>
      </c>
      <c r="DX107" s="218">
        <v>2.5463E-2</v>
      </c>
      <c r="DY107" s="218">
        <v>0</v>
      </c>
      <c r="DZ107" s="218">
        <v>0</v>
      </c>
      <c r="EA107" s="218">
        <v>8.3580000000000008E-3</v>
      </c>
      <c r="EB107" s="218">
        <v>4.0659000000000001E-2</v>
      </c>
    </row>
    <row r="108" spans="1:132" ht="15.95" customHeight="1" x14ac:dyDescent="0.25">
      <c r="A108" s="417" t="s">
        <v>353</v>
      </c>
      <c r="B108" s="418">
        <v>1319.58720836</v>
      </c>
      <c r="C108" s="295">
        <v>1346.0016246800001</v>
      </c>
      <c r="D108" s="295">
        <v>1242.73591231</v>
      </c>
      <c r="E108" s="224">
        <v>1572.2854826100001</v>
      </c>
      <c r="F108" s="295">
        <v>1560.9065010899999</v>
      </c>
      <c r="G108" s="295">
        <v>1585.3775773699999</v>
      </c>
      <c r="H108" s="295">
        <v>1721.5423900999999</v>
      </c>
      <c r="I108" s="295">
        <v>1981.72471215</v>
      </c>
      <c r="J108" s="295">
        <v>1912.35082405</v>
      </c>
      <c r="K108" s="224">
        <v>2120.2220272499999</v>
      </c>
      <c r="L108" s="295">
        <v>2296.5238972900001</v>
      </c>
      <c r="M108" s="295">
        <v>2451.2847674</v>
      </c>
      <c r="N108" s="295">
        <v>2786.516032406827</v>
      </c>
      <c r="O108" s="224">
        <v>2985.8160611999997</v>
      </c>
      <c r="P108" s="295">
        <v>2893.4227878400002</v>
      </c>
      <c r="Q108" s="295">
        <v>3215.2856183099998</v>
      </c>
      <c r="R108" s="224">
        <v>3204.9002545967996</v>
      </c>
      <c r="S108" s="295">
        <v>3168.6164450880001</v>
      </c>
      <c r="T108" s="295">
        <v>3390.6271246749998</v>
      </c>
      <c r="U108" s="419">
        <v>3659.5488182685999</v>
      </c>
      <c r="V108" s="419">
        <v>3497.147517511225</v>
      </c>
      <c r="W108" s="419">
        <v>3849.4241273387997</v>
      </c>
      <c r="X108" s="419">
        <v>3910.4604776198003</v>
      </c>
      <c r="Y108" s="419">
        <v>3898.9584248482724</v>
      </c>
      <c r="Z108" s="419">
        <v>4075.0927027111379</v>
      </c>
      <c r="AA108" s="419">
        <v>4612.2420968709675</v>
      </c>
      <c r="AB108" s="419">
        <v>4623.8598898145292</v>
      </c>
      <c r="AC108" s="419">
        <v>5363.4843688043211</v>
      </c>
      <c r="AD108" s="419">
        <v>5174.6025133200001</v>
      </c>
      <c r="AE108" s="419">
        <v>5176.9895113700004</v>
      </c>
      <c r="AF108" s="419">
        <v>5175.3655062399994</v>
      </c>
      <c r="AG108" s="419">
        <v>5115.5871677599998</v>
      </c>
      <c r="AH108" s="419">
        <v>5088.6933811600002</v>
      </c>
      <c r="AI108" s="419">
        <v>5015.0515038200001</v>
      </c>
      <c r="AJ108" s="419">
        <v>5052.1303271600009</v>
      </c>
      <c r="AK108" s="419">
        <v>5034.8292972400004</v>
      </c>
      <c r="AL108" s="419">
        <v>5004.8375547700007</v>
      </c>
      <c r="AM108" s="297">
        <v>5829.4497738800001</v>
      </c>
      <c r="AN108" s="297">
        <v>4929.5849083399999</v>
      </c>
      <c r="AO108" s="297">
        <v>4968.2986028400001</v>
      </c>
      <c r="AP108" s="297">
        <v>5029.3694211400007</v>
      </c>
      <c r="AQ108" s="297">
        <v>4860.9992540900002</v>
      </c>
      <c r="AR108" s="418">
        <v>4843.83837726</v>
      </c>
      <c r="AS108" s="418">
        <v>4829.9899116300003</v>
      </c>
      <c r="AT108" s="418">
        <v>4949.3120753600006</v>
      </c>
      <c r="AU108" s="418">
        <v>5070.2892873400006</v>
      </c>
      <c r="AV108" s="418">
        <v>5058.7642513500004</v>
      </c>
      <c r="AW108" s="218">
        <v>5030.5074466900005</v>
      </c>
      <c r="AX108" s="218">
        <v>5035.8267314900004</v>
      </c>
      <c r="AY108" s="218">
        <v>4954.3828010300003</v>
      </c>
      <c r="AZ108" s="218">
        <v>4818.5299336300004</v>
      </c>
      <c r="BA108" s="218">
        <v>4795.4212070799986</v>
      </c>
      <c r="BB108" s="218">
        <v>4826.1915849399993</v>
      </c>
      <c r="BC108" s="218">
        <v>4814.5322764699995</v>
      </c>
      <c r="BD108" s="218">
        <v>4538.6064292900001</v>
      </c>
      <c r="BE108" s="218">
        <v>4576.0364318099992</v>
      </c>
      <c r="BF108" s="218">
        <v>4549.8133272599989</v>
      </c>
      <c r="BG108" s="218">
        <v>4416.3221045199998</v>
      </c>
      <c r="BH108" s="218">
        <v>4389.6163489</v>
      </c>
      <c r="BI108" s="218">
        <v>4409.6554666700004</v>
      </c>
      <c r="BJ108" s="218">
        <v>4412.4316824099997</v>
      </c>
      <c r="BK108" s="218">
        <v>4301.3054654000007</v>
      </c>
      <c r="BL108" s="218">
        <v>4303.9825675500006</v>
      </c>
      <c r="BM108" s="218">
        <v>4201.8497396499997</v>
      </c>
      <c r="BN108" s="218">
        <v>4197.0589122947504</v>
      </c>
      <c r="BO108" s="218">
        <v>4217.8194457</v>
      </c>
      <c r="BP108" s="218">
        <v>4264.6437833400005</v>
      </c>
      <c r="BQ108" s="218">
        <v>4251.7259982899996</v>
      </c>
      <c r="BR108" s="218">
        <v>4214.8323523300005</v>
      </c>
      <c r="BS108" s="218">
        <v>4261.8394221799999</v>
      </c>
      <c r="BT108" s="218">
        <v>4208.7910649800006</v>
      </c>
      <c r="BU108" s="218">
        <v>4259.3839909247999</v>
      </c>
      <c r="BV108" s="218">
        <v>4489.1992416898283</v>
      </c>
      <c r="BW108" s="218">
        <v>4427.7451519286096</v>
      </c>
      <c r="BX108" s="218">
        <v>4339.8851194660001</v>
      </c>
      <c r="BY108" s="218">
        <v>4448.9700860049006</v>
      </c>
      <c r="BZ108" s="218">
        <v>4366.5</v>
      </c>
      <c r="CA108" s="218">
        <v>4349.2459709611421</v>
      </c>
      <c r="CB108" s="218">
        <v>4441.2232165070554</v>
      </c>
      <c r="CC108" s="218">
        <v>4327.2875934964195</v>
      </c>
      <c r="CD108" s="218">
        <v>4246.3807298002403</v>
      </c>
      <c r="CE108" s="218">
        <v>4160.090667905074</v>
      </c>
      <c r="CF108" s="218">
        <v>4434.0156219142282</v>
      </c>
      <c r="CG108" s="218">
        <v>4398.5630761263819</v>
      </c>
      <c r="CH108" s="218">
        <v>4609.233803477754</v>
      </c>
      <c r="CI108" s="218">
        <v>4586.4869699307737</v>
      </c>
      <c r="CJ108" s="218">
        <v>4081.2354941919698</v>
      </c>
      <c r="CK108" s="218">
        <v>3983.91017562052</v>
      </c>
      <c r="CL108" s="218">
        <v>4076.316736397242</v>
      </c>
      <c r="CM108" s="218">
        <v>4095.7705147939887</v>
      </c>
      <c r="CN108" s="218">
        <v>4381.7516204980566</v>
      </c>
      <c r="CO108" s="218">
        <v>4034.1868612702842</v>
      </c>
      <c r="CP108" s="444">
        <v>3960.6658996163746</v>
      </c>
      <c r="CQ108" s="218">
        <v>3963.2876127698501</v>
      </c>
      <c r="CR108" s="218">
        <v>3945.0676558906093</v>
      </c>
      <c r="CS108" s="218">
        <v>3990.3513962188426</v>
      </c>
      <c r="CT108" s="218">
        <v>3956.2977441966632</v>
      </c>
      <c r="CU108" s="218">
        <v>3798.0446118831273</v>
      </c>
      <c r="CV108" s="218">
        <v>3746.017907814281</v>
      </c>
      <c r="CW108" s="218">
        <v>3746.526408129052</v>
      </c>
      <c r="CX108" s="218">
        <v>3702.2864087934136</v>
      </c>
      <c r="CY108" s="218">
        <v>3725.6687366379765</v>
      </c>
      <c r="CZ108" s="218">
        <v>3731.4219861369943</v>
      </c>
      <c r="DA108" s="218">
        <v>3681.0439711257918</v>
      </c>
      <c r="DB108" s="218">
        <v>3619.3027628722593</v>
      </c>
      <c r="DC108" s="218">
        <v>3587.3192996222497</v>
      </c>
      <c r="DD108" s="218">
        <v>3524.698354581586</v>
      </c>
      <c r="DE108" s="218">
        <v>3495.9771721605434</v>
      </c>
      <c r="DF108" s="218">
        <v>3503.5251420123882</v>
      </c>
      <c r="DG108" s="218">
        <v>3514.3026274284657</v>
      </c>
      <c r="DH108" s="218">
        <v>3382.1073713613855</v>
      </c>
      <c r="DI108" s="218">
        <v>3408.8409003668189</v>
      </c>
      <c r="DJ108" s="218">
        <v>3374.9248819190861</v>
      </c>
      <c r="DK108" s="218">
        <v>3359.4284272859736</v>
      </c>
      <c r="DL108" s="218">
        <v>3377.9241005011968</v>
      </c>
      <c r="DM108" s="218">
        <v>3358.8356121284846</v>
      </c>
      <c r="DN108" s="218">
        <v>3328.6313936878382</v>
      </c>
      <c r="DO108" s="218">
        <v>3330.2342072700376</v>
      </c>
      <c r="DP108" s="218">
        <v>3209.3918843719766</v>
      </c>
      <c r="DQ108" s="218">
        <v>3198.4406046870477</v>
      </c>
      <c r="DR108" s="218">
        <v>3454.6652093027151</v>
      </c>
      <c r="DS108" s="218">
        <v>3603.3365073344826</v>
      </c>
      <c r="DT108" s="218">
        <v>3578.4133394303722</v>
      </c>
      <c r="DU108" s="218">
        <v>3600.6228187189818</v>
      </c>
      <c r="DV108" s="218">
        <v>3613.3466116891636</v>
      </c>
      <c r="DW108" s="218">
        <v>3643.3943361195338</v>
      </c>
      <c r="DX108" s="218">
        <v>3715.4689757217584</v>
      </c>
      <c r="DY108" s="218">
        <v>3647.8018985277663</v>
      </c>
      <c r="DZ108" s="218">
        <v>3562.6259740978721</v>
      </c>
      <c r="EA108" s="218">
        <v>3946.6345667163137</v>
      </c>
      <c r="EB108" s="218">
        <v>3936.3708837654899</v>
      </c>
    </row>
    <row r="109" spans="1:132" ht="15.95" customHeight="1" x14ac:dyDescent="0.25">
      <c r="A109" s="417" t="s">
        <v>354</v>
      </c>
      <c r="B109" s="418">
        <v>0.81684999999999997</v>
      </c>
      <c r="C109" s="295">
        <v>0</v>
      </c>
      <c r="D109" s="295">
        <v>11.844215</v>
      </c>
      <c r="E109" s="224">
        <v>6.8813989999999992</v>
      </c>
      <c r="F109" s="295">
        <v>6.0880850000000004</v>
      </c>
      <c r="G109" s="295">
        <v>8.1711910000000003</v>
      </c>
      <c r="H109" s="295">
        <v>8.1863609099999994</v>
      </c>
      <c r="I109" s="295">
        <v>8.9182209100000005</v>
      </c>
      <c r="J109" s="295">
        <v>10.50457791</v>
      </c>
      <c r="K109" s="224">
        <v>10.390245910000001</v>
      </c>
      <c r="L109" s="295">
        <v>9.1430439099999994</v>
      </c>
      <c r="M109" s="295">
        <v>7.4867906500000005</v>
      </c>
      <c r="N109" s="295">
        <v>7.2407209100000003</v>
      </c>
      <c r="O109" s="224">
        <v>8.7733349199999999</v>
      </c>
      <c r="P109" s="295">
        <v>10.23856928</v>
      </c>
      <c r="Q109" s="295">
        <v>8.5962449099999994</v>
      </c>
      <c r="R109" s="224">
        <v>11.016232909999999</v>
      </c>
      <c r="S109" s="295">
        <v>12.863376909999999</v>
      </c>
      <c r="T109" s="295">
        <v>10.09026534</v>
      </c>
      <c r="U109" s="419">
        <v>11.67338152</v>
      </c>
      <c r="V109" s="419">
        <v>11.16142391</v>
      </c>
      <c r="W109" s="419">
        <v>10.774765</v>
      </c>
      <c r="X109" s="419">
        <v>10.509497849999999</v>
      </c>
      <c r="Y109" s="419">
        <v>9.0157019100000007</v>
      </c>
      <c r="Z109" s="419">
        <v>12.978799909999999</v>
      </c>
      <c r="AA109" s="419">
        <v>7.9233559099999997</v>
      </c>
      <c r="AB109" s="419">
        <v>7.9181519099999997</v>
      </c>
      <c r="AC109" s="419">
        <v>9.4929859099999998</v>
      </c>
      <c r="AD109" s="419">
        <v>10.089240910000001</v>
      </c>
      <c r="AE109" s="419">
        <v>5.18979313</v>
      </c>
      <c r="AF109" s="419">
        <v>11.56585475</v>
      </c>
      <c r="AG109" s="419">
        <v>15.37978461</v>
      </c>
      <c r="AH109" s="419">
        <v>14.12042258</v>
      </c>
      <c r="AI109" s="419">
        <v>14.404598179999999</v>
      </c>
      <c r="AJ109" s="419">
        <v>6.5812866799999998</v>
      </c>
      <c r="AK109" s="419">
        <v>8.5091888299999994</v>
      </c>
      <c r="AL109" s="419">
        <v>7.5591589099999998</v>
      </c>
      <c r="AM109" s="297">
        <v>10.80766068</v>
      </c>
      <c r="AN109" s="297">
        <v>9.7869349999999997</v>
      </c>
      <c r="AO109" s="297">
        <v>11.759848199999999</v>
      </c>
      <c r="AP109" s="297">
        <v>14.98682466</v>
      </c>
      <c r="AQ109" s="297">
        <v>15.743302760000001</v>
      </c>
      <c r="AR109" s="418">
        <v>11.847971509999999</v>
      </c>
      <c r="AS109" s="418">
        <v>18.601202390000001</v>
      </c>
      <c r="AT109" s="418">
        <v>11.677629509999999</v>
      </c>
      <c r="AU109" s="418">
        <v>17.40752311</v>
      </c>
      <c r="AV109" s="418">
        <v>17.416470610000001</v>
      </c>
      <c r="AW109" s="218">
        <v>26.68121932</v>
      </c>
      <c r="AX109" s="218">
        <v>20.425204000000001</v>
      </c>
      <c r="AY109" s="218">
        <v>26.0479713</v>
      </c>
      <c r="AZ109" s="218">
        <v>28.16887088</v>
      </c>
      <c r="BA109" s="218">
        <v>28.152225999999999</v>
      </c>
      <c r="BB109" s="218">
        <v>23.520713000000001</v>
      </c>
      <c r="BC109" s="218">
        <v>25.044303729999999</v>
      </c>
      <c r="BD109" s="218">
        <v>23.834988980000002</v>
      </c>
      <c r="BE109" s="218">
        <v>26.000541329999997</v>
      </c>
      <c r="BF109" s="218">
        <v>22.890717600000002</v>
      </c>
      <c r="BG109" s="218">
        <v>22.487036979999999</v>
      </c>
      <c r="BH109" s="218">
        <v>25.070526430000001</v>
      </c>
      <c r="BI109" s="218">
        <v>23.788984750000001</v>
      </c>
      <c r="BJ109" s="218">
        <v>17.35900401</v>
      </c>
      <c r="BK109" s="218">
        <v>28.07215489</v>
      </c>
      <c r="BL109" s="218">
        <v>22.056186230000002</v>
      </c>
      <c r="BM109" s="218">
        <v>22.104652999999999</v>
      </c>
      <c r="BN109" s="218">
        <v>32.884591620000002</v>
      </c>
      <c r="BO109" s="218">
        <v>23.542453119999998</v>
      </c>
      <c r="BP109" s="218">
        <v>19.302671509999996</v>
      </c>
      <c r="BQ109" s="218">
        <v>15.77436159</v>
      </c>
      <c r="BR109" s="218">
        <v>23.609853189999999</v>
      </c>
      <c r="BS109" s="218">
        <v>25.716662410000001</v>
      </c>
      <c r="BT109" s="218">
        <v>29.603765509999999</v>
      </c>
      <c r="BU109" s="218">
        <v>26.531213649999998</v>
      </c>
      <c r="BV109" s="218">
        <v>33.183538390279999</v>
      </c>
      <c r="BW109" s="218">
        <v>43.526287574195003</v>
      </c>
      <c r="BX109" s="218">
        <v>45.661362313000005</v>
      </c>
      <c r="BY109" s="218">
        <v>38.596264365699994</v>
      </c>
      <c r="BZ109" s="218">
        <v>39.799999999999997</v>
      </c>
      <c r="CA109" s="218">
        <v>35.331133653400002</v>
      </c>
      <c r="CB109" s="218">
        <v>45.5031258908</v>
      </c>
      <c r="CC109" s="218">
        <v>55.242610352699998</v>
      </c>
      <c r="CD109" s="218">
        <v>57.959092523351991</v>
      </c>
      <c r="CE109" s="218">
        <v>57.291352610758352</v>
      </c>
      <c r="CF109" s="218">
        <v>61.720470467269998</v>
      </c>
      <c r="CG109" s="218">
        <v>56.667438807496652</v>
      </c>
      <c r="CH109" s="218">
        <v>60.005597887442995</v>
      </c>
      <c r="CI109" s="218">
        <v>59.944224292605284</v>
      </c>
      <c r="CJ109" s="218">
        <v>59.054715681393994</v>
      </c>
      <c r="CK109" s="218">
        <v>60.059581362655997</v>
      </c>
      <c r="CL109" s="218">
        <v>50.669229443998837</v>
      </c>
      <c r="CM109" s="218">
        <v>50.952494412469001</v>
      </c>
      <c r="CN109" s="218">
        <v>55.309514801311998</v>
      </c>
      <c r="CO109" s="218">
        <v>58.978096684732009</v>
      </c>
      <c r="CP109" s="444">
        <v>59.073533460999997</v>
      </c>
      <c r="CQ109" s="218">
        <v>59.470399623816995</v>
      </c>
      <c r="CR109" s="218">
        <v>55.403731329305003</v>
      </c>
      <c r="CS109" s="218">
        <v>39.7586456774468</v>
      </c>
      <c r="CT109" s="218">
        <v>49.973931981904087</v>
      </c>
      <c r="CU109" s="218">
        <v>49.764422158119366</v>
      </c>
      <c r="CV109" s="218">
        <v>63.382406027045334</v>
      </c>
      <c r="CW109" s="218">
        <v>70.206544419826372</v>
      </c>
      <c r="CX109" s="218">
        <v>69.59165311163585</v>
      </c>
      <c r="CY109" s="218">
        <v>74.435184614655327</v>
      </c>
      <c r="CZ109" s="218">
        <v>82.637889790461045</v>
      </c>
      <c r="DA109" s="218">
        <v>85.679788891152242</v>
      </c>
      <c r="DB109" s="218">
        <v>92.208453579090971</v>
      </c>
      <c r="DC109" s="218">
        <v>93.824811667668342</v>
      </c>
      <c r="DD109" s="218">
        <v>98.281675756712602</v>
      </c>
      <c r="DE109" s="218">
        <v>97.089121299126404</v>
      </c>
      <c r="DF109" s="218">
        <v>104.34044902823371</v>
      </c>
      <c r="DG109" s="218">
        <v>107.062506018828</v>
      </c>
      <c r="DH109" s="218">
        <v>106.21204279177115</v>
      </c>
      <c r="DI109" s="218">
        <v>122.85883167143666</v>
      </c>
      <c r="DJ109" s="218">
        <v>124.30654103087386</v>
      </c>
      <c r="DK109" s="218">
        <v>110.90833115000001</v>
      </c>
      <c r="DL109" s="218">
        <v>121.97625658</v>
      </c>
      <c r="DM109" s="218">
        <v>105.62119839</v>
      </c>
      <c r="DN109" s="218">
        <v>103.95325864</v>
      </c>
      <c r="DO109" s="218">
        <v>103.40642833</v>
      </c>
      <c r="DP109" s="218">
        <v>90.458877279999996</v>
      </c>
      <c r="DQ109" s="218">
        <v>92.403473730000002</v>
      </c>
      <c r="DR109" s="218">
        <v>95.981744019999994</v>
      </c>
      <c r="DS109" s="218">
        <v>102.73069861</v>
      </c>
      <c r="DT109" s="218">
        <v>93.986475749999997</v>
      </c>
      <c r="DU109" s="218">
        <v>84.70262953999999</v>
      </c>
      <c r="DV109" s="218">
        <v>109.67215924000001</v>
      </c>
      <c r="DW109" s="218">
        <v>107.49746095</v>
      </c>
      <c r="DX109" s="218">
        <v>92.142519559999997</v>
      </c>
      <c r="DY109" s="218">
        <v>86.509038290000007</v>
      </c>
      <c r="DZ109" s="218">
        <v>271.73052154000004</v>
      </c>
      <c r="EA109" s="218">
        <v>67.041033949999999</v>
      </c>
      <c r="EB109" s="218">
        <v>77.36553090999999</v>
      </c>
    </row>
    <row r="110" spans="1:132" ht="15.95" customHeight="1" x14ac:dyDescent="0.25">
      <c r="A110" s="417" t="s">
        <v>355</v>
      </c>
      <c r="B110" s="418">
        <v>29.916249409999995</v>
      </c>
      <c r="C110" s="295">
        <v>13.868404450000002</v>
      </c>
      <c r="D110" s="295">
        <v>11.16747</v>
      </c>
      <c r="E110" s="224">
        <v>40.664183999999999</v>
      </c>
      <c r="F110" s="295">
        <v>55.99290036</v>
      </c>
      <c r="G110" s="295">
        <v>26.74011617</v>
      </c>
      <c r="H110" s="295">
        <v>60.275657619999997</v>
      </c>
      <c r="I110" s="295">
        <v>25.37442854</v>
      </c>
      <c r="J110" s="295">
        <v>25.906917989999997</v>
      </c>
      <c r="K110" s="224">
        <v>44.361882489999992</v>
      </c>
      <c r="L110" s="295">
        <v>13.727620009999999</v>
      </c>
      <c r="M110" s="295">
        <v>28.545128579999997</v>
      </c>
      <c r="N110" s="295">
        <v>0.43871838000000002</v>
      </c>
      <c r="O110" s="224">
        <v>1.7868999999999999E-2</v>
      </c>
      <c r="P110" s="295">
        <v>1.8152999999999999E-2</v>
      </c>
      <c r="Q110" s="295">
        <v>2.1349E-2</v>
      </c>
      <c r="R110" s="224">
        <v>2.1707000000000001E-2</v>
      </c>
      <c r="S110" s="295">
        <v>2.2145000000000001E-2</v>
      </c>
      <c r="T110" s="295">
        <v>2.2516999999999999E-2</v>
      </c>
      <c r="U110" s="419">
        <v>2.2904000000000001E-2</v>
      </c>
      <c r="V110" s="419">
        <v>2.4581590200000001</v>
      </c>
      <c r="W110" s="419">
        <v>2.43941498</v>
      </c>
      <c r="X110" s="419">
        <v>13.451742380000001</v>
      </c>
      <c r="Y110" s="419">
        <v>2.4659810000000001E-2</v>
      </c>
      <c r="Z110" s="419">
        <v>2.5070290000000002E-2</v>
      </c>
      <c r="AA110" s="419">
        <v>2.536153E-2</v>
      </c>
      <c r="AB110" s="419">
        <v>2.5763999999999999E-2</v>
      </c>
      <c r="AC110" s="419">
        <v>2.6197999999999999E-2</v>
      </c>
      <c r="AD110" s="419">
        <v>2.6654000000000001E-2</v>
      </c>
      <c r="AE110" s="419">
        <v>2.7189000000000001E-2</v>
      </c>
      <c r="AF110" s="419">
        <v>2.7744540000000002E-2</v>
      </c>
      <c r="AG110" s="419">
        <v>-6.1803580000000004E-2</v>
      </c>
      <c r="AH110" s="419">
        <v>2.8865990000000001E-2</v>
      </c>
      <c r="AI110" s="419">
        <v>2.9451540000000002E-2</v>
      </c>
      <c r="AJ110" s="419">
        <v>2.9561E-2</v>
      </c>
      <c r="AK110" s="419">
        <v>3.027024E-2</v>
      </c>
      <c r="AL110" s="419">
        <v>3.0887589999999999E-2</v>
      </c>
      <c r="AM110" s="297">
        <v>3.1533699999999998E-2</v>
      </c>
      <c r="AN110" s="297">
        <v>3.1607999999999997E-2</v>
      </c>
      <c r="AO110" s="297">
        <v>6.172735E-2</v>
      </c>
      <c r="AP110" s="297">
        <v>24.771238</v>
      </c>
      <c r="AQ110" s="297">
        <v>21.010031650000002</v>
      </c>
      <c r="AR110" s="418">
        <v>20.170415849999998</v>
      </c>
      <c r="AS110" s="418">
        <v>17.80718821</v>
      </c>
      <c r="AT110" s="418">
        <v>3.4746470000000002E-2</v>
      </c>
      <c r="AU110" s="418">
        <v>3.5263000000000003E-2</v>
      </c>
      <c r="AV110" s="418">
        <v>3.5751999999999999E-2</v>
      </c>
      <c r="AW110" s="218">
        <v>3.6351000000000001E-2</v>
      </c>
      <c r="AX110" s="218">
        <v>3.6854999999999999E-2</v>
      </c>
      <c r="AY110" s="218">
        <v>3.7383E-2</v>
      </c>
      <c r="AZ110" s="218">
        <v>3.7919000000000001E-2</v>
      </c>
      <c r="BA110" s="218">
        <v>21.525558589999999</v>
      </c>
      <c r="BB110" s="218">
        <v>3.8996000000000003E-2</v>
      </c>
      <c r="BC110" s="218">
        <v>3.9622999999999998E-2</v>
      </c>
      <c r="BD110" s="218">
        <v>4.0343540000000004E-2</v>
      </c>
      <c r="BE110" s="218">
        <v>4.0835769999999993E-2</v>
      </c>
      <c r="BF110" s="218">
        <v>7.1233828499999996</v>
      </c>
      <c r="BG110" s="218">
        <v>4.1887000000000001E-2</v>
      </c>
      <c r="BH110" s="218">
        <v>4.2467999999999999E-2</v>
      </c>
      <c r="BI110" s="218">
        <v>4.3163E-2</v>
      </c>
      <c r="BJ110" s="218">
        <v>0.43112899999999998</v>
      </c>
      <c r="BK110" s="218">
        <v>33.240719640000002</v>
      </c>
      <c r="BL110" s="218">
        <v>10.31700418</v>
      </c>
      <c r="BM110" s="218">
        <v>15.924604240000001</v>
      </c>
      <c r="BN110" s="218">
        <v>8.2077499999999998E-2</v>
      </c>
      <c r="BO110" s="218">
        <v>0.51479399999999997</v>
      </c>
      <c r="BP110" s="218">
        <v>0.53654800000000002</v>
      </c>
      <c r="BQ110" s="218">
        <v>0.31197200000000003</v>
      </c>
      <c r="BR110" s="218">
        <v>1.0670120000000001</v>
      </c>
      <c r="BS110" s="218">
        <v>1.434744</v>
      </c>
      <c r="BT110" s="218">
        <v>0.54786199999999996</v>
      </c>
      <c r="BU110" s="218">
        <v>1.5273110000000001</v>
      </c>
      <c r="BV110" s="218">
        <v>0.64276699999999998</v>
      </c>
      <c r="BW110" s="218">
        <v>0.45477499999999998</v>
      </c>
      <c r="BX110" s="218">
        <v>8.1784999999999997E-2</v>
      </c>
      <c r="BY110" s="218">
        <v>3.1196999999999999E-2</v>
      </c>
      <c r="BZ110" s="218">
        <v>0.2</v>
      </c>
      <c r="CA110" s="218">
        <v>3.139057E-2</v>
      </c>
      <c r="CB110" s="218">
        <v>2.9498E-2</v>
      </c>
      <c r="CC110" s="218">
        <v>0.59469905000000001</v>
      </c>
      <c r="CD110" s="218">
        <v>0.12504047000000001</v>
      </c>
      <c r="CE110" s="218">
        <v>4.0900079599999994</v>
      </c>
      <c r="CF110" s="218">
        <v>4.45019864</v>
      </c>
      <c r="CG110" s="218">
        <v>5.1712630099999997</v>
      </c>
      <c r="CH110" s="218">
        <v>5.6681377500000014</v>
      </c>
      <c r="CI110" s="218">
        <v>5.8521851600000003</v>
      </c>
      <c r="CJ110" s="218">
        <v>7.0132549999999991</v>
      </c>
      <c r="CK110" s="218">
        <v>6.7578200600000002</v>
      </c>
      <c r="CL110" s="218">
        <v>6.4334912700000002</v>
      </c>
      <c r="CM110" s="218">
        <v>6.7079111699999991</v>
      </c>
      <c r="CN110" s="218">
        <v>8.0455208900000006</v>
      </c>
      <c r="CO110" s="218">
        <v>9.6373011599999998</v>
      </c>
      <c r="CP110" s="444">
        <v>7.8520066699999997</v>
      </c>
      <c r="CQ110" s="218">
        <v>11.03027741</v>
      </c>
      <c r="CR110" s="218">
        <v>12.03505354</v>
      </c>
      <c r="CS110" s="218">
        <v>12.277125120000001</v>
      </c>
      <c r="CT110" s="218">
        <v>13.64131373</v>
      </c>
      <c r="CU110" s="218">
        <v>15.645325780000002</v>
      </c>
      <c r="CV110" s="218">
        <v>14.7011734</v>
      </c>
      <c r="CW110" s="218">
        <v>13.769044510000001</v>
      </c>
      <c r="CX110" s="218">
        <v>13.90520793</v>
      </c>
      <c r="CY110" s="218">
        <v>13.02092524</v>
      </c>
      <c r="CZ110" s="218">
        <v>10.32619686</v>
      </c>
      <c r="DA110" s="218">
        <v>14.3598275</v>
      </c>
      <c r="DB110" s="218">
        <v>12.20924525</v>
      </c>
      <c r="DC110" s="218">
        <v>10.72723493</v>
      </c>
      <c r="DD110" s="218">
        <v>4.7879301500000002</v>
      </c>
      <c r="DE110" s="218">
        <v>5.6682780999999993</v>
      </c>
      <c r="DF110" s="218">
        <v>5.58874592</v>
      </c>
      <c r="DG110" s="218">
        <v>7.5539407300000008</v>
      </c>
      <c r="DH110" s="218">
        <v>7.7572548899999996</v>
      </c>
      <c r="DI110" s="218">
        <v>5.3010146300000009</v>
      </c>
      <c r="DJ110" s="218">
        <v>6.6370799800000002</v>
      </c>
      <c r="DK110" s="218">
        <v>5.9488780400000003</v>
      </c>
      <c r="DL110" s="218">
        <v>3.9556453999999999</v>
      </c>
      <c r="DM110" s="218">
        <v>4.99694137</v>
      </c>
      <c r="DN110" s="218">
        <v>4.6984855799999998</v>
      </c>
      <c r="DO110" s="218">
        <v>5.8747404100000002</v>
      </c>
      <c r="DP110" s="218">
        <v>5.4171617599999999</v>
      </c>
      <c r="DQ110" s="218">
        <v>6.3060221700000003</v>
      </c>
      <c r="DR110" s="218">
        <v>5.0503485200000009</v>
      </c>
      <c r="DS110" s="218">
        <v>6.3228448700000008</v>
      </c>
      <c r="DT110" s="218">
        <v>5.632333720000001</v>
      </c>
      <c r="DU110" s="218">
        <v>4.8021970099999995</v>
      </c>
      <c r="DV110" s="218">
        <v>4.8913184800000007</v>
      </c>
      <c r="DW110" s="218">
        <v>4.4353683900000007</v>
      </c>
      <c r="DX110" s="218">
        <v>3.5404469500000002</v>
      </c>
      <c r="DY110" s="218">
        <v>5.7397668100000008</v>
      </c>
      <c r="DZ110" s="218">
        <v>5.5857125400000003</v>
      </c>
      <c r="EA110" s="218">
        <v>4.97879059</v>
      </c>
      <c r="EB110" s="218">
        <v>6.0197829499999989</v>
      </c>
    </row>
    <row r="111" spans="1:132" ht="15.95" customHeight="1" x14ac:dyDescent="0.25">
      <c r="A111" s="417" t="s">
        <v>283</v>
      </c>
      <c r="B111" s="418">
        <v>39.808188000000001</v>
      </c>
      <c r="C111" s="295">
        <v>43.870163820000002</v>
      </c>
      <c r="D111" s="295">
        <v>50.399976229219611</v>
      </c>
      <c r="E111" s="224">
        <v>45.577684269999999</v>
      </c>
      <c r="F111" s="295">
        <v>47.539727130000003</v>
      </c>
      <c r="G111" s="295">
        <v>49.913739730000003</v>
      </c>
      <c r="H111" s="295">
        <v>32.886085919999999</v>
      </c>
      <c r="I111" s="295">
        <v>37.968741959999996</v>
      </c>
      <c r="J111" s="295">
        <v>41.782385519999998</v>
      </c>
      <c r="K111" s="224">
        <v>41.922945420000005</v>
      </c>
      <c r="L111" s="295">
        <v>39.267882790000002</v>
      </c>
      <c r="M111" s="295">
        <v>44.285980510000009</v>
      </c>
      <c r="N111" s="295">
        <v>38.159601090000002</v>
      </c>
      <c r="O111" s="224">
        <v>41.35594133</v>
      </c>
      <c r="P111" s="295">
        <v>46.1698193</v>
      </c>
      <c r="Q111" s="295">
        <v>46.90295622</v>
      </c>
      <c r="R111" s="224">
        <v>44.034826760000009</v>
      </c>
      <c r="S111" s="295">
        <v>39.592320289999996</v>
      </c>
      <c r="T111" s="295">
        <v>44.436436230000005</v>
      </c>
      <c r="U111" s="419">
        <v>49.623876689999996</v>
      </c>
      <c r="V111" s="419">
        <v>43.086922429999994</v>
      </c>
      <c r="W111" s="419">
        <v>42.303923670000003</v>
      </c>
      <c r="X111" s="419">
        <v>43.94534496</v>
      </c>
      <c r="Y111" s="419">
        <v>44.425051400000001</v>
      </c>
      <c r="Z111" s="419">
        <v>45.880252169999999</v>
      </c>
      <c r="AA111" s="419">
        <v>40.066831729999997</v>
      </c>
      <c r="AB111" s="419">
        <v>40.332494179999998</v>
      </c>
      <c r="AC111" s="419">
        <v>40.115637960000001</v>
      </c>
      <c r="AD111" s="419">
        <v>40.548597099999995</v>
      </c>
      <c r="AE111" s="419">
        <v>38.856968740000006</v>
      </c>
      <c r="AF111" s="419">
        <v>59.426712139999999</v>
      </c>
      <c r="AG111" s="419">
        <v>111.51507171000002</v>
      </c>
      <c r="AH111" s="419">
        <v>102.42180258</v>
      </c>
      <c r="AI111" s="419">
        <v>117.04465282</v>
      </c>
      <c r="AJ111" s="419">
        <v>149.21275578999999</v>
      </c>
      <c r="AK111" s="419">
        <v>127.56341133999999</v>
      </c>
      <c r="AL111" s="419">
        <v>86.265994759999984</v>
      </c>
      <c r="AM111" s="297">
        <v>112.6218295</v>
      </c>
      <c r="AN111" s="297">
        <v>88.559360749999996</v>
      </c>
      <c r="AO111" s="297">
        <v>112.46038829999999</v>
      </c>
      <c r="AP111" s="297">
        <v>99.673968483300001</v>
      </c>
      <c r="AQ111" s="297">
        <v>76.594419039800002</v>
      </c>
      <c r="AR111" s="418">
        <v>90.270719468400003</v>
      </c>
      <c r="AS111" s="418">
        <v>100.16186679</v>
      </c>
      <c r="AT111" s="418">
        <v>84.628802092799987</v>
      </c>
      <c r="AU111" s="418">
        <v>95.576948409599993</v>
      </c>
      <c r="AV111" s="418">
        <v>94.98698294099998</v>
      </c>
      <c r="AW111" s="218">
        <v>95.718676541400015</v>
      </c>
      <c r="AX111" s="218">
        <v>75.291948166599994</v>
      </c>
      <c r="AY111" s="218">
        <v>99.821521298699992</v>
      </c>
      <c r="AZ111" s="218">
        <v>86.899578316800003</v>
      </c>
      <c r="BA111" s="218">
        <v>73.482631300600005</v>
      </c>
      <c r="BB111" s="218">
        <v>83.959482385999991</v>
      </c>
      <c r="BC111" s="218">
        <v>121.0825911238</v>
      </c>
      <c r="BD111" s="218">
        <v>80.820333634800008</v>
      </c>
      <c r="BE111" s="218">
        <v>102.26543481509999</v>
      </c>
      <c r="BF111" s="218">
        <v>122.50637852199999</v>
      </c>
      <c r="BG111" s="218">
        <v>107.05668313499999</v>
      </c>
      <c r="BH111" s="218">
        <v>102.77087046060002</v>
      </c>
      <c r="BI111" s="218">
        <v>124.51872675649999</v>
      </c>
      <c r="BJ111" s="218">
        <v>156.8900682293</v>
      </c>
      <c r="BK111" s="218">
        <v>207.040722176</v>
      </c>
      <c r="BL111" s="218">
        <v>231.19286578359998</v>
      </c>
      <c r="BM111" s="218">
        <v>240.24716259959996</v>
      </c>
      <c r="BN111" s="218">
        <v>238.5877942036</v>
      </c>
      <c r="BO111" s="218">
        <v>234.58709090600001</v>
      </c>
      <c r="BP111" s="218">
        <v>288.92889159689997</v>
      </c>
      <c r="BQ111" s="218">
        <v>249.2895681947</v>
      </c>
      <c r="BR111" s="218">
        <v>267.86570842959998</v>
      </c>
      <c r="BS111" s="218">
        <v>254.02701364000001</v>
      </c>
      <c r="BT111" s="218">
        <v>228.91114647355502</v>
      </c>
      <c r="BU111" s="218">
        <v>270.903994729658</v>
      </c>
      <c r="BV111" s="218">
        <v>332.94097498204599</v>
      </c>
      <c r="BW111" s="218">
        <v>335.10717976647504</v>
      </c>
      <c r="BX111" s="218">
        <v>380.39816035900003</v>
      </c>
      <c r="BY111" s="218">
        <v>419.18819772929999</v>
      </c>
      <c r="BZ111" s="218">
        <v>432.1</v>
      </c>
      <c r="CA111" s="218">
        <v>442.84443802250007</v>
      </c>
      <c r="CB111" s="218">
        <v>513.33174246080011</v>
      </c>
      <c r="CC111" s="218">
        <v>460.54465826823792</v>
      </c>
      <c r="CD111" s="218">
        <v>471.65916741738994</v>
      </c>
      <c r="CE111" s="218">
        <v>531.79000100959479</v>
      </c>
      <c r="CF111" s="218">
        <v>500.30622676896968</v>
      </c>
      <c r="CG111" s="218">
        <v>517.79394150450003</v>
      </c>
      <c r="CH111" s="218">
        <v>661.02272867938598</v>
      </c>
      <c r="CI111" s="218">
        <v>449.44614285787361</v>
      </c>
      <c r="CJ111" s="218">
        <v>458.76940723819001</v>
      </c>
      <c r="CK111" s="218">
        <v>466.18309852766799</v>
      </c>
      <c r="CL111" s="218">
        <v>438.73678636075556</v>
      </c>
      <c r="CM111" s="218">
        <v>425.35442872144893</v>
      </c>
      <c r="CN111" s="218">
        <v>429.66788687406142</v>
      </c>
      <c r="CO111" s="218">
        <v>426.86984902302208</v>
      </c>
      <c r="CP111" s="444">
        <v>449.79347087510001</v>
      </c>
      <c r="CQ111" s="218">
        <v>447.4998961628915</v>
      </c>
      <c r="CR111" s="218">
        <v>393.98362678509005</v>
      </c>
      <c r="CS111" s="218">
        <v>380.33863479780547</v>
      </c>
      <c r="CT111" s="218">
        <v>352.48750639498621</v>
      </c>
      <c r="CU111" s="218">
        <v>371.93413715394354</v>
      </c>
      <c r="CV111" s="218">
        <v>324.76228670055059</v>
      </c>
      <c r="CW111" s="218">
        <v>318.56241569796725</v>
      </c>
      <c r="CX111" s="218">
        <v>359.30630490008946</v>
      </c>
      <c r="CY111" s="218">
        <v>358.72204983761117</v>
      </c>
      <c r="CZ111" s="218">
        <v>411.93547839369478</v>
      </c>
      <c r="DA111" s="218">
        <v>361.79850920022511</v>
      </c>
      <c r="DB111" s="218">
        <v>357.84928685471817</v>
      </c>
      <c r="DC111" s="218">
        <v>348.4459210471706</v>
      </c>
      <c r="DD111" s="218">
        <v>399.18711884102163</v>
      </c>
      <c r="DE111" s="218">
        <v>394.85157223334403</v>
      </c>
      <c r="DF111" s="218">
        <v>433.80069203723417</v>
      </c>
      <c r="DG111" s="218">
        <v>429.38360311171863</v>
      </c>
      <c r="DH111" s="218">
        <v>419.19209654853762</v>
      </c>
      <c r="DI111" s="218">
        <v>422.41826674787666</v>
      </c>
      <c r="DJ111" s="218">
        <v>419.64090327398492</v>
      </c>
      <c r="DK111" s="218">
        <v>394.16204068587007</v>
      </c>
      <c r="DL111" s="218">
        <v>426.81200981456305</v>
      </c>
      <c r="DM111" s="218">
        <v>426.65465971607262</v>
      </c>
      <c r="DN111" s="218">
        <v>430.25400837963002</v>
      </c>
      <c r="DO111" s="218">
        <v>440.8974529117217</v>
      </c>
      <c r="DP111" s="218">
        <v>422.69765911451628</v>
      </c>
      <c r="DQ111" s="218">
        <v>445.87231254807534</v>
      </c>
      <c r="DR111" s="218">
        <v>398.04857654779448</v>
      </c>
      <c r="DS111" s="218">
        <v>409.89781132776005</v>
      </c>
      <c r="DT111" s="218">
        <v>407.54746705055203</v>
      </c>
      <c r="DU111" s="218">
        <v>409.36326669647775</v>
      </c>
      <c r="DV111" s="218">
        <v>360.46486624448198</v>
      </c>
      <c r="DW111" s="218">
        <v>389.79069374269216</v>
      </c>
      <c r="DX111" s="218">
        <v>417.91311392301259</v>
      </c>
      <c r="DY111" s="218">
        <v>346.88235112164858</v>
      </c>
      <c r="DZ111" s="218">
        <v>404.48778329413199</v>
      </c>
      <c r="EA111" s="218">
        <v>393.53527294999998</v>
      </c>
      <c r="EB111" s="218">
        <v>395.72837413000002</v>
      </c>
    </row>
    <row r="112" spans="1:132" ht="7.7" customHeight="1" x14ac:dyDescent="0.25">
      <c r="A112" s="410"/>
      <c r="B112" s="411"/>
      <c r="C112" s="215"/>
      <c r="D112" s="215"/>
      <c r="E112" s="227"/>
      <c r="F112" s="215"/>
      <c r="G112" s="215"/>
      <c r="H112" s="295"/>
      <c r="I112" s="295"/>
      <c r="J112" s="295"/>
      <c r="K112" s="224"/>
      <c r="L112" s="295"/>
      <c r="M112" s="295"/>
      <c r="N112" s="295"/>
      <c r="O112" s="224"/>
      <c r="P112" s="295"/>
      <c r="Q112" s="295"/>
      <c r="R112" s="224"/>
      <c r="S112" s="295"/>
      <c r="T112" s="295"/>
      <c r="U112" s="419"/>
      <c r="V112" s="419"/>
      <c r="W112" s="419"/>
      <c r="X112" s="419"/>
      <c r="Y112" s="419"/>
      <c r="Z112" s="419"/>
      <c r="AA112" s="419"/>
      <c r="AB112" s="419"/>
      <c r="AC112" s="419"/>
      <c r="AD112" s="419"/>
      <c r="AE112" s="419"/>
      <c r="AF112" s="419"/>
      <c r="AG112" s="419"/>
      <c r="AH112" s="419"/>
      <c r="AI112" s="419"/>
      <c r="AJ112" s="419"/>
      <c r="AK112" s="419"/>
      <c r="AL112" s="419"/>
      <c r="AM112" s="296"/>
      <c r="AN112" s="296"/>
      <c r="AO112" s="296"/>
      <c r="AP112" s="296"/>
      <c r="AQ112" s="297"/>
      <c r="AR112" s="411"/>
      <c r="AS112" s="411"/>
      <c r="AT112" s="411"/>
      <c r="AU112" s="411"/>
      <c r="AV112" s="411"/>
      <c r="AW112" s="414"/>
      <c r="AX112" s="414"/>
      <c r="AY112" s="414"/>
      <c r="AZ112" s="414"/>
      <c r="BA112" s="414"/>
      <c r="BB112" s="414"/>
      <c r="BC112" s="414"/>
      <c r="BD112" s="414"/>
      <c r="BE112" s="414"/>
      <c r="BF112" s="414"/>
      <c r="BG112" s="414"/>
      <c r="BH112" s="414"/>
      <c r="BI112" s="414"/>
      <c r="BJ112" s="414"/>
      <c r="BK112" s="414"/>
      <c r="BL112" s="414"/>
      <c r="BM112" s="414"/>
      <c r="BN112" s="414"/>
      <c r="BO112" s="414"/>
      <c r="BP112" s="414"/>
      <c r="BQ112" s="414"/>
      <c r="BR112" s="414"/>
      <c r="BS112" s="414"/>
      <c r="BT112" s="414"/>
      <c r="BU112" s="414"/>
      <c r="BV112" s="414"/>
      <c r="BW112" s="414"/>
      <c r="BX112" s="414"/>
      <c r="BY112" s="414"/>
      <c r="BZ112" s="414"/>
      <c r="CA112" s="414"/>
      <c r="CB112" s="414"/>
      <c r="CC112" s="414"/>
      <c r="CD112" s="414"/>
      <c r="CE112" s="414"/>
      <c r="CF112" s="414"/>
      <c r="CG112" s="414"/>
      <c r="CH112" s="414"/>
      <c r="CI112" s="414"/>
      <c r="CJ112" s="414"/>
      <c r="CK112" s="414"/>
      <c r="CL112" s="414"/>
      <c r="CM112" s="414"/>
      <c r="CN112" s="414"/>
      <c r="CO112" s="414"/>
      <c r="CP112" s="443"/>
      <c r="CQ112" s="414"/>
      <c r="CR112" s="218"/>
      <c r="CS112" s="218"/>
      <c r="CT112" s="218"/>
      <c r="CU112" s="218"/>
      <c r="CV112" s="218"/>
      <c r="CW112" s="218"/>
      <c r="CX112" s="218"/>
      <c r="CY112" s="218"/>
      <c r="CZ112" s="218"/>
      <c r="DA112" s="218"/>
      <c r="DB112" s="218"/>
      <c r="DC112" s="218"/>
      <c r="DD112" s="218"/>
      <c r="DE112" s="218"/>
      <c r="DF112" s="218"/>
      <c r="DG112" s="218"/>
      <c r="DH112" s="218"/>
      <c r="DI112" s="218"/>
      <c r="DJ112" s="218"/>
      <c r="DK112" s="218"/>
      <c r="DL112" s="218"/>
      <c r="DM112" s="218"/>
      <c r="DN112" s="218"/>
      <c r="DO112" s="218"/>
      <c r="DP112" s="218"/>
      <c r="DQ112" s="218"/>
      <c r="DR112" s="218"/>
      <c r="DS112" s="218"/>
      <c r="DT112" s="218"/>
      <c r="DU112" s="218"/>
      <c r="DV112" s="218"/>
      <c r="DW112" s="218"/>
      <c r="DX112" s="218"/>
      <c r="DY112" s="218"/>
      <c r="DZ112" s="218"/>
      <c r="EA112" s="218"/>
      <c r="EB112" s="218"/>
    </row>
    <row r="113" spans="1:132" ht="18" customHeight="1" x14ac:dyDescent="0.25">
      <c r="A113" s="410" t="s">
        <v>356</v>
      </c>
      <c r="B113" s="411">
        <v>43.150614399999995</v>
      </c>
      <c r="C113" s="215">
        <v>42.207274249999998</v>
      </c>
      <c r="D113" s="215">
        <v>42.512318749999999</v>
      </c>
      <c r="E113" s="227">
        <v>41.809370599999994</v>
      </c>
      <c r="F113" s="215">
        <v>47.301994409999999</v>
      </c>
      <c r="G113" s="215">
        <v>199.47419263999998</v>
      </c>
      <c r="H113" s="215">
        <v>62.735003629999994</v>
      </c>
      <c r="I113" s="215">
        <v>59.889912649999999</v>
      </c>
      <c r="J113" s="215">
        <v>65.213463569999988</v>
      </c>
      <c r="K113" s="227">
        <v>71.142156270000001</v>
      </c>
      <c r="L113" s="215">
        <v>80.642934280000006</v>
      </c>
      <c r="M113" s="215">
        <v>80.446369410000003</v>
      </c>
      <c r="N113" s="215">
        <v>79.685080139999997</v>
      </c>
      <c r="O113" s="227">
        <v>82.64223527</v>
      </c>
      <c r="P113" s="215">
        <v>94.409450730000003</v>
      </c>
      <c r="Q113" s="215">
        <v>104.50950939000001</v>
      </c>
      <c r="R113" s="227">
        <v>98.667446409999997</v>
      </c>
      <c r="S113" s="215">
        <v>108.93932369999999</v>
      </c>
      <c r="T113" s="215">
        <v>121.25759981</v>
      </c>
      <c r="U113" s="217">
        <v>138.49179686000002</v>
      </c>
      <c r="V113" s="217">
        <v>146.85775838000004</v>
      </c>
      <c r="W113" s="217">
        <v>146.53598158000003</v>
      </c>
      <c r="X113" s="217">
        <v>146.58059299999999</v>
      </c>
      <c r="Y113" s="217">
        <v>146.72446094999998</v>
      </c>
      <c r="Z113" s="217">
        <v>95.140797540000008</v>
      </c>
      <c r="AA113" s="217">
        <v>53.62281668</v>
      </c>
      <c r="AB113" s="217">
        <v>53.616845520000005</v>
      </c>
      <c r="AC113" s="217">
        <v>52.152415769999998</v>
      </c>
      <c r="AD113" s="217">
        <v>52.342236230000005</v>
      </c>
      <c r="AE113" s="217">
        <v>55.405798879999999</v>
      </c>
      <c r="AF113" s="217">
        <v>55.671171610000002</v>
      </c>
      <c r="AG113" s="217">
        <v>48.651752860000002</v>
      </c>
      <c r="AH113" s="217">
        <v>48.309266000000001</v>
      </c>
      <c r="AI113" s="217">
        <v>48.683567750000002</v>
      </c>
      <c r="AJ113" s="217">
        <v>48.213574289999997</v>
      </c>
      <c r="AK113" s="217">
        <v>48.213015290000001</v>
      </c>
      <c r="AL113" s="217">
        <v>47.749111720000002</v>
      </c>
      <c r="AM113" s="296">
        <v>47.243044304499996</v>
      </c>
      <c r="AN113" s="296">
        <v>47.243352719999997</v>
      </c>
      <c r="AO113" s="296">
        <v>46.795961959999993</v>
      </c>
      <c r="AP113" s="296">
        <v>47.020105870000002</v>
      </c>
      <c r="AQ113" s="296">
        <v>45.856592560000003</v>
      </c>
      <c r="AR113" s="411">
        <v>45.206261120000008</v>
      </c>
      <c r="AS113" s="411">
        <v>148.69999999999999</v>
      </c>
      <c r="AT113" s="411">
        <v>48.81600928999999</v>
      </c>
      <c r="AU113" s="411">
        <v>48.946116539999998</v>
      </c>
      <c r="AV113" s="411">
        <v>48.133050670000003</v>
      </c>
      <c r="AW113" s="414">
        <v>44.245487049999994</v>
      </c>
      <c r="AX113" s="414">
        <v>49.020420189999996</v>
      </c>
      <c r="AY113" s="414">
        <v>4.6218399999999997</v>
      </c>
      <c r="AZ113" s="414">
        <v>8.1419823999999998</v>
      </c>
      <c r="BA113" s="414">
        <v>4.9027830000000003</v>
      </c>
      <c r="BB113" s="414">
        <v>8.0384530099999996</v>
      </c>
      <c r="BC113" s="414">
        <v>8.4703702300000003</v>
      </c>
      <c r="BD113" s="414">
        <v>7.9456505399999999</v>
      </c>
      <c r="BE113" s="414">
        <v>4.00258</v>
      </c>
      <c r="BF113" s="414">
        <v>7.3090130100000001</v>
      </c>
      <c r="BG113" s="414">
        <v>7.2887738899999999</v>
      </c>
      <c r="BH113" s="414">
        <v>7.2096222499999998</v>
      </c>
      <c r="BI113" s="414">
        <v>7.14423545</v>
      </c>
      <c r="BJ113" s="414">
        <v>7.1485296399999996</v>
      </c>
      <c r="BK113" s="414">
        <v>6.5151346800000001</v>
      </c>
      <c r="BL113" s="414">
        <v>6.4557929299999994</v>
      </c>
      <c r="BM113" s="414">
        <v>66.207861170000015</v>
      </c>
      <c r="BN113" s="414">
        <v>6.33510039</v>
      </c>
      <c r="BO113" s="414">
        <v>6.2741989500000006</v>
      </c>
      <c r="BP113" s="414">
        <v>6.2117400099999998</v>
      </c>
      <c r="BQ113" s="414">
        <v>5.6498558799999996</v>
      </c>
      <c r="BR113" s="414">
        <v>5.5873898300000002</v>
      </c>
      <c r="BS113" s="414">
        <v>5.5224426399999995</v>
      </c>
      <c r="BT113" s="414">
        <v>5.4587292699999992</v>
      </c>
      <c r="BU113" s="414">
        <v>5.3939733399999996</v>
      </c>
      <c r="BV113" s="414">
        <v>7.5654054200000003</v>
      </c>
      <c r="BW113" s="414">
        <v>5.22774406</v>
      </c>
      <c r="BX113" s="414">
        <v>5.4301870000000001</v>
      </c>
      <c r="BY113" s="414">
        <v>5.8820139999999999</v>
      </c>
      <c r="BZ113" s="414">
        <v>5.4</v>
      </c>
      <c r="CA113" s="414">
        <v>5.3</v>
      </c>
      <c r="CB113" s="414">
        <v>3.6</v>
      </c>
      <c r="CC113" s="414">
        <v>3.0946150000000001</v>
      </c>
      <c r="CD113" s="414">
        <v>3.0779450000000002</v>
      </c>
      <c r="CE113" s="414">
        <v>3.016289</v>
      </c>
      <c r="CF113" s="414">
        <v>2.0226440000000001</v>
      </c>
      <c r="CG113" s="414">
        <v>3.04628649</v>
      </c>
      <c r="CH113" s="414">
        <v>3.0264083199999998</v>
      </c>
      <c r="CI113" s="414">
        <v>2.50541379</v>
      </c>
      <c r="CJ113" s="414">
        <v>2.4662520699999999</v>
      </c>
      <c r="CK113" s="414">
        <v>2.4441150599999997</v>
      </c>
      <c r="CL113" s="414">
        <v>2.4319014010000002</v>
      </c>
      <c r="CM113" s="414">
        <v>2.4139252600000001</v>
      </c>
      <c r="CN113" s="414">
        <v>2.4324319000000001</v>
      </c>
      <c r="CO113" s="414">
        <v>1.8798628399999999</v>
      </c>
      <c r="CP113" s="443">
        <v>1.88009979</v>
      </c>
      <c r="CQ113" s="414">
        <v>1.90022414</v>
      </c>
      <c r="CR113" s="414">
        <v>301.82635457999999</v>
      </c>
      <c r="CS113" s="414">
        <v>1.80462184</v>
      </c>
      <c r="CT113" s="414">
        <v>1.8158073100000001</v>
      </c>
      <c r="CU113" s="414">
        <v>1.7627058899999999</v>
      </c>
      <c r="CV113" s="414">
        <v>0.74193392000000002</v>
      </c>
      <c r="CW113" s="414">
        <v>0.7327681800000001</v>
      </c>
      <c r="CX113" s="414">
        <v>0.71183520999999994</v>
      </c>
      <c r="CY113" s="414">
        <v>0.69220099999999996</v>
      </c>
      <c r="CZ113" s="414">
        <v>0.67395708999999993</v>
      </c>
      <c r="DA113" s="414">
        <v>0.65337118000000005</v>
      </c>
      <c r="DB113" s="414">
        <v>0.63178003999999999</v>
      </c>
      <c r="DC113" s="414">
        <v>0.61001378000000006</v>
      </c>
      <c r="DD113" s="414">
        <v>0.60121451000000004</v>
      </c>
      <c r="DE113" s="414">
        <v>0.57232901999999997</v>
      </c>
      <c r="DF113" s="414">
        <v>0.55168834</v>
      </c>
      <c r="DG113" s="414">
        <v>0.52686173999999997</v>
      </c>
      <c r="DH113" s="414">
        <v>0.21219825</v>
      </c>
      <c r="DI113" s="414">
        <v>0.19268010999999999</v>
      </c>
      <c r="DJ113" s="414">
        <v>0.17627303</v>
      </c>
      <c r="DK113" s="414">
        <v>0.15529604999999999</v>
      </c>
      <c r="DL113" s="414">
        <v>2.4492400000000001E-2</v>
      </c>
      <c r="DM113" s="414">
        <v>1.7509E-2</v>
      </c>
      <c r="DN113" s="414">
        <v>2.5222999999999999E-2</v>
      </c>
      <c r="DO113" s="414">
        <v>2.4886540000000002E-2</v>
      </c>
      <c r="DP113" s="414">
        <v>204.88330175646249</v>
      </c>
      <c r="DQ113" s="414">
        <v>203.49539198450898</v>
      </c>
      <c r="DR113" s="414">
        <v>199.523304</v>
      </c>
      <c r="DS113" s="414">
        <v>202.63233600000001</v>
      </c>
      <c r="DT113" s="414">
        <v>192.67959300000001</v>
      </c>
      <c r="DU113" s="414">
        <v>2.3231999999999999E-2</v>
      </c>
      <c r="DV113" s="414">
        <v>2.4205999999999998E-2</v>
      </c>
      <c r="DW113" s="414">
        <v>2.1833999999999999E-2</v>
      </c>
      <c r="DX113" s="414">
        <v>2.5087459999999999E-2</v>
      </c>
      <c r="DY113" s="414">
        <v>2.1402999999999998E-2</v>
      </c>
      <c r="DZ113" s="414">
        <v>2.1328E-2</v>
      </c>
      <c r="EA113" s="414">
        <v>2.1845E-2</v>
      </c>
      <c r="EB113" s="414">
        <v>1.95E-2</v>
      </c>
    </row>
    <row r="114" spans="1:132" ht="7.7" customHeight="1" x14ac:dyDescent="0.25">
      <c r="A114" s="410"/>
      <c r="B114" s="411"/>
      <c r="C114" s="215"/>
      <c r="D114" s="215"/>
      <c r="E114" s="227"/>
      <c r="F114" s="215"/>
      <c r="G114" s="215"/>
      <c r="H114" s="295"/>
      <c r="I114" s="295"/>
      <c r="J114" s="295"/>
      <c r="K114" s="224"/>
      <c r="L114" s="295"/>
      <c r="M114" s="295"/>
      <c r="N114" s="295"/>
      <c r="O114" s="224"/>
      <c r="P114" s="295"/>
      <c r="Q114" s="295"/>
      <c r="R114" s="224"/>
      <c r="S114" s="295"/>
      <c r="T114" s="295"/>
      <c r="U114" s="419"/>
      <c r="V114" s="419"/>
      <c r="W114" s="419"/>
      <c r="X114" s="419"/>
      <c r="Y114" s="419"/>
      <c r="Z114" s="419"/>
      <c r="AA114" s="419"/>
      <c r="AB114" s="419"/>
      <c r="AC114" s="419"/>
      <c r="AD114" s="419"/>
      <c r="AE114" s="419"/>
      <c r="AF114" s="419"/>
      <c r="AG114" s="419"/>
      <c r="AH114" s="419"/>
      <c r="AI114" s="419"/>
      <c r="AJ114" s="419"/>
      <c r="AK114" s="419"/>
      <c r="AL114" s="419"/>
      <c r="AM114" s="296"/>
      <c r="AN114" s="296"/>
      <c r="AO114" s="296"/>
      <c r="AP114" s="296"/>
      <c r="AQ114" s="296"/>
      <c r="AR114" s="411"/>
      <c r="AS114" s="411"/>
      <c r="AT114" s="411"/>
      <c r="AU114" s="411"/>
      <c r="AV114" s="411"/>
      <c r="AW114" s="414"/>
      <c r="AX114" s="414"/>
      <c r="AY114" s="414"/>
      <c r="AZ114" s="414"/>
      <c r="BA114" s="414"/>
      <c r="BB114" s="414"/>
      <c r="BC114" s="414"/>
      <c r="BD114" s="414"/>
      <c r="BE114" s="414"/>
      <c r="BF114" s="414"/>
      <c r="BG114" s="414"/>
      <c r="BH114" s="414"/>
      <c r="BI114" s="414"/>
      <c r="BJ114" s="414"/>
      <c r="BK114" s="414"/>
      <c r="BL114" s="414"/>
      <c r="BM114" s="414"/>
      <c r="BN114" s="414"/>
      <c r="BO114" s="414"/>
      <c r="BP114" s="414"/>
      <c r="BQ114" s="414"/>
      <c r="BR114" s="414"/>
      <c r="BS114" s="414"/>
      <c r="BT114" s="414"/>
      <c r="BU114" s="414"/>
      <c r="BV114" s="414"/>
      <c r="BW114" s="414"/>
      <c r="BX114" s="414"/>
      <c r="BY114" s="414"/>
      <c r="BZ114" s="414"/>
      <c r="CA114" s="414"/>
      <c r="CB114" s="414"/>
      <c r="CC114" s="414"/>
      <c r="CD114" s="414"/>
      <c r="CE114" s="414"/>
      <c r="CF114" s="414"/>
      <c r="CG114" s="414"/>
      <c r="CH114" s="414"/>
      <c r="CI114" s="414"/>
      <c r="CJ114" s="414"/>
      <c r="CK114" s="414"/>
      <c r="CL114" s="414"/>
      <c r="CM114" s="414"/>
      <c r="CN114" s="414"/>
      <c r="CO114" s="414"/>
      <c r="CP114" s="443"/>
      <c r="CQ114" s="414"/>
      <c r="CR114" s="414"/>
      <c r="CS114" s="414"/>
      <c r="CT114" s="414"/>
      <c r="CU114" s="414"/>
      <c r="CV114" s="414"/>
      <c r="CW114" s="414"/>
      <c r="CX114" s="414"/>
      <c r="CY114" s="414"/>
      <c r="CZ114" s="414"/>
      <c r="DA114" s="414"/>
      <c r="DB114" s="414"/>
      <c r="DC114" s="414"/>
      <c r="DD114" s="414"/>
      <c r="DE114" s="414"/>
      <c r="DF114" s="414"/>
      <c r="DG114" s="414"/>
      <c r="DH114" s="414"/>
      <c r="DI114" s="414"/>
      <c r="DJ114" s="414"/>
      <c r="DK114" s="414"/>
      <c r="DL114" s="414"/>
      <c r="DM114" s="414"/>
      <c r="DN114" s="414"/>
      <c r="DO114" s="414"/>
      <c r="DP114" s="414"/>
      <c r="DQ114" s="414"/>
      <c r="DR114" s="414"/>
      <c r="DS114" s="414"/>
      <c r="DT114" s="414"/>
      <c r="DU114" s="414"/>
      <c r="DV114" s="414"/>
      <c r="DW114" s="414"/>
      <c r="DX114" s="414"/>
      <c r="DY114" s="414"/>
      <c r="DZ114" s="414"/>
      <c r="EA114" s="414"/>
      <c r="EB114" s="414"/>
    </row>
    <row r="115" spans="1:132" ht="18" customHeight="1" x14ac:dyDescent="0.25">
      <c r="A115" s="410" t="s">
        <v>357</v>
      </c>
      <c r="B115" s="411">
        <v>6087.5339999999997</v>
      </c>
      <c r="C115" s="215">
        <v>6282.2809999999999</v>
      </c>
      <c r="D115" s="215">
        <v>6278.3530000000001</v>
      </c>
      <c r="E115" s="227">
        <v>6540.0770000000002</v>
      </c>
      <c r="F115" s="215">
        <v>7791.7597525270503</v>
      </c>
      <c r="G115" s="215">
        <v>8301.3367181460035</v>
      </c>
      <c r="H115" s="215">
        <v>9681.1409026227993</v>
      </c>
      <c r="I115" s="215">
        <v>9148.4428674504306</v>
      </c>
      <c r="J115" s="215">
        <v>8837.0183888883985</v>
      </c>
      <c r="K115" s="227">
        <v>9765.5623922953801</v>
      </c>
      <c r="L115" s="215">
        <v>9904.6604144988996</v>
      </c>
      <c r="M115" s="215">
        <v>9146.6745993924997</v>
      </c>
      <c r="N115" s="215">
        <v>8938.3034120034863</v>
      </c>
      <c r="O115" s="227">
        <v>9012.8890734600009</v>
      </c>
      <c r="P115" s="215">
        <v>9640.0199489482911</v>
      </c>
      <c r="Q115" s="215">
        <v>10191.4248335068</v>
      </c>
      <c r="R115" s="227">
        <v>10434.874630715985</v>
      </c>
      <c r="S115" s="215">
        <v>9915.4804170865864</v>
      </c>
      <c r="T115" s="215">
        <v>9325.0663377259862</v>
      </c>
      <c r="U115" s="217">
        <v>8383.1485167143164</v>
      </c>
      <c r="V115" s="217">
        <v>8354.5385764243238</v>
      </c>
      <c r="W115" s="217">
        <v>7942.615334895987</v>
      </c>
      <c r="X115" s="217">
        <v>7621.1513219999997</v>
      </c>
      <c r="Y115" s="217">
        <v>7247.1779320284859</v>
      </c>
      <c r="Z115" s="217">
        <v>6904.1</v>
      </c>
      <c r="AA115" s="217">
        <v>6596.2549728348622</v>
      </c>
      <c r="AB115" s="217">
        <v>6824.8353906312623</v>
      </c>
      <c r="AC115" s="217">
        <v>6772.2111154775102</v>
      </c>
      <c r="AD115" s="217">
        <v>6484.9072354850105</v>
      </c>
      <c r="AE115" s="217">
        <v>6828.2469018691863</v>
      </c>
      <c r="AF115" s="217">
        <v>6886.4714352862666</v>
      </c>
      <c r="AG115" s="217">
        <v>7455.1138198725166</v>
      </c>
      <c r="AH115" s="217">
        <v>7374.7690133325168</v>
      </c>
      <c r="AI115" s="217">
        <v>7264.4454413325157</v>
      </c>
      <c r="AJ115" s="217">
        <v>7264.2725329717005</v>
      </c>
      <c r="AK115" s="217">
        <v>7109.0688772004696</v>
      </c>
      <c r="AL115" s="217">
        <v>7768.0838362606182</v>
      </c>
      <c r="AM115" s="296">
        <v>6874.5503868074684</v>
      </c>
      <c r="AN115" s="296">
        <v>7139.4956924856006</v>
      </c>
      <c r="AO115" s="296">
        <v>8563.0663027631017</v>
      </c>
      <c r="AP115" s="296">
        <v>7619.511050453787</v>
      </c>
      <c r="AQ115" s="296">
        <v>8425.0455872916864</v>
      </c>
      <c r="AR115" s="411">
        <v>9206.2720706570453</v>
      </c>
      <c r="AS115" s="411">
        <v>10288.1</v>
      </c>
      <c r="AT115" s="411">
        <v>11983.528431303679</v>
      </c>
      <c r="AU115" s="411">
        <v>11905.548058594413</v>
      </c>
      <c r="AV115" s="411">
        <v>11976.820928203735</v>
      </c>
      <c r="AW115" s="414">
        <v>12136.830411973338</v>
      </c>
      <c r="AX115" s="414">
        <v>12136.735695298354</v>
      </c>
      <c r="AY115" s="414">
        <v>12375.565437237236</v>
      </c>
      <c r="AZ115" s="414">
        <v>11946.025530794048</v>
      </c>
      <c r="BA115" s="414">
        <v>11968.77704559256</v>
      </c>
      <c r="BB115" s="414">
        <v>12104.112189095818</v>
      </c>
      <c r="BC115" s="414">
        <v>10317.39016114209</v>
      </c>
      <c r="BD115" s="414">
        <v>10928.459762339055</v>
      </c>
      <c r="BE115" s="414">
        <v>10519.436166373454</v>
      </c>
      <c r="BF115" s="414">
        <v>10005.688965027455</v>
      </c>
      <c r="BG115" s="414">
        <v>10381.779196739439</v>
      </c>
      <c r="BH115" s="414">
        <v>9623.3347607017604</v>
      </c>
      <c r="BI115" s="414">
        <v>10529.082894091322</v>
      </c>
      <c r="BJ115" s="414">
        <v>10248.054642308682</v>
      </c>
      <c r="BK115" s="414">
        <v>9603.0785451887896</v>
      </c>
      <c r="BL115" s="414">
        <v>8441.3102252899371</v>
      </c>
      <c r="BM115" s="414">
        <v>8401.1349433418</v>
      </c>
      <c r="BN115" s="414">
        <v>8361.2331617861255</v>
      </c>
      <c r="BO115" s="414">
        <v>7823.9781826218095</v>
      </c>
      <c r="BP115" s="414">
        <v>8957.2432000743593</v>
      </c>
      <c r="BQ115" s="414">
        <v>7437.6127609682599</v>
      </c>
      <c r="BR115" s="414">
        <v>7405.7139424756606</v>
      </c>
      <c r="BS115" s="414">
        <v>7468.0103895869597</v>
      </c>
      <c r="BT115" s="414">
        <v>6843.9208039492114</v>
      </c>
      <c r="BU115" s="414">
        <v>6897.8749128561594</v>
      </c>
      <c r="BV115" s="414">
        <v>7083.6699501072599</v>
      </c>
      <c r="BW115" s="414">
        <v>6692.5169704858399</v>
      </c>
      <c r="BX115" s="414">
        <v>6892.6479768524996</v>
      </c>
      <c r="BY115" s="414">
        <v>6858.5721894185444</v>
      </c>
      <c r="BZ115" s="414">
        <v>7082.6</v>
      </c>
      <c r="CA115" s="414">
        <v>6534.3329141403501</v>
      </c>
      <c r="CB115" s="414">
        <v>3878.3103971488567</v>
      </c>
      <c r="CC115" s="414">
        <v>4235.4853295428575</v>
      </c>
      <c r="CD115" s="414">
        <v>4568.6010120400206</v>
      </c>
      <c r="CE115" s="414">
        <v>4466.3129372281783</v>
      </c>
      <c r="CF115" s="414">
        <v>4829.0300226617501</v>
      </c>
      <c r="CG115" s="414">
        <v>4887.4298985143396</v>
      </c>
      <c r="CH115" s="414">
        <v>4898.3645975176578</v>
      </c>
      <c r="CI115" s="414">
        <v>5457.1038770263049</v>
      </c>
      <c r="CJ115" s="414">
        <v>5344.7690008277323</v>
      </c>
      <c r="CK115" s="414">
        <v>5636.1930700774219</v>
      </c>
      <c r="CL115" s="414">
        <v>6595.1493897188029</v>
      </c>
      <c r="CM115" s="414">
        <v>5302.0541086554767</v>
      </c>
      <c r="CN115" s="414">
        <v>6478.7426833224245</v>
      </c>
      <c r="CO115" s="414">
        <v>6247.3900088797291</v>
      </c>
      <c r="CP115" s="443">
        <v>7009.0905848993571</v>
      </c>
      <c r="CQ115" s="414">
        <v>5858.7873998827072</v>
      </c>
      <c r="CR115" s="414">
        <v>5828.7412038260081</v>
      </c>
      <c r="CS115" s="414">
        <v>6540.9886476797583</v>
      </c>
      <c r="CT115" s="414">
        <v>5642.9206136366747</v>
      </c>
      <c r="CU115" s="414">
        <v>3992.7850374250811</v>
      </c>
      <c r="CV115" s="414">
        <v>5420.6963934396153</v>
      </c>
      <c r="CW115" s="414">
        <v>5433.4190024353693</v>
      </c>
      <c r="CX115" s="414">
        <v>4972.3342587107581</v>
      </c>
      <c r="CY115" s="414">
        <v>5049.5503351533816</v>
      </c>
      <c r="CZ115" s="414">
        <v>5795.7906707042985</v>
      </c>
      <c r="DA115" s="414">
        <v>3315.5223480265895</v>
      </c>
      <c r="DB115" s="414">
        <v>4561.7163298290943</v>
      </c>
      <c r="DC115" s="414">
        <v>4648.8899293142986</v>
      </c>
      <c r="DD115" s="414">
        <v>3296.1013152392338</v>
      </c>
      <c r="DE115" s="414">
        <v>4367.0836896670053</v>
      </c>
      <c r="DF115" s="414">
        <v>3451.6480580910743</v>
      </c>
      <c r="DG115" s="414">
        <v>4738.4628709182698</v>
      </c>
      <c r="DH115" s="414">
        <v>4276.9844922336988</v>
      </c>
      <c r="DI115" s="414">
        <v>2999.8332972555158</v>
      </c>
      <c r="DJ115" s="414">
        <v>4647.0093190448233</v>
      </c>
      <c r="DK115" s="414">
        <v>3740.9378651900029</v>
      </c>
      <c r="DL115" s="414">
        <v>4019.8671690951746</v>
      </c>
      <c r="DM115" s="414">
        <v>4049.2061243122084</v>
      </c>
      <c r="DN115" s="414">
        <v>2815.9859232095801</v>
      </c>
      <c r="DO115" s="414">
        <v>3467.5979973728458</v>
      </c>
      <c r="DP115" s="414">
        <v>3182.1603019689264</v>
      </c>
      <c r="DQ115" s="414">
        <v>2248.3817624936351</v>
      </c>
      <c r="DR115" s="414">
        <v>3120.7566096015034</v>
      </c>
      <c r="DS115" s="414">
        <v>2892.3056432404278</v>
      </c>
      <c r="DT115" s="414">
        <v>2924.3627911367553</v>
      </c>
      <c r="DU115" s="414">
        <v>2962.1517653816295</v>
      </c>
      <c r="DV115" s="414">
        <v>2183.7835914532025</v>
      </c>
      <c r="DW115" s="414">
        <v>2496.2409111244519</v>
      </c>
      <c r="DX115" s="414">
        <v>1765.1918386882417</v>
      </c>
      <c r="DY115" s="414">
        <v>2168.1464713807495</v>
      </c>
      <c r="DZ115" s="414">
        <v>2174.4959731303488</v>
      </c>
      <c r="EA115" s="414">
        <v>1602.4406854845424</v>
      </c>
      <c r="EB115" s="414">
        <v>1988.666293213148</v>
      </c>
    </row>
    <row r="116" spans="1:132" ht="7.7" customHeight="1" x14ac:dyDescent="0.25">
      <c r="A116" s="410"/>
      <c r="B116" s="411"/>
      <c r="C116" s="215"/>
      <c r="D116" s="215"/>
      <c r="E116" s="227"/>
      <c r="F116" s="215"/>
      <c r="G116" s="215"/>
      <c r="H116" s="295"/>
      <c r="I116" s="295"/>
      <c r="J116" s="295"/>
      <c r="K116" s="224"/>
      <c r="L116" s="295"/>
      <c r="M116" s="295"/>
      <c r="N116" s="295"/>
      <c r="O116" s="224"/>
      <c r="P116" s="295"/>
      <c r="Q116" s="295"/>
      <c r="R116" s="224"/>
      <c r="S116" s="295"/>
      <c r="T116" s="295"/>
      <c r="U116" s="419"/>
      <c r="V116" s="419"/>
      <c r="W116" s="419"/>
      <c r="X116" s="419"/>
      <c r="Y116" s="419"/>
      <c r="Z116" s="419"/>
      <c r="AA116" s="419"/>
      <c r="AB116" s="419"/>
      <c r="AC116" s="419"/>
      <c r="AD116" s="419"/>
      <c r="AE116" s="419"/>
      <c r="AF116" s="419"/>
      <c r="AG116" s="419"/>
      <c r="AH116" s="419"/>
      <c r="AI116" s="419"/>
      <c r="AJ116" s="419"/>
      <c r="AK116" s="419"/>
      <c r="AL116" s="419"/>
      <c r="AM116" s="296"/>
      <c r="AN116" s="296"/>
      <c r="AO116" s="296"/>
      <c r="AP116" s="296"/>
      <c r="AQ116" s="296"/>
      <c r="AR116" s="411"/>
      <c r="AS116" s="411"/>
      <c r="AT116" s="411"/>
      <c r="AU116" s="411"/>
      <c r="AV116" s="411"/>
      <c r="AW116" s="414"/>
      <c r="AX116" s="414"/>
      <c r="AY116" s="414"/>
      <c r="AZ116" s="414"/>
      <c r="BA116" s="414"/>
      <c r="BB116" s="414"/>
      <c r="BC116" s="414"/>
      <c r="BD116" s="414"/>
      <c r="BE116" s="414"/>
      <c r="BF116" s="414"/>
      <c r="BG116" s="414"/>
      <c r="BH116" s="414"/>
      <c r="BI116" s="414"/>
      <c r="BJ116" s="414"/>
      <c r="BK116" s="414"/>
      <c r="BL116" s="414"/>
      <c r="BM116" s="414"/>
      <c r="BN116" s="414"/>
      <c r="BO116" s="414"/>
      <c r="BP116" s="414"/>
      <c r="BQ116" s="414"/>
      <c r="BR116" s="414"/>
      <c r="BS116" s="414"/>
      <c r="BT116" s="414"/>
      <c r="BU116" s="414"/>
      <c r="BV116" s="414"/>
      <c r="BW116" s="414"/>
      <c r="BX116" s="414"/>
      <c r="BY116" s="414"/>
      <c r="BZ116" s="414"/>
      <c r="CA116" s="414"/>
      <c r="CB116" s="414"/>
      <c r="CC116" s="414"/>
      <c r="CD116" s="414"/>
      <c r="CE116" s="414"/>
      <c r="CF116" s="414"/>
      <c r="CG116" s="414"/>
      <c r="CH116" s="414"/>
      <c r="CI116" s="414"/>
      <c r="CJ116" s="414"/>
      <c r="CK116" s="414"/>
      <c r="CL116" s="414"/>
      <c r="CM116" s="414"/>
      <c r="CN116" s="414"/>
      <c r="CO116" s="414"/>
      <c r="CP116" s="443"/>
      <c r="CQ116" s="414"/>
      <c r="CR116" s="414"/>
      <c r="CS116" s="414"/>
      <c r="CT116" s="414"/>
      <c r="CU116" s="414"/>
      <c r="CV116" s="414"/>
      <c r="CW116" s="414"/>
      <c r="CX116" s="414"/>
      <c r="CY116" s="414"/>
      <c r="CZ116" s="414"/>
      <c r="DA116" s="414"/>
      <c r="DB116" s="414"/>
      <c r="DC116" s="414"/>
      <c r="DD116" s="414"/>
      <c r="DE116" s="414"/>
      <c r="DF116" s="414"/>
      <c r="DG116" s="414"/>
      <c r="DH116" s="414"/>
      <c r="DI116" s="414"/>
      <c r="DJ116" s="414"/>
      <c r="DK116" s="414"/>
      <c r="DL116" s="414"/>
      <c r="DM116" s="414"/>
      <c r="DN116" s="414"/>
      <c r="DO116" s="414"/>
      <c r="DP116" s="414"/>
      <c r="DQ116" s="414"/>
      <c r="DR116" s="414"/>
      <c r="DS116" s="414"/>
      <c r="DT116" s="414"/>
      <c r="DU116" s="414"/>
      <c r="DV116" s="414"/>
      <c r="DW116" s="414"/>
      <c r="DX116" s="414"/>
      <c r="DY116" s="414"/>
      <c r="DZ116" s="414"/>
      <c r="EA116" s="414"/>
      <c r="EB116" s="414"/>
    </row>
    <row r="117" spans="1:132" ht="18" customHeight="1" x14ac:dyDescent="0.25">
      <c r="A117" s="410" t="s">
        <v>358</v>
      </c>
      <c r="B117" s="411">
        <v>0</v>
      </c>
      <c r="C117" s="215">
        <v>0</v>
      </c>
      <c r="D117" s="215">
        <v>0</v>
      </c>
      <c r="E117" s="227">
        <v>0</v>
      </c>
      <c r="F117" s="215">
        <v>0</v>
      </c>
      <c r="G117" s="215">
        <v>0</v>
      </c>
      <c r="H117" s="215">
        <v>0</v>
      </c>
      <c r="I117" s="215">
        <v>0</v>
      </c>
      <c r="J117" s="215">
        <v>0</v>
      </c>
      <c r="K117" s="227">
        <v>0</v>
      </c>
      <c r="L117" s="215">
        <v>0</v>
      </c>
      <c r="M117" s="215">
        <v>1.4883000000000002E-4</v>
      </c>
      <c r="N117" s="215">
        <v>0</v>
      </c>
      <c r="O117" s="227">
        <v>0</v>
      </c>
      <c r="P117" s="215">
        <v>2.5469999999999998E-5</v>
      </c>
      <c r="Q117" s="215">
        <v>1.1640999999999999E-4</v>
      </c>
      <c r="R117" s="227">
        <v>2.0886E-4</v>
      </c>
      <c r="S117" s="215">
        <v>0</v>
      </c>
      <c r="T117" s="215">
        <v>0</v>
      </c>
      <c r="U117" s="217">
        <v>8.5140000000000001E-5</v>
      </c>
      <c r="V117" s="217">
        <v>0</v>
      </c>
      <c r="W117" s="217">
        <v>0</v>
      </c>
      <c r="X117" s="217">
        <v>0</v>
      </c>
      <c r="Y117" s="217">
        <v>0</v>
      </c>
      <c r="Z117" s="217">
        <v>0</v>
      </c>
      <c r="AA117" s="217">
        <v>0</v>
      </c>
      <c r="AB117" s="217">
        <v>0</v>
      </c>
      <c r="AC117" s="217">
        <v>2.0101E-4</v>
      </c>
      <c r="AD117" s="217">
        <v>0</v>
      </c>
      <c r="AE117" s="217">
        <v>0</v>
      </c>
      <c r="AF117" s="217">
        <v>0</v>
      </c>
      <c r="AG117" s="217">
        <v>0</v>
      </c>
      <c r="AH117" s="217">
        <v>0</v>
      </c>
      <c r="AI117" s="217">
        <v>0</v>
      </c>
      <c r="AJ117" s="217">
        <v>0</v>
      </c>
      <c r="AK117" s="217">
        <v>0.50244900000000003</v>
      </c>
      <c r="AL117" s="217">
        <v>0.49416765000000001</v>
      </c>
      <c r="AM117" s="296">
        <v>0.48826822999999997</v>
      </c>
      <c r="AN117" s="296">
        <v>0</v>
      </c>
      <c r="AO117" s="296">
        <v>0</v>
      </c>
      <c r="AP117" s="296">
        <v>0</v>
      </c>
      <c r="AQ117" s="296">
        <v>0</v>
      </c>
      <c r="AR117" s="411">
        <v>0</v>
      </c>
      <c r="AS117" s="411">
        <v>0</v>
      </c>
      <c r="AT117" s="411">
        <v>0</v>
      </c>
      <c r="AU117" s="411">
        <v>0</v>
      </c>
      <c r="AV117" s="411">
        <v>0</v>
      </c>
      <c r="AW117" s="414">
        <v>0</v>
      </c>
      <c r="AX117" s="414">
        <v>0</v>
      </c>
      <c r="AY117" s="414">
        <v>0</v>
      </c>
      <c r="AZ117" s="414">
        <v>0</v>
      </c>
      <c r="BA117" s="414">
        <v>0</v>
      </c>
      <c r="BB117" s="414">
        <v>0</v>
      </c>
      <c r="BC117" s="414">
        <v>0</v>
      </c>
      <c r="BD117" s="414">
        <v>0</v>
      </c>
      <c r="BE117" s="414">
        <v>0</v>
      </c>
      <c r="BF117" s="414">
        <v>0</v>
      </c>
      <c r="BG117" s="414">
        <v>0</v>
      </c>
      <c r="BH117" s="414">
        <v>0</v>
      </c>
      <c r="BI117" s="414">
        <v>0</v>
      </c>
      <c r="BJ117" s="414">
        <v>0</v>
      </c>
      <c r="BK117" s="414">
        <v>0</v>
      </c>
      <c r="BL117" s="414">
        <v>0</v>
      </c>
      <c r="BM117" s="414">
        <v>2.4752959999999997E-2</v>
      </c>
      <c r="BN117" s="414">
        <v>2.4512889999999999E-2</v>
      </c>
      <c r="BO117" s="414">
        <v>2.4298400000000001E-2</v>
      </c>
      <c r="BP117" s="414">
        <v>2.4071950000000002E-2</v>
      </c>
      <c r="BQ117" s="414">
        <v>2.3842560000000002E-2</v>
      </c>
      <c r="BR117" s="414">
        <v>2.3582869999999999E-2</v>
      </c>
      <c r="BS117" s="414">
        <v>2.3347360000000001E-2</v>
      </c>
      <c r="BT117" s="414">
        <v>2.309137E-2</v>
      </c>
      <c r="BU117" s="414">
        <v>2.285912E-2</v>
      </c>
      <c r="BV117" s="414">
        <v>2.260653E-2</v>
      </c>
      <c r="BW117" s="414">
        <v>2.234216E-2</v>
      </c>
      <c r="BX117" s="414">
        <v>2.2100999999999999E-2</v>
      </c>
      <c r="BY117" s="414">
        <v>2.1847999999999999E-2</v>
      </c>
      <c r="BZ117" s="414">
        <v>0</v>
      </c>
      <c r="CA117" s="414">
        <v>2.1323330000000001E-2</v>
      </c>
      <c r="CB117" s="414">
        <v>2.105255E-2</v>
      </c>
      <c r="CC117" s="414">
        <v>2.0794630000000001E-2</v>
      </c>
      <c r="CD117" s="414">
        <v>2.0509939999999997E-2</v>
      </c>
      <c r="CE117" s="414">
        <v>2.0229839999999999E-2</v>
      </c>
      <c r="CF117" s="414">
        <v>1.9953950000000002E-2</v>
      </c>
      <c r="CG117" s="414">
        <v>1.9674520000000001E-2</v>
      </c>
      <c r="CH117" s="414">
        <v>1.937695E-2</v>
      </c>
      <c r="CI117" s="414">
        <v>1.9098299999999999E-2</v>
      </c>
      <c r="CJ117" s="414">
        <v>1.8809119999999999E-2</v>
      </c>
      <c r="CK117" s="414">
        <v>1.8494409999999999E-2</v>
      </c>
      <c r="CL117" s="414">
        <v>1.8211950000000001E-2</v>
      </c>
      <c r="CM117" s="414">
        <v>1.7904929999999999E-2</v>
      </c>
      <c r="CN117" s="414">
        <v>1.7600900000000003E-2</v>
      </c>
      <c r="CO117" s="414">
        <v>1.7292990000000001E-2</v>
      </c>
      <c r="CP117" s="443">
        <v>1.69617E-2</v>
      </c>
      <c r="CQ117" s="414">
        <v>1.6633419999999999E-2</v>
      </c>
      <c r="CR117" s="414">
        <v>1.632049E-2</v>
      </c>
      <c r="CS117" s="414">
        <v>0</v>
      </c>
      <c r="CT117" s="414">
        <v>0</v>
      </c>
      <c r="CU117" s="414">
        <v>0</v>
      </c>
      <c r="CV117" s="414">
        <v>0</v>
      </c>
      <c r="CW117" s="414">
        <v>0</v>
      </c>
      <c r="CX117" s="414">
        <v>0</v>
      </c>
      <c r="CY117" s="414">
        <v>0</v>
      </c>
      <c r="CZ117" s="414">
        <v>0</v>
      </c>
      <c r="DA117" s="414">
        <v>0</v>
      </c>
      <c r="DB117" s="414">
        <v>0</v>
      </c>
      <c r="DC117" s="414">
        <v>0</v>
      </c>
      <c r="DD117" s="414">
        <v>0</v>
      </c>
      <c r="DE117" s="414">
        <v>0</v>
      </c>
      <c r="DF117" s="414">
        <v>0.18181270999999999</v>
      </c>
      <c r="DG117" s="414">
        <v>0.19791302999999999</v>
      </c>
      <c r="DH117" s="414">
        <v>0.19809220000000002</v>
      </c>
      <c r="DI117" s="414">
        <v>0.20092886999999998</v>
      </c>
      <c r="DJ117" s="414">
        <v>0.19949617</v>
      </c>
      <c r="DK117" s="414">
        <v>0.20276225</v>
      </c>
      <c r="DL117" s="414">
        <v>0.20409121999999999</v>
      </c>
      <c r="DM117" s="414">
        <v>0.20277281</v>
      </c>
      <c r="DN117" s="414">
        <v>0.20397317000000001</v>
      </c>
      <c r="DO117" s="414">
        <v>0.20084919000000001</v>
      </c>
      <c r="DP117" s="414">
        <v>0.20211548999999998</v>
      </c>
      <c r="DQ117" s="414">
        <v>0.20131164999999998</v>
      </c>
      <c r="DR117" s="414">
        <v>0.20116624</v>
      </c>
      <c r="DS117" s="414">
        <v>0.20247815999999999</v>
      </c>
      <c r="DT117" s="414">
        <v>0.20130867000000002</v>
      </c>
      <c r="DU117" s="414">
        <v>0</v>
      </c>
      <c r="DV117" s="414">
        <v>0</v>
      </c>
      <c r="DW117" s="414">
        <v>0</v>
      </c>
      <c r="DX117" s="414">
        <v>0</v>
      </c>
      <c r="DY117" s="414">
        <v>0</v>
      </c>
      <c r="DZ117" s="414">
        <v>0</v>
      </c>
      <c r="EA117" s="414">
        <v>0</v>
      </c>
      <c r="EB117" s="414">
        <v>0</v>
      </c>
    </row>
    <row r="118" spans="1:132" ht="7.7" customHeight="1" x14ac:dyDescent="0.25">
      <c r="A118" s="410"/>
      <c r="B118" s="411"/>
      <c r="C118" s="215"/>
      <c r="D118" s="215"/>
      <c r="E118" s="227"/>
      <c r="F118" s="215"/>
      <c r="G118" s="215"/>
      <c r="H118" s="295"/>
      <c r="I118" s="295"/>
      <c r="J118" s="295"/>
      <c r="K118" s="224"/>
      <c r="L118" s="295"/>
      <c r="M118" s="295"/>
      <c r="N118" s="295"/>
      <c r="O118" s="224"/>
      <c r="P118" s="295"/>
      <c r="Q118" s="295"/>
      <c r="R118" s="227"/>
      <c r="S118" s="295"/>
      <c r="T118" s="295"/>
      <c r="U118" s="419"/>
      <c r="V118" s="419"/>
      <c r="W118" s="419"/>
      <c r="X118" s="419"/>
      <c r="Y118" s="419"/>
      <c r="Z118" s="419"/>
      <c r="AA118" s="419"/>
      <c r="AB118" s="419"/>
      <c r="AC118" s="419"/>
      <c r="AD118" s="419"/>
      <c r="AE118" s="419"/>
      <c r="AF118" s="419"/>
      <c r="AG118" s="419"/>
      <c r="AH118" s="419"/>
      <c r="AI118" s="419"/>
      <c r="AJ118" s="419"/>
      <c r="AK118" s="419"/>
      <c r="AL118" s="419"/>
      <c r="AM118" s="296"/>
      <c r="AN118" s="296"/>
      <c r="AO118" s="296"/>
      <c r="AP118" s="296"/>
      <c r="AQ118" s="296"/>
      <c r="AR118" s="411"/>
      <c r="AS118" s="411"/>
      <c r="AT118" s="411"/>
      <c r="AU118" s="411"/>
      <c r="AV118" s="411"/>
      <c r="AW118" s="414"/>
      <c r="AX118" s="414"/>
      <c r="AY118" s="414"/>
      <c r="AZ118" s="414"/>
      <c r="BA118" s="414"/>
      <c r="BB118" s="414"/>
      <c r="BC118" s="414"/>
      <c r="BD118" s="414"/>
      <c r="BE118" s="414"/>
      <c r="BF118" s="414"/>
      <c r="BG118" s="414"/>
      <c r="BH118" s="414"/>
      <c r="BI118" s="414"/>
      <c r="BJ118" s="414"/>
      <c r="BK118" s="414"/>
      <c r="BL118" s="414"/>
      <c r="BM118" s="414"/>
      <c r="BN118" s="414"/>
      <c r="BO118" s="414"/>
      <c r="BP118" s="414"/>
      <c r="BQ118" s="414"/>
      <c r="BR118" s="414"/>
      <c r="BS118" s="414"/>
      <c r="BT118" s="414"/>
      <c r="BU118" s="414"/>
      <c r="BV118" s="414"/>
      <c r="BW118" s="414"/>
      <c r="BX118" s="414"/>
      <c r="BY118" s="414"/>
      <c r="BZ118" s="414"/>
      <c r="CA118" s="414"/>
      <c r="CB118" s="414"/>
      <c r="CC118" s="414"/>
      <c r="CD118" s="414"/>
      <c r="CE118" s="414"/>
      <c r="CF118" s="414"/>
      <c r="CG118" s="414"/>
      <c r="CH118" s="414"/>
      <c r="CI118" s="414"/>
      <c r="CJ118" s="414"/>
      <c r="CK118" s="414"/>
      <c r="CL118" s="414"/>
      <c r="CM118" s="414"/>
      <c r="CN118" s="414"/>
      <c r="CO118" s="414"/>
      <c r="CP118" s="443"/>
      <c r="CQ118" s="414"/>
      <c r="CR118" s="414"/>
      <c r="CS118" s="414"/>
      <c r="CT118" s="414"/>
      <c r="CU118" s="414"/>
      <c r="CV118" s="414"/>
      <c r="CW118" s="414"/>
      <c r="CX118" s="414"/>
      <c r="CY118" s="414"/>
      <c r="CZ118" s="414"/>
      <c r="DA118" s="414"/>
      <c r="DB118" s="414"/>
      <c r="DC118" s="414"/>
      <c r="DD118" s="414"/>
      <c r="DE118" s="414"/>
      <c r="DF118" s="414"/>
      <c r="DG118" s="414"/>
      <c r="DH118" s="414"/>
      <c r="DI118" s="414"/>
      <c r="DJ118" s="414"/>
      <c r="DK118" s="414"/>
      <c r="DL118" s="414"/>
      <c r="DM118" s="414"/>
      <c r="DN118" s="414"/>
      <c r="DO118" s="414"/>
      <c r="DP118" s="414"/>
      <c r="DQ118" s="414"/>
      <c r="DR118" s="414"/>
      <c r="DS118" s="414"/>
      <c r="DT118" s="414"/>
      <c r="DU118" s="414"/>
      <c r="DV118" s="414"/>
      <c r="DW118" s="414"/>
      <c r="DX118" s="414"/>
      <c r="DY118" s="414"/>
      <c r="DZ118" s="414"/>
      <c r="EA118" s="414"/>
      <c r="EB118" s="414"/>
    </row>
    <row r="119" spans="1:132" ht="18" customHeight="1" x14ac:dyDescent="0.25">
      <c r="A119" s="410" t="s">
        <v>359</v>
      </c>
      <c r="B119" s="411">
        <v>0</v>
      </c>
      <c r="C119" s="215">
        <v>0</v>
      </c>
      <c r="D119" s="215">
        <v>0</v>
      </c>
      <c r="E119" s="227">
        <v>0</v>
      </c>
      <c r="F119" s="215">
        <v>0</v>
      </c>
      <c r="G119" s="215">
        <v>0</v>
      </c>
      <c r="H119" s="215">
        <v>0</v>
      </c>
      <c r="I119" s="215">
        <v>0</v>
      </c>
      <c r="J119" s="215">
        <v>0</v>
      </c>
      <c r="K119" s="227">
        <v>0</v>
      </c>
      <c r="L119" s="215">
        <v>0</v>
      </c>
      <c r="M119" s="215">
        <v>0</v>
      </c>
      <c r="N119" s="215">
        <v>0</v>
      </c>
      <c r="O119" s="227">
        <v>0</v>
      </c>
      <c r="P119" s="215">
        <v>0</v>
      </c>
      <c r="Q119" s="215">
        <v>0</v>
      </c>
      <c r="R119" s="227">
        <v>0</v>
      </c>
      <c r="S119" s="215">
        <v>0</v>
      </c>
      <c r="T119" s="215">
        <v>0</v>
      </c>
      <c r="U119" s="217">
        <v>0</v>
      </c>
      <c r="V119" s="217">
        <v>0</v>
      </c>
      <c r="W119" s="217">
        <v>0</v>
      </c>
      <c r="X119" s="217">
        <v>0.5</v>
      </c>
      <c r="Y119" s="217">
        <v>0.5</v>
      </c>
      <c r="Z119" s="217">
        <v>0.5</v>
      </c>
      <c r="AA119" s="217">
        <v>0.49168200000000001</v>
      </c>
      <c r="AB119" s="217">
        <v>0.5</v>
      </c>
      <c r="AC119" s="217">
        <v>0.47814400000000001</v>
      </c>
      <c r="AD119" s="217">
        <v>0.48294900000000002</v>
      </c>
      <c r="AE119" s="217">
        <v>0.48796400000000001</v>
      </c>
      <c r="AF119" s="217">
        <v>0.49321199999999998</v>
      </c>
      <c r="AG119" s="217">
        <v>0.49831999999999999</v>
      </c>
      <c r="AH119" s="217">
        <v>0.50212699999999999</v>
      </c>
      <c r="AI119" s="217">
        <v>0.50164900000000001</v>
      </c>
      <c r="AJ119" s="217">
        <v>0.5</v>
      </c>
      <c r="AK119" s="217">
        <v>0.5</v>
      </c>
      <c r="AL119" s="217">
        <v>0.5</v>
      </c>
      <c r="AM119" s="296">
        <v>21.547833710000003</v>
      </c>
      <c r="AN119" s="296">
        <v>0</v>
      </c>
      <c r="AO119" s="296">
        <v>0</v>
      </c>
      <c r="AP119" s="296">
        <v>0</v>
      </c>
      <c r="AQ119" s="296">
        <v>0</v>
      </c>
      <c r="AR119" s="411">
        <v>0</v>
      </c>
      <c r="AS119" s="411">
        <v>0</v>
      </c>
      <c r="AT119" s="411">
        <v>0</v>
      </c>
      <c r="AU119" s="411">
        <v>0.12320594999999999</v>
      </c>
      <c r="AV119" s="411">
        <v>0</v>
      </c>
      <c r="AW119" s="414">
        <v>0</v>
      </c>
      <c r="AX119" s="414">
        <v>0</v>
      </c>
      <c r="AY119" s="414">
        <v>0</v>
      </c>
      <c r="AZ119" s="414">
        <v>0</v>
      </c>
      <c r="BA119" s="414">
        <v>0</v>
      </c>
      <c r="BB119" s="414">
        <v>0</v>
      </c>
      <c r="BC119" s="414">
        <v>0</v>
      </c>
      <c r="BD119" s="414">
        <v>0</v>
      </c>
      <c r="BE119" s="414">
        <v>0</v>
      </c>
      <c r="BF119" s="414">
        <v>0</v>
      </c>
      <c r="BG119" s="414">
        <v>0</v>
      </c>
      <c r="BH119" s="414">
        <v>0</v>
      </c>
      <c r="BI119" s="414">
        <v>0</v>
      </c>
      <c r="BJ119" s="414">
        <v>0</v>
      </c>
      <c r="BK119" s="414">
        <v>0</v>
      </c>
      <c r="BL119" s="414">
        <v>0</v>
      </c>
      <c r="BM119" s="414">
        <v>0</v>
      </c>
      <c r="BN119" s="414">
        <v>0</v>
      </c>
      <c r="BO119" s="414">
        <v>0</v>
      </c>
      <c r="BP119" s="414">
        <v>0</v>
      </c>
      <c r="BQ119" s="414">
        <v>0</v>
      </c>
      <c r="BR119" s="414">
        <v>0</v>
      </c>
      <c r="BS119" s="414">
        <v>0</v>
      </c>
      <c r="BT119" s="414">
        <v>0</v>
      </c>
      <c r="BU119" s="414">
        <v>0</v>
      </c>
      <c r="BV119" s="414">
        <v>0</v>
      </c>
      <c r="BW119" s="414">
        <v>0</v>
      </c>
      <c r="BX119" s="414">
        <v>0</v>
      </c>
      <c r="BY119" s="414">
        <v>0</v>
      </c>
      <c r="BZ119" s="414">
        <v>0</v>
      </c>
      <c r="CA119" s="414">
        <v>0</v>
      </c>
      <c r="CB119" s="414">
        <v>0</v>
      </c>
      <c r="CC119" s="414">
        <v>0</v>
      </c>
      <c r="CD119" s="414">
        <v>0</v>
      </c>
      <c r="CE119" s="414">
        <v>0</v>
      </c>
      <c r="CF119" s="414">
        <v>0</v>
      </c>
      <c r="CG119" s="414">
        <v>0</v>
      </c>
      <c r="CH119" s="414">
        <v>0</v>
      </c>
      <c r="CI119" s="414">
        <v>0</v>
      </c>
      <c r="CJ119" s="414">
        <v>6.8999999999999997E-5</v>
      </c>
      <c r="CK119" s="414">
        <v>0</v>
      </c>
      <c r="CL119" s="414">
        <v>0</v>
      </c>
      <c r="CM119" s="414">
        <v>0</v>
      </c>
      <c r="CN119" s="414">
        <v>0</v>
      </c>
      <c r="CO119" s="414">
        <v>0</v>
      </c>
      <c r="CP119" s="443">
        <v>0</v>
      </c>
      <c r="CQ119" s="414">
        <v>0</v>
      </c>
      <c r="CR119" s="414">
        <v>0</v>
      </c>
      <c r="CS119" s="414">
        <v>0</v>
      </c>
      <c r="CT119" s="414">
        <v>0</v>
      </c>
      <c r="CU119" s="414">
        <v>0</v>
      </c>
      <c r="CV119" s="414">
        <v>0</v>
      </c>
      <c r="CW119" s="414">
        <v>0</v>
      </c>
      <c r="CX119" s="414">
        <v>0</v>
      </c>
      <c r="CY119" s="414">
        <v>0</v>
      </c>
      <c r="CZ119" s="414">
        <v>0</v>
      </c>
      <c r="DA119" s="414">
        <v>0</v>
      </c>
      <c r="DB119" s="414">
        <v>0</v>
      </c>
      <c r="DC119" s="414">
        <v>0</v>
      </c>
      <c r="DD119" s="414">
        <v>0</v>
      </c>
      <c r="DE119" s="414">
        <v>0</v>
      </c>
      <c r="DF119" s="414">
        <v>0</v>
      </c>
      <c r="DG119" s="414">
        <v>0</v>
      </c>
      <c r="DH119" s="414">
        <v>0</v>
      </c>
      <c r="DI119" s="414">
        <v>0</v>
      </c>
      <c r="DJ119" s="414">
        <v>3.3623800000000003E-3</v>
      </c>
      <c r="DK119" s="414">
        <v>0</v>
      </c>
      <c r="DL119" s="414">
        <v>0</v>
      </c>
      <c r="DM119" s="414">
        <v>0</v>
      </c>
      <c r="DN119" s="414">
        <v>0</v>
      </c>
      <c r="DO119" s="414">
        <v>1.0247E-4</v>
      </c>
      <c r="DP119" s="414">
        <v>3.3909999999999999E-5</v>
      </c>
      <c r="DQ119" s="414">
        <v>1.3456999999999998E-4</v>
      </c>
      <c r="DR119" s="414">
        <v>1.3663E-4</v>
      </c>
      <c r="DS119" s="414">
        <v>1.3865000000000001E-4</v>
      </c>
      <c r="DT119" s="414">
        <v>3.4337000000000001E-4</v>
      </c>
      <c r="DU119" s="414">
        <v>5.4995E-4</v>
      </c>
      <c r="DV119" s="414">
        <v>6.5824999999999998E-4</v>
      </c>
      <c r="DW119" s="414">
        <v>6.6797999999999998E-4</v>
      </c>
      <c r="DX119" s="414">
        <v>6.7776000000000002E-4</v>
      </c>
      <c r="DY119" s="414">
        <v>9.8813000000000004E-4</v>
      </c>
      <c r="DZ119" s="414">
        <v>1.1028099999999999E-3</v>
      </c>
      <c r="EA119" s="414">
        <v>1.2193E-3</v>
      </c>
      <c r="EB119" s="414">
        <v>1.3362999999999999E-3</v>
      </c>
    </row>
    <row r="120" spans="1:132" ht="7.7" customHeight="1" x14ac:dyDescent="0.25">
      <c r="A120" s="410"/>
      <c r="B120" s="411"/>
      <c r="C120" s="215"/>
      <c r="D120" s="215"/>
      <c r="E120" s="227"/>
      <c r="F120" s="215"/>
      <c r="G120" s="215"/>
      <c r="H120" s="295"/>
      <c r="I120" s="295"/>
      <c r="J120" s="295"/>
      <c r="K120" s="224"/>
      <c r="L120" s="295"/>
      <c r="M120" s="295"/>
      <c r="N120" s="295"/>
      <c r="O120" s="224"/>
      <c r="P120" s="295"/>
      <c r="Q120" s="295"/>
      <c r="R120" s="224"/>
      <c r="S120" s="295"/>
      <c r="T120" s="295"/>
      <c r="U120" s="419"/>
      <c r="V120" s="419"/>
      <c r="W120" s="419"/>
      <c r="X120" s="419"/>
      <c r="Y120" s="419"/>
      <c r="Z120" s="419"/>
      <c r="AA120" s="419"/>
      <c r="AB120" s="419"/>
      <c r="AC120" s="419"/>
      <c r="AD120" s="419"/>
      <c r="AE120" s="419"/>
      <c r="AF120" s="419"/>
      <c r="AG120" s="419"/>
      <c r="AH120" s="419"/>
      <c r="AI120" s="419"/>
      <c r="AJ120" s="419"/>
      <c r="AK120" s="419"/>
      <c r="AL120" s="419"/>
      <c r="AM120" s="296"/>
      <c r="AN120" s="296"/>
      <c r="AO120" s="296"/>
      <c r="AP120" s="296"/>
      <c r="AQ120" s="296"/>
      <c r="AR120" s="411"/>
      <c r="AS120" s="411"/>
      <c r="AT120" s="411"/>
      <c r="AU120" s="411"/>
      <c r="AV120" s="411"/>
      <c r="AW120" s="414"/>
      <c r="AX120" s="414"/>
      <c r="AY120" s="414"/>
      <c r="AZ120" s="414"/>
      <c r="BA120" s="414"/>
      <c r="BB120" s="414"/>
      <c r="BC120" s="414"/>
      <c r="BD120" s="414"/>
      <c r="BE120" s="414"/>
      <c r="BF120" s="414"/>
      <c r="BG120" s="414"/>
      <c r="BH120" s="414"/>
      <c r="BI120" s="414"/>
      <c r="BJ120" s="414"/>
      <c r="BK120" s="414"/>
      <c r="BL120" s="414"/>
      <c r="BM120" s="414"/>
      <c r="BN120" s="414"/>
      <c r="BO120" s="414"/>
      <c r="BP120" s="414"/>
      <c r="BQ120" s="414"/>
      <c r="BR120" s="414"/>
      <c r="BS120" s="414"/>
      <c r="BT120" s="414"/>
      <c r="BU120" s="414"/>
      <c r="BV120" s="414"/>
      <c r="BW120" s="414"/>
      <c r="BX120" s="414"/>
      <c r="BY120" s="414"/>
      <c r="BZ120" s="414"/>
      <c r="CA120" s="414"/>
      <c r="CB120" s="414"/>
      <c r="CC120" s="414"/>
      <c r="CD120" s="414"/>
      <c r="CE120" s="414"/>
      <c r="CF120" s="414"/>
      <c r="CG120" s="414"/>
      <c r="CH120" s="414"/>
      <c r="CI120" s="414"/>
      <c r="CJ120" s="414"/>
      <c r="CK120" s="414"/>
      <c r="CL120" s="414"/>
      <c r="CM120" s="414"/>
      <c r="CN120" s="414"/>
      <c r="CO120" s="414"/>
      <c r="CP120" s="443"/>
      <c r="CQ120" s="414"/>
      <c r="CR120" s="414"/>
      <c r="CS120" s="414"/>
      <c r="CT120" s="414"/>
      <c r="CU120" s="414"/>
      <c r="CV120" s="414"/>
      <c r="CW120" s="414"/>
      <c r="CX120" s="414"/>
      <c r="CY120" s="414"/>
      <c r="CZ120" s="414"/>
      <c r="DA120" s="414"/>
      <c r="DB120" s="414"/>
      <c r="DC120" s="414"/>
      <c r="DD120" s="414"/>
      <c r="DE120" s="414"/>
      <c r="DF120" s="414"/>
      <c r="DG120" s="414"/>
      <c r="DH120" s="414"/>
      <c r="DI120" s="414"/>
      <c r="DJ120" s="414"/>
      <c r="DK120" s="414"/>
      <c r="DL120" s="414"/>
      <c r="DM120" s="414"/>
      <c r="DN120" s="414"/>
      <c r="DO120" s="414"/>
      <c r="DP120" s="414"/>
      <c r="DQ120" s="414"/>
      <c r="DR120" s="414"/>
      <c r="DS120" s="414"/>
      <c r="DT120" s="414"/>
      <c r="DU120" s="414"/>
      <c r="DV120" s="414"/>
      <c r="DW120" s="414"/>
      <c r="DX120" s="414"/>
      <c r="DY120" s="414"/>
      <c r="DZ120" s="414"/>
      <c r="EA120" s="414"/>
      <c r="EB120" s="414"/>
    </row>
    <row r="121" spans="1:132" ht="18" customHeight="1" x14ac:dyDescent="0.25">
      <c r="A121" s="410" t="s">
        <v>360</v>
      </c>
      <c r="B121" s="411">
        <v>192.01951221000002</v>
      </c>
      <c r="C121" s="215">
        <v>235.97923191000001</v>
      </c>
      <c r="D121" s="215">
        <v>222.77310564999999</v>
      </c>
      <c r="E121" s="227">
        <v>328.35369524999999</v>
      </c>
      <c r="F121" s="215">
        <v>298.92589276389003</v>
      </c>
      <c r="G121" s="215">
        <v>315.70135072696672</v>
      </c>
      <c r="H121" s="215">
        <v>308.77856265807998</v>
      </c>
      <c r="I121" s="215">
        <v>338.71059661696006</v>
      </c>
      <c r="J121" s="215">
        <v>288.23941493000001</v>
      </c>
      <c r="K121" s="227">
        <v>244.13335043999999</v>
      </c>
      <c r="L121" s="215">
        <v>254.35291572999998</v>
      </c>
      <c r="M121" s="215">
        <v>316.76744101499997</v>
      </c>
      <c r="N121" s="215">
        <v>355.94994093999998</v>
      </c>
      <c r="O121" s="227">
        <v>326.38525176999997</v>
      </c>
      <c r="P121" s="215">
        <v>299.53073412419997</v>
      </c>
      <c r="Q121" s="215">
        <v>295.95905259000006</v>
      </c>
      <c r="R121" s="227">
        <v>279.10486991999994</v>
      </c>
      <c r="S121" s="215">
        <v>326.57767074000003</v>
      </c>
      <c r="T121" s="215">
        <v>299.72776546999995</v>
      </c>
      <c r="U121" s="217">
        <v>353.15642659000002</v>
      </c>
      <c r="V121" s="217">
        <v>311.63890915999997</v>
      </c>
      <c r="W121" s="217">
        <v>387.74889279000001</v>
      </c>
      <c r="X121" s="217">
        <v>334.29616931999999</v>
      </c>
      <c r="Y121" s="217">
        <v>376.36085786000001</v>
      </c>
      <c r="Z121" s="217">
        <v>320.22612536999998</v>
      </c>
      <c r="AA121" s="217">
        <v>312.08657906999997</v>
      </c>
      <c r="AB121" s="217">
        <v>321.70331481999995</v>
      </c>
      <c r="AC121" s="217">
        <v>320.87883112000003</v>
      </c>
      <c r="AD121" s="217">
        <v>339.37122112000003</v>
      </c>
      <c r="AE121" s="217">
        <v>370.10273545999996</v>
      </c>
      <c r="AF121" s="217">
        <v>388.47943285000002</v>
      </c>
      <c r="AG121" s="217">
        <v>473.94413900000001</v>
      </c>
      <c r="AH121" s="217">
        <v>370.34552758000001</v>
      </c>
      <c r="AI121" s="217">
        <v>448.24496029999995</v>
      </c>
      <c r="AJ121" s="217">
        <v>469.50031194000002</v>
      </c>
      <c r="AK121" s="217">
        <v>531.65268503000004</v>
      </c>
      <c r="AL121" s="217">
        <v>488.35580938999999</v>
      </c>
      <c r="AM121" s="296">
        <v>453.84445075999997</v>
      </c>
      <c r="AN121" s="296">
        <v>461.19285909999996</v>
      </c>
      <c r="AO121" s="296">
        <v>442.76116218000004</v>
      </c>
      <c r="AP121" s="296">
        <v>442.59654288109999</v>
      </c>
      <c r="AQ121" s="296">
        <v>522.8364317214</v>
      </c>
      <c r="AR121" s="411">
        <v>498.09112754999995</v>
      </c>
      <c r="AS121" s="411">
        <v>492.31680511000002</v>
      </c>
      <c r="AT121" s="411">
        <v>417.21709975459999</v>
      </c>
      <c r="AU121" s="411">
        <v>431.57107893541098</v>
      </c>
      <c r="AV121" s="411">
        <v>442.43659571196002</v>
      </c>
      <c r="AW121" s="414">
        <v>465.66307396300806</v>
      </c>
      <c r="AX121" s="414">
        <v>650.52181283149002</v>
      </c>
      <c r="AY121" s="414">
        <v>686.832253480031</v>
      </c>
      <c r="AZ121" s="414">
        <v>713.94402035169787</v>
      </c>
      <c r="BA121" s="414">
        <v>727.84612771812408</v>
      </c>
      <c r="BB121" s="414">
        <v>657.86232802095992</v>
      </c>
      <c r="BC121" s="414">
        <v>710.12737937048507</v>
      </c>
      <c r="BD121" s="414">
        <v>634.37569963012299</v>
      </c>
      <c r="BE121" s="414">
        <v>647.97382662779</v>
      </c>
      <c r="BF121" s="414">
        <v>537.88422335361201</v>
      </c>
      <c r="BG121" s="414">
        <v>627.61083330546705</v>
      </c>
      <c r="BH121" s="414">
        <v>663.40927889077591</v>
      </c>
      <c r="BI121" s="414">
        <v>728.34664285774807</v>
      </c>
      <c r="BJ121" s="414">
        <v>707.78712348586896</v>
      </c>
      <c r="BK121" s="414">
        <v>526.40086285119298</v>
      </c>
      <c r="BL121" s="414">
        <v>485.52887384065707</v>
      </c>
      <c r="BM121" s="414">
        <v>490.471644806722</v>
      </c>
      <c r="BN121" s="414">
        <v>485.75293444996026</v>
      </c>
      <c r="BO121" s="414">
        <v>455.68923262062003</v>
      </c>
      <c r="BP121" s="414">
        <v>513.23423920703692</v>
      </c>
      <c r="BQ121" s="414">
        <v>479.00872848077796</v>
      </c>
      <c r="BR121" s="414">
        <v>518.53530125219891</v>
      </c>
      <c r="BS121" s="414">
        <v>501.36558687436201</v>
      </c>
      <c r="BT121" s="414">
        <v>465.01497381285702</v>
      </c>
      <c r="BU121" s="414">
        <v>513.62045026578505</v>
      </c>
      <c r="BV121" s="414">
        <v>485.15274489162999</v>
      </c>
      <c r="BW121" s="414">
        <v>534.20309589646297</v>
      </c>
      <c r="BX121" s="414">
        <v>565.91842836649994</v>
      </c>
      <c r="BY121" s="414">
        <v>536.36884661930003</v>
      </c>
      <c r="BZ121" s="414">
        <v>456.6</v>
      </c>
      <c r="CA121" s="414">
        <v>508.84501449909203</v>
      </c>
      <c r="CB121" s="414">
        <v>450.13484469470802</v>
      </c>
      <c r="CC121" s="414">
        <v>461.26877017055995</v>
      </c>
      <c r="CD121" s="414">
        <v>477.92985982939206</v>
      </c>
      <c r="CE121" s="414">
        <v>468.70256496830564</v>
      </c>
      <c r="CF121" s="414">
        <v>502.50511292237599</v>
      </c>
      <c r="CG121" s="414">
        <v>546.64038052038325</v>
      </c>
      <c r="CH121" s="414">
        <v>568.53301375424587</v>
      </c>
      <c r="CI121" s="414">
        <v>546.46712202075094</v>
      </c>
      <c r="CJ121" s="414">
        <v>500.03160609152997</v>
      </c>
      <c r="CK121" s="414">
        <v>494.53909139215398</v>
      </c>
      <c r="CL121" s="414">
        <v>535.00024466534353</v>
      </c>
      <c r="CM121" s="414">
        <v>515.52924364255546</v>
      </c>
      <c r="CN121" s="414">
        <v>488.90663818366602</v>
      </c>
      <c r="CO121" s="414">
        <v>483.39833002803698</v>
      </c>
      <c r="CP121" s="443">
        <v>465.55856046745498</v>
      </c>
      <c r="CQ121" s="414">
        <v>499.265924426347</v>
      </c>
      <c r="CR121" s="414">
        <v>509.76004001978998</v>
      </c>
      <c r="CS121" s="414">
        <v>494.02512018802497</v>
      </c>
      <c r="CT121" s="414">
        <v>425.2729932694408</v>
      </c>
      <c r="CU121" s="414">
        <v>405.72348979354598</v>
      </c>
      <c r="CV121" s="414">
        <v>472.94536556023598</v>
      </c>
      <c r="CW121" s="414">
        <v>468.61268423495994</v>
      </c>
      <c r="CX121" s="414">
        <v>455.05219909027795</v>
      </c>
      <c r="CY121" s="414">
        <v>461.18873389208795</v>
      </c>
      <c r="CZ121" s="414">
        <v>437.67376122272003</v>
      </c>
      <c r="DA121" s="414">
        <v>444.08965383719601</v>
      </c>
      <c r="DB121" s="414">
        <v>452.47806701246986</v>
      </c>
      <c r="DC121" s="414">
        <v>428.70039774683397</v>
      </c>
      <c r="DD121" s="414">
        <v>427.12108649212996</v>
      </c>
      <c r="DE121" s="414">
        <v>427.85080719622601</v>
      </c>
      <c r="DF121" s="414">
        <v>431.18448374849498</v>
      </c>
      <c r="DG121" s="414">
        <v>378.91432907000006</v>
      </c>
      <c r="DH121" s="414">
        <v>391.55050915999999</v>
      </c>
      <c r="DI121" s="414">
        <v>422.55661952999998</v>
      </c>
      <c r="DJ121" s="414">
        <v>429.28308268000001</v>
      </c>
      <c r="DK121" s="414">
        <v>399.22621856999996</v>
      </c>
      <c r="DL121" s="414">
        <v>408.20971189675004</v>
      </c>
      <c r="DM121" s="414">
        <v>428.94939647000001</v>
      </c>
      <c r="DN121" s="414">
        <v>434.31478287668</v>
      </c>
      <c r="DO121" s="414">
        <v>439.22026870770003</v>
      </c>
      <c r="DP121" s="414">
        <v>432.62105803292002</v>
      </c>
      <c r="DQ121" s="414">
        <v>432.13257005120005</v>
      </c>
      <c r="DR121" s="414">
        <v>435.2081762844</v>
      </c>
      <c r="DS121" s="414">
        <v>422.14594280691006</v>
      </c>
      <c r="DT121" s="414">
        <v>373.81722885060003</v>
      </c>
      <c r="DU121" s="414">
        <v>338.77237270724999</v>
      </c>
      <c r="DV121" s="414">
        <v>362.57677884176002</v>
      </c>
      <c r="DW121" s="414">
        <v>358.02254661399996</v>
      </c>
      <c r="DX121" s="414">
        <v>382.09708566040001</v>
      </c>
      <c r="DY121" s="414">
        <v>374.37881250688997</v>
      </c>
      <c r="DZ121" s="414">
        <v>378.87136429340006</v>
      </c>
      <c r="EA121" s="414">
        <v>368.67323057889996</v>
      </c>
      <c r="EB121" s="414">
        <v>355.44578854461002</v>
      </c>
    </row>
    <row r="122" spans="1:132" ht="7.7" customHeight="1" x14ac:dyDescent="0.25">
      <c r="A122" s="410"/>
      <c r="B122" s="411"/>
      <c r="C122" s="215"/>
      <c r="D122" s="215"/>
      <c r="E122" s="227"/>
      <c r="F122" s="215"/>
      <c r="G122" s="215"/>
      <c r="H122" s="215"/>
      <c r="I122" s="215"/>
      <c r="J122" s="215"/>
      <c r="K122" s="227"/>
      <c r="L122" s="215"/>
      <c r="M122" s="215"/>
      <c r="N122" s="215"/>
      <c r="O122" s="227"/>
      <c r="P122" s="215"/>
      <c r="Q122" s="215"/>
      <c r="R122" s="227"/>
      <c r="S122" s="215"/>
      <c r="T122" s="215"/>
      <c r="U122" s="217"/>
      <c r="V122" s="217"/>
      <c r="W122" s="217"/>
      <c r="X122" s="217"/>
      <c r="Y122" s="217"/>
      <c r="Z122" s="217"/>
      <c r="AA122" s="217"/>
      <c r="AB122" s="217"/>
      <c r="AC122" s="217"/>
      <c r="AD122" s="217"/>
      <c r="AE122" s="217"/>
      <c r="AF122" s="217"/>
      <c r="AG122" s="217"/>
      <c r="AH122" s="217"/>
      <c r="AI122" s="217"/>
      <c r="AJ122" s="217"/>
      <c r="AK122" s="217"/>
      <c r="AL122" s="217"/>
      <c r="AM122" s="296"/>
      <c r="AN122" s="296"/>
      <c r="AO122" s="296"/>
      <c r="AP122" s="296"/>
      <c r="AQ122" s="296"/>
      <c r="AR122" s="411"/>
      <c r="AS122" s="411"/>
      <c r="AT122" s="411"/>
      <c r="AU122" s="411"/>
      <c r="AV122" s="411"/>
      <c r="AW122" s="414"/>
      <c r="AX122" s="414"/>
      <c r="AY122" s="414"/>
      <c r="AZ122" s="414"/>
      <c r="BA122" s="414"/>
      <c r="BB122" s="414"/>
      <c r="BC122" s="414"/>
      <c r="BD122" s="414"/>
      <c r="BE122" s="414"/>
      <c r="BF122" s="414"/>
      <c r="BG122" s="414"/>
      <c r="BH122" s="414"/>
      <c r="BI122" s="414"/>
      <c r="BJ122" s="414"/>
      <c r="BK122" s="414"/>
      <c r="BL122" s="414"/>
      <c r="BM122" s="414"/>
      <c r="BN122" s="414"/>
      <c r="BO122" s="414"/>
      <c r="BP122" s="414"/>
      <c r="BQ122" s="414"/>
      <c r="BR122" s="414"/>
      <c r="BS122" s="414"/>
      <c r="BT122" s="414"/>
      <c r="BU122" s="414"/>
      <c r="BV122" s="414"/>
      <c r="BW122" s="414"/>
      <c r="BX122" s="414"/>
      <c r="BY122" s="414"/>
      <c r="BZ122" s="414"/>
      <c r="CA122" s="414"/>
      <c r="CB122" s="414"/>
      <c r="CC122" s="414"/>
      <c r="CD122" s="414"/>
      <c r="CE122" s="414"/>
      <c r="CF122" s="414"/>
      <c r="CG122" s="414"/>
      <c r="CH122" s="414"/>
      <c r="CI122" s="414"/>
      <c r="CJ122" s="414"/>
      <c r="CK122" s="414"/>
      <c r="CL122" s="414"/>
      <c r="CM122" s="414"/>
      <c r="CN122" s="414"/>
      <c r="CO122" s="414"/>
      <c r="CP122" s="443"/>
      <c r="CQ122" s="414"/>
      <c r="CR122" s="414"/>
      <c r="CS122" s="414"/>
      <c r="CT122" s="414"/>
      <c r="CU122" s="414"/>
      <c r="CV122" s="414"/>
      <c r="CW122" s="414"/>
      <c r="CX122" s="414"/>
      <c r="CY122" s="414"/>
      <c r="CZ122" s="414"/>
      <c r="DA122" s="414"/>
      <c r="DB122" s="414"/>
      <c r="DC122" s="414"/>
      <c r="DD122" s="414"/>
      <c r="DE122" s="414"/>
      <c r="DF122" s="414"/>
      <c r="DG122" s="414"/>
      <c r="DH122" s="414"/>
      <c r="DI122" s="414"/>
      <c r="DJ122" s="414"/>
      <c r="DK122" s="414"/>
      <c r="DL122" s="414"/>
      <c r="DM122" s="414"/>
      <c r="DN122" s="414"/>
      <c r="DO122" s="414"/>
      <c r="DP122" s="414"/>
      <c r="DQ122" s="414"/>
      <c r="DR122" s="414"/>
      <c r="DS122" s="414"/>
      <c r="DT122" s="414"/>
      <c r="DU122" s="414"/>
      <c r="DV122" s="414"/>
      <c r="DW122" s="414"/>
      <c r="DX122" s="414"/>
      <c r="DY122" s="414"/>
      <c r="DZ122" s="414"/>
      <c r="EA122" s="414"/>
      <c r="EB122" s="414"/>
    </row>
    <row r="123" spans="1:132" ht="18" customHeight="1" x14ac:dyDescent="0.25">
      <c r="A123" s="410" t="s">
        <v>361</v>
      </c>
      <c r="B123" s="411">
        <v>22.896724710000001</v>
      </c>
      <c r="C123" s="215">
        <v>23.930499189999999</v>
      </c>
      <c r="D123" s="215">
        <v>21.771200949999997</v>
      </c>
      <c r="E123" s="227">
        <v>21.311337690000002</v>
      </c>
      <c r="F123" s="215">
        <v>22.385842310000001</v>
      </c>
      <c r="G123" s="215">
        <v>23.233362689999996</v>
      </c>
      <c r="H123" s="215">
        <v>23.580355480000001</v>
      </c>
      <c r="I123" s="215">
        <v>23.529080230000002</v>
      </c>
      <c r="J123" s="215">
        <v>23.54986761</v>
      </c>
      <c r="K123" s="227">
        <v>25.251241350000001</v>
      </c>
      <c r="L123" s="215">
        <v>27.155479019999998</v>
      </c>
      <c r="M123" s="215">
        <v>26.195889389999998</v>
      </c>
      <c r="N123" s="215">
        <v>27.685987150000003</v>
      </c>
      <c r="O123" s="227">
        <v>53.465920170000004</v>
      </c>
      <c r="P123" s="215">
        <v>53.160079099999997</v>
      </c>
      <c r="Q123" s="215">
        <v>53.535575270000002</v>
      </c>
      <c r="R123" s="227">
        <v>55.322908229999996</v>
      </c>
      <c r="S123" s="215">
        <v>58.121747859999999</v>
      </c>
      <c r="T123" s="215">
        <v>58.569311729999995</v>
      </c>
      <c r="U123" s="217">
        <v>55.885943249999997</v>
      </c>
      <c r="V123" s="217">
        <v>58.05498369</v>
      </c>
      <c r="W123" s="217">
        <v>66.578060450000009</v>
      </c>
      <c r="X123" s="217">
        <v>65.956417860000002</v>
      </c>
      <c r="Y123" s="217">
        <v>65.611733479999998</v>
      </c>
      <c r="Z123" s="217">
        <v>64.422081540000008</v>
      </c>
      <c r="AA123" s="217">
        <v>57.374158710000003</v>
      </c>
      <c r="AB123" s="217">
        <v>55.552250749999999</v>
      </c>
      <c r="AC123" s="217">
        <v>55.499747559999996</v>
      </c>
      <c r="AD123" s="217">
        <v>61.388863400000005</v>
      </c>
      <c r="AE123" s="217">
        <v>60.400083690000002</v>
      </c>
      <c r="AF123" s="217">
        <v>74.928552969999998</v>
      </c>
      <c r="AG123" s="217">
        <v>76.824820310000007</v>
      </c>
      <c r="AH123" s="217">
        <v>73.240572389999997</v>
      </c>
      <c r="AI123" s="217">
        <v>73.781270960000015</v>
      </c>
      <c r="AJ123" s="217">
        <v>72.424761520000004</v>
      </c>
      <c r="AK123" s="217">
        <v>73.89141223</v>
      </c>
      <c r="AL123" s="217">
        <v>72.014711359999993</v>
      </c>
      <c r="AM123" s="296">
        <v>66.513168229999991</v>
      </c>
      <c r="AN123" s="296">
        <v>70.982842469999994</v>
      </c>
      <c r="AO123" s="296">
        <v>68.225400809999996</v>
      </c>
      <c r="AP123" s="296">
        <v>67.693869339200006</v>
      </c>
      <c r="AQ123" s="296">
        <v>69.855168853799995</v>
      </c>
      <c r="AR123" s="411">
        <v>158.67615725920001</v>
      </c>
      <c r="AS123" s="411">
        <v>236.32443824000001</v>
      </c>
      <c r="AT123" s="411">
        <v>226.02536978800001</v>
      </c>
      <c r="AU123" s="411">
        <v>331.35528857699995</v>
      </c>
      <c r="AV123" s="411">
        <v>351.05741903400002</v>
      </c>
      <c r="AW123" s="414">
        <v>362.7615856164</v>
      </c>
      <c r="AX123" s="414">
        <v>465.88054793000009</v>
      </c>
      <c r="AY123" s="414">
        <v>392.98434266000004</v>
      </c>
      <c r="AZ123" s="414">
        <v>372.78182311999996</v>
      </c>
      <c r="BA123" s="414">
        <v>371.82525555000001</v>
      </c>
      <c r="BB123" s="414">
        <v>369.62381545</v>
      </c>
      <c r="BC123" s="414">
        <v>368.35598655000001</v>
      </c>
      <c r="BD123" s="414">
        <v>430.94066263000002</v>
      </c>
      <c r="BE123" s="414">
        <v>431.92189302999992</v>
      </c>
      <c r="BF123" s="414">
        <v>428.85056360999994</v>
      </c>
      <c r="BG123" s="414">
        <v>423.95907757999993</v>
      </c>
      <c r="BH123" s="414">
        <v>448.53600299999999</v>
      </c>
      <c r="BI123" s="414">
        <v>450.30419853000001</v>
      </c>
      <c r="BJ123" s="414">
        <v>557.21806895999998</v>
      </c>
      <c r="BK123" s="414">
        <v>564.87396211999999</v>
      </c>
      <c r="BL123" s="414">
        <v>562.47330939999995</v>
      </c>
      <c r="BM123" s="414">
        <v>563.27044503999991</v>
      </c>
      <c r="BN123" s="414">
        <v>565.04797779000012</v>
      </c>
      <c r="BO123" s="414">
        <v>561.35771807000003</v>
      </c>
      <c r="BP123" s="414">
        <v>552.14333354000007</v>
      </c>
      <c r="BQ123" s="414">
        <v>554.23283441000001</v>
      </c>
      <c r="BR123" s="414">
        <v>556.17932862999999</v>
      </c>
      <c r="BS123" s="414">
        <v>564.25831009000001</v>
      </c>
      <c r="BT123" s="414">
        <v>563.03809707000016</v>
      </c>
      <c r="BU123" s="414">
        <v>559.93400370999996</v>
      </c>
      <c r="BV123" s="414">
        <v>573.12150758999985</v>
      </c>
      <c r="BW123" s="414">
        <v>574.98574414000007</v>
      </c>
      <c r="BX123" s="414">
        <v>568.19618385000001</v>
      </c>
      <c r="BY123" s="414">
        <v>572.85721200000012</v>
      </c>
      <c r="BZ123" s="414">
        <v>569.4</v>
      </c>
      <c r="CA123" s="414">
        <v>583.75626207999994</v>
      </c>
      <c r="CB123" s="414">
        <v>582.78793920999999</v>
      </c>
      <c r="CC123" s="414">
        <v>592.13248998999995</v>
      </c>
      <c r="CD123" s="414">
        <v>569.98832315999994</v>
      </c>
      <c r="CE123" s="414">
        <v>564.79191700000001</v>
      </c>
      <c r="CF123" s="414">
        <v>561.91405387000009</v>
      </c>
      <c r="CG123" s="414">
        <v>553.35197152000012</v>
      </c>
      <c r="CH123" s="414">
        <v>563.27310087000001</v>
      </c>
      <c r="CI123" s="414">
        <v>562.02645163000011</v>
      </c>
      <c r="CJ123" s="414">
        <v>675.63768110000001</v>
      </c>
      <c r="CK123" s="414">
        <v>673.72784215000001</v>
      </c>
      <c r="CL123" s="414">
        <v>669.50396338999997</v>
      </c>
      <c r="CM123" s="414">
        <v>663.41997140000012</v>
      </c>
      <c r="CN123" s="414">
        <v>640.99952871000005</v>
      </c>
      <c r="CO123" s="414">
        <v>662.20459431999996</v>
      </c>
      <c r="CP123" s="443">
        <v>657.68921922000004</v>
      </c>
      <c r="CQ123" s="414">
        <v>662.05957423999996</v>
      </c>
      <c r="CR123" s="414">
        <v>656.42291297999998</v>
      </c>
      <c r="CS123" s="414">
        <v>669.81928072000005</v>
      </c>
      <c r="CT123" s="414">
        <v>652.96205355999996</v>
      </c>
      <c r="CU123" s="414">
        <v>236.54785200000001</v>
      </c>
      <c r="CV123" s="414">
        <v>227.82573628</v>
      </c>
      <c r="CW123" s="414">
        <v>225.44831076999998</v>
      </c>
      <c r="CX123" s="414">
        <v>222.54340289999999</v>
      </c>
      <c r="CY123" s="414">
        <v>223.28071204000003</v>
      </c>
      <c r="CZ123" s="414">
        <v>237.51249261999999</v>
      </c>
      <c r="DA123" s="414">
        <v>262.17832880000003</v>
      </c>
      <c r="DB123" s="414">
        <v>261.24808803000002</v>
      </c>
      <c r="DC123" s="414">
        <v>267.30956226000001</v>
      </c>
      <c r="DD123" s="414">
        <v>270.88224986999995</v>
      </c>
      <c r="DE123" s="414">
        <v>282.59881746000002</v>
      </c>
      <c r="DF123" s="414">
        <v>308.75538816999995</v>
      </c>
      <c r="DG123" s="414">
        <v>439.83663511999993</v>
      </c>
      <c r="DH123" s="414">
        <v>441.66699155000015</v>
      </c>
      <c r="DI123" s="414">
        <v>430.23317922000001</v>
      </c>
      <c r="DJ123" s="414">
        <v>459.20054869000012</v>
      </c>
      <c r="DK123" s="414">
        <v>462.24394507000005</v>
      </c>
      <c r="DL123" s="414">
        <v>478.75366625000004</v>
      </c>
      <c r="DM123" s="414">
        <v>471.87253878000001</v>
      </c>
      <c r="DN123" s="414">
        <v>455.87593872728002</v>
      </c>
      <c r="DO123" s="414">
        <v>467.99062126000001</v>
      </c>
      <c r="DP123" s="414">
        <v>375.30158009257616</v>
      </c>
      <c r="DQ123" s="414">
        <v>374.59558050960004</v>
      </c>
      <c r="DR123" s="414">
        <v>371.24784116167996</v>
      </c>
      <c r="DS123" s="414">
        <v>373.43237002867994</v>
      </c>
      <c r="DT123" s="414">
        <v>370.47282199330027</v>
      </c>
      <c r="DU123" s="414">
        <v>367.44259708700002</v>
      </c>
      <c r="DV123" s="414">
        <v>365.82734646266954</v>
      </c>
      <c r="DW123" s="414">
        <v>425.13971646409357</v>
      </c>
      <c r="DX123" s="414">
        <v>481.83494967144276</v>
      </c>
      <c r="DY123" s="414">
        <v>483.53458087520926</v>
      </c>
      <c r="DZ123" s="414">
        <v>481.04613941020006</v>
      </c>
      <c r="EA123" s="414">
        <v>474.56068214207602</v>
      </c>
      <c r="EB123" s="414">
        <v>473.63700031190001</v>
      </c>
    </row>
    <row r="124" spans="1:132" ht="7.7" customHeight="1" x14ac:dyDescent="0.25">
      <c r="A124" s="410"/>
      <c r="B124" s="411"/>
      <c r="C124" s="215"/>
      <c r="D124" s="215"/>
      <c r="E124" s="227"/>
      <c r="F124" s="215"/>
      <c r="G124" s="215"/>
      <c r="H124" s="295"/>
      <c r="I124" s="295"/>
      <c r="J124" s="295"/>
      <c r="K124" s="224"/>
      <c r="L124" s="295"/>
      <c r="M124" s="295"/>
      <c r="N124" s="295"/>
      <c r="O124" s="224"/>
      <c r="P124" s="295"/>
      <c r="Q124" s="295"/>
      <c r="R124" s="227"/>
      <c r="S124" s="295"/>
      <c r="T124" s="295"/>
      <c r="U124" s="419"/>
      <c r="V124" s="419"/>
      <c r="W124" s="419"/>
      <c r="X124" s="419"/>
      <c r="Y124" s="419"/>
      <c r="Z124" s="419"/>
      <c r="AA124" s="419"/>
      <c r="AB124" s="419"/>
      <c r="AC124" s="419"/>
      <c r="AD124" s="419"/>
      <c r="AE124" s="419"/>
      <c r="AF124" s="419"/>
      <c r="AG124" s="419"/>
      <c r="AH124" s="419"/>
      <c r="AI124" s="419"/>
      <c r="AJ124" s="419"/>
      <c r="AK124" s="419"/>
      <c r="AL124" s="419"/>
      <c r="AM124" s="296"/>
      <c r="AN124" s="296"/>
      <c r="AO124" s="296"/>
      <c r="AP124" s="296"/>
      <c r="AQ124" s="296"/>
      <c r="AR124" s="411"/>
      <c r="AS124" s="411"/>
      <c r="AT124" s="411"/>
      <c r="AU124" s="411"/>
      <c r="AV124" s="411"/>
      <c r="AW124" s="414"/>
      <c r="AX124" s="414"/>
      <c r="AY124" s="414"/>
      <c r="AZ124" s="414"/>
      <c r="BA124" s="414"/>
      <c r="BB124" s="414"/>
      <c r="BC124" s="414"/>
      <c r="BD124" s="414"/>
      <c r="BE124" s="414"/>
      <c r="BF124" s="414"/>
      <c r="BG124" s="414"/>
      <c r="BH124" s="414"/>
      <c r="BI124" s="414"/>
      <c r="BJ124" s="414"/>
      <c r="BK124" s="414"/>
      <c r="BL124" s="414"/>
      <c r="BM124" s="414"/>
      <c r="BN124" s="414"/>
      <c r="BO124" s="414"/>
      <c r="BP124" s="414"/>
      <c r="BQ124" s="414"/>
      <c r="BR124" s="414"/>
      <c r="BS124" s="414"/>
      <c r="BT124" s="414"/>
      <c r="BU124" s="414"/>
      <c r="BV124" s="414"/>
      <c r="BW124" s="414"/>
      <c r="BX124" s="414"/>
      <c r="BY124" s="414"/>
      <c r="BZ124" s="414"/>
      <c r="CA124" s="414"/>
      <c r="CB124" s="414"/>
      <c r="CC124" s="414"/>
      <c r="CD124" s="414"/>
      <c r="CE124" s="414"/>
      <c r="CF124" s="414"/>
      <c r="CG124" s="414"/>
      <c r="CH124" s="414"/>
      <c r="CI124" s="414"/>
      <c r="CJ124" s="414"/>
      <c r="CK124" s="414"/>
      <c r="CL124" s="414"/>
      <c r="CM124" s="414"/>
      <c r="CN124" s="414"/>
      <c r="CO124" s="414"/>
      <c r="CP124" s="443"/>
      <c r="CQ124" s="414"/>
      <c r="CR124" s="414"/>
      <c r="CS124" s="414"/>
      <c r="CT124" s="414"/>
      <c r="CU124" s="414"/>
      <c r="CV124" s="414"/>
      <c r="CW124" s="414"/>
      <c r="CX124" s="414"/>
      <c r="CY124" s="414"/>
      <c r="CZ124" s="414"/>
      <c r="DA124" s="414"/>
      <c r="DB124" s="414"/>
      <c r="DC124" s="414"/>
      <c r="DD124" s="414"/>
      <c r="DE124" s="414"/>
      <c r="DF124" s="414"/>
      <c r="DG124" s="414"/>
      <c r="DH124" s="414"/>
      <c r="DI124" s="414"/>
      <c r="DJ124" s="414"/>
      <c r="DK124" s="414"/>
      <c r="DL124" s="414"/>
      <c r="DM124" s="414"/>
      <c r="DN124" s="414"/>
      <c r="DO124" s="414"/>
      <c r="DP124" s="414"/>
      <c r="DQ124" s="414"/>
      <c r="DR124" s="414"/>
      <c r="DS124" s="414"/>
      <c r="DT124" s="414"/>
      <c r="DU124" s="414"/>
      <c r="DV124" s="414"/>
      <c r="DW124" s="414"/>
      <c r="DX124" s="414"/>
      <c r="DY124" s="414"/>
      <c r="DZ124" s="414"/>
      <c r="EA124" s="414"/>
      <c r="EB124" s="414"/>
    </row>
    <row r="125" spans="1:132" ht="18" customHeight="1" x14ac:dyDescent="0.25">
      <c r="A125" s="410" t="s">
        <v>393</v>
      </c>
      <c r="B125" s="411">
        <v>0</v>
      </c>
      <c r="C125" s="215">
        <v>0.10020628999999999</v>
      </c>
      <c r="D125" s="215">
        <v>6.761955E-2</v>
      </c>
      <c r="E125" s="227">
        <v>9.1557119999999992E-2</v>
      </c>
      <c r="F125" s="215">
        <v>8.0903940000000008E-2</v>
      </c>
      <c r="G125" s="215">
        <v>9.8683999999999994E-2</v>
      </c>
      <c r="H125" s="215">
        <v>0</v>
      </c>
      <c r="I125" s="215">
        <v>5.6153000000000002E-2</v>
      </c>
      <c r="J125" s="215">
        <v>0</v>
      </c>
      <c r="K125" s="227">
        <v>9.98E-2</v>
      </c>
      <c r="L125" s="215">
        <v>0.1011533</v>
      </c>
      <c r="M125" s="215">
        <v>0.10257558</v>
      </c>
      <c r="N125" s="215">
        <v>3.3465179999999997E-2</v>
      </c>
      <c r="O125" s="227">
        <v>0.1</v>
      </c>
      <c r="P125" s="215">
        <v>3.4433360000000003E-2</v>
      </c>
      <c r="Q125" s="215">
        <v>9.6010520000000002E-2</v>
      </c>
      <c r="R125" s="227">
        <v>3.1390910000000001E-2</v>
      </c>
      <c r="S125" s="215">
        <v>6.2217429999999997E-2</v>
      </c>
      <c r="T125" s="215">
        <v>0.14941817000000002</v>
      </c>
      <c r="U125" s="217">
        <v>0.16524712</v>
      </c>
      <c r="V125" s="217">
        <v>9.5903779999999994E-2</v>
      </c>
      <c r="W125" s="217">
        <v>0.12796542</v>
      </c>
      <c r="X125" s="217">
        <v>9.8810070000000014E-2</v>
      </c>
      <c r="Y125" s="217">
        <v>0.17254763000000001</v>
      </c>
      <c r="Z125" s="217">
        <v>0.10180569</v>
      </c>
      <c r="AA125" s="217">
        <v>0.15710617999999998</v>
      </c>
      <c r="AB125" s="217">
        <v>0.10312319</v>
      </c>
      <c r="AC125" s="217">
        <v>0.10086730000000001</v>
      </c>
      <c r="AD125" s="217">
        <v>0.11887236999999999</v>
      </c>
      <c r="AE125" s="217">
        <v>0.10578132000000001</v>
      </c>
      <c r="AF125" s="217">
        <v>0.10267535000000001</v>
      </c>
      <c r="AG125" s="217">
        <v>0.10157836000000001</v>
      </c>
      <c r="AH125" s="217">
        <v>0.11142025999999999</v>
      </c>
      <c r="AI125" s="217">
        <v>1.9604E-4</v>
      </c>
      <c r="AJ125" s="217">
        <v>1.5587370000000001E-2</v>
      </c>
      <c r="AK125" s="217">
        <v>7.8306880000000009E-2</v>
      </c>
      <c r="AL125" s="217">
        <v>5.3264699999999998E-2</v>
      </c>
      <c r="AM125" s="296">
        <v>7.9935800000000001E-3</v>
      </c>
      <c r="AN125" s="296">
        <v>6.2540600000000005E-3</v>
      </c>
      <c r="AO125" s="296">
        <v>9.5938509999999991E-2</v>
      </c>
      <c r="AP125" s="296">
        <v>2.2045550000000001E-2</v>
      </c>
      <c r="AQ125" s="296">
        <v>8.771669E-2</v>
      </c>
      <c r="AR125" s="411">
        <v>2.2879769999999997E-2</v>
      </c>
      <c r="AS125" s="411">
        <v>2.6735385299999996</v>
      </c>
      <c r="AT125" s="411">
        <v>2.7082639999999998E-2</v>
      </c>
      <c r="AU125" s="411">
        <v>8.5475720000000005E-2</v>
      </c>
      <c r="AV125" s="411">
        <v>0</v>
      </c>
      <c r="AW125" s="414">
        <v>0</v>
      </c>
      <c r="AX125" s="414">
        <v>0</v>
      </c>
      <c r="AY125" s="414">
        <v>2.9583299999999999E-3</v>
      </c>
      <c r="AZ125" s="414">
        <v>0.34326441999999996</v>
      </c>
      <c r="BA125" s="414">
        <v>0.35115745000000004</v>
      </c>
      <c r="BB125" s="414">
        <v>0.39273246999999994</v>
      </c>
      <c r="BC125" s="414">
        <v>0.35254471000000004</v>
      </c>
      <c r="BD125" s="414">
        <v>0.26229183</v>
      </c>
      <c r="BE125" s="414">
        <v>0.23854133999999999</v>
      </c>
      <c r="BF125" s="414">
        <v>0.21045760999999999</v>
      </c>
      <c r="BG125" s="414">
        <v>0.1980634</v>
      </c>
      <c r="BH125" s="414">
        <v>0.27884430999999998</v>
      </c>
      <c r="BI125" s="414">
        <v>0.48020114000000003</v>
      </c>
      <c r="BJ125" s="414">
        <v>0.6479838</v>
      </c>
      <c r="BK125" s="414">
        <v>0.49181095000000002</v>
      </c>
      <c r="BL125" s="414">
        <v>0.51331262</v>
      </c>
      <c r="BM125" s="414">
        <v>0.47312671999999995</v>
      </c>
      <c r="BN125" s="414">
        <v>0.48631702999999998</v>
      </c>
      <c r="BO125" s="414">
        <v>0.44240933999999998</v>
      </c>
      <c r="BP125" s="414">
        <v>0.51672671999999997</v>
      </c>
      <c r="BQ125" s="414">
        <v>0.47716392000000002</v>
      </c>
      <c r="BR125" s="414">
        <v>0.48608786999999998</v>
      </c>
      <c r="BS125" s="414">
        <v>0.36313711999999998</v>
      </c>
      <c r="BT125" s="414">
        <v>9.6190479999999995E-2</v>
      </c>
      <c r="BU125" s="414">
        <v>0.17090801999999999</v>
      </c>
      <c r="BV125" s="414">
        <v>0.16124117999999998</v>
      </c>
      <c r="BW125" s="414">
        <v>0.18289442</v>
      </c>
      <c r="BX125" s="414">
        <v>0.195213</v>
      </c>
      <c r="BY125" s="414">
        <v>0.25817200000000001</v>
      </c>
      <c r="BZ125" s="414">
        <v>0.1</v>
      </c>
      <c r="CA125" s="414">
        <v>0.12053949999999999</v>
      </c>
      <c r="CB125" s="414">
        <v>0.10335031</v>
      </c>
      <c r="CC125" s="414">
        <v>0.23272893</v>
      </c>
      <c r="CD125" s="414">
        <v>0.15786333</v>
      </c>
      <c r="CE125" s="414">
        <v>0.17289642999999999</v>
      </c>
      <c r="CF125" s="414">
        <v>8.004246000000001E-2</v>
      </c>
      <c r="CG125" s="414">
        <v>0.26916702000000003</v>
      </c>
      <c r="CH125" s="414">
        <v>0.14101710000000001</v>
      </c>
      <c r="CI125" s="414">
        <v>0.14179847000000001</v>
      </c>
      <c r="CJ125" s="414">
        <v>7.2719359999999997E-2</v>
      </c>
      <c r="CK125" s="414">
        <v>0.12986126000000001</v>
      </c>
      <c r="CL125" s="414">
        <v>0.24060016000000001</v>
      </c>
      <c r="CM125" s="414">
        <v>8.2547750000000003E-2</v>
      </c>
      <c r="CN125" s="414">
        <v>0.17928139000000001</v>
      </c>
      <c r="CO125" s="414">
        <v>0.11504833</v>
      </c>
      <c r="CP125" s="443">
        <v>0.26650253999999995</v>
      </c>
      <c r="CQ125" s="414">
        <v>0.17321108999999998</v>
      </c>
      <c r="CR125" s="414">
        <v>0.20612103000000001</v>
      </c>
      <c r="CS125" s="414">
        <v>0.13155331000000001</v>
      </c>
      <c r="CT125" s="414">
        <v>0</v>
      </c>
      <c r="CU125" s="414">
        <v>0.19337573000000002</v>
      </c>
      <c r="CV125" s="414">
        <v>3.1000949999999999E-2</v>
      </c>
      <c r="CW125" s="414">
        <v>3.3348849999999999E-2</v>
      </c>
      <c r="CX125" s="414">
        <v>0.13406142999999998</v>
      </c>
      <c r="CY125" s="414">
        <v>0.18827368</v>
      </c>
      <c r="CZ125" s="414">
        <v>0.19678567999999999</v>
      </c>
      <c r="DA125" s="414">
        <v>0.25669026</v>
      </c>
      <c r="DB125" s="414">
        <v>0.11809965</v>
      </c>
      <c r="DC125" s="414">
        <v>0.15546795000000002</v>
      </c>
      <c r="DD125" s="414">
        <v>0.13217195000000001</v>
      </c>
      <c r="DE125" s="414">
        <v>0.15082960000000001</v>
      </c>
      <c r="DF125" s="414">
        <v>0.10627814999999999</v>
      </c>
      <c r="DG125" s="414">
        <v>0.20917427999999999</v>
      </c>
      <c r="DH125" s="414">
        <v>0.20413275</v>
      </c>
      <c r="DI125" s="414">
        <v>0.14292795999999999</v>
      </c>
      <c r="DJ125" s="414">
        <v>0.23557198999999998</v>
      </c>
      <c r="DK125" s="414">
        <v>0.23655242000000001</v>
      </c>
      <c r="DL125" s="414">
        <v>6.2321169999999995E-2</v>
      </c>
      <c r="DM125" s="414">
        <v>0.18683093000000001</v>
      </c>
      <c r="DN125" s="414">
        <v>0</v>
      </c>
      <c r="DO125" s="414">
        <v>0.18459942000000001</v>
      </c>
      <c r="DP125" s="414">
        <v>0.20988065</v>
      </c>
      <c r="DQ125" s="414">
        <v>0.10333321000000001</v>
      </c>
      <c r="DR125" s="414">
        <v>0.25982075999999998</v>
      </c>
      <c r="DS125" s="414">
        <v>0.26877743999999998</v>
      </c>
      <c r="DT125" s="414">
        <v>0.22147141000000001</v>
      </c>
      <c r="DU125" s="414">
        <v>9.977488000000001E-2</v>
      </c>
      <c r="DV125" s="414">
        <v>0.22014157999999998</v>
      </c>
      <c r="DW125" s="414">
        <v>0.20450892000000001</v>
      </c>
      <c r="DX125" s="414">
        <v>0.12655462000000001</v>
      </c>
      <c r="DY125" s="414">
        <v>0.24512559</v>
      </c>
      <c r="DZ125" s="414">
        <v>0.18658949999999999</v>
      </c>
      <c r="EA125" s="414">
        <v>0.18003070999999998</v>
      </c>
      <c r="EB125" s="414">
        <v>0.21123865999999999</v>
      </c>
    </row>
    <row r="126" spans="1:132" ht="7.7" customHeight="1" x14ac:dyDescent="0.25">
      <c r="A126" s="410"/>
      <c r="B126" s="411"/>
      <c r="C126" s="215"/>
      <c r="D126" s="215"/>
      <c r="E126" s="227"/>
      <c r="F126" s="215"/>
      <c r="G126" s="215"/>
      <c r="H126" s="295"/>
      <c r="I126" s="295"/>
      <c r="J126" s="295"/>
      <c r="K126" s="224"/>
      <c r="L126" s="295"/>
      <c r="M126" s="295"/>
      <c r="N126" s="295"/>
      <c r="O126" s="224"/>
      <c r="P126" s="295"/>
      <c r="Q126" s="295"/>
      <c r="R126" s="227"/>
      <c r="S126" s="295"/>
      <c r="T126" s="295"/>
      <c r="U126" s="419"/>
      <c r="V126" s="419"/>
      <c r="W126" s="419"/>
      <c r="X126" s="419"/>
      <c r="Y126" s="419"/>
      <c r="Z126" s="419"/>
      <c r="AA126" s="419"/>
      <c r="AB126" s="419"/>
      <c r="AC126" s="419"/>
      <c r="AD126" s="419"/>
      <c r="AE126" s="419"/>
      <c r="AF126" s="419"/>
      <c r="AG126" s="419"/>
      <c r="AH126" s="419"/>
      <c r="AI126" s="419"/>
      <c r="AJ126" s="419"/>
      <c r="AK126" s="419"/>
      <c r="AL126" s="419"/>
      <c r="AM126" s="296"/>
      <c r="AN126" s="296"/>
      <c r="AO126" s="296"/>
      <c r="AP126" s="296"/>
      <c r="AQ126" s="296"/>
      <c r="AR126" s="411"/>
      <c r="AS126" s="411"/>
      <c r="AT126" s="411"/>
      <c r="AU126" s="411"/>
      <c r="AV126" s="411"/>
      <c r="AW126" s="414"/>
      <c r="AX126" s="414"/>
      <c r="AY126" s="414"/>
      <c r="AZ126" s="414"/>
      <c r="BA126" s="414"/>
      <c r="BB126" s="414"/>
      <c r="BC126" s="414"/>
      <c r="BD126" s="414"/>
      <c r="BE126" s="414"/>
      <c r="BF126" s="414"/>
      <c r="BG126" s="414"/>
      <c r="BH126" s="414"/>
      <c r="BI126" s="414"/>
      <c r="BJ126" s="414"/>
      <c r="BK126" s="414"/>
      <c r="BL126" s="414"/>
      <c r="BM126" s="414"/>
      <c r="BN126" s="414"/>
      <c r="BO126" s="414"/>
      <c r="BP126" s="414"/>
      <c r="BQ126" s="414"/>
      <c r="BR126" s="414"/>
      <c r="BS126" s="414"/>
      <c r="BT126" s="414"/>
      <c r="BU126" s="414"/>
      <c r="BV126" s="414"/>
      <c r="BW126" s="414"/>
      <c r="BX126" s="414"/>
      <c r="BY126" s="414"/>
      <c r="BZ126" s="414"/>
      <c r="CA126" s="414"/>
      <c r="CB126" s="414"/>
      <c r="CC126" s="414"/>
      <c r="CD126" s="414"/>
      <c r="CE126" s="414"/>
      <c r="CF126" s="414"/>
      <c r="CG126" s="414"/>
      <c r="CH126" s="414"/>
      <c r="CI126" s="414"/>
      <c r="CJ126" s="414"/>
      <c r="CK126" s="414"/>
      <c r="CL126" s="414"/>
      <c r="CM126" s="414"/>
      <c r="CN126" s="414"/>
      <c r="CO126" s="414"/>
      <c r="CP126" s="443"/>
      <c r="CQ126" s="414"/>
      <c r="CR126" s="414"/>
      <c r="CS126" s="414"/>
      <c r="CT126" s="414"/>
      <c r="CU126" s="414"/>
      <c r="CV126" s="414"/>
      <c r="CW126" s="414"/>
      <c r="CX126" s="414"/>
      <c r="CY126" s="414"/>
      <c r="CZ126" s="414"/>
      <c r="DA126" s="414"/>
      <c r="DB126" s="414"/>
      <c r="DC126" s="414"/>
      <c r="DD126" s="414"/>
      <c r="DE126" s="414"/>
      <c r="DF126" s="414"/>
      <c r="DG126" s="414"/>
      <c r="DH126" s="414"/>
      <c r="DI126" s="414"/>
      <c r="DJ126" s="414"/>
      <c r="DK126" s="414"/>
      <c r="DL126" s="414"/>
      <c r="DM126" s="414"/>
      <c r="DN126" s="414"/>
      <c r="DO126" s="414"/>
      <c r="DP126" s="414"/>
      <c r="DQ126" s="414"/>
      <c r="DR126" s="414"/>
      <c r="DS126" s="414"/>
      <c r="DT126" s="414"/>
      <c r="DU126" s="414"/>
      <c r="DV126" s="414"/>
      <c r="DW126" s="414"/>
      <c r="DX126" s="414"/>
      <c r="DY126" s="414"/>
      <c r="DZ126" s="414"/>
      <c r="EA126" s="414"/>
      <c r="EB126" s="414"/>
    </row>
    <row r="127" spans="1:132" ht="18" customHeight="1" x14ac:dyDescent="0.25">
      <c r="A127" s="410" t="s">
        <v>394</v>
      </c>
      <c r="B127" s="411">
        <v>9790.045050772891</v>
      </c>
      <c r="C127" s="215">
        <v>9986.3961003334498</v>
      </c>
      <c r="D127" s="215">
        <v>10209.995867710812</v>
      </c>
      <c r="E127" s="227">
        <v>10432.8348678612</v>
      </c>
      <c r="F127" s="215">
        <v>10514.343421066342</v>
      </c>
      <c r="G127" s="215">
        <v>10558.572846353722</v>
      </c>
      <c r="H127" s="215">
        <v>10650.817464525007</v>
      </c>
      <c r="I127" s="215">
        <v>10865.470252023104</v>
      </c>
      <c r="J127" s="215">
        <v>10808.406246173154</v>
      </c>
      <c r="K127" s="227">
        <v>10889.744637304719</v>
      </c>
      <c r="L127" s="215">
        <v>11062.191939743261</v>
      </c>
      <c r="M127" s="215">
        <v>11169.928581971792</v>
      </c>
      <c r="N127" s="215">
        <v>11342.374480553241</v>
      </c>
      <c r="O127" s="227">
        <v>11513.742697203381</v>
      </c>
      <c r="P127" s="215">
        <v>11774.519083411018</v>
      </c>
      <c r="Q127" s="215">
        <v>11900.311620778139</v>
      </c>
      <c r="R127" s="227">
        <v>12027.583041713906</v>
      </c>
      <c r="S127" s="215">
        <v>12228.994347227699</v>
      </c>
      <c r="T127" s="215">
        <v>12333.674972365743</v>
      </c>
      <c r="U127" s="217">
        <v>12244.001248503282</v>
      </c>
      <c r="V127" s="217">
        <v>12464.2</v>
      </c>
      <c r="W127" s="217">
        <v>12636.652618985401</v>
      </c>
      <c r="X127" s="217">
        <v>12861.332507102421</v>
      </c>
      <c r="Y127" s="217">
        <v>13083.296898922819</v>
      </c>
      <c r="Z127" s="217">
        <v>13683.234964317679</v>
      </c>
      <c r="AA127" s="217">
        <v>13793.725565746914</v>
      </c>
      <c r="AB127" s="217">
        <v>13982.668306506057</v>
      </c>
      <c r="AC127" s="217">
        <v>14416.67917953707</v>
      </c>
      <c r="AD127" s="217">
        <v>14551.626994553373</v>
      </c>
      <c r="AE127" s="217">
        <v>14572.817867088917</v>
      </c>
      <c r="AF127" s="217">
        <v>14603.941787074096</v>
      </c>
      <c r="AG127" s="217">
        <v>14815.562716546658</v>
      </c>
      <c r="AH127" s="217">
        <v>15015.769864481666</v>
      </c>
      <c r="AI127" s="217">
        <v>15022.676045626004</v>
      </c>
      <c r="AJ127" s="217">
        <v>15447.09179016795</v>
      </c>
      <c r="AK127" s="217">
        <v>15630.598440553978</v>
      </c>
      <c r="AL127" s="217">
        <v>15887.422199267327</v>
      </c>
      <c r="AM127" s="296">
        <v>15962.735813987501</v>
      </c>
      <c r="AN127" s="296">
        <v>16371.418397999467</v>
      </c>
      <c r="AO127" s="296">
        <v>16420.080103193748</v>
      </c>
      <c r="AP127" s="296">
        <v>16107.465390099163</v>
      </c>
      <c r="AQ127" s="296">
        <v>16491.299348792898</v>
      </c>
      <c r="AR127" s="411">
        <v>16227.661819672245</v>
      </c>
      <c r="AS127" s="411">
        <v>16059.329087977025</v>
      </c>
      <c r="AT127" s="411">
        <v>16295.837263044999</v>
      </c>
      <c r="AU127" s="411">
        <v>16078.241918447135</v>
      </c>
      <c r="AV127" s="411">
        <v>16358.111570699528</v>
      </c>
      <c r="AW127" s="414">
        <v>16515.208503223741</v>
      </c>
      <c r="AX127" s="414">
        <v>16545.692590268452</v>
      </c>
      <c r="AY127" s="414">
        <v>16687.192837372349</v>
      </c>
      <c r="AZ127" s="414">
        <v>16909.525077160015</v>
      </c>
      <c r="BA127" s="414">
        <v>17166.63407633148</v>
      </c>
      <c r="BB127" s="414">
        <v>17151.264039742859</v>
      </c>
      <c r="BC127" s="414">
        <v>17340.838347319463</v>
      </c>
      <c r="BD127" s="414">
        <v>17497.170825648853</v>
      </c>
      <c r="BE127" s="414">
        <v>17517.162705528153</v>
      </c>
      <c r="BF127" s="414">
        <v>17555.48410475018</v>
      </c>
      <c r="BG127" s="414">
        <v>17700.387852660984</v>
      </c>
      <c r="BH127" s="414">
        <v>18061.029446577362</v>
      </c>
      <c r="BI127" s="414">
        <v>18257.117385018057</v>
      </c>
      <c r="BJ127" s="414">
        <v>18697.693358555691</v>
      </c>
      <c r="BK127" s="414">
        <v>19022.022843857656</v>
      </c>
      <c r="BL127" s="414">
        <v>19330.271049491424</v>
      </c>
      <c r="BM127" s="414">
        <v>19297.925347383687</v>
      </c>
      <c r="BN127" s="414">
        <v>19513.226306280776</v>
      </c>
      <c r="BO127" s="414">
        <v>19514.56770589696</v>
      </c>
      <c r="BP127" s="414">
        <v>19628.551855321362</v>
      </c>
      <c r="BQ127" s="414">
        <v>19656.370448151294</v>
      </c>
      <c r="BR127" s="414">
        <v>19911.448382358667</v>
      </c>
      <c r="BS127" s="414">
        <v>19854.57600142336</v>
      </c>
      <c r="BT127" s="414">
        <v>20139.833453830524</v>
      </c>
      <c r="BU127" s="414">
        <v>20146.787427912044</v>
      </c>
      <c r="BV127" s="414">
        <v>20398.12057305262</v>
      </c>
      <c r="BW127" s="414">
        <v>20635.070604589255</v>
      </c>
      <c r="BX127" s="414">
        <v>20526.429714971</v>
      </c>
      <c r="BY127" s="414">
        <v>20793.933260346261</v>
      </c>
      <c r="BZ127" s="414">
        <v>20877.900000000001</v>
      </c>
      <c r="CA127" s="414">
        <v>21023.808850275538</v>
      </c>
      <c r="CB127" s="414">
        <v>21076.539777110454</v>
      </c>
      <c r="CC127" s="414">
        <v>20965.060474669979</v>
      </c>
      <c r="CD127" s="414">
        <v>21460.59754397806</v>
      </c>
      <c r="CE127" s="414">
        <v>20959.809601039939</v>
      </c>
      <c r="CF127" s="414">
        <v>21211.885401975993</v>
      </c>
      <c r="CG127" s="414">
        <v>21700.471021414629</v>
      </c>
      <c r="CH127" s="414">
        <v>22201.886394609784</v>
      </c>
      <c r="CI127" s="414">
        <v>22269.388728977763</v>
      </c>
      <c r="CJ127" s="414">
        <v>22515.227323714975</v>
      </c>
      <c r="CK127" s="414">
        <v>23044.113819403501</v>
      </c>
      <c r="CL127" s="414">
        <v>23112.787964617382</v>
      </c>
      <c r="CM127" s="414">
        <v>23387.988670274819</v>
      </c>
      <c r="CN127" s="414">
        <v>23605.689522440694</v>
      </c>
      <c r="CO127" s="414">
        <v>23729.654381368855</v>
      </c>
      <c r="CP127" s="443">
        <v>24123.110387106459</v>
      </c>
      <c r="CQ127" s="414">
        <v>24386.924135629735</v>
      </c>
      <c r="CR127" s="414">
        <v>25796.00350412543</v>
      </c>
      <c r="CS127" s="414">
        <v>26721.211402952809</v>
      </c>
      <c r="CT127" s="414">
        <v>27297.862562228893</v>
      </c>
      <c r="CU127" s="414">
        <v>27206.606858269104</v>
      </c>
      <c r="CV127" s="414">
        <v>27405.553873781431</v>
      </c>
      <c r="CW127" s="414">
        <v>27678.932395670807</v>
      </c>
      <c r="CX127" s="414">
        <v>27686.432898514304</v>
      </c>
      <c r="CY127" s="414">
        <v>29381.437846120716</v>
      </c>
      <c r="CZ127" s="414">
        <v>29034.81155981425</v>
      </c>
      <c r="DA127" s="414">
        <v>28969.602672547266</v>
      </c>
      <c r="DB127" s="414">
        <v>29400.162794170024</v>
      </c>
      <c r="DC127" s="414">
        <v>29383.430697671844</v>
      </c>
      <c r="DD127" s="414">
        <v>29532.024694106527</v>
      </c>
      <c r="DE127" s="414">
        <v>29781.64141184013</v>
      </c>
      <c r="DF127" s="414">
        <v>30015.070404671205</v>
      </c>
      <c r="DG127" s="414">
        <v>30044.515860582851</v>
      </c>
      <c r="DH127" s="414">
        <v>30469.284231599271</v>
      </c>
      <c r="DI127" s="414">
        <v>30320.823496568577</v>
      </c>
      <c r="DJ127" s="414">
        <v>30183.236842296701</v>
      </c>
      <c r="DK127" s="414">
        <v>30621.798294396944</v>
      </c>
      <c r="DL127" s="414">
        <v>29631.873247776748</v>
      </c>
      <c r="DM127" s="414">
        <v>29542.301887613161</v>
      </c>
      <c r="DN127" s="414">
        <v>29388.834517449883</v>
      </c>
      <c r="DO127" s="414">
        <v>29344.954904631111</v>
      </c>
      <c r="DP127" s="414">
        <v>29026.39029827412</v>
      </c>
      <c r="DQ127" s="414">
        <v>29385.023059500552</v>
      </c>
      <c r="DR127" s="414">
        <v>29304.12401273807</v>
      </c>
      <c r="DS127" s="414">
        <v>29227.998680733534</v>
      </c>
      <c r="DT127" s="414">
        <v>29655.099453548995</v>
      </c>
      <c r="DU127" s="414">
        <v>29260.718683527404</v>
      </c>
      <c r="DV127" s="414">
        <v>29309.757526016983</v>
      </c>
      <c r="DW127" s="414">
        <v>29330.89101168597</v>
      </c>
      <c r="DX127" s="414">
        <v>29067.941036143307</v>
      </c>
      <c r="DY127" s="414">
        <v>29226.174961311153</v>
      </c>
      <c r="DZ127" s="414">
        <v>29070.884033486083</v>
      </c>
      <c r="EA127" s="414">
        <v>28719.650846445413</v>
      </c>
      <c r="EB127" s="414">
        <v>29087.838470304774</v>
      </c>
    </row>
    <row r="128" spans="1:132" ht="7.7" customHeight="1" x14ac:dyDescent="0.25">
      <c r="A128" s="410"/>
      <c r="B128" s="411"/>
      <c r="C128" s="215"/>
      <c r="D128" s="215"/>
      <c r="E128" s="227"/>
      <c r="F128" s="215"/>
      <c r="G128" s="215"/>
      <c r="H128" s="215"/>
      <c r="I128" s="215"/>
      <c r="J128" s="215"/>
      <c r="K128" s="227"/>
      <c r="L128" s="215"/>
      <c r="M128" s="215"/>
      <c r="N128" s="215"/>
      <c r="O128" s="227"/>
      <c r="P128" s="215"/>
      <c r="Q128" s="215"/>
      <c r="R128" s="227"/>
      <c r="S128" s="215"/>
      <c r="T128" s="215"/>
      <c r="U128" s="217"/>
      <c r="V128" s="217"/>
      <c r="W128" s="217"/>
      <c r="X128" s="217"/>
      <c r="Y128" s="217"/>
      <c r="Z128" s="217"/>
      <c r="AA128" s="217"/>
      <c r="AB128" s="217"/>
      <c r="AC128" s="217"/>
      <c r="AD128" s="217"/>
      <c r="AE128" s="217"/>
      <c r="AF128" s="217"/>
      <c r="AG128" s="217"/>
      <c r="AH128" s="217"/>
      <c r="AI128" s="217"/>
      <c r="AJ128" s="217"/>
      <c r="AK128" s="217"/>
      <c r="AL128" s="217"/>
      <c r="AM128" s="296"/>
      <c r="AN128" s="296"/>
      <c r="AO128" s="296"/>
      <c r="AP128" s="296"/>
      <c r="AQ128" s="296"/>
      <c r="AR128" s="411"/>
      <c r="AS128" s="411"/>
      <c r="AT128" s="411"/>
      <c r="AU128" s="411"/>
      <c r="AV128" s="411"/>
      <c r="AW128" s="414"/>
      <c r="AX128" s="414"/>
      <c r="AY128" s="414"/>
      <c r="AZ128" s="414"/>
      <c r="BA128" s="414"/>
      <c r="BB128" s="414"/>
      <c r="BC128" s="414"/>
      <c r="BD128" s="414"/>
      <c r="BE128" s="414"/>
      <c r="BF128" s="414"/>
      <c r="BG128" s="414"/>
      <c r="BH128" s="414"/>
      <c r="BI128" s="414"/>
      <c r="BJ128" s="414"/>
      <c r="BK128" s="414"/>
      <c r="BL128" s="414"/>
      <c r="BM128" s="414"/>
      <c r="BN128" s="414"/>
      <c r="BO128" s="414"/>
      <c r="BP128" s="414"/>
      <c r="BQ128" s="414"/>
      <c r="BR128" s="414"/>
      <c r="BS128" s="414"/>
      <c r="BT128" s="414"/>
      <c r="BU128" s="414"/>
      <c r="BV128" s="414"/>
      <c r="BW128" s="414"/>
      <c r="BX128" s="414"/>
      <c r="BY128" s="414"/>
      <c r="BZ128" s="414"/>
      <c r="CA128" s="414"/>
      <c r="CB128" s="414"/>
      <c r="CC128" s="414"/>
      <c r="CD128" s="414"/>
      <c r="CE128" s="414"/>
      <c r="CF128" s="414"/>
      <c r="CG128" s="414"/>
      <c r="CH128" s="414"/>
      <c r="CI128" s="414"/>
      <c r="CJ128" s="414"/>
      <c r="CK128" s="414"/>
      <c r="CL128" s="414"/>
      <c r="CM128" s="414"/>
      <c r="CN128" s="414"/>
      <c r="CO128" s="414"/>
      <c r="CP128" s="443"/>
      <c r="CQ128" s="414"/>
      <c r="CR128" s="414"/>
      <c r="CS128" s="414"/>
      <c r="CT128" s="414"/>
      <c r="CU128" s="414"/>
      <c r="CV128" s="414"/>
      <c r="CW128" s="414"/>
      <c r="CX128" s="414"/>
      <c r="CY128" s="414"/>
      <c r="CZ128" s="414"/>
      <c r="DA128" s="414"/>
      <c r="DB128" s="414"/>
      <c r="DC128" s="414"/>
      <c r="DD128" s="414"/>
      <c r="DE128" s="414"/>
      <c r="DF128" s="414"/>
      <c r="DG128" s="414"/>
      <c r="DH128" s="414"/>
      <c r="DI128" s="414"/>
      <c r="DJ128" s="414"/>
      <c r="DK128" s="414"/>
      <c r="DL128" s="414"/>
      <c r="DM128" s="414"/>
      <c r="DN128" s="414"/>
      <c r="DO128" s="414"/>
      <c r="DP128" s="414"/>
      <c r="DQ128" s="414"/>
      <c r="DR128" s="414"/>
      <c r="DS128" s="414"/>
      <c r="DT128" s="414"/>
      <c r="DU128" s="414"/>
      <c r="DV128" s="414"/>
      <c r="DW128" s="414"/>
      <c r="DX128" s="414"/>
      <c r="DY128" s="414"/>
      <c r="DZ128" s="414"/>
      <c r="EA128" s="414"/>
      <c r="EB128" s="414"/>
    </row>
    <row r="129" spans="1:132" ht="18" customHeight="1" x14ac:dyDescent="0.25">
      <c r="A129" s="410" t="s">
        <v>395</v>
      </c>
      <c r="B129" s="411">
        <v>912.91156464100015</v>
      </c>
      <c r="C129" s="215">
        <v>858.02914912959989</v>
      </c>
      <c r="D129" s="215">
        <v>835.47886478579721</v>
      </c>
      <c r="E129" s="227">
        <v>832.01588761540006</v>
      </c>
      <c r="F129" s="215">
        <v>901.81610340600002</v>
      </c>
      <c r="G129" s="215">
        <v>888.76451449264357</v>
      </c>
      <c r="H129" s="215">
        <v>833.58597364359991</v>
      </c>
      <c r="I129" s="215">
        <v>543.64790147990016</v>
      </c>
      <c r="J129" s="215">
        <v>593.66346007869993</v>
      </c>
      <c r="K129" s="227">
        <v>619.07801239879984</v>
      </c>
      <c r="L129" s="215">
        <v>631.81408800310828</v>
      </c>
      <c r="M129" s="215">
        <v>598.36736978520503</v>
      </c>
      <c r="N129" s="215">
        <v>600.48597685376956</v>
      </c>
      <c r="O129" s="227">
        <v>597.47430760564907</v>
      </c>
      <c r="P129" s="215">
        <v>554.91005578771433</v>
      </c>
      <c r="Q129" s="215">
        <v>540.66411722859993</v>
      </c>
      <c r="R129" s="227">
        <v>577.69079041029988</v>
      </c>
      <c r="S129" s="215">
        <v>580.84468701339995</v>
      </c>
      <c r="T129" s="215">
        <v>574.40200295499994</v>
      </c>
      <c r="U129" s="217">
        <v>599.63241908378689</v>
      </c>
      <c r="V129" s="217">
        <v>688</v>
      </c>
      <c r="W129" s="217">
        <v>621.16093315720013</v>
      </c>
      <c r="X129" s="217">
        <v>649.10251401168216</v>
      </c>
      <c r="Y129" s="217">
        <v>652.28850199914746</v>
      </c>
      <c r="Z129" s="217">
        <v>628.10836872099992</v>
      </c>
      <c r="AA129" s="217">
        <v>658.92311999178821</v>
      </c>
      <c r="AB129" s="217">
        <v>746.89077627295069</v>
      </c>
      <c r="AC129" s="217">
        <v>633.2124955132</v>
      </c>
      <c r="AD129" s="217">
        <v>587.3209362005</v>
      </c>
      <c r="AE129" s="217">
        <v>600.56279515166671</v>
      </c>
      <c r="AF129" s="217">
        <v>628.15293203124997</v>
      </c>
      <c r="AG129" s="217">
        <v>687.56889687600005</v>
      </c>
      <c r="AH129" s="217">
        <v>589.03119065600004</v>
      </c>
      <c r="AI129" s="217">
        <v>659.82843347760002</v>
      </c>
      <c r="AJ129" s="217">
        <v>658.24947077360002</v>
      </c>
      <c r="AK129" s="217">
        <v>767.25957665480007</v>
      </c>
      <c r="AL129" s="217">
        <v>805.25311067819996</v>
      </c>
      <c r="AM129" s="296">
        <v>694.90716569050005</v>
      </c>
      <c r="AN129" s="296">
        <v>690.4710326846</v>
      </c>
      <c r="AO129" s="296">
        <v>696.07028465594999</v>
      </c>
      <c r="AP129" s="296">
        <v>711.73778179559997</v>
      </c>
      <c r="AQ129" s="296">
        <v>686.64684909995992</v>
      </c>
      <c r="AR129" s="411">
        <v>840.51029365880004</v>
      </c>
      <c r="AS129" s="411">
        <v>788.80625844999997</v>
      </c>
      <c r="AT129" s="411">
        <v>718.34460550879999</v>
      </c>
      <c r="AU129" s="411">
        <v>742.36900684199998</v>
      </c>
      <c r="AV129" s="411">
        <v>734.2667839500001</v>
      </c>
      <c r="AW129" s="414">
        <v>750.81807837999997</v>
      </c>
      <c r="AX129" s="414">
        <v>755.843785723</v>
      </c>
      <c r="AY129" s="414">
        <v>768.17419093629996</v>
      </c>
      <c r="AZ129" s="414">
        <v>747.607448374</v>
      </c>
      <c r="BA129" s="414">
        <v>678.55194184959998</v>
      </c>
      <c r="BB129" s="414">
        <v>648.2424623009</v>
      </c>
      <c r="BC129" s="414">
        <v>750.7384607322</v>
      </c>
      <c r="BD129" s="414">
        <v>662.97466185840005</v>
      </c>
      <c r="BE129" s="414">
        <v>643.71501702579997</v>
      </c>
      <c r="BF129" s="414">
        <v>632.15434574599988</v>
      </c>
      <c r="BG129" s="414">
        <v>654.35852916899989</v>
      </c>
      <c r="BH129" s="414">
        <v>680.45328931359995</v>
      </c>
      <c r="BI129" s="414">
        <v>666.63816514680047</v>
      </c>
      <c r="BJ129" s="414">
        <v>836.48565125389996</v>
      </c>
      <c r="BK129" s="414">
        <v>742.4565244700002</v>
      </c>
      <c r="BL129" s="414">
        <v>693.03701535719745</v>
      </c>
      <c r="BM129" s="414">
        <v>717.04803844100115</v>
      </c>
      <c r="BN129" s="414">
        <v>677.63960194266792</v>
      </c>
      <c r="BO129" s="414">
        <v>693.77349805719996</v>
      </c>
      <c r="BP129" s="414">
        <v>727.43059189790074</v>
      </c>
      <c r="BQ129" s="414">
        <v>801.70350740029994</v>
      </c>
      <c r="BR129" s="414">
        <v>700.48942487170007</v>
      </c>
      <c r="BS129" s="414">
        <v>861.05334692399992</v>
      </c>
      <c r="BT129" s="414">
        <v>670.07253059156494</v>
      </c>
      <c r="BU129" s="414">
        <v>740.99160060224608</v>
      </c>
      <c r="BV129" s="414">
        <v>746.37360501299588</v>
      </c>
      <c r="BW129" s="414">
        <v>753.56223608414018</v>
      </c>
      <c r="BX129" s="414">
        <v>763.31914179699993</v>
      </c>
      <c r="BY129" s="414">
        <v>814.0253472638999</v>
      </c>
      <c r="BZ129" s="414">
        <v>841.9</v>
      </c>
      <c r="CA129" s="414">
        <v>857.7121836857001</v>
      </c>
      <c r="CB129" s="414">
        <v>832.98429684200005</v>
      </c>
      <c r="CC129" s="414">
        <v>831.19036345785003</v>
      </c>
      <c r="CD129" s="414">
        <v>833.53082311455216</v>
      </c>
      <c r="CE129" s="414">
        <v>1004.8134084108306</v>
      </c>
      <c r="CF129" s="414">
        <v>1059.1479246732576</v>
      </c>
      <c r="CG129" s="414">
        <v>1143.1815193269565</v>
      </c>
      <c r="CH129" s="414">
        <v>1184.5878360448382</v>
      </c>
      <c r="CI129" s="414">
        <v>1182.6782492037455</v>
      </c>
      <c r="CJ129" s="414">
        <v>1175.6355657950678</v>
      </c>
      <c r="CK129" s="414">
        <v>1296.7354863664912</v>
      </c>
      <c r="CL129" s="414">
        <v>1343.3719536913623</v>
      </c>
      <c r="CM129" s="414">
        <v>1333.0661792074238</v>
      </c>
      <c r="CN129" s="414">
        <v>1385.1083399816494</v>
      </c>
      <c r="CO129" s="414">
        <v>1353.37802701598</v>
      </c>
      <c r="CP129" s="443">
        <v>1357.2162448253</v>
      </c>
      <c r="CQ129" s="414">
        <v>1349.8871222458529</v>
      </c>
      <c r="CR129" s="414">
        <v>1333.8783044637999</v>
      </c>
      <c r="CS129" s="414">
        <v>1364.6881903572043</v>
      </c>
      <c r="CT129" s="414">
        <v>1277.7141084120242</v>
      </c>
      <c r="CU129" s="414">
        <v>1301.0824504051443</v>
      </c>
      <c r="CV129" s="414">
        <v>1275.3636118489335</v>
      </c>
      <c r="CW129" s="414">
        <v>1296.5984219153559</v>
      </c>
      <c r="CX129" s="414">
        <v>1275.1137791899184</v>
      </c>
      <c r="CY129" s="414">
        <v>1305.0585763842246</v>
      </c>
      <c r="CZ129" s="414">
        <v>1288.5601832087093</v>
      </c>
      <c r="DA129" s="414">
        <v>1282.7059405505081</v>
      </c>
      <c r="DB129" s="414">
        <v>1315.9481826000181</v>
      </c>
      <c r="DC129" s="414">
        <v>1314.8901094145065</v>
      </c>
      <c r="DD129" s="414">
        <v>1299.2646442834168</v>
      </c>
      <c r="DE129" s="414">
        <v>1307.5441508215526</v>
      </c>
      <c r="DF129" s="414">
        <v>1305.2183114658285</v>
      </c>
      <c r="DG129" s="414">
        <v>1329.9895934018566</v>
      </c>
      <c r="DH129" s="414">
        <v>1350.9341358051934</v>
      </c>
      <c r="DI129" s="414">
        <v>1357.0775397330256</v>
      </c>
      <c r="DJ129" s="414">
        <v>1406.9862536133403</v>
      </c>
      <c r="DK129" s="414">
        <v>1369.6125851154081</v>
      </c>
      <c r="DL129" s="414">
        <v>1336.022061894781</v>
      </c>
      <c r="DM129" s="414">
        <v>1347.1668856819931</v>
      </c>
      <c r="DN129" s="414">
        <v>1303.3339280828675</v>
      </c>
      <c r="DO129" s="414">
        <v>1288.5876468093934</v>
      </c>
      <c r="DP129" s="414">
        <v>1241.2676145323715</v>
      </c>
      <c r="DQ129" s="414">
        <v>1221.4763986020837</v>
      </c>
      <c r="DR129" s="414">
        <v>1260.6494773721565</v>
      </c>
      <c r="DS129" s="414">
        <v>1238.1479083921536</v>
      </c>
      <c r="DT129" s="414">
        <v>1245.8319409456817</v>
      </c>
      <c r="DU129" s="414">
        <v>1243.8594453521791</v>
      </c>
      <c r="DV129" s="414">
        <v>1236.5558811133915</v>
      </c>
      <c r="DW129" s="414">
        <v>1245.0657614730183</v>
      </c>
      <c r="DX129" s="414">
        <v>1245.9427704200714</v>
      </c>
      <c r="DY129" s="414">
        <v>1285.4764456823175</v>
      </c>
      <c r="DZ129" s="414">
        <v>1296.061050460934</v>
      </c>
      <c r="EA129" s="414">
        <v>1287.6780036303705</v>
      </c>
      <c r="EB129" s="414">
        <v>1307.2809092962755</v>
      </c>
    </row>
    <row r="130" spans="1:132" ht="7.7" customHeight="1" x14ac:dyDescent="0.25">
      <c r="A130" s="410"/>
      <c r="B130" s="411"/>
      <c r="C130" s="215"/>
      <c r="D130" s="215"/>
      <c r="E130" s="227"/>
      <c r="F130" s="215"/>
      <c r="G130" s="215"/>
      <c r="H130" s="215"/>
      <c r="I130" s="215"/>
      <c r="J130" s="215"/>
      <c r="K130" s="227"/>
      <c r="L130" s="215"/>
      <c r="M130" s="215"/>
      <c r="N130" s="215"/>
      <c r="O130" s="227"/>
      <c r="P130" s="215"/>
      <c r="Q130" s="215"/>
      <c r="R130" s="227"/>
      <c r="S130" s="215"/>
      <c r="T130" s="215"/>
      <c r="U130" s="217"/>
      <c r="V130" s="217"/>
      <c r="W130" s="217"/>
      <c r="X130" s="217"/>
      <c r="Y130" s="217"/>
      <c r="Z130" s="217"/>
      <c r="AA130" s="217"/>
      <c r="AB130" s="217"/>
      <c r="AC130" s="217"/>
      <c r="AD130" s="217"/>
      <c r="AE130" s="217"/>
      <c r="AF130" s="217"/>
      <c r="AG130" s="217"/>
      <c r="AH130" s="217"/>
      <c r="AI130" s="217"/>
      <c r="AJ130" s="217"/>
      <c r="AK130" s="217"/>
      <c r="AL130" s="217"/>
      <c r="AM130" s="296"/>
      <c r="AN130" s="296"/>
      <c r="AO130" s="296"/>
      <c r="AP130" s="296"/>
      <c r="AQ130" s="296"/>
      <c r="AR130" s="411"/>
      <c r="AS130" s="411"/>
      <c r="AT130" s="411"/>
      <c r="AU130" s="411"/>
      <c r="AV130" s="411"/>
      <c r="AW130" s="414"/>
      <c r="AX130" s="414"/>
      <c r="AY130" s="414"/>
      <c r="AZ130" s="414"/>
      <c r="BA130" s="414"/>
      <c r="BB130" s="414"/>
      <c r="BC130" s="414"/>
      <c r="BD130" s="414"/>
      <c r="BE130" s="414"/>
      <c r="BF130" s="414"/>
      <c r="BG130" s="414"/>
      <c r="BH130" s="414"/>
      <c r="BI130" s="414"/>
      <c r="BJ130" s="414"/>
      <c r="BK130" s="414"/>
      <c r="BL130" s="414"/>
      <c r="BM130" s="414"/>
      <c r="BN130" s="414"/>
      <c r="BO130" s="414"/>
      <c r="BP130" s="414"/>
      <c r="BQ130" s="414"/>
      <c r="BR130" s="414"/>
      <c r="BS130" s="414"/>
      <c r="BT130" s="414"/>
      <c r="BU130" s="414"/>
      <c r="BV130" s="414"/>
      <c r="BW130" s="414"/>
      <c r="BX130" s="414"/>
      <c r="BY130" s="414"/>
      <c r="BZ130" s="414"/>
      <c r="CA130" s="414"/>
      <c r="CB130" s="414"/>
      <c r="CC130" s="414"/>
      <c r="CD130" s="414"/>
      <c r="CE130" s="414"/>
      <c r="CF130" s="414"/>
      <c r="CG130" s="414"/>
      <c r="CH130" s="414"/>
      <c r="CI130" s="414"/>
      <c r="CJ130" s="414"/>
      <c r="CK130" s="414"/>
      <c r="CL130" s="414"/>
      <c r="CM130" s="414"/>
      <c r="CN130" s="414"/>
      <c r="CO130" s="414"/>
      <c r="CP130" s="443"/>
      <c r="CQ130" s="414"/>
      <c r="CR130" s="414"/>
      <c r="CS130" s="414"/>
      <c r="CT130" s="414"/>
      <c r="CU130" s="414"/>
      <c r="CV130" s="414"/>
      <c r="CW130" s="414"/>
      <c r="CX130" s="414"/>
      <c r="CY130" s="414"/>
      <c r="CZ130" s="414"/>
      <c r="DA130" s="414"/>
      <c r="DB130" s="414"/>
      <c r="DC130" s="414"/>
      <c r="DD130" s="414"/>
      <c r="DE130" s="414"/>
      <c r="DF130" s="414"/>
      <c r="DG130" s="414"/>
      <c r="DH130" s="414"/>
      <c r="DI130" s="414"/>
      <c r="DJ130" s="414"/>
      <c r="DK130" s="414"/>
      <c r="DL130" s="414"/>
      <c r="DM130" s="414"/>
      <c r="DN130" s="414"/>
      <c r="DO130" s="414"/>
      <c r="DP130" s="414"/>
      <c r="DQ130" s="414"/>
      <c r="DR130" s="414"/>
      <c r="DS130" s="414"/>
      <c r="DT130" s="414"/>
      <c r="DU130" s="414"/>
      <c r="DV130" s="414"/>
      <c r="DW130" s="414"/>
      <c r="DX130" s="414"/>
      <c r="DY130" s="414"/>
      <c r="DZ130" s="414"/>
      <c r="EA130" s="414"/>
      <c r="EB130" s="414"/>
    </row>
    <row r="131" spans="1:132" ht="18" customHeight="1" x14ac:dyDescent="0.25">
      <c r="A131" s="410" t="s">
        <v>365</v>
      </c>
      <c r="B131" s="411">
        <v>304.36347623</v>
      </c>
      <c r="C131" s="215">
        <v>314.96145514</v>
      </c>
      <c r="D131" s="215">
        <v>326.13509745000005</v>
      </c>
      <c r="E131" s="227">
        <v>337.68083187000002</v>
      </c>
      <c r="F131" s="215">
        <v>346.92900789999999</v>
      </c>
      <c r="G131" s="215">
        <v>362.92917839</v>
      </c>
      <c r="H131" s="215">
        <v>382.30194532000002</v>
      </c>
      <c r="I131" s="215">
        <v>382.97806269</v>
      </c>
      <c r="J131" s="215">
        <v>386.06934164999996</v>
      </c>
      <c r="K131" s="227">
        <v>383.56153938</v>
      </c>
      <c r="L131" s="215">
        <v>385.85855573000003</v>
      </c>
      <c r="M131" s="215">
        <v>382.08209017000001</v>
      </c>
      <c r="N131" s="215">
        <v>393.24178702</v>
      </c>
      <c r="O131" s="227">
        <v>416.36670764999997</v>
      </c>
      <c r="P131" s="215">
        <v>423.25744320000001</v>
      </c>
      <c r="Q131" s="215">
        <v>435.40900687999999</v>
      </c>
      <c r="R131" s="227">
        <v>454.49319216999993</v>
      </c>
      <c r="S131" s="215">
        <v>465.69068589999995</v>
      </c>
      <c r="T131" s="215">
        <v>475.6515790499999</v>
      </c>
      <c r="U131" s="217">
        <v>464.14658149000002</v>
      </c>
      <c r="V131" s="217">
        <v>459.63675174000002</v>
      </c>
      <c r="W131" s="217">
        <v>456.83237245000004</v>
      </c>
      <c r="X131" s="217">
        <v>456.8735628</v>
      </c>
      <c r="Y131" s="217">
        <v>454.63978777</v>
      </c>
      <c r="Z131" s="217">
        <v>466.42195318999995</v>
      </c>
      <c r="AA131" s="217">
        <v>470.07178521999998</v>
      </c>
      <c r="AB131" s="217">
        <v>472.19411570000005</v>
      </c>
      <c r="AC131" s="217">
        <v>471.89908602999998</v>
      </c>
      <c r="AD131" s="217">
        <v>474.48604018999998</v>
      </c>
      <c r="AE131" s="217">
        <v>477.47318732999997</v>
      </c>
      <c r="AF131" s="217">
        <v>486.20314439999999</v>
      </c>
      <c r="AG131" s="217">
        <v>478.58200696</v>
      </c>
      <c r="AH131" s="217">
        <v>487</v>
      </c>
      <c r="AI131" s="217">
        <v>499.83343634999994</v>
      </c>
      <c r="AJ131" s="217">
        <v>497.09910931999997</v>
      </c>
      <c r="AK131" s="217">
        <v>498.64532009999999</v>
      </c>
      <c r="AL131" s="217">
        <v>499.29630337999998</v>
      </c>
      <c r="AM131" s="296">
        <v>502.75928594000004</v>
      </c>
      <c r="AN131" s="296">
        <v>494.52795729000002</v>
      </c>
      <c r="AO131" s="296">
        <v>504.22063879000007</v>
      </c>
      <c r="AP131" s="296">
        <v>512.98139380769999</v>
      </c>
      <c r="AQ131" s="296">
        <v>529.11186431840008</v>
      </c>
      <c r="AR131" s="411">
        <v>536.97237490400005</v>
      </c>
      <c r="AS131" s="411">
        <v>527.89159414999995</v>
      </c>
      <c r="AT131" s="411">
        <v>526.44875625960003</v>
      </c>
      <c r="AU131" s="411">
        <v>536.28765548720003</v>
      </c>
      <c r="AV131" s="411">
        <v>546.6275412839999</v>
      </c>
      <c r="AW131" s="414">
        <v>548.04175296519998</v>
      </c>
      <c r="AX131" s="414">
        <v>590.97455289879997</v>
      </c>
      <c r="AY131" s="414">
        <v>599.42666034580009</v>
      </c>
      <c r="AZ131" s="414">
        <v>609.37487650550008</v>
      </c>
      <c r="BA131" s="414">
        <v>624.97790164560001</v>
      </c>
      <c r="BB131" s="414">
        <v>662.04897005160012</v>
      </c>
      <c r="BC131" s="414">
        <v>666.80158721919997</v>
      </c>
      <c r="BD131" s="414">
        <v>704.22667159939988</v>
      </c>
      <c r="BE131" s="414">
        <v>1019.0821344881998</v>
      </c>
      <c r="BF131" s="414">
        <v>1028.5938823699998</v>
      </c>
      <c r="BG131" s="414">
        <v>1076.4897914419998</v>
      </c>
      <c r="BH131" s="414">
        <v>1110.64080355647</v>
      </c>
      <c r="BI131" s="414">
        <v>1103.5038416586001</v>
      </c>
      <c r="BJ131" s="414">
        <v>1154.4182329623</v>
      </c>
      <c r="BK131" s="414">
        <v>864.34829495809993</v>
      </c>
      <c r="BL131" s="414">
        <v>1033.0580009147002</v>
      </c>
      <c r="BM131" s="414">
        <v>1040.4267757096</v>
      </c>
      <c r="BN131" s="414">
        <v>1059.3984358232001</v>
      </c>
      <c r="BO131" s="414">
        <v>1062.3156250695999</v>
      </c>
      <c r="BP131" s="414">
        <v>1107.3469645217997</v>
      </c>
      <c r="BQ131" s="414">
        <v>1104.0479586801</v>
      </c>
      <c r="BR131" s="414">
        <v>1112.0439739963999</v>
      </c>
      <c r="BS131" s="414">
        <v>1084.6852148664</v>
      </c>
      <c r="BT131" s="414">
        <v>1080.1513221408702</v>
      </c>
      <c r="BU131" s="414">
        <v>1071.7691171030162</v>
      </c>
      <c r="BV131" s="414">
        <v>1083.7863959399219</v>
      </c>
      <c r="BW131" s="414">
        <v>1088.6046281558151</v>
      </c>
      <c r="BX131" s="414">
        <v>1079.423092406</v>
      </c>
      <c r="BY131" s="414">
        <v>1099.4585695211001</v>
      </c>
      <c r="BZ131" s="414">
        <v>1087.3</v>
      </c>
      <c r="CA131" s="414">
        <v>1115.2883358414997</v>
      </c>
      <c r="CB131" s="414">
        <v>1144.9953883807998</v>
      </c>
      <c r="CC131" s="414">
        <v>1187.8044081367798</v>
      </c>
      <c r="CD131" s="414">
        <v>1274.7880631758478</v>
      </c>
      <c r="CE131" s="422">
        <v>1188.5999999999999</v>
      </c>
      <c r="CF131" s="422">
        <v>1229.7512019121282</v>
      </c>
      <c r="CG131" s="422">
        <v>1225.6581429908902</v>
      </c>
      <c r="CH131" s="422">
        <v>1239.369685146017</v>
      </c>
      <c r="CI131" s="422">
        <v>1232.8816483718724</v>
      </c>
      <c r="CJ131" s="422">
        <v>1232.5152536053861</v>
      </c>
      <c r="CK131" s="422">
        <v>1239.116302612877</v>
      </c>
      <c r="CL131" s="422">
        <v>1258.3494018586159</v>
      </c>
      <c r="CM131" s="422">
        <v>1256.9757655295275</v>
      </c>
      <c r="CN131" s="422">
        <v>1309.2419396538839</v>
      </c>
      <c r="CO131" s="422">
        <v>1299.9861182861703</v>
      </c>
      <c r="CP131" s="445">
        <v>1311.6203361937501</v>
      </c>
      <c r="CQ131" s="414">
        <v>1301.1982632057752</v>
      </c>
      <c r="CR131" s="414">
        <v>1302.7291931038797</v>
      </c>
      <c r="CS131" s="414">
        <v>1295.7808582814487</v>
      </c>
      <c r="CT131" s="414">
        <v>1298.4891242139674</v>
      </c>
      <c r="CU131" s="414">
        <v>1303.800770604907</v>
      </c>
      <c r="CV131" s="414">
        <v>1285.2193067627848</v>
      </c>
      <c r="CW131" s="414">
        <v>1294.4576212947709</v>
      </c>
      <c r="CX131" s="414">
        <v>1302.1307770589631</v>
      </c>
      <c r="CY131" s="414">
        <v>1316.6552250368675</v>
      </c>
      <c r="CZ131" s="414">
        <v>1348.2347901376411</v>
      </c>
      <c r="DA131" s="414">
        <v>1333.784351780406</v>
      </c>
      <c r="DB131" s="414">
        <v>1342.9654907019644</v>
      </c>
      <c r="DC131" s="414">
        <v>1365.1395913368067</v>
      </c>
      <c r="DD131" s="414">
        <v>1408.6511784548093</v>
      </c>
      <c r="DE131" s="414">
        <v>1398.4500986701059</v>
      </c>
      <c r="DF131" s="414">
        <v>1409.6167713826762</v>
      </c>
      <c r="DG131" s="414">
        <v>1402.6838092958442</v>
      </c>
      <c r="DH131" s="414">
        <v>1405.1181399953186</v>
      </c>
      <c r="DI131" s="414">
        <v>1389.5035374607878</v>
      </c>
      <c r="DJ131" s="414">
        <v>1409.9927076648353</v>
      </c>
      <c r="DK131" s="414">
        <v>1430.0488055353894</v>
      </c>
      <c r="DL131" s="414">
        <v>1430.4181363425553</v>
      </c>
      <c r="DM131" s="414">
        <v>1426.3337996588743</v>
      </c>
      <c r="DN131" s="414">
        <v>1407.5741232213443</v>
      </c>
      <c r="DO131" s="414">
        <v>1409.7028500934905</v>
      </c>
      <c r="DP131" s="414">
        <v>1409.363569148338</v>
      </c>
      <c r="DQ131" s="414">
        <v>1405.7684257654266</v>
      </c>
      <c r="DR131" s="414">
        <v>1421.9885232636707</v>
      </c>
      <c r="DS131" s="414">
        <v>1406.6889831228129</v>
      </c>
      <c r="DT131" s="414">
        <v>1391.5597313642447</v>
      </c>
      <c r="DU131" s="414">
        <v>1392.595651884488</v>
      </c>
      <c r="DV131" s="414">
        <v>1381.1334069702334</v>
      </c>
      <c r="DW131" s="414">
        <v>1379.4035901734767</v>
      </c>
      <c r="DX131" s="414">
        <v>1423.4872909461544</v>
      </c>
      <c r="DY131" s="414">
        <v>1390.5442638565694</v>
      </c>
      <c r="DZ131" s="414">
        <v>1387.8262437494486</v>
      </c>
      <c r="EA131" s="414">
        <v>1363.0543700678645</v>
      </c>
      <c r="EB131" s="414">
        <v>1356.2945974712281</v>
      </c>
    </row>
    <row r="132" spans="1:132" ht="7.7" customHeight="1" x14ac:dyDescent="0.25">
      <c r="A132" s="410"/>
      <c r="B132" s="411"/>
      <c r="C132" s="215"/>
      <c r="D132" s="215"/>
      <c r="E132" s="227"/>
      <c r="F132" s="215"/>
      <c r="G132" s="215"/>
      <c r="H132" s="215"/>
      <c r="I132" s="215"/>
      <c r="J132" s="215"/>
      <c r="K132" s="227"/>
      <c r="L132" s="215"/>
      <c r="M132" s="215"/>
      <c r="N132" s="215"/>
      <c r="O132" s="227"/>
      <c r="P132" s="215"/>
      <c r="Q132" s="215"/>
      <c r="R132" s="227"/>
      <c r="S132" s="215"/>
      <c r="T132" s="215"/>
      <c r="U132" s="217"/>
      <c r="V132" s="217"/>
      <c r="W132" s="217"/>
      <c r="X132" s="217"/>
      <c r="Y132" s="217"/>
      <c r="Z132" s="217"/>
      <c r="AA132" s="217"/>
      <c r="AB132" s="217"/>
      <c r="AC132" s="217"/>
      <c r="AD132" s="217"/>
      <c r="AE132" s="217"/>
      <c r="AF132" s="217"/>
      <c r="AG132" s="217"/>
      <c r="AH132" s="217"/>
      <c r="AI132" s="217"/>
      <c r="AJ132" s="217"/>
      <c r="AK132" s="217"/>
      <c r="AL132" s="217"/>
      <c r="AM132" s="296"/>
      <c r="AN132" s="296"/>
      <c r="AO132" s="296"/>
      <c r="AP132" s="296"/>
      <c r="AQ132" s="296"/>
      <c r="AR132" s="411"/>
      <c r="AS132" s="411"/>
      <c r="AT132" s="411"/>
      <c r="AU132" s="411"/>
      <c r="AV132" s="411"/>
      <c r="AW132" s="414"/>
      <c r="AX132" s="414"/>
      <c r="AY132" s="414"/>
      <c r="AZ132" s="414"/>
      <c r="BA132" s="414"/>
      <c r="BB132" s="414"/>
      <c r="BC132" s="414"/>
      <c r="BD132" s="414"/>
      <c r="BE132" s="414"/>
      <c r="BF132" s="414"/>
      <c r="BG132" s="414"/>
      <c r="BH132" s="414"/>
      <c r="BI132" s="414"/>
      <c r="BJ132" s="414"/>
      <c r="BK132" s="414"/>
      <c r="BL132" s="414"/>
      <c r="BM132" s="414"/>
      <c r="BN132" s="414"/>
      <c r="BO132" s="414"/>
      <c r="BP132" s="414"/>
      <c r="BQ132" s="414"/>
      <c r="BR132" s="414"/>
      <c r="BS132" s="414"/>
      <c r="BT132" s="414"/>
      <c r="BU132" s="414"/>
      <c r="BV132" s="414"/>
      <c r="BW132" s="414"/>
      <c r="BX132" s="414"/>
      <c r="BY132" s="414"/>
      <c r="BZ132" s="414"/>
      <c r="CA132" s="414"/>
      <c r="CB132" s="414"/>
      <c r="CC132" s="414"/>
      <c r="CD132" s="414"/>
      <c r="CE132" s="414"/>
      <c r="CF132" s="414"/>
      <c r="CG132" s="414"/>
      <c r="CH132" s="414"/>
      <c r="CI132" s="414"/>
      <c r="CJ132" s="414"/>
      <c r="CK132" s="414"/>
      <c r="CL132" s="414"/>
      <c r="CM132" s="414"/>
      <c r="CN132" s="414"/>
      <c r="CO132" s="414"/>
      <c r="CP132" s="443"/>
      <c r="CQ132" s="414"/>
      <c r="CR132" s="414"/>
      <c r="CS132" s="414"/>
      <c r="CT132" s="414"/>
      <c r="CU132" s="414"/>
      <c r="CV132" s="414"/>
      <c r="CW132" s="414"/>
      <c r="CX132" s="414"/>
      <c r="CY132" s="414"/>
      <c r="CZ132" s="414"/>
      <c r="DA132" s="414"/>
      <c r="DB132" s="414"/>
      <c r="DC132" s="414"/>
      <c r="DD132" s="414"/>
      <c r="DE132" s="414"/>
      <c r="DF132" s="414"/>
      <c r="DG132" s="414"/>
      <c r="DH132" s="414"/>
      <c r="DI132" s="414"/>
      <c r="DJ132" s="414"/>
      <c r="DK132" s="414"/>
      <c r="DL132" s="414"/>
      <c r="DM132" s="414"/>
      <c r="DN132" s="414"/>
      <c r="DO132" s="414"/>
      <c r="DP132" s="414"/>
      <c r="DQ132" s="414"/>
      <c r="DR132" s="414"/>
      <c r="DS132" s="414"/>
      <c r="DT132" s="414"/>
      <c r="DU132" s="414"/>
      <c r="DV132" s="414"/>
      <c r="DW132" s="414"/>
      <c r="DX132" s="414"/>
      <c r="DY132" s="414"/>
      <c r="DZ132" s="414"/>
      <c r="EA132" s="414"/>
      <c r="EB132" s="414"/>
    </row>
    <row r="133" spans="1:132" ht="18" customHeight="1" x14ac:dyDescent="0.25">
      <c r="A133" s="410" t="s">
        <v>366</v>
      </c>
      <c r="B133" s="411">
        <v>0</v>
      </c>
      <c r="C133" s="215">
        <v>0</v>
      </c>
      <c r="D133" s="215">
        <v>0</v>
      </c>
      <c r="E133" s="227">
        <v>0</v>
      </c>
      <c r="F133" s="215">
        <v>0</v>
      </c>
      <c r="G133" s="215">
        <v>0</v>
      </c>
      <c r="H133" s="215">
        <v>0</v>
      </c>
      <c r="I133" s="215">
        <v>0</v>
      </c>
      <c r="J133" s="215">
        <v>0</v>
      </c>
      <c r="K133" s="227">
        <v>0</v>
      </c>
      <c r="L133" s="215">
        <v>0</v>
      </c>
      <c r="M133" s="215">
        <v>0</v>
      </c>
      <c r="N133" s="215">
        <v>0</v>
      </c>
      <c r="O133" s="227">
        <v>0</v>
      </c>
      <c r="P133" s="215">
        <v>0</v>
      </c>
      <c r="Q133" s="215">
        <v>0</v>
      </c>
      <c r="R133" s="227">
        <v>0.10087672</v>
      </c>
      <c r="S133" s="215">
        <v>9.3033859999999996E-2</v>
      </c>
      <c r="T133" s="215">
        <v>8.5084060000000003E-2</v>
      </c>
      <c r="U133" s="217">
        <v>8.6348800000000003E-2</v>
      </c>
      <c r="V133" s="217">
        <v>8.7475210000000012E-2</v>
      </c>
      <c r="W133" s="217">
        <v>8.1019270000000004E-2</v>
      </c>
      <c r="X133" s="217">
        <v>8.0608159999999998E-2</v>
      </c>
      <c r="Y133" s="217">
        <v>7.5373609999999994E-2</v>
      </c>
      <c r="Z133" s="217">
        <v>6.4261949999999998E-2</v>
      </c>
      <c r="AA133" s="217">
        <v>6.4527399999999999E-2</v>
      </c>
      <c r="AB133" s="217">
        <v>5.9065160000000005E-2</v>
      </c>
      <c r="AC133" s="217">
        <v>4.712595E-2</v>
      </c>
      <c r="AD133" s="217">
        <v>5.4468410000000002E-2</v>
      </c>
      <c r="AE133" s="217">
        <v>5.5329330000000003E-2</v>
      </c>
      <c r="AF133" s="217">
        <v>5.6124629999999995E-2</v>
      </c>
      <c r="AG133" s="217">
        <v>5.690539E-2</v>
      </c>
      <c r="AH133" s="217">
        <v>5.690539E-2</v>
      </c>
      <c r="AI133" s="217">
        <v>5.850934E-2</v>
      </c>
      <c r="AJ133" s="217">
        <v>2.697577E-2</v>
      </c>
      <c r="AK133" s="217">
        <v>2.7261859999999999E-2</v>
      </c>
      <c r="AL133" s="217">
        <v>2.1912669999999999E-2</v>
      </c>
      <c r="AM133" s="296">
        <v>2.2206689999999998E-2</v>
      </c>
      <c r="AN133" s="296">
        <v>0.50482453999999999</v>
      </c>
      <c r="AO133" s="296">
        <v>0.49515736999999999</v>
      </c>
      <c r="AP133" s="296">
        <v>0.48937787999999999</v>
      </c>
      <c r="AQ133" s="296">
        <v>0.47841082000000001</v>
      </c>
      <c r="AR133" s="411">
        <v>1.2447743500000001</v>
      </c>
      <c r="AS133" s="411">
        <v>1.26986339</v>
      </c>
      <c r="AT133" s="411">
        <v>1.407357</v>
      </c>
      <c r="AU133" s="411">
        <v>1.35975286</v>
      </c>
      <c r="AV133" s="411">
        <v>1.41136353</v>
      </c>
      <c r="AW133" s="414">
        <v>1.4193197500000001</v>
      </c>
      <c r="AX133" s="414">
        <v>1.4985454299999998</v>
      </c>
      <c r="AY133" s="414">
        <v>1.52212258</v>
      </c>
      <c r="AZ133" s="414">
        <v>1.5623691499999999</v>
      </c>
      <c r="BA133" s="414">
        <v>1.4861826699999998</v>
      </c>
      <c r="BB133" s="414">
        <v>1.4688475999999999</v>
      </c>
      <c r="BC133" s="414">
        <v>1.6668795900000002</v>
      </c>
      <c r="BD133" s="414">
        <v>4.2797597500000002</v>
      </c>
      <c r="BE133" s="414">
        <v>4.2309027700000001</v>
      </c>
      <c r="BF133" s="414">
        <v>4.1587023299999997</v>
      </c>
      <c r="BG133" s="414">
        <v>4.0860712999999995</v>
      </c>
      <c r="BH133" s="414">
        <v>4.4041465400000002</v>
      </c>
      <c r="BI133" s="414">
        <v>4.3032301200000003</v>
      </c>
      <c r="BJ133" s="414">
        <v>4.2721442500000002</v>
      </c>
      <c r="BK133" s="414">
        <v>4.2994641999999992</v>
      </c>
      <c r="BL133" s="414">
        <v>4.2201177100000002</v>
      </c>
      <c r="BM133" s="414">
        <v>4.1759818200000005</v>
      </c>
      <c r="BN133" s="414">
        <v>5.66691813</v>
      </c>
      <c r="BO133" s="414">
        <v>5.6341868699999997</v>
      </c>
      <c r="BP133" s="414">
        <v>4.1425310899999994</v>
      </c>
      <c r="BQ133" s="414">
        <v>4.0465567599999996</v>
      </c>
      <c r="BR133" s="414">
        <v>3.9127315700000005</v>
      </c>
      <c r="BS133" s="414">
        <v>3.9312320900000004</v>
      </c>
      <c r="BT133" s="414">
        <v>3.86538921</v>
      </c>
      <c r="BU133" s="414">
        <v>3.76318895</v>
      </c>
      <c r="BV133" s="414">
        <v>3.7179904000000006</v>
      </c>
      <c r="BW133" s="414">
        <v>3.7351206800000005</v>
      </c>
      <c r="BX133" s="414">
        <v>6.23620485</v>
      </c>
      <c r="BY133" s="414">
        <v>4.7085188799999997</v>
      </c>
      <c r="BZ133" s="414">
        <v>3.4</v>
      </c>
      <c r="CA133" s="414">
        <v>3.4210703699999998</v>
      </c>
      <c r="CB133" s="414">
        <v>2.4444298500000001</v>
      </c>
      <c r="CC133" s="414">
        <v>0.90229826000000002</v>
      </c>
      <c r="CD133" s="414">
        <v>3.3509531199999998</v>
      </c>
      <c r="CE133" s="414">
        <v>3.3274249600000001</v>
      </c>
      <c r="CF133" s="414">
        <v>1.7847882999999998</v>
      </c>
      <c r="CG133" s="414">
        <v>1.7609860799999997</v>
      </c>
      <c r="CH133" s="414">
        <v>1.75812875</v>
      </c>
      <c r="CI133" s="414">
        <v>1.74559453</v>
      </c>
      <c r="CJ133" s="414">
        <v>1.7236261900000001</v>
      </c>
      <c r="CK133" s="414">
        <v>1.72698434</v>
      </c>
      <c r="CL133" s="414">
        <v>1.70347311</v>
      </c>
      <c r="CM133" s="414">
        <v>1.6894532600000001</v>
      </c>
      <c r="CN133" s="414">
        <v>1.6849875400000001</v>
      </c>
      <c r="CO133" s="414">
        <v>1.6601772299999999</v>
      </c>
      <c r="CP133" s="443">
        <v>1.6535258799999999</v>
      </c>
      <c r="CQ133" s="414">
        <v>1.61877743</v>
      </c>
      <c r="CR133" s="414">
        <v>1.6041352099999999</v>
      </c>
      <c r="CS133" s="414">
        <v>1.5931632900000001</v>
      </c>
      <c r="CT133" s="414">
        <v>1.11301249</v>
      </c>
      <c r="CU133" s="414">
        <v>2.6472495400000002</v>
      </c>
      <c r="CV133" s="414">
        <v>2.6417987699999999</v>
      </c>
      <c r="CW133" s="414">
        <v>2.6359863300000002</v>
      </c>
      <c r="CX133" s="414">
        <v>2.6302913000000001</v>
      </c>
      <c r="CY133" s="414">
        <v>2.62455354</v>
      </c>
      <c r="CZ133" s="414">
        <v>2.61421423</v>
      </c>
      <c r="DA133" s="414">
        <v>2.60846673</v>
      </c>
      <c r="DB133" s="414">
        <v>2.4627651699999999</v>
      </c>
      <c r="DC133" s="414">
        <v>2.4622479500000001</v>
      </c>
      <c r="DD133" s="414">
        <v>2.4618804300000003</v>
      </c>
      <c r="DE133" s="414">
        <v>2.4617918400000005</v>
      </c>
      <c r="DF133" s="414">
        <v>2.4615379500000003</v>
      </c>
      <c r="DG133" s="414">
        <v>2.4615379500000003</v>
      </c>
      <c r="DH133" s="414">
        <v>2.4615379500000003</v>
      </c>
      <c r="DI133" s="414">
        <v>2.4554254599999998</v>
      </c>
      <c r="DJ133" s="414">
        <v>2.4554254599999998</v>
      </c>
      <c r="DK133" s="414">
        <v>2.4615379500000003</v>
      </c>
      <c r="DL133" s="414">
        <v>2.4719543000000002</v>
      </c>
      <c r="DM133" s="414">
        <v>2.4716207900000002</v>
      </c>
      <c r="DN133" s="414">
        <v>2.4705379500000002</v>
      </c>
      <c r="DO133" s="414">
        <v>2.4714400300000001</v>
      </c>
      <c r="DP133" s="414">
        <v>2.4720171</v>
      </c>
      <c r="DQ133" s="414">
        <v>2.4703912900000002</v>
      </c>
      <c r="DR133" s="414">
        <v>2.4714399999999999</v>
      </c>
      <c r="DS133" s="414">
        <v>2.4706446700000004</v>
      </c>
      <c r="DT133" s="414">
        <v>2.4704894700000004</v>
      </c>
      <c r="DU133" s="414">
        <v>2.4715949900000003</v>
      </c>
      <c r="DV133" s="414">
        <v>2.4719748399999997</v>
      </c>
      <c r="DW133" s="414">
        <v>2.4729381500000005</v>
      </c>
      <c r="DX133" s="414">
        <v>2.4717885100000001</v>
      </c>
      <c r="DY133" s="414">
        <v>2.4729119900000001</v>
      </c>
      <c r="DZ133" s="414">
        <v>2.4713765599999999</v>
      </c>
      <c r="EA133" s="414">
        <v>2.4717846100000003</v>
      </c>
      <c r="EB133" s="414">
        <v>1.5494590500000001</v>
      </c>
    </row>
    <row r="134" spans="1:132" ht="7.7" customHeight="1" x14ac:dyDescent="0.25">
      <c r="A134" s="410"/>
      <c r="B134" s="411"/>
      <c r="C134" s="215"/>
      <c r="D134" s="215"/>
      <c r="E134" s="227"/>
      <c r="F134" s="215"/>
      <c r="G134" s="215"/>
      <c r="H134" s="215"/>
      <c r="I134" s="215"/>
      <c r="J134" s="215"/>
      <c r="K134" s="227"/>
      <c r="L134" s="215"/>
      <c r="M134" s="215"/>
      <c r="N134" s="215"/>
      <c r="O134" s="227"/>
      <c r="P134" s="215"/>
      <c r="Q134" s="215"/>
      <c r="R134" s="227"/>
      <c r="S134" s="215"/>
      <c r="T134" s="215"/>
      <c r="U134" s="217"/>
      <c r="V134" s="217"/>
      <c r="W134" s="217"/>
      <c r="X134" s="217"/>
      <c r="Y134" s="217"/>
      <c r="Z134" s="217"/>
      <c r="AA134" s="217"/>
      <c r="AB134" s="217"/>
      <c r="AC134" s="217"/>
      <c r="AD134" s="217"/>
      <c r="AE134" s="217"/>
      <c r="AF134" s="217"/>
      <c r="AG134" s="217"/>
      <c r="AH134" s="217"/>
      <c r="AI134" s="217"/>
      <c r="AJ134" s="217"/>
      <c r="AK134" s="217"/>
      <c r="AL134" s="217"/>
      <c r="AM134" s="296"/>
      <c r="AN134" s="296"/>
      <c r="AO134" s="296"/>
      <c r="AP134" s="296"/>
      <c r="AQ134" s="296"/>
      <c r="AR134" s="411"/>
      <c r="AS134" s="411"/>
      <c r="AT134" s="411"/>
      <c r="AU134" s="411"/>
      <c r="AV134" s="411"/>
      <c r="AW134" s="414"/>
      <c r="AX134" s="414"/>
      <c r="AY134" s="414"/>
      <c r="AZ134" s="414"/>
      <c r="BA134" s="414"/>
      <c r="BB134" s="414"/>
      <c r="BC134" s="414"/>
      <c r="BD134" s="414"/>
      <c r="BE134" s="414"/>
      <c r="BF134" s="414"/>
      <c r="BG134" s="414"/>
      <c r="BH134" s="414"/>
      <c r="BI134" s="414"/>
      <c r="BJ134" s="414"/>
      <c r="BK134" s="414"/>
      <c r="BL134" s="414"/>
      <c r="BM134" s="414"/>
      <c r="BN134" s="414"/>
      <c r="BO134" s="414"/>
      <c r="BP134" s="414"/>
      <c r="BQ134" s="414"/>
      <c r="BR134" s="414"/>
      <c r="BS134" s="414"/>
      <c r="BT134" s="414"/>
      <c r="BU134" s="414"/>
      <c r="BV134" s="414"/>
      <c r="BW134" s="414"/>
      <c r="BX134" s="414"/>
      <c r="BY134" s="414"/>
      <c r="BZ134" s="414"/>
      <c r="CA134" s="414"/>
      <c r="CB134" s="414"/>
      <c r="CC134" s="414"/>
      <c r="CD134" s="414"/>
      <c r="CE134" s="414"/>
      <c r="CF134" s="414"/>
      <c r="CG134" s="414"/>
      <c r="CH134" s="414"/>
      <c r="CI134" s="414"/>
      <c r="CJ134" s="414"/>
      <c r="CK134" s="414"/>
      <c r="CL134" s="414"/>
      <c r="CM134" s="414"/>
      <c r="CN134" s="414"/>
      <c r="CO134" s="414"/>
      <c r="CP134" s="443"/>
      <c r="CQ134" s="414"/>
      <c r="CR134" s="414"/>
      <c r="CS134" s="414"/>
      <c r="CT134" s="414"/>
      <c r="CU134" s="414"/>
      <c r="CV134" s="414"/>
      <c r="CW134" s="414"/>
      <c r="CX134" s="414"/>
      <c r="CY134" s="414"/>
      <c r="CZ134" s="414"/>
      <c r="DA134" s="414"/>
      <c r="DB134" s="414"/>
      <c r="DC134" s="414"/>
      <c r="DD134" s="414"/>
      <c r="DE134" s="414"/>
      <c r="DF134" s="414"/>
      <c r="DG134" s="414"/>
      <c r="DH134" s="414"/>
      <c r="DI134" s="414"/>
      <c r="DJ134" s="414"/>
      <c r="DK134" s="414"/>
      <c r="DL134" s="414"/>
      <c r="DM134" s="414"/>
      <c r="DN134" s="414"/>
      <c r="DO134" s="414"/>
      <c r="DP134" s="414"/>
      <c r="DQ134" s="414"/>
      <c r="DR134" s="414"/>
      <c r="DS134" s="414"/>
      <c r="DT134" s="414"/>
      <c r="DU134" s="414"/>
      <c r="DV134" s="414"/>
      <c r="DW134" s="414"/>
      <c r="DX134" s="414"/>
      <c r="DY134" s="414"/>
      <c r="DZ134" s="414"/>
      <c r="EA134" s="414"/>
      <c r="EB134" s="414"/>
    </row>
    <row r="135" spans="1:132" ht="18" customHeight="1" x14ac:dyDescent="0.25">
      <c r="A135" s="410" t="s">
        <v>367</v>
      </c>
      <c r="B135" s="411">
        <v>287.22859534000003</v>
      </c>
      <c r="C135" s="215">
        <v>268.57461703999996</v>
      </c>
      <c r="D135" s="215">
        <v>271.80349010999998</v>
      </c>
      <c r="E135" s="227">
        <v>278.44013769999998</v>
      </c>
      <c r="F135" s="215">
        <v>286.90412488999999</v>
      </c>
      <c r="G135" s="215">
        <v>288.87144493</v>
      </c>
      <c r="H135" s="215">
        <v>304.88393629999996</v>
      </c>
      <c r="I135" s="215">
        <v>302.04580614999998</v>
      </c>
      <c r="J135" s="215">
        <v>287.17521111000002</v>
      </c>
      <c r="K135" s="227">
        <v>266.01630877999997</v>
      </c>
      <c r="L135" s="215">
        <v>260.37415947</v>
      </c>
      <c r="M135" s="215">
        <v>254.00115382999999</v>
      </c>
      <c r="N135" s="215">
        <v>255.75935575999998</v>
      </c>
      <c r="O135" s="227">
        <v>265.67784211999998</v>
      </c>
      <c r="P135" s="215">
        <v>253.07559228</v>
      </c>
      <c r="Q135" s="215">
        <v>275.52187121999998</v>
      </c>
      <c r="R135" s="227">
        <v>264.80898824000002</v>
      </c>
      <c r="S135" s="215">
        <v>259.68262701999998</v>
      </c>
      <c r="T135" s="215">
        <v>260.29933140999998</v>
      </c>
      <c r="U135" s="217">
        <v>255.57459994000004</v>
      </c>
      <c r="V135" s="217">
        <v>257.82740379999996</v>
      </c>
      <c r="W135" s="217">
        <v>266.17066385000004</v>
      </c>
      <c r="X135" s="217">
        <v>263.3591194</v>
      </c>
      <c r="Y135" s="217">
        <v>261.91781927</v>
      </c>
      <c r="Z135" s="217">
        <v>376.70388485000001</v>
      </c>
      <c r="AA135" s="217">
        <v>373.41571051</v>
      </c>
      <c r="AB135" s="217">
        <v>373.60009302999998</v>
      </c>
      <c r="AC135" s="217">
        <v>310.98088115999997</v>
      </c>
      <c r="AD135" s="217">
        <v>290.2583755</v>
      </c>
      <c r="AE135" s="217">
        <v>304.09377171</v>
      </c>
      <c r="AF135" s="217">
        <v>328.52009240999996</v>
      </c>
      <c r="AG135" s="217">
        <v>308.09669937000001</v>
      </c>
      <c r="AH135" s="217">
        <v>368.9</v>
      </c>
      <c r="AI135" s="217">
        <v>523.92891439999994</v>
      </c>
      <c r="AJ135" s="217">
        <v>960.62879655559993</v>
      </c>
      <c r="AK135" s="217">
        <v>992.86634496319994</v>
      </c>
      <c r="AL135" s="217">
        <v>1013.8833783937943</v>
      </c>
      <c r="AM135" s="296">
        <v>565.47108052999999</v>
      </c>
      <c r="AN135" s="296">
        <v>543.84651354999994</v>
      </c>
      <c r="AO135" s="296">
        <v>539.95432477999998</v>
      </c>
      <c r="AP135" s="296">
        <v>536.61775257159991</v>
      </c>
      <c r="AQ135" s="296">
        <v>524.84483341319992</v>
      </c>
      <c r="AR135" s="411">
        <v>540.47310786119999</v>
      </c>
      <c r="AS135" s="411">
        <v>558.36207001999981</v>
      </c>
      <c r="AT135" s="411">
        <v>540.76934286680012</v>
      </c>
      <c r="AU135" s="411">
        <v>588.80363264519985</v>
      </c>
      <c r="AV135" s="411">
        <v>582.07076023253592</v>
      </c>
      <c r="AW135" s="414">
        <v>552.3987414515359</v>
      </c>
      <c r="AX135" s="414">
        <v>534.69526793</v>
      </c>
      <c r="AY135" s="414">
        <v>664.00430821229997</v>
      </c>
      <c r="AZ135" s="414">
        <v>680.07968300240009</v>
      </c>
      <c r="BA135" s="414">
        <v>692.8799637692</v>
      </c>
      <c r="BB135" s="414">
        <v>686.9660406859</v>
      </c>
      <c r="BC135" s="414">
        <v>678.24094486519994</v>
      </c>
      <c r="BD135" s="414">
        <v>720.8361377494</v>
      </c>
      <c r="BE135" s="414">
        <v>717.95302152829993</v>
      </c>
      <c r="BF135" s="414">
        <v>751.933831295</v>
      </c>
      <c r="BG135" s="414">
        <v>853.79386115799991</v>
      </c>
      <c r="BH135" s="414">
        <v>801.10988066959987</v>
      </c>
      <c r="BI135" s="414">
        <v>721.80350617299996</v>
      </c>
      <c r="BJ135" s="414">
        <v>725.91047188439984</v>
      </c>
      <c r="BK135" s="414">
        <v>717.14237654440001</v>
      </c>
      <c r="BL135" s="414">
        <v>720.14964042409997</v>
      </c>
      <c r="BM135" s="414">
        <v>747.15079339259989</v>
      </c>
      <c r="BN135" s="414">
        <v>750.4841369984</v>
      </c>
      <c r="BO135" s="414">
        <v>740.01755033759991</v>
      </c>
      <c r="BP135" s="414">
        <v>748.76030110579995</v>
      </c>
      <c r="BQ135" s="414">
        <v>777.59325813099997</v>
      </c>
      <c r="BR135" s="414">
        <v>782.57548280519995</v>
      </c>
      <c r="BS135" s="414">
        <v>856.2739621472</v>
      </c>
      <c r="BT135" s="414">
        <v>831.50493774565996</v>
      </c>
      <c r="BU135" s="414">
        <v>775.87189530757985</v>
      </c>
      <c r="BV135" s="414">
        <v>834.00912094664784</v>
      </c>
      <c r="BW135" s="414">
        <v>848.81595775108985</v>
      </c>
      <c r="BX135" s="414">
        <v>860.85738501499986</v>
      </c>
      <c r="BY135" s="414">
        <v>822.34834222079996</v>
      </c>
      <c r="BZ135" s="414">
        <v>817.9</v>
      </c>
      <c r="CA135" s="414">
        <v>855.84220932099993</v>
      </c>
      <c r="CB135" s="414">
        <v>844.1303506595998</v>
      </c>
      <c r="CC135" s="414">
        <v>845.40651498400007</v>
      </c>
      <c r="CD135" s="414">
        <v>851.8241941721559</v>
      </c>
      <c r="CE135" s="414">
        <v>879.45149189775145</v>
      </c>
      <c r="CF135" s="414">
        <v>847.42423840325171</v>
      </c>
      <c r="CG135" s="414">
        <v>930.98119326842675</v>
      </c>
      <c r="CH135" s="414">
        <v>907.2158339312831</v>
      </c>
      <c r="CI135" s="414">
        <v>900.6764657024205</v>
      </c>
      <c r="CJ135" s="414">
        <v>904.56211778885222</v>
      </c>
      <c r="CK135" s="414">
        <v>906.93730028648292</v>
      </c>
      <c r="CL135" s="414">
        <v>891.49755444556877</v>
      </c>
      <c r="CM135" s="414">
        <v>879.31322582952362</v>
      </c>
      <c r="CN135" s="414">
        <v>891.03589320329581</v>
      </c>
      <c r="CO135" s="414">
        <v>901.59371009464996</v>
      </c>
      <c r="CP135" s="443">
        <v>898.47083334900003</v>
      </c>
      <c r="CQ135" s="414">
        <v>860.62865851580045</v>
      </c>
      <c r="CR135" s="414">
        <v>818.63846881380005</v>
      </c>
      <c r="CS135" s="414">
        <v>797.71078354716428</v>
      </c>
      <c r="CT135" s="414">
        <v>774.64583047026292</v>
      </c>
      <c r="CU135" s="414">
        <v>786.34225321999986</v>
      </c>
      <c r="CV135" s="414">
        <v>767.36605586999997</v>
      </c>
      <c r="CW135" s="414">
        <v>765.64428003</v>
      </c>
      <c r="CX135" s="414">
        <v>746.00475429999995</v>
      </c>
      <c r="CY135" s="414">
        <v>749.9742449306566</v>
      </c>
      <c r="CZ135" s="414">
        <v>754.41266814492781</v>
      </c>
      <c r="DA135" s="414">
        <v>771.5635490162382</v>
      </c>
      <c r="DB135" s="414">
        <v>773.95310087568714</v>
      </c>
      <c r="DC135" s="414">
        <v>821.95893290021331</v>
      </c>
      <c r="DD135" s="414">
        <v>782.86765844573677</v>
      </c>
      <c r="DE135" s="414">
        <v>767.90108917109694</v>
      </c>
      <c r="DF135" s="414">
        <v>756.27169115575009</v>
      </c>
      <c r="DG135" s="414">
        <v>761.61426595219996</v>
      </c>
      <c r="DH135" s="414">
        <v>762.32739877799986</v>
      </c>
      <c r="DI135" s="414">
        <v>737.778176534267</v>
      </c>
      <c r="DJ135" s="414">
        <v>724.98576555237196</v>
      </c>
      <c r="DK135" s="414">
        <v>722.81563064809995</v>
      </c>
      <c r="DL135" s="414">
        <v>738.72874860402942</v>
      </c>
      <c r="DM135" s="414">
        <v>750.79375091250006</v>
      </c>
      <c r="DN135" s="414">
        <v>752.05772466572114</v>
      </c>
      <c r="DO135" s="414">
        <v>767.44194938519991</v>
      </c>
      <c r="DP135" s="414">
        <v>1118.4337006675921</v>
      </c>
      <c r="DQ135" s="414">
        <v>1103.5421009328199</v>
      </c>
      <c r="DR135" s="414">
        <v>905.92171600255017</v>
      </c>
      <c r="DS135" s="414">
        <v>912.17815612000004</v>
      </c>
      <c r="DT135" s="414">
        <v>888.49426200064988</v>
      </c>
      <c r="DU135" s="414">
        <v>887.41370099560004</v>
      </c>
      <c r="DV135" s="414">
        <v>877.47777374444001</v>
      </c>
      <c r="DW135" s="414">
        <v>884.14097041140008</v>
      </c>
      <c r="DX135" s="414">
        <v>894.42891924068988</v>
      </c>
      <c r="DY135" s="414">
        <v>910.38640921912395</v>
      </c>
      <c r="DZ135" s="414">
        <v>1004.3112201918634</v>
      </c>
      <c r="EA135" s="414">
        <v>994.05372006507707</v>
      </c>
      <c r="EB135" s="414">
        <v>987.22168927149983</v>
      </c>
    </row>
    <row r="136" spans="1:132" ht="7.7" customHeight="1" x14ac:dyDescent="0.25">
      <c r="A136" s="410"/>
      <c r="B136" s="411"/>
      <c r="C136" s="215"/>
      <c r="D136" s="215"/>
      <c r="E136" s="227"/>
      <c r="F136" s="215"/>
      <c r="G136" s="215"/>
      <c r="H136" s="215"/>
      <c r="I136" s="215"/>
      <c r="J136" s="215"/>
      <c r="K136" s="227"/>
      <c r="L136" s="215"/>
      <c r="M136" s="215"/>
      <c r="N136" s="215"/>
      <c r="O136" s="227"/>
      <c r="P136" s="215"/>
      <c r="Q136" s="215"/>
      <c r="R136" s="227"/>
      <c r="S136" s="215"/>
      <c r="T136" s="215"/>
      <c r="U136" s="217"/>
      <c r="V136" s="217"/>
      <c r="W136" s="217"/>
      <c r="X136" s="217"/>
      <c r="Y136" s="217"/>
      <c r="Z136" s="217"/>
      <c r="AA136" s="217"/>
      <c r="AB136" s="217"/>
      <c r="AC136" s="217"/>
      <c r="AD136" s="217"/>
      <c r="AE136" s="217"/>
      <c r="AF136" s="217"/>
      <c r="AG136" s="217"/>
      <c r="AH136" s="217"/>
      <c r="AI136" s="217"/>
      <c r="AJ136" s="217"/>
      <c r="AK136" s="217"/>
      <c r="AL136" s="217"/>
      <c r="AM136" s="296"/>
      <c r="AN136" s="296"/>
      <c r="AO136" s="296"/>
      <c r="AP136" s="296"/>
      <c r="AQ136" s="296"/>
      <c r="AR136" s="411"/>
      <c r="AS136" s="411"/>
      <c r="AT136" s="411"/>
      <c r="AU136" s="411"/>
      <c r="AV136" s="411"/>
      <c r="AW136" s="414"/>
      <c r="AX136" s="414"/>
      <c r="AY136" s="414"/>
      <c r="AZ136" s="414"/>
      <c r="BA136" s="414"/>
      <c r="BB136" s="414"/>
      <c r="BC136" s="414"/>
      <c r="BD136" s="414"/>
      <c r="BE136" s="414"/>
      <c r="BF136" s="414"/>
      <c r="BG136" s="414"/>
      <c r="BH136" s="414"/>
      <c r="BI136" s="414"/>
      <c r="BJ136" s="414"/>
      <c r="BK136" s="414"/>
      <c r="BL136" s="414"/>
      <c r="BM136" s="414"/>
      <c r="BN136" s="414"/>
      <c r="BO136" s="414"/>
      <c r="BP136" s="414"/>
      <c r="BQ136" s="414"/>
      <c r="BR136" s="414"/>
      <c r="BS136" s="414"/>
      <c r="BT136" s="414"/>
      <c r="BU136" s="414"/>
      <c r="BV136" s="414"/>
      <c r="BW136" s="414"/>
      <c r="BX136" s="414"/>
      <c r="BY136" s="414"/>
      <c r="BZ136" s="414"/>
      <c r="CA136" s="414"/>
      <c r="CB136" s="414"/>
      <c r="CC136" s="414"/>
      <c r="CD136" s="414"/>
      <c r="CE136" s="414"/>
      <c r="CF136" s="414"/>
      <c r="CG136" s="414"/>
      <c r="CH136" s="414"/>
      <c r="CI136" s="414"/>
      <c r="CJ136" s="414"/>
      <c r="CK136" s="414"/>
      <c r="CL136" s="414"/>
      <c r="CM136" s="414"/>
      <c r="CN136" s="414"/>
      <c r="CO136" s="414"/>
      <c r="CP136" s="443"/>
      <c r="CQ136" s="414"/>
      <c r="CR136" s="414"/>
      <c r="CS136" s="414"/>
      <c r="CT136" s="414"/>
      <c r="CU136" s="414"/>
      <c r="CV136" s="414"/>
      <c r="CW136" s="414"/>
      <c r="CX136" s="414"/>
      <c r="CY136" s="414"/>
      <c r="CZ136" s="414"/>
      <c r="DA136" s="414"/>
      <c r="DB136" s="414"/>
      <c r="DC136" s="414"/>
      <c r="DD136" s="414"/>
      <c r="DE136" s="414"/>
      <c r="DF136" s="414"/>
      <c r="DG136" s="414"/>
      <c r="DH136" s="414"/>
      <c r="DI136" s="414"/>
      <c r="DJ136" s="414"/>
      <c r="DK136" s="414"/>
      <c r="DL136" s="414"/>
      <c r="DM136" s="414"/>
      <c r="DN136" s="414"/>
      <c r="DO136" s="414"/>
      <c r="DP136" s="414"/>
      <c r="DQ136" s="414"/>
      <c r="DR136" s="414"/>
      <c r="DS136" s="414"/>
      <c r="DT136" s="414"/>
      <c r="DU136" s="414"/>
      <c r="DV136" s="414"/>
      <c r="DW136" s="414"/>
      <c r="DX136" s="414"/>
      <c r="DY136" s="414"/>
      <c r="DZ136" s="414"/>
      <c r="EA136" s="414"/>
      <c r="EB136" s="414"/>
    </row>
    <row r="137" spans="1:132" ht="18" customHeight="1" x14ac:dyDescent="0.25">
      <c r="A137" s="410" t="s">
        <v>190</v>
      </c>
      <c r="B137" s="411">
        <v>3495.4060436655004</v>
      </c>
      <c r="C137" s="215">
        <v>3463.0868282900005</v>
      </c>
      <c r="D137" s="215">
        <v>3503.1578714400007</v>
      </c>
      <c r="E137" s="227">
        <v>3483.4067525400001</v>
      </c>
      <c r="F137" s="215">
        <v>3602.61958383</v>
      </c>
      <c r="G137" s="215">
        <v>3670.8665471857644</v>
      </c>
      <c r="H137" s="215">
        <v>3689.0085963916008</v>
      </c>
      <c r="I137" s="215">
        <v>3705.8467303952002</v>
      </c>
      <c r="J137" s="215">
        <v>3732.1354258000001</v>
      </c>
      <c r="K137" s="227">
        <v>3734.0565967800003</v>
      </c>
      <c r="L137" s="215">
        <v>3759.0404508899996</v>
      </c>
      <c r="M137" s="215">
        <v>3730.4103821800009</v>
      </c>
      <c r="N137" s="215">
        <v>3779.6788263600001</v>
      </c>
      <c r="O137" s="227">
        <v>3745.8267996322002</v>
      </c>
      <c r="P137" s="215">
        <v>3775.3151233425074</v>
      </c>
      <c r="Q137" s="215">
        <v>3774.4853250792703</v>
      </c>
      <c r="R137" s="227">
        <v>3814.1635492099999</v>
      </c>
      <c r="S137" s="215">
        <v>3771.2450374700002</v>
      </c>
      <c r="T137" s="215">
        <v>3932.4980923250005</v>
      </c>
      <c r="U137" s="217">
        <v>3944.4684254852641</v>
      </c>
      <c r="V137" s="217">
        <v>3921.2089620711199</v>
      </c>
      <c r="W137" s="217">
        <v>4119.4561187726003</v>
      </c>
      <c r="X137" s="217">
        <v>4186.4620973402816</v>
      </c>
      <c r="Y137" s="217">
        <v>4160.0414260899906</v>
      </c>
      <c r="Z137" s="217">
        <v>4188.7184778990477</v>
      </c>
      <c r="AA137" s="217">
        <v>4122.2671755176079</v>
      </c>
      <c r="AB137" s="217">
        <v>4141.6132560283495</v>
      </c>
      <c r="AC137" s="217">
        <v>3898.0161843115002</v>
      </c>
      <c r="AD137" s="217">
        <v>4029.7373025354223</v>
      </c>
      <c r="AE137" s="217">
        <v>3973.9226638123228</v>
      </c>
      <c r="AF137" s="217">
        <v>4004.3397574744381</v>
      </c>
      <c r="AG137" s="217">
        <v>4079.3047442599245</v>
      </c>
      <c r="AH137" s="217">
        <v>4215.7</v>
      </c>
      <c r="AI137" s="217">
        <v>2462.7319088359995</v>
      </c>
      <c r="AJ137" s="217">
        <v>2775.2731997699998</v>
      </c>
      <c r="AK137" s="217">
        <v>2845.9925425557999</v>
      </c>
      <c r="AL137" s="217">
        <v>2837.6308934987046</v>
      </c>
      <c r="AM137" s="296">
        <v>2994.6119232731303</v>
      </c>
      <c r="AN137" s="296">
        <v>3144.7994182091443</v>
      </c>
      <c r="AO137" s="296">
        <v>2889.6156511134482</v>
      </c>
      <c r="AP137" s="296">
        <v>2777.1144497336099</v>
      </c>
      <c r="AQ137" s="296">
        <v>3018.215215511972</v>
      </c>
      <c r="AR137" s="411">
        <v>3201.9728741976014</v>
      </c>
      <c r="AS137" s="411">
        <v>3121.5566809412148</v>
      </c>
      <c r="AT137" s="411">
        <v>2620.4928808828722</v>
      </c>
      <c r="AU137" s="411">
        <v>2559.6456402468311</v>
      </c>
      <c r="AV137" s="411">
        <v>2610.9228676949997</v>
      </c>
      <c r="AW137" s="414">
        <v>2703.7054057018004</v>
      </c>
      <c r="AX137" s="414">
        <v>2739.8482486984003</v>
      </c>
      <c r="AY137" s="414">
        <v>2622.4679033689022</v>
      </c>
      <c r="AZ137" s="414">
        <v>2678.5375096307034</v>
      </c>
      <c r="BA137" s="414">
        <v>2617.8935571328011</v>
      </c>
      <c r="BB137" s="414">
        <v>2801.1162319305026</v>
      </c>
      <c r="BC137" s="414">
        <v>2941.0691630948991</v>
      </c>
      <c r="BD137" s="414">
        <v>2997.8981908490996</v>
      </c>
      <c r="BE137" s="414">
        <v>3017.73419649775</v>
      </c>
      <c r="BF137" s="414">
        <v>3151.9361739134597</v>
      </c>
      <c r="BG137" s="414">
        <v>3372.6850810739998</v>
      </c>
      <c r="BH137" s="414">
        <v>2955.6650639512973</v>
      </c>
      <c r="BI137" s="414">
        <v>2969.1681793196899</v>
      </c>
      <c r="BJ137" s="414">
        <v>3110.1530933591939</v>
      </c>
      <c r="BK137" s="414">
        <v>3030.9645218530968</v>
      </c>
      <c r="BL137" s="414">
        <v>3110.4851732094876</v>
      </c>
      <c r="BM137" s="414">
        <v>2991.4671679805929</v>
      </c>
      <c r="BN137" s="414">
        <v>3189.4581636220132</v>
      </c>
      <c r="BO137" s="414">
        <v>3144.4655955957974</v>
      </c>
      <c r="BP137" s="414">
        <v>3194.3426015998025</v>
      </c>
      <c r="BQ137" s="414">
        <v>3222.8904434173969</v>
      </c>
      <c r="BR137" s="414">
        <v>3336.5052414087991</v>
      </c>
      <c r="BS137" s="414">
        <v>3286.1066347392289</v>
      </c>
      <c r="BT137" s="414">
        <v>3392.8866640527458</v>
      </c>
      <c r="BU137" s="414">
        <v>3543.9502632694848</v>
      </c>
      <c r="BV137" s="414">
        <v>3655.0392261147399</v>
      </c>
      <c r="BW137" s="414">
        <v>3469.0694648409908</v>
      </c>
      <c r="BX137" s="414">
        <v>3580.6173286935004</v>
      </c>
      <c r="BY137" s="414">
        <v>3482.9893226881004</v>
      </c>
      <c r="BZ137" s="414">
        <v>3501.2</v>
      </c>
      <c r="CA137" s="414">
        <v>3575.6429674932019</v>
      </c>
      <c r="CB137" s="414">
        <v>3732.5913901994022</v>
      </c>
      <c r="CC137" s="414">
        <v>3778.12939158071</v>
      </c>
      <c r="CD137" s="414">
        <v>3773.33948217446</v>
      </c>
      <c r="CE137" s="414">
        <v>3880.0944014819638</v>
      </c>
      <c r="CF137" s="414">
        <v>3825.3364619346812</v>
      </c>
      <c r="CG137" s="414">
        <v>3910.7728696278741</v>
      </c>
      <c r="CH137" s="414">
        <v>4064.676398511127</v>
      </c>
      <c r="CI137" s="414">
        <v>3926.5127865058316</v>
      </c>
      <c r="CJ137" s="414">
        <v>3880.4472806399667</v>
      </c>
      <c r="CK137" s="414">
        <v>3914.3336355180759</v>
      </c>
      <c r="CL137" s="414">
        <v>4177.935634621821</v>
      </c>
      <c r="CM137" s="414">
        <v>4388.3289618207818</v>
      </c>
      <c r="CN137" s="414">
        <v>4418.2484915072973</v>
      </c>
      <c r="CO137" s="414">
        <v>4287.9070101081552</v>
      </c>
      <c r="CP137" s="443">
        <v>4450.0745939365497</v>
      </c>
      <c r="CQ137" s="414">
        <v>4414.5542276500246</v>
      </c>
      <c r="CR137" s="414">
        <v>4228.1866369521595</v>
      </c>
      <c r="CS137" s="414">
        <v>3643.8162029642785</v>
      </c>
      <c r="CT137" s="414">
        <v>3517.3942258972816</v>
      </c>
      <c r="CU137" s="414">
        <v>3682.8323869530741</v>
      </c>
      <c r="CV137" s="414">
        <v>3112.1734134348353</v>
      </c>
      <c r="CW137" s="414">
        <v>3164.107898412597</v>
      </c>
      <c r="CX137" s="414">
        <v>3283.8196822750156</v>
      </c>
      <c r="CY137" s="414">
        <v>3442.8228660888581</v>
      </c>
      <c r="CZ137" s="414">
        <v>3726.2780157122579</v>
      </c>
      <c r="DA137" s="414">
        <v>3839.3185973463405</v>
      </c>
      <c r="DB137" s="414">
        <v>3827.2469729321028</v>
      </c>
      <c r="DC137" s="414">
        <v>3426.731309662508</v>
      </c>
      <c r="DD137" s="414">
        <v>3816.7446234835515</v>
      </c>
      <c r="DE137" s="414">
        <v>3805.1943355516441</v>
      </c>
      <c r="DF137" s="414">
        <v>3808.1759664241167</v>
      </c>
      <c r="DG137" s="414">
        <v>3805.5709010132891</v>
      </c>
      <c r="DH137" s="414">
        <v>3798.8029588734412</v>
      </c>
      <c r="DI137" s="414">
        <v>3861.1447428492279</v>
      </c>
      <c r="DJ137" s="414">
        <v>3824.2655458724594</v>
      </c>
      <c r="DK137" s="414">
        <v>3822.0961450874661</v>
      </c>
      <c r="DL137" s="414">
        <v>3701.9610608330372</v>
      </c>
      <c r="DM137" s="414">
        <v>3762.027699747774</v>
      </c>
      <c r="DN137" s="414">
        <v>3890.4416230095812</v>
      </c>
      <c r="DO137" s="414">
        <v>3776.9623065803316</v>
      </c>
      <c r="DP137" s="414">
        <v>3934.023154317545</v>
      </c>
      <c r="DQ137" s="414">
        <v>3960.1377130184901</v>
      </c>
      <c r="DR137" s="414">
        <v>4181.8500191304993</v>
      </c>
      <c r="DS137" s="414">
        <v>4272.9909111955076</v>
      </c>
      <c r="DT137" s="414">
        <v>4310.9812464637671</v>
      </c>
      <c r="DU137" s="414">
        <v>4100.501708427114</v>
      </c>
      <c r="DV137" s="414">
        <v>4266.1312762476973</v>
      </c>
      <c r="DW137" s="414">
        <v>4309.7784362837774</v>
      </c>
      <c r="DX137" s="414">
        <v>4784.5555760353982</v>
      </c>
      <c r="DY137" s="414">
        <v>5019.3533917810391</v>
      </c>
      <c r="DZ137" s="414">
        <v>5213.2522597018487</v>
      </c>
      <c r="EA137" s="414">
        <v>4981.5132014867158</v>
      </c>
      <c r="EB137" s="414">
        <v>4353.9920036009353</v>
      </c>
    </row>
    <row r="138" spans="1:132" x14ac:dyDescent="0.25">
      <c r="A138" s="410"/>
      <c r="B138" s="411"/>
      <c r="C138" s="215"/>
      <c r="D138" s="215"/>
      <c r="E138" s="227"/>
      <c r="F138" s="215"/>
      <c r="G138" s="215"/>
      <c r="H138" s="215"/>
      <c r="I138" s="215"/>
      <c r="J138" s="215"/>
      <c r="K138" s="227"/>
      <c r="L138" s="215"/>
      <c r="M138" s="215"/>
      <c r="N138" s="215"/>
      <c r="O138" s="227"/>
      <c r="P138" s="215"/>
      <c r="Q138" s="215"/>
      <c r="R138" s="227"/>
      <c r="S138" s="215"/>
      <c r="T138" s="215"/>
      <c r="U138" s="217"/>
      <c r="V138" s="217"/>
      <c r="W138" s="217"/>
      <c r="X138" s="217"/>
      <c r="Y138" s="217"/>
      <c r="Z138" s="217"/>
      <c r="AA138" s="217"/>
      <c r="AB138" s="217"/>
      <c r="AC138" s="217"/>
      <c r="AD138" s="217"/>
      <c r="AE138" s="217"/>
      <c r="AF138" s="217"/>
      <c r="AG138" s="217"/>
      <c r="AH138" s="217"/>
      <c r="AI138" s="217"/>
      <c r="AJ138" s="217"/>
      <c r="AK138" s="217"/>
      <c r="AL138" s="217"/>
      <c r="AM138" s="296"/>
      <c r="AN138" s="296"/>
      <c r="AO138" s="296"/>
      <c r="AP138" s="296"/>
      <c r="AQ138" s="297"/>
      <c r="AR138" s="411"/>
      <c r="AS138" s="411"/>
      <c r="AT138" s="411"/>
      <c r="AU138" s="411"/>
      <c r="AV138" s="411"/>
      <c r="AW138" s="414"/>
      <c r="AX138" s="414"/>
      <c r="AY138" s="414"/>
      <c r="AZ138" s="414"/>
      <c r="BA138" s="414"/>
      <c r="BB138" s="414"/>
      <c r="BC138" s="414"/>
      <c r="BD138" s="414"/>
      <c r="BE138" s="414"/>
      <c r="BF138" s="414"/>
      <c r="BG138" s="414"/>
      <c r="BH138" s="414"/>
      <c r="BI138" s="414"/>
      <c r="BJ138" s="414"/>
      <c r="BK138" s="414"/>
      <c r="BL138" s="414"/>
      <c r="BM138" s="414"/>
      <c r="BN138" s="414"/>
      <c r="BO138" s="414"/>
      <c r="BP138" s="414"/>
      <c r="BQ138" s="414"/>
      <c r="BR138" s="414"/>
      <c r="BS138" s="414"/>
      <c r="BT138" s="414"/>
      <c r="BU138" s="414"/>
      <c r="BV138" s="414"/>
      <c r="BW138" s="414"/>
      <c r="BX138" s="414"/>
      <c r="BY138" s="414"/>
      <c r="BZ138" s="414"/>
      <c r="CA138" s="414"/>
      <c r="CB138" s="414"/>
      <c r="CC138" s="414"/>
      <c r="CD138" s="414"/>
      <c r="CE138" s="414"/>
      <c r="CF138" s="414"/>
      <c r="CG138" s="414"/>
      <c r="CH138" s="414"/>
      <c r="CI138" s="414"/>
      <c r="CJ138" s="414"/>
      <c r="CK138" s="414"/>
      <c r="CL138" s="414"/>
      <c r="CM138" s="414"/>
      <c r="CN138" s="414"/>
      <c r="CO138" s="414"/>
      <c r="CP138" s="443"/>
      <c r="CQ138" s="414"/>
      <c r="CR138" s="414"/>
      <c r="CS138" s="414"/>
      <c r="CT138" s="414"/>
      <c r="CU138" s="414"/>
      <c r="CV138" s="414"/>
      <c r="CW138" s="414"/>
      <c r="CX138" s="414"/>
      <c r="CY138" s="414"/>
      <c r="CZ138" s="414"/>
      <c r="DA138" s="414"/>
      <c r="DB138" s="414"/>
      <c r="DC138" s="414"/>
      <c r="DD138" s="414"/>
      <c r="DE138" s="414"/>
      <c r="DF138" s="414"/>
      <c r="DG138" s="414"/>
      <c r="DH138" s="414"/>
      <c r="DI138" s="414"/>
      <c r="DJ138" s="414"/>
      <c r="DK138" s="414"/>
      <c r="DL138" s="414"/>
      <c r="DM138" s="414"/>
      <c r="DN138" s="414"/>
      <c r="DO138" s="414"/>
      <c r="DP138" s="414"/>
      <c r="DQ138" s="414"/>
      <c r="DR138" s="414"/>
      <c r="DS138" s="414"/>
      <c r="DT138" s="414"/>
      <c r="DU138" s="414"/>
      <c r="DV138" s="414"/>
      <c r="DW138" s="414"/>
      <c r="DX138" s="414"/>
      <c r="DY138" s="414"/>
      <c r="DZ138" s="414"/>
      <c r="EA138" s="414"/>
      <c r="EB138" s="414"/>
    </row>
    <row r="139" spans="1:132" ht="28.5" customHeight="1" thickBot="1" x14ac:dyDescent="0.3">
      <c r="A139" s="446" t="s">
        <v>246</v>
      </c>
      <c r="B139" s="447">
        <f>B4+B16+B36+B46+B53+B69+B83+B93+B104+B113+B115+B117+B119+B121+B123+B125+B127+B129+B131+B133+B135+B137</f>
        <v>105066.44738915763</v>
      </c>
      <c r="C139" s="448">
        <f>C4+C16+C36+C46+C53+C69+C83+C93+C104+C113+C115+C117+C119+C121+C123+C125+C127+C129+C131+C133+C135+C137</f>
        <v>106387.98206130305</v>
      </c>
      <c r="D139" s="448">
        <f>D4+D16+D36+D46+D53+D69+D83+D93+D104+D113+D115+D117+D119+D121+D123+D125+D127+D129+D131+D133+D135+D137</f>
        <v>105751.44392507621</v>
      </c>
      <c r="E139" s="449">
        <f>E4+E16+E36+E46+E53+E69+E83+E93+E104+E113+E115+E117+E119+E121+E123+E125+E127+E129+E131+E133+E135+E137</f>
        <v>109143.81420217246</v>
      </c>
      <c r="F139" s="448">
        <v>111006.9700187656</v>
      </c>
      <c r="G139" s="448">
        <v>112633.48531363475</v>
      </c>
      <c r="H139" s="448">
        <f>116014.177660686+0.1</f>
        <v>116014.277660686</v>
      </c>
      <c r="I139" s="448">
        <v>115365.01556880238</v>
      </c>
      <c r="J139" s="448">
        <v>115374.80138122493</v>
      </c>
      <c r="K139" s="449">
        <v>115187.43252135989</v>
      </c>
      <c r="L139" s="448">
        <v>117809.48173978864</v>
      </c>
      <c r="M139" s="448">
        <v>118389.64262317181</v>
      </c>
      <c r="N139" s="448">
        <v>119471.44921010851</v>
      </c>
      <c r="O139" s="449">
        <v>122489.69981252497</v>
      </c>
      <c r="P139" s="448">
        <v>124473.72340609964</v>
      </c>
      <c r="Q139" s="448">
        <v>125528.91399626393</v>
      </c>
      <c r="R139" s="449">
        <v>127522.71225632911</v>
      </c>
      <c r="S139" s="448">
        <v>129013.04939609711</v>
      </c>
      <c r="T139" s="448">
        <v>131332.53047524224</v>
      </c>
      <c r="U139" s="450">
        <v>131417.67363209874</v>
      </c>
      <c r="V139" s="450">
        <v>130153.87655828777</v>
      </c>
      <c r="W139" s="450">
        <v>130240.43106546746</v>
      </c>
      <c r="X139" s="450">
        <v>130167.708</v>
      </c>
      <c r="Y139" s="450">
        <v>129289.92308643575</v>
      </c>
      <c r="Z139" s="450">
        <v>131381</v>
      </c>
      <c r="AA139" s="450">
        <v>131346.90959974233</v>
      </c>
      <c r="AB139" s="450">
        <v>134752.59892060608</v>
      </c>
      <c r="AC139" s="450">
        <v>135521.74101220103</v>
      </c>
      <c r="AD139" s="450">
        <v>138251.29535184326</v>
      </c>
      <c r="AE139" s="450">
        <v>140161.11722737836</v>
      </c>
      <c r="AF139" s="450">
        <v>145312.16251779645</v>
      </c>
      <c r="AG139" s="450">
        <v>147312.52759034661</v>
      </c>
      <c r="AH139" s="450">
        <v>147155.9</v>
      </c>
      <c r="AI139" s="450">
        <v>148058.6219404086</v>
      </c>
      <c r="AJ139" s="450">
        <v>150285.86448609616</v>
      </c>
      <c r="AK139" s="450">
        <v>152894.7702483997</v>
      </c>
      <c r="AL139" s="450">
        <v>155847.04161019632</v>
      </c>
      <c r="AM139" s="451">
        <v>159158.03487041316</v>
      </c>
      <c r="AN139" s="451">
        <v>159961.94220362703</v>
      </c>
      <c r="AO139" s="451">
        <v>166659.06347528775</v>
      </c>
      <c r="AP139" s="451">
        <v>169990.72098901286</v>
      </c>
      <c r="AQ139" s="296">
        <v>174227.13479766902</v>
      </c>
      <c r="AR139" s="447">
        <v>178924.55683905896</v>
      </c>
      <c r="AS139" s="447">
        <v>178413.0052715787</v>
      </c>
      <c r="AT139" s="447">
        <v>179015.02899586226</v>
      </c>
      <c r="AU139" s="447">
        <v>180230.98627791257</v>
      </c>
      <c r="AV139" s="447">
        <v>180559.19136943814</v>
      </c>
      <c r="AW139" s="452">
        <v>180922.88182509568</v>
      </c>
      <c r="AX139" s="452">
        <v>182681.42841028146</v>
      </c>
      <c r="AY139" s="452">
        <v>183340.94624707245</v>
      </c>
      <c r="AZ139" s="452">
        <v>183257.24700655282</v>
      </c>
      <c r="BA139" s="452">
        <v>181828.06830667562</v>
      </c>
      <c r="BB139" s="452">
        <v>181937.46630088161</v>
      </c>
      <c r="BC139" s="452">
        <v>182475.39384223995</v>
      </c>
      <c r="BD139" s="452">
        <v>184649.7119032123</v>
      </c>
      <c r="BE139" s="452">
        <v>184838.64385492675</v>
      </c>
      <c r="BF139" s="452">
        <v>185718.54753487738</v>
      </c>
      <c r="BG139" s="452">
        <v>188527.22214210039</v>
      </c>
      <c r="BH139" s="452">
        <v>188747.35259042089</v>
      </c>
      <c r="BI139" s="452">
        <v>192682.31333726743</v>
      </c>
      <c r="BJ139" s="452">
        <v>197816.45518417677</v>
      </c>
      <c r="BK139" s="452">
        <v>197245.32228771379</v>
      </c>
      <c r="BL139" s="414">
        <v>199695.79664051268</v>
      </c>
      <c r="BM139" s="414">
        <v>201328.75788357155</v>
      </c>
      <c r="BN139" s="414">
        <v>203273.25358399548</v>
      </c>
      <c r="BO139" s="414">
        <v>205107.19099190805</v>
      </c>
      <c r="BP139" s="414">
        <v>209569.52233308143</v>
      </c>
      <c r="BQ139" s="414">
        <v>207568.98456094388</v>
      </c>
      <c r="BR139" s="414">
        <v>209549.09140138922</v>
      </c>
      <c r="BS139" s="414">
        <v>209888.60986707319</v>
      </c>
      <c r="BT139" s="414">
        <v>211800.46138989946</v>
      </c>
      <c r="BU139" s="414">
        <v>212768.37474378379</v>
      </c>
      <c r="BV139" s="414">
        <v>216575.1715983022</v>
      </c>
      <c r="BW139" s="414">
        <v>218523.59266863906</v>
      </c>
      <c r="BX139" s="414">
        <v>220548.85725317549</v>
      </c>
      <c r="BY139" s="414">
        <v>222972.4538581646</v>
      </c>
      <c r="BZ139" s="414">
        <v>224812.79999999999</v>
      </c>
      <c r="CA139" s="414">
        <v>227091.29748322355</v>
      </c>
      <c r="CB139" s="414">
        <v>227043.85779236624</v>
      </c>
      <c r="CC139" s="414">
        <v>226985.83246727078</v>
      </c>
      <c r="CD139" s="414">
        <v>227198.93230258458</v>
      </c>
      <c r="CE139" s="414">
        <v>227801.3222094317</v>
      </c>
      <c r="CF139" s="414">
        <v>229270.21018310881</v>
      </c>
      <c r="CG139" s="414">
        <v>233658.74336860396</v>
      </c>
      <c r="CH139" s="414">
        <v>239760.28391368265</v>
      </c>
      <c r="CI139" s="414">
        <v>241238.13508193026</v>
      </c>
      <c r="CJ139" s="414">
        <v>243746.9147957883</v>
      </c>
      <c r="CK139" s="414">
        <v>245348.93434200805</v>
      </c>
      <c r="CL139" s="414">
        <v>248597.05051805204</v>
      </c>
      <c r="CM139" s="414">
        <v>251397.12366484999</v>
      </c>
      <c r="CN139" s="414">
        <v>256025.13014473565</v>
      </c>
      <c r="CO139" s="414">
        <v>255001.6336831318</v>
      </c>
      <c r="CP139" s="443">
        <v>257387.32143570355</v>
      </c>
      <c r="CQ139" s="414">
        <v>257643.67660763819</v>
      </c>
      <c r="CR139" s="414">
        <v>257670.66242184059</v>
      </c>
      <c r="CS139" s="414">
        <v>256179.44728160565</v>
      </c>
      <c r="CT139" s="414">
        <v>258852.45213714559</v>
      </c>
      <c r="CU139" s="414">
        <v>260128.75094780556</v>
      </c>
      <c r="CV139" s="414">
        <v>263783.04143004393</v>
      </c>
      <c r="CW139" s="414">
        <v>267359.17556932016</v>
      </c>
      <c r="CX139" s="414">
        <v>266006.03698277473</v>
      </c>
      <c r="CY139" s="414">
        <v>269219.67555346497</v>
      </c>
      <c r="CZ139" s="414">
        <v>271247.48784599046</v>
      </c>
      <c r="DA139" s="414">
        <v>269591.54167981009</v>
      </c>
      <c r="DB139" s="414">
        <v>270590.40538475133</v>
      </c>
      <c r="DC139" s="414">
        <v>271015.3508820681</v>
      </c>
      <c r="DD139" s="414">
        <v>270098.43101347232</v>
      </c>
      <c r="DE139" s="414">
        <v>267723.53365661314</v>
      </c>
      <c r="DF139" s="414">
        <v>268044.96930909943</v>
      </c>
      <c r="DG139" s="414">
        <v>266955.98553816153</v>
      </c>
      <c r="DH139" s="414">
        <v>265186.16516963299</v>
      </c>
      <c r="DI139" s="414">
        <v>265796.56535512098</v>
      </c>
      <c r="DJ139" s="414">
        <v>267718.25517783168</v>
      </c>
      <c r="DK139" s="414">
        <v>273050.75039239757</v>
      </c>
      <c r="DL139" s="414">
        <v>274646.60771470465</v>
      </c>
      <c r="DM139" s="414">
        <v>273834.09189040656</v>
      </c>
      <c r="DN139" s="414">
        <v>273721.65855077124</v>
      </c>
      <c r="DO139" s="414">
        <v>278141.09275418392</v>
      </c>
      <c r="DP139" s="414">
        <v>274344.42462304875</v>
      </c>
      <c r="DQ139" s="414">
        <v>274427.27156528441</v>
      </c>
      <c r="DR139" s="414">
        <v>275266.0622954446</v>
      </c>
      <c r="DS139" s="414">
        <v>277034.7395694633</v>
      </c>
      <c r="DT139" s="414">
        <v>279740.96107182634</v>
      </c>
      <c r="DU139" s="414">
        <v>279700.28702476062</v>
      </c>
      <c r="DV139" s="414">
        <v>279713.3168806833</v>
      </c>
      <c r="DW139" s="414">
        <v>283088.72856319527</v>
      </c>
      <c r="DX139" s="414">
        <v>286171.56923292112</v>
      </c>
      <c r="DY139" s="414">
        <v>286396.96177848347</v>
      </c>
      <c r="DZ139" s="414">
        <v>286537.08803479199</v>
      </c>
      <c r="EA139" s="414">
        <v>283850.10510312481</v>
      </c>
      <c r="EB139" s="414">
        <v>283637.57421431696</v>
      </c>
    </row>
    <row r="140" spans="1:132" ht="18" customHeight="1" thickTop="1" thickBot="1" x14ac:dyDescent="0.3">
      <c r="A140" s="453" t="s">
        <v>396</v>
      </c>
      <c r="B140" s="447">
        <v>7498</v>
      </c>
      <c r="C140" s="448">
        <v>7801.2</v>
      </c>
      <c r="D140" s="448">
        <v>7108.8</v>
      </c>
      <c r="E140" s="449">
        <v>6593</v>
      </c>
      <c r="F140" s="448">
        <v>6877.6435424908495</v>
      </c>
      <c r="G140" s="448">
        <v>7023.7998040963384</v>
      </c>
      <c r="H140" s="448">
        <v>6878.8</v>
      </c>
      <c r="I140" s="448">
        <v>6423.5</v>
      </c>
      <c r="J140" s="448">
        <v>7200.5</v>
      </c>
      <c r="K140" s="449">
        <v>6846</v>
      </c>
      <c r="L140" s="448">
        <v>7935.1</v>
      </c>
      <c r="M140" s="448">
        <v>8482.2999999999993</v>
      </c>
      <c r="N140" s="448">
        <v>8907.1</v>
      </c>
      <c r="O140" s="449">
        <v>7674.4</v>
      </c>
      <c r="P140" s="448">
        <v>7668.3</v>
      </c>
      <c r="Q140" s="448">
        <v>8508.2000000000007</v>
      </c>
      <c r="R140" s="449">
        <v>8648</v>
      </c>
      <c r="S140" s="448">
        <v>7537.1</v>
      </c>
      <c r="T140" s="448">
        <v>6819.8</v>
      </c>
      <c r="U140" s="450">
        <v>7363.5</v>
      </c>
      <c r="V140" s="450">
        <v>7094.1</v>
      </c>
      <c r="W140" s="450">
        <v>8165</v>
      </c>
      <c r="X140" s="450">
        <v>8660.9</v>
      </c>
      <c r="Y140" s="450">
        <v>10905.9</v>
      </c>
      <c r="Z140" s="450">
        <v>10158.200000000001</v>
      </c>
      <c r="AA140" s="450">
        <v>9810.4</v>
      </c>
      <c r="AB140" s="450">
        <v>9212.4</v>
      </c>
      <c r="AC140" s="450">
        <v>9457.2000000000007</v>
      </c>
      <c r="AD140" s="450">
        <v>10963.168</v>
      </c>
      <c r="AE140" s="450">
        <v>11087.178157012506</v>
      </c>
      <c r="AF140" s="450">
        <v>11746.8</v>
      </c>
      <c r="AG140" s="450">
        <v>12332.9</v>
      </c>
      <c r="AH140" s="450">
        <v>11070.7</v>
      </c>
      <c r="AI140" s="450">
        <v>10935.915015071438</v>
      </c>
      <c r="AJ140" s="450">
        <v>10116.96743827206</v>
      </c>
      <c r="AK140" s="450">
        <v>11784.059728036329</v>
      </c>
      <c r="AL140" s="450">
        <v>11264.009010570229</v>
      </c>
      <c r="AM140" s="450">
        <v>11573</v>
      </c>
      <c r="AN140" s="450">
        <v>12792.744410392674</v>
      </c>
      <c r="AO140" s="450">
        <v>14425.787912189246</v>
      </c>
      <c r="AP140" s="450">
        <v>12741</v>
      </c>
      <c r="AQ140" s="454">
        <v>16099.8</v>
      </c>
      <c r="AR140" s="447">
        <v>16653.7</v>
      </c>
      <c r="AS140" s="447">
        <v>17631.3</v>
      </c>
      <c r="AT140" s="447">
        <v>20040.5</v>
      </c>
      <c r="AU140" s="447">
        <v>19553.944</v>
      </c>
      <c r="AV140" s="447">
        <v>19389.5</v>
      </c>
      <c r="AW140" s="452">
        <v>19944.599999999999</v>
      </c>
      <c r="AX140" s="452">
        <v>18644.900000000001</v>
      </c>
      <c r="AY140" s="452">
        <v>17930.5</v>
      </c>
      <c r="AZ140" s="452">
        <v>17577.400000000001</v>
      </c>
      <c r="BA140" s="452">
        <v>17626.8</v>
      </c>
      <c r="BB140" s="452">
        <v>16983.099999999999</v>
      </c>
      <c r="BC140" s="452">
        <v>17191.099999999999</v>
      </c>
      <c r="BD140" s="452">
        <v>16984.090662227558</v>
      </c>
      <c r="BE140" s="452">
        <v>15314.8</v>
      </c>
      <c r="BF140" s="452">
        <v>16513.5</v>
      </c>
      <c r="BG140" s="452">
        <v>16240.2</v>
      </c>
      <c r="BH140" s="452">
        <v>15217.2</v>
      </c>
      <c r="BI140" s="452">
        <v>18727.099999999999</v>
      </c>
      <c r="BJ140" s="452">
        <v>19242.2</v>
      </c>
      <c r="BK140" s="452">
        <v>19176.599999999999</v>
      </c>
      <c r="BL140" s="454">
        <v>20414.599999999999</v>
      </c>
      <c r="BM140" s="454">
        <v>19903.400000000001</v>
      </c>
      <c r="BN140" s="454">
        <v>19536</v>
      </c>
      <c r="BO140" s="454">
        <v>19692.2</v>
      </c>
      <c r="BP140" s="454">
        <v>20427.7</v>
      </c>
      <c r="BQ140" s="454">
        <v>20451.3</v>
      </c>
      <c r="BR140" s="454">
        <v>20691.099999999999</v>
      </c>
      <c r="BS140" s="454">
        <v>21549.599999999999</v>
      </c>
      <c r="BT140" s="454">
        <v>20818.2</v>
      </c>
      <c r="BU140" s="454">
        <v>21804.3</v>
      </c>
      <c r="BV140" s="454">
        <v>21697.200000000001</v>
      </c>
      <c r="BW140" s="454">
        <v>22126</v>
      </c>
      <c r="BX140" s="454">
        <v>21644.799999999999</v>
      </c>
      <c r="BY140" s="454">
        <v>22114.799999999999</v>
      </c>
      <c r="BZ140" s="454">
        <v>23066</v>
      </c>
      <c r="CA140" s="454">
        <v>21712.1542625732</v>
      </c>
      <c r="CB140" s="454">
        <f>21696255110.8371/1000000</f>
        <v>21696.255110837101</v>
      </c>
      <c r="CC140" s="454">
        <v>21860.7</v>
      </c>
      <c r="CD140" s="454">
        <v>21590.5</v>
      </c>
      <c r="CE140" s="454">
        <v>24633.3</v>
      </c>
      <c r="CF140" s="454">
        <v>25617.1</v>
      </c>
      <c r="CG140" s="454">
        <v>25871.3</v>
      </c>
      <c r="CH140" s="454">
        <v>27463.1</v>
      </c>
      <c r="CI140" s="454">
        <v>25789.9</v>
      </c>
      <c r="CJ140" s="454">
        <v>26319.8</v>
      </c>
      <c r="CK140" s="454">
        <v>24825.5</v>
      </c>
      <c r="CL140" s="454">
        <v>24639.4</v>
      </c>
      <c r="CM140" s="454">
        <v>25261.9</v>
      </c>
      <c r="CN140" s="454">
        <v>24522.991999999998</v>
      </c>
      <c r="CO140" s="454">
        <v>24587.882000000001</v>
      </c>
      <c r="CP140" s="455">
        <v>24577.1</v>
      </c>
      <c r="CQ140" s="454">
        <v>25392</v>
      </c>
      <c r="CR140" s="454">
        <v>26377.200000000001</v>
      </c>
      <c r="CS140" s="454">
        <v>25009.374336639696</v>
      </c>
      <c r="CT140" s="454">
        <v>25578</v>
      </c>
      <c r="CU140" s="454">
        <v>28453.399479701216</v>
      </c>
      <c r="CV140" s="454">
        <v>29189.758735680382</v>
      </c>
      <c r="CW140" s="454">
        <v>29573.916580027872</v>
      </c>
      <c r="CX140" s="454">
        <v>30639.468371773848</v>
      </c>
      <c r="CY140" s="454">
        <v>30624.318209656696</v>
      </c>
      <c r="CZ140" s="454">
        <v>33709.939182923496</v>
      </c>
      <c r="DA140" s="454">
        <v>34534.598701656847</v>
      </c>
      <c r="DB140" s="454">
        <v>33295.519640815255</v>
      </c>
      <c r="DC140" s="454">
        <v>31751.160609195871</v>
      </c>
      <c r="DD140" s="454">
        <v>31689.688584023108</v>
      </c>
      <c r="DE140" s="454">
        <v>35159.629754696769</v>
      </c>
      <c r="DF140" s="454">
        <v>34493.732392353086</v>
      </c>
      <c r="DG140" s="454">
        <v>34558.313115591722</v>
      </c>
      <c r="DH140" s="454">
        <v>37320.369150139013</v>
      </c>
      <c r="DI140" s="454">
        <v>36937.144859480009</v>
      </c>
      <c r="DJ140" s="454">
        <v>38588.068086102889</v>
      </c>
      <c r="DK140" s="454">
        <v>37311.071565382495</v>
      </c>
      <c r="DL140" s="454">
        <v>37418.929106908188</v>
      </c>
      <c r="DM140" s="454">
        <v>38942.071299104238</v>
      </c>
      <c r="DN140" s="454">
        <v>39123.374621540264</v>
      </c>
      <c r="DO140" s="454">
        <v>45104.057822078285</v>
      </c>
      <c r="DP140" s="454">
        <v>39438.014354035746</v>
      </c>
      <c r="DQ140" s="454">
        <v>38892.5427779772</v>
      </c>
      <c r="DR140" s="454">
        <v>41427.287141513545</v>
      </c>
      <c r="DS140" s="454">
        <v>40715.021502257565</v>
      </c>
      <c r="DT140" s="454">
        <v>44347.51642704328</v>
      </c>
      <c r="DU140" s="454">
        <v>44864.584891167091</v>
      </c>
      <c r="DV140" s="454">
        <v>43588.156307093363</v>
      </c>
      <c r="DW140" s="454">
        <v>45946.05763221535</v>
      </c>
      <c r="DX140" s="454">
        <v>44990.034900097919</v>
      </c>
      <c r="DY140" s="454">
        <v>45365.674140889743</v>
      </c>
      <c r="DZ140" s="454">
        <v>45434.602598854399</v>
      </c>
      <c r="EA140" s="454">
        <v>43847.963008017672</v>
      </c>
      <c r="EB140" s="454">
        <v>42662.44812754805</v>
      </c>
    </row>
    <row r="141" spans="1:132" ht="18.75" thickTop="1" x14ac:dyDescent="0.25">
      <c r="A141" s="255" t="s">
        <v>397</v>
      </c>
      <c r="B141" s="260" t="s">
        <v>239</v>
      </c>
      <c r="F141" s="456"/>
      <c r="G141" s="456"/>
      <c r="N141" s="259" t="s">
        <v>239</v>
      </c>
      <c r="R141" s="219"/>
      <c r="AR141" s="260"/>
      <c r="AS141" s="260"/>
      <c r="AT141" s="260"/>
      <c r="BG141" s="219"/>
      <c r="BX141" s="260"/>
      <c r="BY141" s="260" t="s">
        <v>239</v>
      </c>
      <c r="DJ141" s="219"/>
      <c r="DK141" s="219"/>
      <c r="DL141" s="219"/>
      <c r="DM141" s="219"/>
      <c r="DN141" s="219"/>
      <c r="DO141" s="219"/>
      <c r="DP141" s="219"/>
      <c r="DQ141" s="219"/>
      <c r="DR141" s="219"/>
      <c r="DS141" s="219"/>
      <c r="DT141" s="219"/>
      <c r="DU141" s="219"/>
      <c r="DV141" s="219"/>
      <c r="DW141" s="219"/>
      <c r="DX141" s="219"/>
      <c r="DY141" s="219"/>
      <c r="DZ141" s="219"/>
      <c r="EA141" s="219"/>
      <c r="EB141" s="219"/>
    </row>
    <row r="142" spans="1:132" ht="18" x14ac:dyDescent="0.25">
      <c r="A142" s="255" t="s">
        <v>398</v>
      </c>
      <c r="H142" s="219"/>
      <c r="R142" s="219"/>
      <c r="AH142" s="219">
        <f>AH139-AH115</f>
        <v>139781.13098666747</v>
      </c>
      <c r="AI142" s="227">
        <v>167031.5</v>
      </c>
      <c r="AM142" s="172">
        <f>AL142/AH142*100</f>
        <v>0</v>
      </c>
      <c r="BG142" s="219"/>
      <c r="DL142" s="219"/>
      <c r="DM142" s="219"/>
      <c r="DN142" s="219"/>
      <c r="DO142" s="219"/>
      <c r="DP142" s="219"/>
      <c r="DQ142" s="219"/>
      <c r="DR142" s="219"/>
      <c r="DS142" s="219"/>
      <c r="DT142" s="219"/>
      <c r="DU142" s="219"/>
      <c r="DV142" s="219"/>
      <c r="DW142" s="219"/>
      <c r="DX142" s="219"/>
      <c r="DY142" s="219"/>
      <c r="DZ142" s="219"/>
      <c r="EA142" s="219"/>
      <c r="EB142" s="219"/>
    </row>
    <row r="143" spans="1:132" s="260" customFormat="1" x14ac:dyDescent="0.25">
      <c r="A143" s="260" t="s">
        <v>179</v>
      </c>
      <c r="R143" s="261"/>
      <c r="AA143" s="261"/>
      <c r="AN143" s="261"/>
      <c r="AO143" s="261"/>
      <c r="BG143" s="219"/>
    </row>
    <row r="144" spans="1:132" s="260" customFormat="1" x14ac:dyDescent="0.25">
      <c r="R144" s="261"/>
      <c r="AA144" s="261"/>
      <c r="AN144" s="261"/>
      <c r="AO144" s="261"/>
    </row>
    <row r="145" spans="18:105" x14ac:dyDescent="0.25">
      <c r="R145" s="219"/>
      <c r="CG145" s="457"/>
      <c r="CH145" s="457"/>
      <c r="CI145" s="457"/>
      <c r="CJ145" s="457"/>
      <c r="CK145" s="457"/>
      <c r="CL145" s="457"/>
      <c r="CM145" s="457"/>
      <c r="CN145" s="457"/>
      <c r="CO145" s="457"/>
      <c r="CP145" s="457"/>
      <c r="CQ145" s="457"/>
      <c r="CR145" s="457"/>
      <c r="CS145" s="457"/>
      <c r="CT145" s="457"/>
      <c r="CU145" s="457"/>
      <c r="CV145" s="457"/>
      <c r="CW145" s="457"/>
      <c r="CX145" s="457"/>
      <c r="CY145" s="457"/>
      <c r="CZ145" s="457"/>
      <c r="DA145" s="457"/>
    </row>
    <row r="146" spans="18:105" x14ac:dyDescent="0.25">
      <c r="R146" s="219"/>
    </row>
    <row r="147" spans="18:105" x14ac:dyDescent="0.25">
      <c r="R147" s="219"/>
    </row>
    <row r="148" spans="18:105" x14ac:dyDescent="0.25">
      <c r="R148" s="219"/>
    </row>
    <row r="149" spans="18:105" x14ac:dyDescent="0.25">
      <c r="R149" s="219"/>
    </row>
    <row r="150" spans="18:105" x14ac:dyDescent="0.25">
      <c r="R150" s="219"/>
    </row>
    <row r="151" spans="18:105" x14ac:dyDescent="0.25">
      <c r="R151" s="219"/>
    </row>
    <row r="152" spans="18:105" x14ac:dyDescent="0.25">
      <c r="R152" s="219"/>
    </row>
    <row r="153" spans="18:105" x14ac:dyDescent="0.25">
      <c r="R153" s="219"/>
    </row>
    <row r="154" spans="18:105" x14ac:dyDescent="0.25">
      <c r="R154" s="219"/>
    </row>
    <row r="155" spans="18:105" x14ac:dyDescent="0.25">
      <c r="R155" s="219"/>
    </row>
    <row r="156" spans="18:105" x14ac:dyDescent="0.25">
      <c r="R156" s="219"/>
    </row>
    <row r="157" spans="18:105" x14ac:dyDescent="0.25">
      <c r="R157" s="219"/>
    </row>
    <row r="158" spans="18:105" x14ac:dyDescent="0.25">
      <c r="R158" s="219"/>
    </row>
    <row r="159" spans="18:105" x14ac:dyDescent="0.25">
      <c r="R159" s="219"/>
    </row>
    <row r="160" spans="18:105" x14ac:dyDescent="0.25">
      <c r="R160" s="219"/>
    </row>
    <row r="161" spans="18:18" x14ac:dyDescent="0.25">
      <c r="R161" s="219"/>
    </row>
    <row r="162" spans="18:18" x14ac:dyDescent="0.25">
      <c r="R162" s="219"/>
    </row>
    <row r="163" spans="18:18" x14ac:dyDescent="0.25">
      <c r="R163" s="219"/>
    </row>
    <row r="164" spans="18:18" x14ac:dyDescent="0.25">
      <c r="R164" s="219"/>
    </row>
    <row r="165" spans="18:18" x14ac:dyDescent="0.25">
      <c r="R165" s="219"/>
    </row>
    <row r="166" spans="18:18" x14ac:dyDescent="0.25">
      <c r="R166" s="219"/>
    </row>
    <row r="167" spans="18:18" x14ac:dyDescent="0.25">
      <c r="R167" s="219"/>
    </row>
    <row r="168" spans="18:18" x14ac:dyDescent="0.25">
      <c r="R168" s="219"/>
    </row>
    <row r="169" spans="18:18" x14ac:dyDescent="0.25">
      <c r="R169" s="219"/>
    </row>
    <row r="170" spans="18:18" x14ac:dyDescent="0.25">
      <c r="R170" s="219"/>
    </row>
    <row r="171" spans="18:18" x14ac:dyDescent="0.25">
      <c r="R171" s="219"/>
    </row>
    <row r="172" spans="18:18" x14ac:dyDescent="0.25">
      <c r="R172" s="219"/>
    </row>
    <row r="173" spans="18:18" x14ac:dyDescent="0.25">
      <c r="R173" s="219"/>
    </row>
    <row r="174" spans="18:18" x14ac:dyDescent="0.25">
      <c r="R174" s="219"/>
    </row>
    <row r="175" spans="18:18" x14ac:dyDescent="0.25">
      <c r="R175" s="219"/>
    </row>
    <row r="176" spans="18:18" x14ac:dyDescent="0.25">
      <c r="R176" s="219"/>
    </row>
    <row r="177" spans="18:18" x14ac:dyDescent="0.25">
      <c r="R177" s="219"/>
    </row>
    <row r="178" spans="18:18" x14ac:dyDescent="0.25">
      <c r="R178" s="219"/>
    </row>
    <row r="179" spans="18:18" x14ac:dyDescent="0.25">
      <c r="R179" s="219"/>
    </row>
    <row r="180" spans="18:18" x14ac:dyDescent="0.25">
      <c r="R180" s="219"/>
    </row>
    <row r="181" spans="18:18" x14ac:dyDescent="0.25">
      <c r="R181" s="219"/>
    </row>
    <row r="182" spans="18:18" x14ac:dyDescent="0.25">
      <c r="R182" s="219"/>
    </row>
    <row r="183" spans="18:18" x14ac:dyDescent="0.25">
      <c r="R183" s="219"/>
    </row>
    <row r="184" spans="18:18" x14ac:dyDescent="0.25">
      <c r="R184" s="219"/>
    </row>
    <row r="185" spans="18:18" x14ac:dyDescent="0.25">
      <c r="R185" s="219"/>
    </row>
    <row r="186" spans="18:18" x14ac:dyDescent="0.25">
      <c r="R186" s="219"/>
    </row>
    <row r="187" spans="18:18" x14ac:dyDescent="0.25">
      <c r="R187" s="219"/>
    </row>
    <row r="188" spans="18:18" x14ac:dyDescent="0.25">
      <c r="R188" s="219"/>
    </row>
    <row r="189" spans="18:18" x14ac:dyDescent="0.25">
      <c r="R189" s="219"/>
    </row>
    <row r="190" spans="18:18" x14ac:dyDescent="0.25">
      <c r="R190" s="219"/>
    </row>
    <row r="191" spans="18:18" x14ac:dyDescent="0.25">
      <c r="R191" s="219"/>
    </row>
    <row r="192" spans="18:18" x14ac:dyDescent="0.25">
      <c r="R192" s="219"/>
    </row>
    <row r="193" spans="18:18" x14ac:dyDescent="0.25">
      <c r="R193" s="219"/>
    </row>
    <row r="194" spans="18:18" x14ac:dyDescent="0.25">
      <c r="R194" s="219"/>
    </row>
    <row r="195" spans="18:18" x14ac:dyDescent="0.25">
      <c r="R195" s="219"/>
    </row>
    <row r="196" spans="18:18" x14ac:dyDescent="0.25">
      <c r="R196" s="219"/>
    </row>
    <row r="197" spans="18:18" x14ac:dyDescent="0.25">
      <c r="R197" s="219"/>
    </row>
    <row r="198" spans="18:18" x14ac:dyDescent="0.25">
      <c r="R198" s="219"/>
    </row>
    <row r="199" spans="18:18" x14ac:dyDescent="0.25">
      <c r="R199" s="219"/>
    </row>
    <row r="200" spans="18:18" x14ac:dyDescent="0.25">
      <c r="R200" s="219"/>
    </row>
    <row r="201" spans="18:18" x14ac:dyDescent="0.25">
      <c r="R201" s="219"/>
    </row>
    <row r="202" spans="18:18" x14ac:dyDescent="0.25">
      <c r="R202" s="219"/>
    </row>
    <row r="203" spans="18:18" x14ac:dyDescent="0.25">
      <c r="R203" s="219"/>
    </row>
    <row r="204" spans="18:18" x14ac:dyDescent="0.25">
      <c r="R204" s="219"/>
    </row>
    <row r="205" spans="18:18" x14ac:dyDescent="0.25">
      <c r="R205" s="219"/>
    </row>
    <row r="206" spans="18:18" x14ac:dyDescent="0.25">
      <c r="R206" s="219"/>
    </row>
    <row r="207" spans="18:18" x14ac:dyDescent="0.25">
      <c r="R207" s="219"/>
    </row>
    <row r="208" spans="18:18" x14ac:dyDescent="0.25">
      <c r="R208" s="219"/>
    </row>
    <row r="209" spans="18:18" x14ac:dyDescent="0.25">
      <c r="R209" s="219"/>
    </row>
    <row r="210" spans="18:18" x14ac:dyDescent="0.25">
      <c r="R210" s="219"/>
    </row>
    <row r="211" spans="18:18" x14ac:dyDescent="0.25">
      <c r="R211" s="219"/>
    </row>
    <row r="212" spans="18:18" x14ac:dyDescent="0.25">
      <c r="R212" s="219"/>
    </row>
    <row r="213" spans="18:18" x14ac:dyDescent="0.25">
      <c r="R213" s="219"/>
    </row>
    <row r="214" spans="18:18" x14ac:dyDescent="0.25">
      <c r="R214" s="219"/>
    </row>
    <row r="215" spans="18:18" x14ac:dyDescent="0.25">
      <c r="R215" s="219"/>
    </row>
    <row r="216" spans="18:18" x14ac:dyDescent="0.25">
      <c r="R216" s="219"/>
    </row>
    <row r="217" spans="18:18" x14ac:dyDescent="0.25">
      <c r="R217" s="219"/>
    </row>
    <row r="218" spans="18:18" x14ac:dyDescent="0.25">
      <c r="R218" s="219"/>
    </row>
    <row r="219" spans="18:18" x14ac:dyDescent="0.25">
      <c r="R219" s="219"/>
    </row>
    <row r="220" spans="18:18" x14ac:dyDescent="0.25">
      <c r="R220" s="219"/>
    </row>
    <row r="221" spans="18:18" x14ac:dyDescent="0.25">
      <c r="R221" s="219"/>
    </row>
    <row r="222" spans="18:18" x14ac:dyDescent="0.25">
      <c r="R222" s="219"/>
    </row>
    <row r="223" spans="18:18" x14ac:dyDescent="0.25">
      <c r="R223" s="219"/>
    </row>
    <row r="224" spans="18:18" x14ac:dyDescent="0.25">
      <c r="R224" s="219"/>
    </row>
    <row r="225" spans="18:18" x14ac:dyDescent="0.25">
      <c r="R225" s="219"/>
    </row>
    <row r="226" spans="18:18" x14ac:dyDescent="0.25">
      <c r="R226" s="219"/>
    </row>
    <row r="227" spans="18:18" x14ac:dyDescent="0.25">
      <c r="R227" s="219"/>
    </row>
    <row r="228" spans="18:18" x14ac:dyDescent="0.25">
      <c r="R228" s="219"/>
    </row>
    <row r="229" spans="18:18" x14ac:dyDescent="0.25">
      <c r="R229" s="219"/>
    </row>
    <row r="230" spans="18:18" x14ac:dyDescent="0.25">
      <c r="R230" s="219"/>
    </row>
    <row r="231" spans="18:18" x14ac:dyDescent="0.25">
      <c r="R231" s="219"/>
    </row>
    <row r="232" spans="18:18" x14ac:dyDescent="0.25">
      <c r="R232" s="219"/>
    </row>
    <row r="233" spans="18:18" x14ac:dyDescent="0.25">
      <c r="R233" s="219"/>
    </row>
    <row r="234" spans="18:18" x14ac:dyDescent="0.25">
      <c r="R234" s="219"/>
    </row>
    <row r="235" spans="18:18" x14ac:dyDescent="0.25">
      <c r="R235" s="219"/>
    </row>
    <row r="236" spans="18:18" x14ac:dyDescent="0.25">
      <c r="R236" s="219"/>
    </row>
    <row r="237" spans="18:18" x14ac:dyDescent="0.25">
      <c r="R237" s="219"/>
    </row>
    <row r="238" spans="18:18" x14ac:dyDescent="0.25">
      <c r="R238" s="219"/>
    </row>
    <row r="239" spans="18:18" x14ac:dyDescent="0.25">
      <c r="R239" s="219"/>
    </row>
    <row r="240" spans="18:18" x14ac:dyDescent="0.25">
      <c r="R240" s="219"/>
    </row>
    <row r="241" spans="18:18" x14ac:dyDescent="0.25">
      <c r="R241" s="219"/>
    </row>
    <row r="242" spans="18:18" x14ac:dyDescent="0.25">
      <c r="R242" s="219"/>
    </row>
    <row r="243" spans="18:18" x14ac:dyDescent="0.25">
      <c r="R243" s="219"/>
    </row>
    <row r="244" spans="18:18" x14ac:dyDescent="0.25">
      <c r="R244" s="219"/>
    </row>
    <row r="245" spans="18:18" x14ac:dyDescent="0.25">
      <c r="R245" s="219"/>
    </row>
    <row r="246" spans="18:18" x14ac:dyDescent="0.25">
      <c r="R246" s="219"/>
    </row>
    <row r="247" spans="18:18" x14ac:dyDescent="0.25">
      <c r="R247" s="219"/>
    </row>
    <row r="248" spans="18:18" x14ac:dyDescent="0.25">
      <c r="R248" s="219"/>
    </row>
    <row r="249" spans="18:18" x14ac:dyDescent="0.25">
      <c r="R249" s="219"/>
    </row>
    <row r="250" spans="18:18" x14ac:dyDescent="0.25">
      <c r="R250" s="219"/>
    </row>
    <row r="251" spans="18:18" x14ac:dyDescent="0.25">
      <c r="R251" s="219"/>
    </row>
    <row r="252" spans="18:18" x14ac:dyDescent="0.25">
      <c r="R252" s="219"/>
    </row>
    <row r="253" spans="18:18" x14ac:dyDescent="0.25">
      <c r="R253" s="219"/>
    </row>
    <row r="254" spans="18:18" x14ac:dyDescent="0.25">
      <c r="R254" s="219"/>
    </row>
    <row r="255" spans="18:18" x14ac:dyDescent="0.25">
      <c r="R255" s="219"/>
    </row>
    <row r="256" spans="18:18" x14ac:dyDescent="0.25">
      <c r="R256" s="219"/>
    </row>
    <row r="257" spans="18:18" x14ac:dyDescent="0.25">
      <c r="R257" s="219"/>
    </row>
    <row r="258" spans="18:18" x14ac:dyDescent="0.25">
      <c r="R258" s="219"/>
    </row>
    <row r="259" spans="18:18" x14ac:dyDescent="0.25">
      <c r="R259" s="219"/>
    </row>
    <row r="260" spans="18:18" x14ac:dyDescent="0.25">
      <c r="R260" s="219"/>
    </row>
    <row r="261" spans="18:18" x14ac:dyDescent="0.25">
      <c r="R261" s="219"/>
    </row>
    <row r="262" spans="18:18" x14ac:dyDescent="0.25">
      <c r="R262" s="219"/>
    </row>
    <row r="263" spans="18:18" x14ac:dyDescent="0.25">
      <c r="R263" s="219"/>
    </row>
    <row r="264" spans="18:18" x14ac:dyDescent="0.25">
      <c r="R264" s="219"/>
    </row>
    <row r="265" spans="18:18" x14ac:dyDescent="0.25">
      <c r="R265" s="219"/>
    </row>
    <row r="266" spans="18:18" x14ac:dyDescent="0.25">
      <c r="R266" s="219"/>
    </row>
    <row r="267" spans="18:18" x14ac:dyDescent="0.25">
      <c r="R267" s="219"/>
    </row>
    <row r="268" spans="18:18" x14ac:dyDescent="0.25">
      <c r="R268" s="219"/>
    </row>
    <row r="269" spans="18:18" x14ac:dyDescent="0.25">
      <c r="R269" s="219"/>
    </row>
    <row r="270" spans="18:18" x14ac:dyDescent="0.25">
      <c r="R270" s="219"/>
    </row>
    <row r="271" spans="18:18" x14ac:dyDescent="0.25">
      <c r="R271" s="219"/>
    </row>
    <row r="272" spans="18:18" x14ac:dyDescent="0.25">
      <c r="R272" s="219"/>
    </row>
    <row r="273" spans="18:18" x14ac:dyDescent="0.25">
      <c r="R273" s="219"/>
    </row>
    <row r="274" spans="18:18" x14ac:dyDescent="0.25">
      <c r="R274" s="219"/>
    </row>
    <row r="275" spans="18:18" x14ac:dyDescent="0.25">
      <c r="R275" s="219"/>
    </row>
    <row r="276" spans="18:18" x14ac:dyDescent="0.25">
      <c r="R276" s="219"/>
    </row>
    <row r="277" spans="18:18" x14ac:dyDescent="0.25">
      <c r="R277" s="219"/>
    </row>
    <row r="278" spans="18:18" x14ac:dyDescent="0.25">
      <c r="R278" s="219"/>
    </row>
    <row r="279" spans="18:18" x14ac:dyDescent="0.25">
      <c r="R279" s="219"/>
    </row>
    <row r="280" spans="18:18" x14ac:dyDescent="0.25">
      <c r="R280" s="219"/>
    </row>
    <row r="281" spans="18:18" x14ac:dyDescent="0.25">
      <c r="R281" s="219"/>
    </row>
    <row r="282" spans="18:18" x14ac:dyDescent="0.25">
      <c r="R282" s="219"/>
    </row>
    <row r="283" spans="18:18" x14ac:dyDescent="0.25">
      <c r="R283" s="219"/>
    </row>
    <row r="284" spans="18:18" x14ac:dyDescent="0.25">
      <c r="R284" s="219"/>
    </row>
    <row r="285" spans="18:18" x14ac:dyDescent="0.25">
      <c r="R285" s="219"/>
    </row>
    <row r="286" spans="18:18" x14ac:dyDescent="0.25">
      <c r="R286" s="219"/>
    </row>
    <row r="287" spans="18:18" x14ac:dyDescent="0.25">
      <c r="R287" s="219"/>
    </row>
    <row r="288" spans="18:18" x14ac:dyDescent="0.25">
      <c r="R288" s="219"/>
    </row>
    <row r="289" spans="18:18" x14ac:dyDescent="0.25">
      <c r="R289" s="219"/>
    </row>
    <row r="290" spans="18:18" x14ac:dyDescent="0.25">
      <c r="R290" s="219"/>
    </row>
    <row r="291" spans="18:18" x14ac:dyDescent="0.25">
      <c r="R291" s="219"/>
    </row>
    <row r="292" spans="18:18" x14ac:dyDescent="0.25">
      <c r="R292" s="219"/>
    </row>
    <row r="293" spans="18:18" x14ac:dyDescent="0.25">
      <c r="R293" s="219"/>
    </row>
    <row r="294" spans="18:18" x14ac:dyDescent="0.25">
      <c r="R294" s="219"/>
    </row>
    <row r="295" spans="18:18" x14ac:dyDescent="0.25">
      <c r="R295" s="219"/>
    </row>
    <row r="296" spans="18:18" x14ac:dyDescent="0.25">
      <c r="R296" s="219"/>
    </row>
    <row r="297" spans="18:18" x14ac:dyDescent="0.25">
      <c r="R297" s="219"/>
    </row>
    <row r="298" spans="18:18" x14ac:dyDescent="0.25">
      <c r="R298" s="219"/>
    </row>
    <row r="299" spans="18:18" x14ac:dyDescent="0.25">
      <c r="R299" s="219"/>
    </row>
    <row r="300" spans="18:18" x14ac:dyDescent="0.25">
      <c r="R300" s="219"/>
    </row>
    <row r="301" spans="18:18" x14ac:dyDescent="0.25">
      <c r="R301" s="219"/>
    </row>
    <row r="302" spans="18:18" x14ac:dyDescent="0.25">
      <c r="R302" s="219"/>
    </row>
    <row r="303" spans="18:18" x14ac:dyDescent="0.25">
      <c r="R303" s="219"/>
    </row>
    <row r="304" spans="18:18" x14ac:dyDescent="0.25">
      <c r="R304" s="219"/>
    </row>
    <row r="305" spans="18:18" x14ac:dyDescent="0.25">
      <c r="R305" s="219"/>
    </row>
    <row r="306" spans="18:18" x14ac:dyDescent="0.25">
      <c r="R306" s="219"/>
    </row>
    <row r="307" spans="18:18" x14ac:dyDescent="0.25">
      <c r="R307" s="219"/>
    </row>
    <row r="308" spans="18:18" x14ac:dyDescent="0.25">
      <c r="R308" s="219"/>
    </row>
    <row r="309" spans="18:18" x14ac:dyDescent="0.25">
      <c r="R309" s="219"/>
    </row>
    <row r="310" spans="18:18" x14ac:dyDescent="0.25">
      <c r="R310" s="219"/>
    </row>
    <row r="311" spans="18:18" x14ac:dyDescent="0.25">
      <c r="R311" s="219"/>
    </row>
    <row r="312" spans="18:18" x14ac:dyDescent="0.25">
      <c r="R312" s="219"/>
    </row>
    <row r="313" spans="18:18" x14ac:dyDescent="0.25">
      <c r="R313" s="219"/>
    </row>
    <row r="314" spans="18:18" x14ac:dyDescent="0.25">
      <c r="R314" s="219"/>
    </row>
    <row r="315" spans="18:18" x14ac:dyDescent="0.25">
      <c r="R315" s="219"/>
    </row>
    <row r="316" spans="18:18" x14ac:dyDescent="0.25">
      <c r="R316" s="219"/>
    </row>
    <row r="317" spans="18:18" x14ac:dyDescent="0.25">
      <c r="R317" s="219"/>
    </row>
    <row r="318" spans="18:18" x14ac:dyDescent="0.25">
      <c r="R318" s="219"/>
    </row>
    <row r="319" spans="18:18" x14ac:dyDescent="0.25">
      <c r="R319" s="219"/>
    </row>
    <row r="320" spans="18:18" x14ac:dyDescent="0.25">
      <c r="R320" s="219"/>
    </row>
    <row r="321" spans="18:18" x14ac:dyDescent="0.25">
      <c r="R321" s="219"/>
    </row>
    <row r="322" spans="18:18" x14ac:dyDescent="0.25">
      <c r="R322" s="219"/>
    </row>
    <row r="323" spans="18:18" x14ac:dyDescent="0.25">
      <c r="R323" s="219"/>
    </row>
    <row r="324" spans="18:18" x14ac:dyDescent="0.25">
      <c r="R324" s="219"/>
    </row>
    <row r="325" spans="18:18" x14ac:dyDescent="0.25">
      <c r="R325" s="219"/>
    </row>
    <row r="326" spans="18:18" x14ac:dyDescent="0.25">
      <c r="R326" s="219"/>
    </row>
    <row r="327" spans="18:18" x14ac:dyDescent="0.25">
      <c r="R327" s="219"/>
    </row>
    <row r="328" spans="18:18" x14ac:dyDescent="0.25">
      <c r="R328" s="219"/>
    </row>
    <row r="329" spans="18:18" x14ac:dyDescent="0.25">
      <c r="R329" s="219"/>
    </row>
    <row r="330" spans="18:18" x14ac:dyDescent="0.25">
      <c r="R330" s="219"/>
    </row>
    <row r="331" spans="18:18" x14ac:dyDescent="0.25">
      <c r="R331" s="219"/>
    </row>
    <row r="332" spans="18:18" x14ac:dyDescent="0.25">
      <c r="R332" s="219"/>
    </row>
    <row r="333" spans="18:18" x14ac:dyDescent="0.25">
      <c r="R333" s="219"/>
    </row>
    <row r="334" spans="18:18" x14ac:dyDescent="0.25">
      <c r="R334" s="219"/>
    </row>
    <row r="335" spans="18:18" x14ac:dyDescent="0.25">
      <c r="R335" s="219"/>
    </row>
    <row r="336" spans="18:18" x14ac:dyDescent="0.25">
      <c r="R336" s="219"/>
    </row>
    <row r="337" spans="18:18" x14ac:dyDescent="0.25">
      <c r="R337" s="219"/>
    </row>
    <row r="338" spans="18:18" x14ac:dyDescent="0.25">
      <c r="R338" s="219"/>
    </row>
    <row r="339" spans="18:18" x14ac:dyDescent="0.25">
      <c r="R339" s="219"/>
    </row>
    <row r="340" spans="18:18" x14ac:dyDescent="0.25">
      <c r="R340" s="219"/>
    </row>
    <row r="341" spans="18:18" x14ac:dyDescent="0.25">
      <c r="R341" s="219"/>
    </row>
    <row r="342" spans="18:18" x14ac:dyDescent="0.25">
      <c r="R342" s="219"/>
    </row>
    <row r="343" spans="18:18" x14ac:dyDescent="0.25">
      <c r="R343" s="219"/>
    </row>
    <row r="344" spans="18:18" x14ac:dyDescent="0.25">
      <c r="R344" s="219"/>
    </row>
    <row r="345" spans="18:18" x14ac:dyDescent="0.25">
      <c r="R345" s="219"/>
    </row>
    <row r="346" spans="18:18" x14ac:dyDescent="0.25">
      <c r="R346" s="219"/>
    </row>
    <row r="347" spans="18:18" x14ac:dyDescent="0.25">
      <c r="R347" s="219"/>
    </row>
    <row r="348" spans="18:18" x14ac:dyDescent="0.25">
      <c r="R348" s="219"/>
    </row>
    <row r="349" spans="18:18" x14ac:dyDescent="0.25">
      <c r="R349" s="219"/>
    </row>
    <row r="350" spans="18:18" x14ac:dyDescent="0.25">
      <c r="R350" s="219"/>
    </row>
    <row r="351" spans="18:18" x14ac:dyDescent="0.25">
      <c r="R351" s="219"/>
    </row>
    <row r="352" spans="18:18" x14ac:dyDescent="0.25">
      <c r="R352" s="219"/>
    </row>
    <row r="353" spans="18:18" x14ac:dyDescent="0.25">
      <c r="R353" s="219"/>
    </row>
    <row r="354" spans="18:18" x14ac:dyDescent="0.25">
      <c r="R354" s="219"/>
    </row>
    <row r="355" spans="18:18" x14ac:dyDescent="0.25">
      <c r="R355" s="219"/>
    </row>
    <row r="356" spans="18:18" x14ac:dyDescent="0.25">
      <c r="R356" s="219"/>
    </row>
    <row r="357" spans="18:18" x14ac:dyDescent="0.25">
      <c r="R357" s="219"/>
    </row>
    <row r="358" spans="18:18" x14ac:dyDescent="0.25">
      <c r="R358" s="219"/>
    </row>
    <row r="359" spans="18:18" x14ac:dyDescent="0.25">
      <c r="R359" s="219"/>
    </row>
    <row r="360" spans="18:18" x14ac:dyDescent="0.25">
      <c r="R360" s="219"/>
    </row>
    <row r="361" spans="18:18" x14ac:dyDescent="0.25">
      <c r="R361" s="219"/>
    </row>
    <row r="362" spans="18:18" x14ac:dyDescent="0.25">
      <c r="R362" s="219"/>
    </row>
    <row r="363" spans="18:18" x14ac:dyDescent="0.25">
      <c r="R363" s="219"/>
    </row>
    <row r="364" spans="18:18" x14ac:dyDescent="0.25">
      <c r="R364" s="219"/>
    </row>
    <row r="365" spans="18:18" x14ac:dyDescent="0.25">
      <c r="R365" s="219"/>
    </row>
    <row r="366" spans="18:18" x14ac:dyDescent="0.25">
      <c r="R366" s="219"/>
    </row>
    <row r="367" spans="18:18" x14ac:dyDescent="0.25">
      <c r="R367" s="219"/>
    </row>
    <row r="368" spans="18:18" x14ac:dyDescent="0.25">
      <c r="R368" s="219"/>
    </row>
    <row r="369" spans="18:18" x14ac:dyDescent="0.25">
      <c r="R369" s="219"/>
    </row>
    <row r="370" spans="18:18" x14ac:dyDescent="0.25">
      <c r="R370" s="219"/>
    </row>
    <row r="371" spans="18:18" x14ac:dyDescent="0.25">
      <c r="R371" s="219"/>
    </row>
    <row r="372" spans="18:18" x14ac:dyDescent="0.25">
      <c r="R372" s="219"/>
    </row>
    <row r="373" spans="18:18" x14ac:dyDescent="0.25">
      <c r="R373" s="219"/>
    </row>
    <row r="374" spans="18:18" x14ac:dyDescent="0.25">
      <c r="R374" s="219"/>
    </row>
    <row r="375" spans="18:18" x14ac:dyDescent="0.25">
      <c r="R375" s="219"/>
    </row>
    <row r="376" spans="18:18" x14ac:dyDescent="0.25">
      <c r="R376" s="219"/>
    </row>
    <row r="377" spans="18:18" x14ac:dyDescent="0.25">
      <c r="R377" s="219"/>
    </row>
    <row r="378" spans="18:18" x14ac:dyDescent="0.25">
      <c r="R378" s="219"/>
    </row>
    <row r="379" spans="18:18" x14ac:dyDescent="0.25">
      <c r="R379" s="219"/>
    </row>
    <row r="380" spans="18:18" x14ac:dyDescent="0.25">
      <c r="R380" s="219"/>
    </row>
    <row r="381" spans="18:18" x14ac:dyDescent="0.25">
      <c r="R381" s="219"/>
    </row>
    <row r="382" spans="18:18" x14ac:dyDescent="0.25">
      <c r="R382" s="219"/>
    </row>
    <row r="383" spans="18:18" x14ac:dyDescent="0.25">
      <c r="R383" s="219"/>
    </row>
    <row r="384" spans="18:18" x14ac:dyDescent="0.25">
      <c r="R384" s="219"/>
    </row>
    <row r="385" spans="18:18" x14ac:dyDescent="0.25">
      <c r="R385" s="219"/>
    </row>
    <row r="386" spans="18:18" x14ac:dyDescent="0.25">
      <c r="R386" s="219"/>
    </row>
    <row r="387" spans="18:18" x14ac:dyDescent="0.25">
      <c r="R387" s="219"/>
    </row>
    <row r="388" spans="18:18" x14ac:dyDescent="0.25">
      <c r="R388" s="219"/>
    </row>
    <row r="389" spans="18:18" x14ac:dyDescent="0.25">
      <c r="R389" s="219"/>
    </row>
    <row r="390" spans="18:18" x14ac:dyDescent="0.25">
      <c r="R390" s="219"/>
    </row>
    <row r="391" spans="18:18" x14ac:dyDescent="0.25">
      <c r="R391" s="219"/>
    </row>
    <row r="392" spans="18:18" x14ac:dyDescent="0.25">
      <c r="R392" s="219"/>
    </row>
    <row r="393" spans="18:18" x14ac:dyDescent="0.25">
      <c r="R393" s="219"/>
    </row>
    <row r="394" spans="18:18" x14ac:dyDescent="0.25">
      <c r="R394" s="219"/>
    </row>
    <row r="395" spans="18:18" x14ac:dyDescent="0.25">
      <c r="R395" s="219"/>
    </row>
    <row r="396" spans="18:18" x14ac:dyDescent="0.25">
      <c r="R396" s="219"/>
    </row>
    <row r="397" spans="18:18" x14ac:dyDescent="0.25">
      <c r="R397" s="219"/>
    </row>
    <row r="398" spans="18:18" x14ac:dyDescent="0.25">
      <c r="R398" s="219"/>
    </row>
    <row r="399" spans="18:18" x14ac:dyDescent="0.25">
      <c r="R399" s="219"/>
    </row>
    <row r="400" spans="18:18" x14ac:dyDescent="0.25">
      <c r="R400" s="219"/>
    </row>
    <row r="401" spans="18:18" x14ac:dyDescent="0.25">
      <c r="R401" s="219"/>
    </row>
    <row r="402" spans="18:18" x14ac:dyDescent="0.25">
      <c r="R402" s="219"/>
    </row>
    <row r="403" spans="18:18" x14ac:dyDescent="0.25">
      <c r="R403" s="219"/>
    </row>
    <row r="404" spans="18:18" x14ac:dyDescent="0.25">
      <c r="R404" s="219"/>
    </row>
    <row r="405" spans="18:18" x14ac:dyDescent="0.25">
      <c r="R405" s="219"/>
    </row>
    <row r="406" spans="18:18" x14ac:dyDescent="0.25">
      <c r="R406" s="219"/>
    </row>
    <row r="407" spans="18:18" x14ac:dyDescent="0.25">
      <c r="R407" s="219"/>
    </row>
    <row r="408" spans="18:18" x14ac:dyDescent="0.25">
      <c r="R408" s="219"/>
    </row>
    <row r="409" spans="18:18" x14ac:dyDescent="0.25">
      <c r="R409" s="219"/>
    </row>
    <row r="410" spans="18:18" x14ac:dyDescent="0.25">
      <c r="R410" s="219"/>
    </row>
    <row r="411" spans="18:18" x14ac:dyDescent="0.25">
      <c r="R411" s="219"/>
    </row>
    <row r="412" spans="18:18" x14ac:dyDescent="0.25">
      <c r="R412" s="219"/>
    </row>
    <row r="413" spans="18:18" x14ac:dyDescent="0.25">
      <c r="R413" s="219"/>
    </row>
    <row r="414" spans="18:18" x14ac:dyDescent="0.25">
      <c r="R414" s="219"/>
    </row>
    <row r="415" spans="18:18" x14ac:dyDescent="0.25">
      <c r="R415" s="219"/>
    </row>
    <row r="416" spans="18:18" x14ac:dyDescent="0.25">
      <c r="R416" s="219"/>
    </row>
    <row r="417" spans="18:18" x14ac:dyDescent="0.25">
      <c r="R417" s="219"/>
    </row>
    <row r="418" spans="18:18" x14ac:dyDescent="0.25">
      <c r="R418" s="219"/>
    </row>
    <row r="419" spans="18:18" x14ac:dyDescent="0.25">
      <c r="R419" s="219"/>
    </row>
    <row r="420" spans="18:18" x14ac:dyDescent="0.25">
      <c r="R420" s="219"/>
    </row>
    <row r="421" spans="18:18" x14ac:dyDescent="0.25">
      <c r="R421" s="219"/>
    </row>
    <row r="422" spans="18:18" x14ac:dyDescent="0.25">
      <c r="R422" s="219"/>
    </row>
    <row r="423" spans="18:18" x14ac:dyDescent="0.25">
      <c r="R423" s="219"/>
    </row>
    <row r="424" spans="18:18" x14ac:dyDescent="0.25">
      <c r="R424" s="219"/>
    </row>
    <row r="425" spans="18:18" x14ac:dyDescent="0.25">
      <c r="R425" s="219"/>
    </row>
    <row r="426" spans="18:18" x14ac:dyDescent="0.25">
      <c r="R426" s="219"/>
    </row>
    <row r="427" spans="18:18" x14ac:dyDescent="0.25">
      <c r="R427" s="219"/>
    </row>
    <row r="428" spans="18:18" x14ac:dyDescent="0.25">
      <c r="R428" s="219"/>
    </row>
    <row r="429" spans="18:18" x14ac:dyDescent="0.25">
      <c r="R429" s="219"/>
    </row>
    <row r="430" spans="18:18" x14ac:dyDescent="0.25">
      <c r="R430" s="219"/>
    </row>
    <row r="431" spans="18:18" x14ac:dyDescent="0.25">
      <c r="R431" s="219"/>
    </row>
    <row r="432" spans="18:18" x14ac:dyDescent="0.25">
      <c r="R432" s="219"/>
    </row>
    <row r="433" spans="18:18" x14ac:dyDescent="0.25">
      <c r="R433" s="219"/>
    </row>
    <row r="434" spans="18:18" x14ac:dyDescent="0.25">
      <c r="R434" s="219"/>
    </row>
    <row r="435" spans="18:18" x14ac:dyDescent="0.25">
      <c r="R435" s="219"/>
    </row>
    <row r="436" spans="18:18" x14ac:dyDescent="0.25">
      <c r="R436" s="219"/>
    </row>
    <row r="437" spans="18:18" x14ac:dyDescent="0.25">
      <c r="R437" s="219"/>
    </row>
    <row r="438" spans="18:18" x14ac:dyDescent="0.25">
      <c r="R438" s="219"/>
    </row>
    <row r="439" spans="18:18" x14ac:dyDescent="0.25">
      <c r="R439" s="219"/>
    </row>
    <row r="440" spans="18:18" x14ac:dyDescent="0.25">
      <c r="R440" s="219"/>
    </row>
    <row r="441" spans="18:18" x14ac:dyDescent="0.25">
      <c r="R441" s="219"/>
    </row>
    <row r="442" spans="18:18" x14ac:dyDescent="0.25">
      <c r="R442" s="219"/>
    </row>
    <row r="443" spans="18:18" x14ac:dyDescent="0.25">
      <c r="R443" s="219"/>
    </row>
    <row r="444" spans="18:18" x14ac:dyDescent="0.25">
      <c r="R444" s="219"/>
    </row>
    <row r="445" spans="18:18" x14ac:dyDescent="0.25">
      <c r="R445" s="219"/>
    </row>
    <row r="446" spans="18:18" x14ac:dyDescent="0.25">
      <c r="R446" s="219"/>
    </row>
    <row r="447" spans="18:18" x14ac:dyDescent="0.25">
      <c r="R447" s="219"/>
    </row>
    <row r="448" spans="18:18" x14ac:dyDescent="0.25">
      <c r="R448" s="219"/>
    </row>
    <row r="449" spans="18:18" x14ac:dyDescent="0.25">
      <c r="R449" s="219"/>
    </row>
    <row r="450" spans="18:18" x14ac:dyDescent="0.25">
      <c r="R450" s="219"/>
    </row>
    <row r="451" spans="18:18" x14ac:dyDescent="0.25">
      <c r="R451" s="219"/>
    </row>
    <row r="452" spans="18:18" x14ac:dyDescent="0.25">
      <c r="R452" s="219"/>
    </row>
    <row r="453" spans="18:18" x14ac:dyDescent="0.25">
      <c r="R453" s="219"/>
    </row>
    <row r="454" spans="18:18" x14ac:dyDescent="0.25">
      <c r="R454" s="219"/>
    </row>
    <row r="455" spans="18:18" x14ac:dyDescent="0.25">
      <c r="R455" s="219"/>
    </row>
    <row r="456" spans="18:18" x14ac:dyDescent="0.25">
      <c r="R456" s="219"/>
    </row>
    <row r="457" spans="18:18" x14ac:dyDescent="0.25">
      <c r="R457" s="219"/>
    </row>
    <row r="458" spans="18:18" x14ac:dyDescent="0.25">
      <c r="R458" s="219"/>
    </row>
    <row r="459" spans="18:18" x14ac:dyDescent="0.25">
      <c r="R459" s="219"/>
    </row>
    <row r="460" spans="18:18" x14ac:dyDescent="0.25">
      <c r="R460" s="219"/>
    </row>
    <row r="461" spans="18:18" x14ac:dyDescent="0.25">
      <c r="R461" s="219"/>
    </row>
    <row r="462" spans="18:18" x14ac:dyDescent="0.25">
      <c r="R462" s="219"/>
    </row>
    <row r="463" spans="18:18" x14ac:dyDescent="0.25">
      <c r="R463" s="219"/>
    </row>
    <row r="464" spans="18:18" x14ac:dyDescent="0.25">
      <c r="R464" s="219"/>
    </row>
    <row r="465" spans="18:18" x14ac:dyDescent="0.25">
      <c r="R465" s="219"/>
    </row>
    <row r="466" spans="18:18" x14ac:dyDescent="0.25">
      <c r="R466" s="219"/>
    </row>
    <row r="467" spans="18:18" x14ac:dyDescent="0.25">
      <c r="R467" s="219"/>
    </row>
    <row r="468" spans="18:18" x14ac:dyDescent="0.25">
      <c r="R468" s="219"/>
    </row>
    <row r="469" spans="18:18" x14ac:dyDescent="0.25">
      <c r="R469" s="219"/>
    </row>
    <row r="470" spans="18:18" x14ac:dyDescent="0.25">
      <c r="R470" s="219"/>
    </row>
    <row r="471" spans="18:18" x14ac:dyDescent="0.25">
      <c r="R471" s="219"/>
    </row>
    <row r="472" spans="18:18" x14ac:dyDescent="0.25">
      <c r="R472" s="219"/>
    </row>
    <row r="473" spans="18:18" x14ac:dyDescent="0.25">
      <c r="R473" s="219"/>
    </row>
    <row r="474" spans="18:18" x14ac:dyDescent="0.25">
      <c r="R474" s="219"/>
    </row>
    <row r="475" spans="18:18" x14ac:dyDescent="0.25">
      <c r="R475" s="219"/>
    </row>
    <row r="476" spans="18:18" x14ac:dyDescent="0.25">
      <c r="R476" s="219"/>
    </row>
    <row r="477" spans="18:18" x14ac:dyDescent="0.25">
      <c r="R477" s="219"/>
    </row>
    <row r="478" spans="18:18" x14ac:dyDescent="0.25">
      <c r="R478" s="219"/>
    </row>
    <row r="479" spans="18:18" x14ac:dyDescent="0.25">
      <c r="R479" s="219"/>
    </row>
    <row r="480" spans="18:18" x14ac:dyDescent="0.25">
      <c r="R480" s="219"/>
    </row>
    <row r="481" spans="18:18" x14ac:dyDescent="0.25">
      <c r="R481" s="219"/>
    </row>
    <row r="482" spans="18:18" x14ac:dyDescent="0.25">
      <c r="R482" s="219"/>
    </row>
    <row r="483" spans="18:18" x14ac:dyDescent="0.25">
      <c r="R483" s="219"/>
    </row>
    <row r="484" spans="18:18" x14ac:dyDescent="0.25">
      <c r="R484" s="219"/>
    </row>
    <row r="485" spans="18:18" x14ac:dyDescent="0.25">
      <c r="R485" s="219"/>
    </row>
    <row r="486" spans="18:18" x14ac:dyDescent="0.25">
      <c r="R486" s="219"/>
    </row>
    <row r="487" spans="18:18" x14ac:dyDescent="0.25">
      <c r="R487" s="219"/>
    </row>
    <row r="488" spans="18:18" x14ac:dyDescent="0.25">
      <c r="R488" s="219"/>
    </row>
    <row r="489" spans="18:18" x14ac:dyDescent="0.25">
      <c r="R489" s="219"/>
    </row>
    <row r="490" spans="18:18" x14ac:dyDescent="0.25">
      <c r="R490" s="219"/>
    </row>
    <row r="491" spans="18:18" x14ac:dyDescent="0.25">
      <c r="R491" s="219"/>
    </row>
    <row r="492" spans="18:18" x14ac:dyDescent="0.25">
      <c r="R492" s="219"/>
    </row>
    <row r="493" spans="18:18" x14ac:dyDescent="0.25">
      <c r="R493" s="219"/>
    </row>
    <row r="494" spans="18:18" x14ac:dyDescent="0.25">
      <c r="R494" s="219"/>
    </row>
    <row r="495" spans="18:18" x14ac:dyDescent="0.25">
      <c r="R495" s="219"/>
    </row>
    <row r="496" spans="18:18" x14ac:dyDescent="0.25">
      <c r="R496" s="219"/>
    </row>
    <row r="497" spans="18:18" x14ac:dyDescent="0.25">
      <c r="R497" s="219"/>
    </row>
    <row r="498" spans="18:18" x14ac:dyDescent="0.25">
      <c r="R498" s="219"/>
    </row>
    <row r="499" spans="18:18" x14ac:dyDescent="0.25">
      <c r="R499" s="219"/>
    </row>
    <row r="500" spans="18:18" x14ac:dyDescent="0.25">
      <c r="R500" s="219"/>
    </row>
    <row r="501" spans="18:18" x14ac:dyDescent="0.25">
      <c r="R501" s="219"/>
    </row>
    <row r="502" spans="18:18" x14ac:dyDescent="0.25">
      <c r="R502" s="219"/>
    </row>
    <row r="503" spans="18:18" x14ac:dyDescent="0.25">
      <c r="R503" s="219"/>
    </row>
    <row r="504" spans="18:18" x14ac:dyDescent="0.25">
      <c r="R504" s="219"/>
    </row>
    <row r="505" spans="18:18" x14ac:dyDescent="0.25">
      <c r="R505" s="219"/>
    </row>
    <row r="506" spans="18:18" x14ac:dyDescent="0.25">
      <c r="R506" s="219"/>
    </row>
    <row r="507" spans="18:18" x14ac:dyDescent="0.25">
      <c r="R507" s="219"/>
    </row>
    <row r="508" spans="18:18" x14ac:dyDescent="0.25">
      <c r="R508" s="219"/>
    </row>
    <row r="509" spans="18:18" x14ac:dyDescent="0.25">
      <c r="R509" s="219"/>
    </row>
    <row r="510" spans="18:18" x14ac:dyDescent="0.25">
      <c r="R510" s="219"/>
    </row>
    <row r="511" spans="18:18" x14ac:dyDescent="0.25">
      <c r="R511" s="219"/>
    </row>
    <row r="512" spans="18:18" x14ac:dyDescent="0.25">
      <c r="R512" s="219"/>
    </row>
    <row r="513" spans="18:18" x14ac:dyDescent="0.25">
      <c r="R513" s="219"/>
    </row>
    <row r="514" spans="18:18" x14ac:dyDescent="0.25">
      <c r="R514" s="219"/>
    </row>
    <row r="515" spans="18:18" x14ac:dyDescent="0.25">
      <c r="R515" s="219"/>
    </row>
    <row r="516" spans="18:18" x14ac:dyDescent="0.25">
      <c r="R516" s="219"/>
    </row>
    <row r="517" spans="18:18" x14ac:dyDescent="0.25">
      <c r="R517" s="219"/>
    </row>
    <row r="518" spans="18:18" x14ac:dyDescent="0.25">
      <c r="R518" s="219"/>
    </row>
    <row r="519" spans="18:18" x14ac:dyDescent="0.25">
      <c r="R519" s="219"/>
    </row>
    <row r="520" spans="18:18" x14ac:dyDescent="0.25">
      <c r="R520" s="219"/>
    </row>
    <row r="521" spans="18:18" x14ac:dyDescent="0.25">
      <c r="R521" s="219"/>
    </row>
    <row r="522" spans="18:18" x14ac:dyDescent="0.25">
      <c r="R522" s="219"/>
    </row>
    <row r="523" spans="18:18" x14ac:dyDescent="0.25">
      <c r="R523" s="219"/>
    </row>
    <row r="524" spans="18:18" x14ac:dyDescent="0.25">
      <c r="R524" s="219"/>
    </row>
    <row r="525" spans="18:18" x14ac:dyDescent="0.25">
      <c r="R525" s="219"/>
    </row>
    <row r="526" spans="18:18" x14ac:dyDescent="0.25">
      <c r="R526" s="219"/>
    </row>
    <row r="527" spans="18:18" x14ac:dyDescent="0.25">
      <c r="R527" s="219"/>
    </row>
    <row r="528" spans="18:18" x14ac:dyDescent="0.25">
      <c r="R528" s="219"/>
    </row>
    <row r="529" spans="18:18" x14ac:dyDescent="0.25">
      <c r="R529" s="219"/>
    </row>
    <row r="530" spans="18:18" x14ac:dyDescent="0.25">
      <c r="R530" s="219"/>
    </row>
    <row r="531" spans="18:18" x14ac:dyDescent="0.25">
      <c r="R531" s="219"/>
    </row>
    <row r="532" spans="18:18" x14ac:dyDescent="0.25">
      <c r="R532" s="219"/>
    </row>
    <row r="533" spans="18:18" x14ac:dyDescent="0.25">
      <c r="R533" s="219"/>
    </row>
    <row r="534" spans="18:18" x14ac:dyDescent="0.25">
      <c r="R534" s="219"/>
    </row>
    <row r="535" spans="18:18" x14ac:dyDescent="0.25">
      <c r="R535" s="219"/>
    </row>
    <row r="536" spans="18:18" x14ac:dyDescent="0.25">
      <c r="R536" s="219"/>
    </row>
    <row r="537" spans="18:18" x14ac:dyDescent="0.25">
      <c r="R537" s="219"/>
    </row>
    <row r="538" spans="18:18" x14ac:dyDescent="0.25">
      <c r="R538" s="219"/>
    </row>
    <row r="539" spans="18:18" x14ac:dyDescent="0.25">
      <c r="R539" s="219"/>
    </row>
    <row r="540" spans="18:18" x14ac:dyDescent="0.25">
      <c r="R540" s="219"/>
    </row>
    <row r="541" spans="18:18" x14ac:dyDescent="0.25">
      <c r="R541" s="219"/>
    </row>
    <row r="542" spans="18:18" x14ac:dyDescent="0.25">
      <c r="R542" s="219"/>
    </row>
    <row r="543" spans="18:18" x14ac:dyDescent="0.25">
      <c r="R543" s="219"/>
    </row>
    <row r="544" spans="18:18" x14ac:dyDescent="0.25">
      <c r="R544" s="219"/>
    </row>
    <row r="545" spans="18:18" x14ac:dyDescent="0.25">
      <c r="R545" s="219"/>
    </row>
    <row r="546" spans="18:18" x14ac:dyDescent="0.25">
      <c r="R546" s="219"/>
    </row>
    <row r="547" spans="18:18" x14ac:dyDescent="0.25">
      <c r="R547" s="219"/>
    </row>
    <row r="548" spans="18:18" x14ac:dyDescent="0.25">
      <c r="R548" s="219"/>
    </row>
    <row r="549" spans="18:18" x14ac:dyDescent="0.25">
      <c r="R549" s="219"/>
    </row>
    <row r="550" spans="18:18" x14ac:dyDescent="0.25">
      <c r="R550" s="219"/>
    </row>
    <row r="551" spans="18:18" x14ac:dyDescent="0.25">
      <c r="R551" s="219"/>
    </row>
    <row r="552" spans="18:18" x14ac:dyDescent="0.25">
      <c r="R552" s="219"/>
    </row>
    <row r="553" spans="18:18" x14ac:dyDescent="0.25">
      <c r="R553" s="219"/>
    </row>
    <row r="554" spans="18:18" x14ac:dyDescent="0.25">
      <c r="R554" s="219"/>
    </row>
    <row r="555" spans="18:18" x14ac:dyDescent="0.25">
      <c r="R555" s="219"/>
    </row>
    <row r="556" spans="18:18" x14ac:dyDescent="0.25">
      <c r="R556" s="219"/>
    </row>
    <row r="557" spans="18:18" x14ac:dyDescent="0.25">
      <c r="R557" s="219"/>
    </row>
    <row r="558" spans="18:18" x14ac:dyDescent="0.25">
      <c r="R558" s="219"/>
    </row>
    <row r="559" spans="18:18" x14ac:dyDescent="0.25">
      <c r="R559" s="219"/>
    </row>
    <row r="560" spans="18:18" x14ac:dyDescent="0.25">
      <c r="R560" s="219"/>
    </row>
    <row r="561" spans="18:18" x14ac:dyDescent="0.25">
      <c r="R561" s="219"/>
    </row>
    <row r="562" spans="18:18" x14ac:dyDescent="0.25">
      <c r="R562" s="219"/>
    </row>
    <row r="563" spans="18:18" x14ac:dyDescent="0.25">
      <c r="R563" s="219"/>
    </row>
    <row r="564" spans="18:18" x14ac:dyDescent="0.25">
      <c r="R564" s="219"/>
    </row>
    <row r="565" spans="18:18" x14ac:dyDescent="0.25">
      <c r="R565" s="219"/>
    </row>
    <row r="566" spans="18:18" x14ac:dyDescent="0.25">
      <c r="R566" s="219"/>
    </row>
    <row r="567" spans="18:18" x14ac:dyDescent="0.25">
      <c r="R567" s="219"/>
    </row>
    <row r="568" spans="18:18" x14ac:dyDescent="0.25">
      <c r="R568" s="219"/>
    </row>
    <row r="569" spans="18:18" x14ac:dyDescent="0.25">
      <c r="R569" s="219"/>
    </row>
    <row r="570" spans="18:18" x14ac:dyDescent="0.25">
      <c r="R570" s="219"/>
    </row>
    <row r="571" spans="18:18" x14ac:dyDescent="0.25">
      <c r="R571" s="219"/>
    </row>
    <row r="572" spans="18:18" x14ac:dyDescent="0.25">
      <c r="R572" s="219"/>
    </row>
    <row r="573" spans="18:18" x14ac:dyDescent="0.25">
      <c r="R573" s="219"/>
    </row>
    <row r="574" spans="18:18" x14ac:dyDescent="0.25">
      <c r="R574" s="219"/>
    </row>
    <row r="575" spans="18:18" x14ac:dyDescent="0.25">
      <c r="R575" s="219"/>
    </row>
    <row r="576" spans="18:18" x14ac:dyDescent="0.25">
      <c r="R576" s="219"/>
    </row>
    <row r="577" spans="18:18" x14ac:dyDescent="0.25">
      <c r="R577" s="219"/>
    </row>
    <row r="578" spans="18:18" x14ac:dyDescent="0.25">
      <c r="R578" s="219"/>
    </row>
    <row r="579" spans="18:18" x14ac:dyDescent="0.25">
      <c r="R579" s="219"/>
    </row>
    <row r="580" spans="18:18" x14ac:dyDescent="0.25">
      <c r="R580" s="219"/>
    </row>
    <row r="581" spans="18:18" x14ac:dyDescent="0.25">
      <c r="R581" s="219"/>
    </row>
    <row r="582" spans="18:18" x14ac:dyDescent="0.25">
      <c r="R582" s="219"/>
    </row>
    <row r="583" spans="18:18" x14ac:dyDescent="0.25">
      <c r="R583" s="219"/>
    </row>
    <row r="584" spans="18:18" x14ac:dyDescent="0.25">
      <c r="R584" s="219"/>
    </row>
    <row r="585" spans="18:18" x14ac:dyDescent="0.25">
      <c r="R585" s="219"/>
    </row>
    <row r="586" spans="18:18" x14ac:dyDescent="0.25">
      <c r="R586" s="219"/>
    </row>
    <row r="587" spans="18:18" x14ac:dyDescent="0.25">
      <c r="R587" s="219"/>
    </row>
    <row r="588" spans="18:18" x14ac:dyDescent="0.25">
      <c r="R588" s="219"/>
    </row>
    <row r="589" spans="18:18" x14ac:dyDescent="0.25">
      <c r="R589" s="219"/>
    </row>
    <row r="590" spans="18:18" x14ac:dyDescent="0.25">
      <c r="R590" s="219"/>
    </row>
    <row r="591" spans="18:18" x14ac:dyDescent="0.25">
      <c r="R591" s="219"/>
    </row>
    <row r="592" spans="18:18" x14ac:dyDescent="0.25">
      <c r="R592" s="219"/>
    </row>
    <row r="593" spans="18:18" x14ac:dyDescent="0.25">
      <c r="R593" s="219"/>
    </row>
    <row r="594" spans="18:18" x14ac:dyDescent="0.25">
      <c r="R594" s="219"/>
    </row>
    <row r="595" spans="18:18" x14ac:dyDescent="0.25">
      <c r="R595" s="219"/>
    </row>
    <row r="596" spans="18:18" x14ac:dyDescent="0.25">
      <c r="R596" s="219"/>
    </row>
    <row r="597" spans="18:18" x14ac:dyDescent="0.25">
      <c r="R597" s="219"/>
    </row>
    <row r="598" spans="18:18" x14ac:dyDescent="0.25">
      <c r="R598" s="219"/>
    </row>
    <row r="599" spans="18:18" x14ac:dyDescent="0.25">
      <c r="R599" s="219"/>
    </row>
    <row r="600" spans="18:18" x14ac:dyDescent="0.25">
      <c r="R600" s="219"/>
    </row>
    <row r="601" spans="18:18" x14ac:dyDescent="0.25">
      <c r="R601" s="219"/>
    </row>
    <row r="602" spans="18:18" x14ac:dyDescent="0.25">
      <c r="R602" s="219"/>
    </row>
    <row r="603" spans="18:18" x14ac:dyDescent="0.25">
      <c r="R603" s="219"/>
    </row>
    <row r="604" spans="18:18" x14ac:dyDescent="0.25">
      <c r="R604" s="219"/>
    </row>
    <row r="605" spans="18:18" x14ac:dyDescent="0.25">
      <c r="R605" s="219"/>
    </row>
    <row r="606" spans="18:18" x14ac:dyDescent="0.25">
      <c r="R606" s="219"/>
    </row>
    <row r="607" spans="18:18" x14ac:dyDescent="0.25">
      <c r="R607" s="219"/>
    </row>
    <row r="608" spans="18:18" x14ac:dyDescent="0.25">
      <c r="R608" s="219"/>
    </row>
    <row r="609" spans="18:18" x14ac:dyDescent="0.25">
      <c r="R609" s="219"/>
    </row>
    <row r="610" spans="18:18" x14ac:dyDescent="0.25">
      <c r="R610" s="219"/>
    </row>
    <row r="611" spans="18:18" x14ac:dyDescent="0.25">
      <c r="R611" s="219"/>
    </row>
    <row r="612" spans="18:18" x14ac:dyDescent="0.25">
      <c r="R612" s="219"/>
    </row>
    <row r="613" spans="18:18" x14ac:dyDescent="0.25">
      <c r="R613" s="219"/>
    </row>
    <row r="614" spans="18:18" x14ac:dyDescent="0.25">
      <c r="R614" s="219"/>
    </row>
    <row r="615" spans="18:18" x14ac:dyDescent="0.25">
      <c r="R615" s="219"/>
    </row>
    <row r="616" spans="18:18" x14ac:dyDescent="0.25">
      <c r="R616" s="219"/>
    </row>
    <row r="617" spans="18:18" x14ac:dyDescent="0.25">
      <c r="R617" s="219"/>
    </row>
    <row r="618" spans="18:18" x14ac:dyDescent="0.25">
      <c r="R618" s="219"/>
    </row>
    <row r="619" spans="18:18" x14ac:dyDescent="0.25">
      <c r="R619" s="219"/>
    </row>
    <row r="620" spans="18:18" x14ac:dyDescent="0.25">
      <c r="R620" s="219"/>
    </row>
    <row r="621" spans="18:18" x14ac:dyDescent="0.25">
      <c r="R621" s="219"/>
    </row>
    <row r="622" spans="18:18" x14ac:dyDescent="0.25">
      <c r="R622" s="219"/>
    </row>
    <row r="623" spans="18:18" x14ac:dyDescent="0.25">
      <c r="R623" s="219"/>
    </row>
    <row r="624" spans="18:18" x14ac:dyDescent="0.25">
      <c r="R624" s="219"/>
    </row>
    <row r="625" spans="18:18" x14ac:dyDescent="0.25">
      <c r="R625" s="219"/>
    </row>
    <row r="626" spans="18:18" x14ac:dyDescent="0.25">
      <c r="R626" s="219"/>
    </row>
    <row r="627" spans="18:18" x14ac:dyDescent="0.25">
      <c r="R627" s="219"/>
    </row>
    <row r="628" spans="18:18" x14ac:dyDescent="0.25">
      <c r="R628" s="219"/>
    </row>
    <row r="629" spans="18:18" x14ac:dyDescent="0.25">
      <c r="R629" s="219"/>
    </row>
    <row r="630" spans="18:18" x14ac:dyDescent="0.25">
      <c r="R630" s="219"/>
    </row>
    <row r="631" spans="18:18" x14ac:dyDescent="0.25">
      <c r="R631" s="219"/>
    </row>
    <row r="632" spans="18:18" x14ac:dyDescent="0.25">
      <c r="R632" s="219"/>
    </row>
    <row r="633" spans="18:18" x14ac:dyDescent="0.25">
      <c r="R633" s="219"/>
    </row>
    <row r="634" spans="18:18" x14ac:dyDescent="0.25">
      <c r="R634" s="219"/>
    </row>
    <row r="635" spans="18:18" x14ac:dyDescent="0.25">
      <c r="R635" s="219"/>
    </row>
    <row r="636" spans="18:18" x14ac:dyDescent="0.25">
      <c r="R636" s="219"/>
    </row>
    <row r="637" spans="18:18" x14ac:dyDescent="0.25">
      <c r="R637" s="219"/>
    </row>
    <row r="638" spans="18:18" x14ac:dyDescent="0.25">
      <c r="R638" s="219"/>
    </row>
    <row r="639" spans="18:18" x14ac:dyDescent="0.25">
      <c r="R639" s="219"/>
    </row>
    <row r="640" spans="18:18" x14ac:dyDescent="0.25">
      <c r="R640" s="219"/>
    </row>
    <row r="641" spans="18:18" x14ac:dyDescent="0.25">
      <c r="R641" s="219"/>
    </row>
    <row r="642" spans="18:18" x14ac:dyDescent="0.25">
      <c r="R642" s="219"/>
    </row>
    <row r="643" spans="18:18" x14ac:dyDescent="0.25">
      <c r="R643" s="219"/>
    </row>
    <row r="644" spans="18:18" x14ac:dyDescent="0.25">
      <c r="R644" s="219"/>
    </row>
    <row r="645" spans="18:18" x14ac:dyDescent="0.25">
      <c r="R645" s="219"/>
    </row>
    <row r="646" spans="18:18" x14ac:dyDescent="0.25">
      <c r="R646" s="219"/>
    </row>
    <row r="647" spans="18:18" x14ac:dyDescent="0.25">
      <c r="R647" s="219"/>
    </row>
    <row r="648" spans="18:18" x14ac:dyDescent="0.25">
      <c r="R648" s="219"/>
    </row>
    <row r="649" spans="18:18" x14ac:dyDescent="0.25">
      <c r="R649" s="219"/>
    </row>
    <row r="650" spans="18:18" x14ac:dyDescent="0.25">
      <c r="R650" s="219"/>
    </row>
    <row r="651" spans="18:18" x14ac:dyDescent="0.25">
      <c r="R651" s="219"/>
    </row>
    <row r="652" spans="18:18" x14ac:dyDescent="0.25">
      <c r="R652" s="219"/>
    </row>
    <row r="653" spans="18:18" x14ac:dyDescent="0.25">
      <c r="R653" s="219"/>
    </row>
    <row r="654" spans="18:18" x14ac:dyDescent="0.25">
      <c r="R654" s="219"/>
    </row>
    <row r="655" spans="18:18" x14ac:dyDescent="0.25">
      <c r="R655" s="219"/>
    </row>
    <row r="656" spans="18:18" x14ac:dyDescent="0.25">
      <c r="R656" s="219"/>
    </row>
    <row r="657" spans="18:18" x14ac:dyDescent="0.25">
      <c r="R657" s="219"/>
    </row>
    <row r="658" spans="18:18" x14ac:dyDescent="0.25">
      <c r="R658" s="219"/>
    </row>
    <row r="659" spans="18:18" x14ac:dyDescent="0.25">
      <c r="R659" s="219"/>
    </row>
    <row r="660" spans="18:18" x14ac:dyDescent="0.25">
      <c r="R660" s="219"/>
    </row>
    <row r="661" spans="18:18" x14ac:dyDescent="0.25">
      <c r="R661" s="219"/>
    </row>
    <row r="662" spans="18:18" x14ac:dyDescent="0.25">
      <c r="R662" s="219"/>
    </row>
    <row r="663" spans="18:18" x14ac:dyDescent="0.25">
      <c r="R663" s="219"/>
    </row>
    <row r="664" spans="18:18" x14ac:dyDescent="0.25">
      <c r="R664" s="219"/>
    </row>
    <row r="665" spans="18:18" x14ac:dyDescent="0.25">
      <c r="R665" s="219"/>
    </row>
    <row r="666" spans="18:18" x14ac:dyDescent="0.25">
      <c r="R666" s="219"/>
    </row>
    <row r="667" spans="18:18" x14ac:dyDescent="0.25">
      <c r="R667" s="219"/>
    </row>
    <row r="668" spans="18:18" x14ac:dyDescent="0.25">
      <c r="R668" s="219"/>
    </row>
    <row r="669" spans="18:18" x14ac:dyDescent="0.25">
      <c r="R669" s="219"/>
    </row>
    <row r="670" spans="18:18" x14ac:dyDescent="0.25">
      <c r="R670" s="219"/>
    </row>
    <row r="671" spans="18:18" x14ac:dyDescent="0.25">
      <c r="R671" s="219"/>
    </row>
    <row r="672" spans="18:18" x14ac:dyDescent="0.25">
      <c r="R672" s="219"/>
    </row>
    <row r="673" spans="18:18" x14ac:dyDescent="0.25">
      <c r="R673" s="219"/>
    </row>
    <row r="674" spans="18:18" x14ac:dyDescent="0.25">
      <c r="R674" s="219"/>
    </row>
    <row r="675" spans="18:18" x14ac:dyDescent="0.25">
      <c r="R675" s="219"/>
    </row>
    <row r="676" spans="18:18" x14ac:dyDescent="0.25">
      <c r="R676" s="219"/>
    </row>
    <row r="677" spans="18:18" x14ac:dyDescent="0.25">
      <c r="R677" s="219"/>
    </row>
    <row r="678" spans="18:18" x14ac:dyDescent="0.25">
      <c r="R678" s="219"/>
    </row>
    <row r="679" spans="18:18" x14ac:dyDescent="0.25">
      <c r="R679" s="219"/>
    </row>
    <row r="680" spans="18:18" x14ac:dyDescent="0.25">
      <c r="R680" s="219"/>
    </row>
    <row r="681" spans="18:18" x14ac:dyDescent="0.25">
      <c r="R681" s="219"/>
    </row>
    <row r="682" spans="18:18" x14ac:dyDescent="0.25">
      <c r="R682" s="219"/>
    </row>
    <row r="683" spans="18:18" x14ac:dyDescent="0.25">
      <c r="R683" s="219"/>
    </row>
    <row r="684" spans="18:18" x14ac:dyDescent="0.25">
      <c r="R684" s="219"/>
    </row>
    <row r="685" spans="18:18" x14ac:dyDescent="0.25">
      <c r="R685" s="219"/>
    </row>
    <row r="686" spans="18:18" x14ac:dyDescent="0.25">
      <c r="R686" s="219"/>
    </row>
    <row r="687" spans="18:18" x14ac:dyDescent="0.25">
      <c r="R687" s="219"/>
    </row>
    <row r="688" spans="18:18" x14ac:dyDescent="0.25">
      <c r="R688" s="219"/>
    </row>
    <row r="689" spans="18:18" x14ac:dyDescent="0.25">
      <c r="R689" s="219"/>
    </row>
    <row r="690" spans="18:18" x14ac:dyDescent="0.25">
      <c r="R690" s="219"/>
    </row>
    <row r="691" spans="18:18" x14ac:dyDescent="0.25">
      <c r="R691" s="219"/>
    </row>
    <row r="692" spans="18:18" x14ac:dyDescent="0.25">
      <c r="R692" s="219"/>
    </row>
    <row r="693" spans="18:18" x14ac:dyDescent="0.25">
      <c r="R693" s="219"/>
    </row>
    <row r="694" spans="18:18" x14ac:dyDescent="0.25">
      <c r="R694" s="219"/>
    </row>
    <row r="695" spans="18:18" x14ac:dyDescent="0.25">
      <c r="R695" s="219"/>
    </row>
    <row r="696" spans="18:18" x14ac:dyDescent="0.25">
      <c r="R696" s="219"/>
    </row>
    <row r="697" spans="18:18" x14ac:dyDescent="0.25">
      <c r="R697" s="219"/>
    </row>
    <row r="698" spans="18:18" x14ac:dyDescent="0.25">
      <c r="R698" s="219"/>
    </row>
    <row r="699" spans="18:18" x14ac:dyDescent="0.25">
      <c r="R699" s="219"/>
    </row>
    <row r="700" spans="18:18" x14ac:dyDescent="0.25">
      <c r="R700" s="219"/>
    </row>
    <row r="701" spans="18:18" x14ac:dyDescent="0.25">
      <c r="R701" s="219"/>
    </row>
    <row r="702" spans="18:18" x14ac:dyDescent="0.25">
      <c r="R702" s="219"/>
    </row>
    <row r="703" spans="18:18" x14ac:dyDescent="0.25">
      <c r="R703" s="219"/>
    </row>
    <row r="704" spans="18:18" x14ac:dyDescent="0.25">
      <c r="R704" s="219"/>
    </row>
    <row r="705" spans="18:18" x14ac:dyDescent="0.25">
      <c r="R705" s="219"/>
    </row>
    <row r="706" spans="18:18" x14ac:dyDescent="0.25">
      <c r="R706" s="219"/>
    </row>
    <row r="707" spans="18:18" x14ac:dyDescent="0.25">
      <c r="R707" s="219"/>
    </row>
    <row r="708" spans="18:18" x14ac:dyDescent="0.25">
      <c r="R708" s="219"/>
    </row>
    <row r="709" spans="18:18" x14ac:dyDescent="0.25">
      <c r="R709" s="219"/>
    </row>
    <row r="710" spans="18:18" x14ac:dyDescent="0.25">
      <c r="R710" s="219"/>
    </row>
    <row r="711" spans="18:18" x14ac:dyDescent="0.25">
      <c r="R711" s="219"/>
    </row>
    <row r="712" spans="18:18" x14ac:dyDescent="0.25">
      <c r="R712" s="219"/>
    </row>
    <row r="713" spans="18:18" x14ac:dyDescent="0.25">
      <c r="R713" s="219"/>
    </row>
    <row r="714" spans="18:18" x14ac:dyDescent="0.25">
      <c r="R714" s="219"/>
    </row>
    <row r="715" spans="18:18" x14ac:dyDescent="0.25">
      <c r="R715" s="219"/>
    </row>
    <row r="716" spans="18:18" x14ac:dyDescent="0.25">
      <c r="R716" s="219"/>
    </row>
    <row r="717" spans="18:18" x14ac:dyDescent="0.25">
      <c r="R717" s="219"/>
    </row>
    <row r="718" spans="18:18" x14ac:dyDescent="0.25">
      <c r="R718" s="219"/>
    </row>
    <row r="719" spans="18:18" x14ac:dyDescent="0.25">
      <c r="R719" s="219"/>
    </row>
    <row r="720" spans="18:18" x14ac:dyDescent="0.25">
      <c r="R720" s="219"/>
    </row>
    <row r="721" spans="18:18" x14ac:dyDescent="0.25">
      <c r="R721" s="219"/>
    </row>
    <row r="722" spans="18:18" x14ac:dyDescent="0.25">
      <c r="R722" s="219"/>
    </row>
    <row r="723" spans="18:18" x14ac:dyDescent="0.25">
      <c r="R723" s="219"/>
    </row>
    <row r="724" spans="18:18" x14ac:dyDescent="0.25">
      <c r="R724" s="219"/>
    </row>
    <row r="725" spans="18:18" x14ac:dyDescent="0.25">
      <c r="R725" s="219"/>
    </row>
    <row r="726" spans="18:18" x14ac:dyDescent="0.25">
      <c r="R726" s="219"/>
    </row>
    <row r="727" spans="18:18" x14ac:dyDescent="0.25">
      <c r="R727" s="219"/>
    </row>
    <row r="728" spans="18:18" x14ac:dyDescent="0.25">
      <c r="R728" s="219"/>
    </row>
    <row r="729" spans="18:18" x14ac:dyDescent="0.25">
      <c r="R729" s="219"/>
    </row>
    <row r="730" spans="18:18" x14ac:dyDescent="0.25">
      <c r="R730" s="219"/>
    </row>
    <row r="731" spans="18:18" x14ac:dyDescent="0.25">
      <c r="R731" s="219"/>
    </row>
    <row r="732" spans="18:18" x14ac:dyDescent="0.25">
      <c r="R732" s="219"/>
    </row>
    <row r="733" spans="18:18" x14ac:dyDescent="0.25">
      <c r="R733" s="219"/>
    </row>
    <row r="734" spans="18:18" x14ac:dyDescent="0.25">
      <c r="R734" s="219"/>
    </row>
    <row r="735" spans="18:18" x14ac:dyDescent="0.25">
      <c r="R735" s="219"/>
    </row>
    <row r="736" spans="18:18" x14ac:dyDescent="0.25">
      <c r="R736" s="219"/>
    </row>
    <row r="737" spans="18:18" x14ac:dyDescent="0.25">
      <c r="R737" s="219"/>
    </row>
    <row r="738" spans="18:18" x14ac:dyDescent="0.25">
      <c r="R738" s="219"/>
    </row>
    <row r="739" spans="18:18" x14ac:dyDescent="0.25">
      <c r="R739" s="219"/>
    </row>
    <row r="740" spans="18:18" x14ac:dyDescent="0.25">
      <c r="R740" s="219"/>
    </row>
    <row r="741" spans="18:18" x14ac:dyDescent="0.25">
      <c r="R741" s="219"/>
    </row>
    <row r="742" spans="18:18" x14ac:dyDescent="0.25">
      <c r="R742" s="219"/>
    </row>
    <row r="743" spans="18:18" x14ac:dyDescent="0.25">
      <c r="R743" s="219"/>
    </row>
    <row r="744" spans="18:18" x14ac:dyDescent="0.25">
      <c r="R744" s="219"/>
    </row>
    <row r="745" spans="18:18" x14ac:dyDescent="0.25">
      <c r="R745" s="219"/>
    </row>
    <row r="746" spans="18:18" x14ac:dyDescent="0.25">
      <c r="R746" s="219"/>
    </row>
    <row r="747" spans="18:18" x14ac:dyDescent="0.25">
      <c r="R747" s="219"/>
    </row>
    <row r="748" spans="18:18" x14ac:dyDescent="0.25">
      <c r="R748" s="219"/>
    </row>
    <row r="749" spans="18:18" x14ac:dyDescent="0.25">
      <c r="R749" s="219"/>
    </row>
    <row r="750" spans="18:18" x14ac:dyDescent="0.25">
      <c r="R750" s="219"/>
    </row>
    <row r="751" spans="18:18" x14ac:dyDescent="0.25">
      <c r="R751" s="219"/>
    </row>
    <row r="752" spans="18:18" x14ac:dyDescent="0.25">
      <c r="R752" s="219"/>
    </row>
    <row r="753" spans="18:18" x14ac:dyDescent="0.25">
      <c r="R753" s="219"/>
    </row>
    <row r="754" spans="18:18" x14ac:dyDescent="0.25">
      <c r="R754" s="219"/>
    </row>
    <row r="755" spans="18:18" x14ac:dyDescent="0.25">
      <c r="R755" s="219"/>
    </row>
    <row r="756" spans="18:18" x14ac:dyDescent="0.25">
      <c r="R756" s="219"/>
    </row>
    <row r="757" spans="18:18" x14ac:dyDescent="0.25">
      <c r="R757" s="219"/>
    </row>
    <row r="758" spans="18:18" x14ac:dyDescent="0.25">
      <c r="R758" s="219"/>
    </row>
    <row r="759" spans="18:18" x14ac:dyDescent="0.25">
      <c r="R759" s="219"/>
    </row>
    <row r="760" spans="18:18" x14ac:dyDescent="0.25">
      <c r="R760" s="219"/>
    </row>
    <row r="761" spans="18:18" x14ac:dyDescent="0.25">
      <c r="R761" s="219"/>
    </row>
    <row r="762" spans="18:18" x14ac:dyDescent="0.25">
      <c r="R762" s="219"/>
    </row>
    <row r="763" spans="18:18" x14ac:dyDescent="0.25">
      <c r="R763" s="219"/>
    </row>
    <row r="764" spans="18:18" x14ac:dyDescent="0.25">
      <c r="R764" s="219"/>
    </row>
    <row r="765" spans="18:18" x14ac:dyDescent="0.25">
      <c r="R765" s="219"/>
    </row>
    <row r="766" spans="18:18" x14ac:dyDescent="0.25">
      <c r="R766" s="219"/>
    </row>
    <row r="767" spans="18:18" x14ac:dyDescent="0.25">
      <c r="R767" s="219"/>
    </row>
    <row r="768" spans="18:18" x14ac:dyDescent="0.25">
      <c r="R768" s="219"/>
    </row>
    <row r="769" spans="18:18" x14ac:dyDescent="0.25">
      <c r="R769" s="219"/>
    </row>
    <row r="770" spans="18:18" x14ac:dyDescent="0.25">
      <c r="R770" s="219"/>
    </row>
    <row r="771" spans="18:18" x14ac:dyDescent="0.25">
      <c r="R771" s="219"/>
    </row>
    <row r="772" spans="18:18" x14ac:dyDescent="0.25">
      <c r="R772" s="219"/>
    </row>
    <row r="773" spans="18:18" x14ac:dyDescent="0.25">
      <c r="R773" s="219"/>
    </row>
    <row r="774" spans="18:18" x14ac:dyDescent="0.25">
      <c r="R774" s="219"/>
    </row>
    <row r="775" spans="18:18" x14ac:dyDescent="0.25">
      <c r="R775" s="219"/>
    </row>
    <row r="776" spans="18:18" x14ac:dyDescent="0.25">
      <c r="R776" s="219"/>
    </row>
    <row r="777" spans="18:18" x14ac:dyDescent="0.25">
      <c r="R777" s="219"/>
    </row>
    <row r="778" spans="18:18" x14ac:dyDescent="0.25">
      <c r="R778" s="219"/>
    </row>
    <row r="779" spans="18:18" x14ac:dyDescent="0.25">
      <c r="R779" s="219"/>
    </row>
    <row r="780" spans="18:18" x14ac:dyDescent="0.25">
      <c r="R780" s="219"/>
    </row>
    <row r="781" spans="18:18" x14ac:dyDescent="0.25">
      <c r="R781" s="219"/>
    </row>
    <row r="782" spans="18:18" x14ac:dyDescent="0.25">
      <c r="R782" s="219"/>
    </row>
    <row r="783" spans="18:18" x14ac:dyDescent="0.25">
      <c r="R783" s="219"/>
    </row>
    <row r="784" spans="18:18" x14ac:dyDescent="0.25">
      <c r="R784" s="219"/>
    </row>
    <row r="785" spans="18:18" x14ac:dyDescent="0.25">
      <c r="R785" s="219"/>
    </row>
    <row r="786" spans="18:18" x14ac:dyDescent="0.25">
      <c r="R786" s="219"/>
    </row>
    <row r="787" spans="18:18" x14ac:dyDescent="0.25">
      <c r="R787" s="219"/>
    </row>
    <row r="788" spans="18:18" x14ac:dyDescent="0.25">
      <c r="R788" s="219"/>
    </row>
    <row r="789" spans="18:18" x14ac:dyDescent="0.25">
      <c r="R789" s="219"/>
    </row>
    <row r="790" spans="18:18" x14ac:dyDescent="0.25">
      <c r="R790" s="219"/>
    </row>
    <row r="791" spans="18:18" x14ac:dyDescent="0.25">
      <c r="R791" s="219"/>
    </row>
    <row r="792" spans="18:18" x14ac:dyDescent="0.25">
      <c r="R792" s="219"/>
    </row>
    <row r="793" spans="18:18" x14ac:dyDescent="0.25">
      <c r="R793" s="219"/>
    </row>
    <row r="794" spans="18:18" x14ac:dyDescent="0.25">
      <c r="R794" s="219"/>
    </row>
    <row r="795" spans="18:18" x14ac:dyDescent="0.25">
      <c r="R795" s="219"/>
    </row>
    <row r="796" spans="18:18" x14ac:dyDescent="0.25">
      <c r="R796" s="219"/>
    </row>
    <row r="797" spans="18:18" x14ac:dyDescent="0.25">
      <c r="R797" s="219"/>
    </row>
    <row r="798" spans="18:18" x14ac:dyDescent="0.25">
      <c r="R798" s="219"/>
    </row>
    <row r="799" spans="18:18" x14ac:dyDescent="0.25">
      <c r="R799" s="219"/>
    </row>
    <row r="800" spans="18:18" x14ac:dyDescent="0.25">
      <c r="R800" s="219"/>
    </row>
    <row r="801" spans="18:18" x14ac:dyDescent="0.25">
      <c r="R801" s="219"/>
    </row>
    <row r="802" spans="18:18" x14ac:dyDescent="0.25">
      <c r="R802" s="219"/>
    </row>
    <row r="803" spans="18:18" x14ac:dyDescent="0.25">
      <c r="R803" s="219"/>
    </row>
    <row r="804" spans="18:18" x14ac:dyDescent="0.25">
      <c r="R804" s="219"/>
    </row>
    <row r="805" spans="18:18" x14ac:dyDescent="0.25">
      <c r="R805" s="219"/>
    </row>
    <row r="806" spans="18:18" x14ac:dyDescent="0.25">
      <c r="R806" s="219"/>
    </row>
    <row r="807" spans="18:18" x14ac:dyDescent="0.25">
      <c r="R807" s="219"/>
    </row>
    <row r="808" spans="18:18" x14ac:dyDescent="0.25">
      <c r="R808" s="219"/>
    </row>
    <row r="809" spans="18:18" x14ac:dyDescent="0.25">
      <c r="R809" s="219"/>
    </row>
    <row r="810" spans="18:18" x14ac:dyDescent="0.25">
      <c r="R810" s="219"/>
    </row>
    <row r="811" spans="18:18" x14ac:dyDescent="0.25">
      <c r="R811" s="219"/>
    </row>
    <row r="812" spans="18:18" x14ac:dyDescent="0.25">
      <c r="R812" s="219"/>
    </row>
    <row r="813" spans="18:18" x14ac:dyDescent="0.25">
      <c r="R813" s="219"/>
    </row>
    <row r="814" spans="18:18" x14ac:dyDescent="0.25">
      <c r="R814" s="219"/>
    </row>
    <row r="815" spans="18:18" x14ac:dyDescent="0.25">
      <c r="R815" s="219"/>
    </row>
    <row r="816" spans="18:18" x14ac:dyDescent="0.25">
      <c r="R816" s="219"/>
    </row>
    <row r="817" spans="18:18" x14ac:dyDescent="0.25">
      <c r="R817" s="219"/>
    </row>
    <row r="818" spans="18:18" x14ac:dyDescent="0.25">
      <c r="R818" s="219"/>
    </row>
    <row r="819" spans="18:18" x14ac:dyDescent="0.25">
      <c r="R819" s="219"/>
    </row>
    <row r="820" spans="18:18" x14ac:dyDescent="0.25">
      <c r="R820" s="219"/>
    </row>
    <row r="821" spans="18:18" x14ac:dyDescent="0.25">
      <c r="R821" s="219"/>
    </row>
    <row r="822" spans="18:18" x14ac:dyDescent="0.25">
      <c r="R822" s="219"/>
    </row>
    <row r="823" spans="18:18" x14ac:dyDescent="0.25">
      <c r="R823" s="219"/>
    </row>
    <row r="824" spans="18:18" x14ac:dyDescent="0.25">
      <c r="R824" s="219"/>
    </row>
    <row r="825" spans="18:18" x14ac:dyDescent="0.25">
      <c r="R825" s="219"/>
    </row>
    <row r="826" spans="18:18" x14ac:dyDescent="0.25">
      <c r="R826" s="219"/>
    </row>
    <row r="827" spans="18:18" x14ac:dyDescent="0.25">
      <c r="R827" s="219"/>
    </row>
    <row r="828" spans="18:18" x14ac:dyDescent="0.25">
      <c r="R828" s="219"/>
    </row>
    <row r="829" spans="18:18" x14ac:dyDescent="0.25">
      <c r="R829" s="219"/>
    </row>
    <row r="830" spans="18:18" x14ac:dyDescent="0.25">
      <c r="R830" s="219"/>
    </row>
    <row r="831" spans="18:18" x14ac:dyDescent="0.25">
      <c r="R831" s="219"/>
    </row>
    <row r="832" spans="18:18" x14ac:dyDescent="0.25">
      <c r="R832" s="219"/>
    </row>
    <row r="833" spans="18:18" x14ac:dyDescent="0.25">
      <c r="R833" s="219"/>
    </row>
    <row r="834" spans="18:18" x14ac:dyDescent="0.25">
      <c r="R834" s="219"/>
    </row>
    <row r="835" spans="18:18" x14ac:dyDescent="0.25">
      <c r="R835" s="219"/>
    </row>
    <row r="836" spans="18:18" x14ac:dyDescent="0.25">
      <c r="R836" s="219"/>
    </row>
    <row r="837" spans="18:18" x14ac:dyDescent="0.25">
      <c r="R837" s="219"/>
    </row>
    <row r="838" spans="18:18" x14ac:dyDescent="0.25">
      <c r="R838" s="219"/>
    </row>
    <row r="839" spans="18:18" x14ac:dyDescent="0.25">
      <c r="R839" s="219"/>
    </row>
    <row r="840" spans="18:18" x14ac:dyDescent="0.25">
      <c r="R840" s="219"/>
    </row>
    <row r="841" spans="18:18" x14ac:dyDescent="0.25">
      <c r="R841" s="219"/>
    </row>
    <row r="842" spans="18:18" x14ac:dyDescent="0.25">
      <c r="R842" s="219"/>
    </row>
    <row r="843" spans="18:18" x14ac:dyDescent="0.25">
      <c r="R843" s="219"/>
    </row>
    <row r="844" spans="18:18" x14ac:dyDescent="0.25">
      <c r="R844" s="219"/>
    </row>
    <row r="845" spans="18:18" x14ac:dyDescent="0.25">
      <c r="R845" s="219"/>
    </row>
    <row r="846" spans="18:18" x14ac:dyDescent="0.25">
      <c r="R846" s="219"/>
    </row>
    <row r="847" spans="18:18" x14ac:dyDescent="0.25">
      <c r="R847" s="219"/>
    </row>
    <row r="848" spans="18:18" x14ac:dyDescent="0.25">
      <c r="R848" s="219"/>
    </row>
    <row r="849" spans="18:18" x14ac:dyDescent="0.25">
      <c r="R849" s="219"/>
    </row>
    <row r="850" spans="18:18" x14ac:dyDescent="0.25">
      <c r="R850" s="219"/>
    </row>
    <row r="851" spans="18:18" x14ac:dyDescent="0.25">
      <c r="R851" s="219"/>
    </row>
    <row r="852" spans="18:18" x14ac:dyDescent="0.25">
      <c r="R852" s="219"/>
    </row>
    <row r="853" spans="18:18" x14ac:dyDescent="0.25">
      <c r="R853" s="219"/>
    </row>
    <row r="854" spans="18:18" x14ac:dyDescent="0.25">
      <c r="R854" s="219"/>
    </row>
    <row r="855" spans="18:18" x14ac:dyDescent="0.25">
      <c r="R855" s="219"/>
    </row>
    <row r="856" spans="18:18" x14ac:dyDescent="0.25">
      <c r="R856" s="219"/>
    </row>
    <row r="857" spans="18:18" x14ac:dyDescent="0.25">
      <c r="R857" s="219"/>
    </row>
    <row r="858" spans="18:18" x14ac:dyDescent="0.25">
      <c r="R858" s="219"/>
    </row>
    <row r="859" spans="18:18" x14ac:dyDescent="0.25">
      <c r="R859" s="219"/>
    </row>
    <row r="860" spans="18:18" x14ac:dyDescent="0.25">
      <c r="R860" s="219"/>
    </row>
    <row r="861" spans="18:18" x14ac:dyDescent="0.25">
      <c r="R861" s="219"/>
    </row>
    <row r="862" spans="18:18" x14ac:dyDescent="0.25">
      <c r="R862" s="219"/>
    </row>
    <row r="863" spans="18:18" x14ac:dyDescent="0.25">
      <c r="R863" s="219"/>
    </row>
    <row r="864" spans="18:18" x14ac:dyDescent="0.25">
      <c r="R864" s="219"/>
    </row>
    <row r="865" spans="18:18" x14ac:dyDescent="0.25">
      <c r="R865" s="219"/>
    </row>
    <row r="866" spans="18:18" x14ac:dyDescent="0.25">
      <c r="R866" s="219"/>
    </row>
    <row r="867" spans="18:18" x14ac:dyDescent="0.25">
      <c r="R867" s="219"/>
    </row>
    <row r="868" spans="18:18" x14ac:dyDescent="0.25">
      <c r="R868" s="219"/>
    </row>
    <row r="869" spans="18:18" x14ac:dyDescent="0.25">
      <c r="R869" s="219"/>
    </row>
    <row r="870" spans="18:18" x14ac:dyDescent="0.25">
      <c r="R870" s="219"/>
    </row>
    <row r="871" spans="18:18" x14ac:dyDescent="0.25">
      <c r="R871" s="219"/>
    </row>
    <row r="872" spans="18:18" x14ac:dyDescent="0.25">
      <c r="R872" s="219"/>
    </row>
    <row r="873" spans="18:18" x14ac:dyDescent="0.25">
      <c r="R873" s="219"/>
    </row>
    <row r="874" spans="18:18" x14ac:dyDescent="0.25">
      <c r="R874" s="219"/>
    </row>
    <row r="875" spans="18:18" x14ac:dyDescent="0.25">
      <c r="R875" s="219"/>
    </row>
    <row r="876" spans="18:18" x14ac:dyDescent="0.25">
      <c r="R876" s="219"/>
    </row>
    <row r="877" spans="18:18" x14ac:dyDescent="0.25">
      <c r="R877" s="219"/>
    </row>
    <row r="878" spans="18:18" x14ac:dyDescent="0.25">
      <c r="R878" s="219"/>
    </row>
    <row r="879" spans="18:18" x14ac:dyDescent="0.25">
      <c r="R879" s="219"/>
    </row>
    <row r="880" spans="18:18" x14ac:dyDescent="0.25">
      <c r="R880" s="219"/>
    </row>
    <row r="881" spans="18:18" x14ac:dyDescent="0.25">
      <c r="R881" s="219"/>
    </row>
    <row r="882" spans="18:18" x14ac:dyDescent="0.25">
      <c r="R882" s="219"/>
    </row>
    <row r="883" spans="18:18" x14ac:dyDescent="0.25">
      <c r="R883" s="219"/>
    </row>
    <row r="884" spans="18:18" x14ac:dyDescent="0.25">
      <c r="R884" s="219"/>
    </row>
    <row r="885" spans="18:18" x14ac:dyDescent="0.25">
      <c r="R885" s="219"/>
    </row>
    <row r="886" spans="18:18" x14ac:dyDescent="0.25">
      <c r="R886" s="219"/>
    </row>
    <row r="887" spans="18:18" x14ac:dyDescent="0.25">
      <c r="R887" s="219"/>
    </row>
    <row r="888" spans="18:18" x14ac:dyDescent="0.25">
      <c r="R888" s="219"/>
    </row>
    <row r="889" spans="18:18" x14ac:dyDescent="0.25">
      <c r="R889" s="219"/>
    </row>
    <row r="890" spans="18:18" x14ac:dyDescent="0.25">
      <c r="R890" s="219"/>
    </row>
    <row r="891" spans="18:18" x14ac:dyDescent="0.25">
      <c r="R891" s="219"/>
    </row>
    <row r="892" spans="18:18" x14ac:dyDescent="0.25">
      <c r="R892" s="219"/>
    </row>
    <row r="893" spans="18:18" x14ac:dyDescent="0.25">
      <c r="R893" s="219"/>
    </row>
    <row r="894" spans="18:18" x14ac:dyDescent="0.25">
      <c r="R894" s="219"/>
    </row>
    <row r="895" spans="18:18" x14ac:dyDescent="0.25">
      <c r="R895" s="219"/>
    </row>
    <row r="896" spans="18:18" x14ac:dyDescent="0.25">
      <c r="R896" s="219"/>
    </row>
    <row r="897" spans="18:18" x14ac:dyDescent="0.25">
      <c r="R897" s="219"/>
    </row>
    <row r="898" spans="18:18" x14ac:dyDescent="0.25">
      <c r="R898" s="219"/>
    </row>
    <row r="899" spans="18:18" x14ac:dyDescent="0.25">
      <c r="R899" s="219"/>
    </row>
    <row r="900" spans="18:18" x14ac:dyDescent="0.25">
      <c r="R900" s="219"/>
    </row>
    <row r="901" spans="18:18" x14ac:dyDescent="0.25">
      <c r="R901" s="219"/>
    </row>
    <row r="902" spans="18:18" x14ac:dyDescent="0.25">
      <c r="R902" s="219"/>
    </row>
    <row r="903" spans="18:18" x14ac:dyDescent="0.25">
      <c r="R903" s="219"/>
    </row>
    <row r="904" spans="18:18" x14ac:dyDescent="0.25">
      <c r="R904" s="219"/>
    </row>
    <row r="905" spans="18:18" x14ac:dyDescent="0.25">
      <c r="R905" s="219"/>
    </row>
    <row r="906" spans="18:18" x14ac:dyDescent="0.25">
      <c r="R906" s="219"/>
    </row>
    <row r="907" spans="18:18" x14ac:dyDescent="0.25">
      <c r="R907" s="219"/>
    </row>
    <row r="908" spans="18:18" x14ac:dyDescent="0.25">
      <c r="R908" s="219"/>
    </row>
    <row r="909" spans="18:18" x14ac:dyDescent="0.25">
      <c r="R909" s="219"/>
    </row>
    <row r="910" spans="18:18" x14ac:dyDescent="0.25">
      <c r="R910" s="219"/>
    </row>
    <row r="911" spans="18:18" x14ac:dyDescent="0.25">
      <c r="R911" s="219"/>
    </row>
    <row r="912" spans="18:18" x14ac:dyDescent="0.25">
      <c r="R912" s="219"/>
    </row>
    <row r="913" spans="18:18" x14ac:dyDescent="0.25">
      <c r="R913" s="219"/>
    </row>
    <row r="914" spans="18:18" x14ac:dyDescent="0.25">
      <c r="R914" s="219"/>
    </row>
    <row r="915" spans="18:18" x14ac:dyDescent="0.25">
      <c r="R915" s="219"/>
    </row>
    <row r="916" spans="18:18" x14ac:dyDescent="0.25">
      <c r="R916" s="219"/>
    </row>
    <row r="917" spans="18:18" x14ac:dyDescent="0.25">
      <c r="R917" s="219"/>
    </row>
    <row r="918" spans="18:18" x14ac:dyDescent="0.25">
      <c r="R918" s="219"/>
    </row>
    <row r="919" spans="18:18" x14ac:dyDescent="0.25">
      <c r="R919" s="219"/>
    </row>
    <row r="920" spans="18:18" x14ac:dyDescent="0.25">
      <c r="R920" s="219"/>
    </row>
    <row r="921" spans="18:18" x14ac:dyDescent="0.25">
      <c r="R921" s="219"/>
    </row>
    <row r="922" spans="18:18" x14ac:dyDescent="0.25">
      <c r="R922" s="219"/>
    </row>
    <row r="923" spans="18:18" x14ac:dyDescent="0.25">
      <c r="R923" s="219"/>
    </row>
    <row r="924" spans="18:18" x14ac:dyDescent="0.25">
      <c r="R924" s="219"/>
    </row>
    <row r="925" spans="18:18" x14ac:dyDescent="0.25">
      <c r="R925" s="219"/>
    </row>
    <row r="926" spans="18:18" x14ac:dyDescent="0.25">
      <c r="R926" s="219"/>
    </row>
    <row r="927" spans="18:18" x14ac:dyDescent="0.25">
      <c r="R927" s="219"/>
    </row>
    <row r="928" spans="18:18" x14ac:dyDescent="0.25">
      <c r="R928" s="219"/>
    </row>
    <row r="929" spans="18:18" x14ac:dyDescent="0.25">
      <c r="R929" s="219"/>
    </row>
    <row r="930" spans="18:18" x14ac:dyDescent="0.25">
      <c r="R930" s="219"/>
    </row>
    <row r="931" spans="18:18" x14ac:dyDescent="0.25">
      <c r="R931" s="219"/>
    </row>
    <row r="932" spans="18:18" x14ac:dyDescent="0.25">
      <c r="R932" s="219"/>
    </row>
    <row r="933" spans="18:18" x14ac:dyDescent="0.25">
      <c r="R933" s="219"/>
    </row>
    <row r="934" spans="18:18" x14ac:dyDescent="0.25">
      <c r="R934" s="219"/>
    </row>
    <row r="935" spans="18:18" x14ac:dyDescent="0.25">
      <c r="R935" s="219"/>
    </row>
    <row r="936" spans="18:18" x14ac:dyDescent="0.25">
      <c r="R936" s="219"/>
    </row>
    <row r="937" spans="18:18" x14ac:dyDescent="0.25">
      <c r="R937" s="219"/>
    </row>
    <row r="938" spans="18:18" x14ac:dyDescent="0.25">
      <c r="R938" s="219"/>
    </row>
    <row r="939" spans="18:18" x14ac:dyDescent="0.25">
      <c r="R939" s="219"/>
    </row>
    <row r="940" spans="18:18" x14ac:dyDescent="0.25">
      <c r="R940" s="219"/>
    </row>
    <row r="941" spans="18:18" x14ac:dyDescent="0.25">
      <c r="R941" s="219"/>
    </row>
    <row r="942" spans="18:18" x14ac:dyDescent="0.25">
      <c r="R942" s="219"/>
    </row>
    <row r="943" spans="18:18" x14ac:dyDescent="0.25">
      <c r="R943" s="219"/>
    </row>
    <row r="944" spans="18:18" x14ac:dyDescent="0.25">
      <c r="R944" s="219"/>
    </row>
    <row r="945" spans="18:18" x14ac:dyDescent="0.25">
      <c r="R945" s="219"/>
    </row>
    <row r="946" spans="18:18" x14ac:dyDescent="0.25">
      <c r="R946" s="219"/>
    </row>
    <row r="947" spans="18:18" x14ac:dyDescent="0.25">
      <c r="R947" s="219"/>
    </row>
    <row r="948" spans="18:18" x14ac:dyDescent="0.25">
      <c r="R948" s="219"/>
    </row>
    <row r="949" spans="18:18" x14ac:dyDescent="0.25">
      <c r="R949" s="219"/>
    </row>
    <row r="950" spans="18:18" x14ac:dyDescent="0.25">
      <c r="R950" s="219"/>
    </row>
    <row r="951" spans="18:18" x14ac:dyDescent="0.25">
      <c r="R951" s="219"/>
    </row>
    <row r="952" spans="18:18" x14ac:dyDescent="0.25">
      <c r="R952" s="219"/>
    </row>
    <row r="953" spans="18:18" x14ac:dyDescent="0.25">
      <c r="R953" s="219"/>
    </row>
    <row r="954" spans="18:18" x14ac:dyDescent="0.25">
      <c r="R954" s="219"/>
    </row>
    <row r="955" spans="18:18" x14ac:dyDescent="0.25">
      <c r="R955" s="219"/>
    </row>
    <row r="956" spans="18:18" x14ac:dyDescent="0.25">
      <c r="R956" s="219"/>
    </row>
    <row r="957" spans="18:18" x14ac:dyDescent="0.25">
      <c r="R957" s="219"/>
    </row>
    <row r="958" spans="18:18" x14ac:dyDescent="0.25">
      <c r="R958" s="219"/>
    </row>
    <row r="959" spans="18:18" x14ac:dyDescent="0.25">
      <c r="R959" s="219"/>
    </row>
    <row r="960" spans="18:18" x14ac:dyDescent="0.25">
      <c r="R960" s="219"/>
    </row>
    <row r="961" spans="18:18" x14ac:dyDescent="0.25">
      <c r="R961" s="219"/>
    </row>
    <row r="962" spans="18:18" x14ac:dyDescent="0.25">
      <c r="R962" s="219"/>
    </row>
    <row r="963" spans="18:18" x14ac:dyDescent="0.25">
      <c r="R963" s="219"/>
    </row>
    <row r="964" spans="18:18" x14ac:dyDescent="0.25">
      <c r="R964" s="219"/>
    </row>
    <row r="965" spans="18:18" x14ac:dyDescent="0.25">
      <c r="R965" s="219"/>
    </row>
    <row r="966" spans="18:18" x14ac:dyDescent="0.25">
      <c r="R966" s="219"/>
    </row>
    <row r="967" spans="18:18" x14ac:dyDescent="0.25">
      <c r="R967" s="219"/>
    </row>
    <row r="968" spans="18:18" x14ac:dyDescent="0.25">
      <c r="R968" s="219"/>
    </row>
    <row r="969" spans="18:18" x14ac:dyDescent="0.25">
      <c r="R969" s="219"/>
    </row>
    <row r="970" spans="18:18" x14ac:dyDescent="0.25">
      <c r="R970" s="219"/>
    </row>
    <row r="971" spans="18:18" x14ac:dyDescent="0.25">
      <c r="R971" s="219"/>
    </row>
    <row r="972" spans="18:18" x14ac:dyDescent="0.25">
      <c r="R972" s="219"/>
    </row>
    <row r="973" spans="18:18" x14ac:dyDescent="0.25">
      <c r="R973" s="219"/>
    </row>
    <row r="974" spans="18:18" x14ac:dyDescent="0.25">
      <c r="R974" s="219"/>
    </row>
    <row r="975" spans="18:18" x14ac:dyDescent="0.25">
      <c r="R975" s="219"/>
    </row>
    <row r="976" spans="18:18" x14ac:dyDescent="0.25">
      <c r="R976" s="219"/>
    </row>
    <row r="977" spans="18:18" x14ac:dyDescent="0.25">
      <c r="R977" s="219"/>
    </row>
    <row r="978" spans="18:18" x14ac:dyDescent="0.25">
      <c r="R978" s="219"/>
    </row>
    <row r="979" spans="18:18" x14ac:dyDescent="0.25">
      <c r="R979" s="219"/>
    </row>
    <row r="980" spans="18:18" x14ac:dyDescent="0.25">
      <c r="R980" s="219"/>
    </row>
    <row r="981" spans="18:18" x14ac:dyDescent="0.25">
      <c r="R981" s="219"/>
    </row>
    <row r="982" spans="18:18" x14ac:dyDescent="0.25">
      <c r="R982" s="219"/>
    </row>
    <row r="983" spans="18:18" x14ac:dyDescent="0.25">
      <c r="R983" s="219"/>
    </row>
    <row r="984" spans="18:18" x14ac:dyDescent="0.25">
      <c r="R984" s="219"/>
    </row>
    <row r="985" spans="18:18" x14ac:dyDescent="0.25">
      <c r="R985" s="219"/>
    </row>
    <row r="986" spans="18:18" x14ac:dyDescent="0.25">
      <c r="R986" s="219"/>
    </row>
    <row r="987" spans="18:18" x14ac:dyDescent="0.25">
      <c r="R987" s="219"/>
    </row>
    <row r="988" spans="18:18" x14ac:dyDescent="0.25">
      <c r="R988" s="219"/>
    </row>
    <row r="989" spans="18:18" x14ac:dyDescent="0.25">
      <c r="R989" s="219"/>
    </row>
    <row r="990" spans="18:18" x14ac:dyDescent="0.25">
      <c r="R990" s="219"/>
    </row>
    <row r="991" spans="18:18" x14ac:dyDescent="0.25">
      <c r="R991" s="219"/>
    </row>
    <row r="992" spans="18:18" x14ac:dyDescent="0.25">
      <c r="R992" s="219"/>
    </row>
    <row r="993" spans="18:18" x14ac:dyDescent="0.25">
      <c r="R993" s="219"/>
    </row>
    <row r="994" spans="18:18" x14ac:dyDescent="0.25">
      <c r="R994" s="219"/>
    </row>
    <row r="995" spans="18:18" x14ac:dyDescent="0.25">
      <c r="R995" s="219"/>
    </row>
    <row r="996" spans="18:18" x14ac:dyDescent="0.25">
      <c r="R996" s="219"/>
    </row>
    <row r="997" spans="18:18" x14ac:dyDescent="0.25">
      <c r="R997" s="219"/>
    </row>
    <row r="998" spans="18:18" x14ac:dyDescent="0.25">
      <c r="R998" s="219"/>
    </row>
    <row r="999" spans="18:18" x14ac:dyDescent="0.25">
      <c r="R999" s="219"/>
    </row>
    <row r="1000" spans="18:18" x14ac:dyDescent="0.25">
      <c r="R1000" s="219"/>
    </row>
    <row r="1001" spans="18:18" x14ac:dyDescent="0.25">
      <c r="R1001" s="219"/>
    </row>
    <row r="1002" spans="18:18" x14ac:dyDescent="0.25">
      <c r="R1002" s="219"/>
    </row>
    <row r="1003" spans="18:18" x14ac:dyDescent="0.25">
      <c r="R1003" s="219"/>
    </row>
    <row r="1004" spans="18:18" x14ac:dyDescent="0.25">
      <c r="R1004" s="219"/>
    </row>
    <row r="1005" spans="18:18" x14ac:dyDescent="0.25">
      <c r="R1005" s="219"/>
    </row>
    <row r="1006" spans="18:18" x14ac:dyDescent="0.25">
      <c r="R1006" s="219"/>
    </row>
    <row r="1007" spans="18:18" x14ac:dyDescent="0.25">
      <c r="R1007" s="219"/>
    </row>
    <row r="1008" spans="18:18" x14ac:dyDescent="0.25">
      <c r="R1008" s="219"/>
    </row>
    <row r="1009" spans="18:18" x14ac:dyDescent="0.25">
      <c r="R1009" s="219"/>
    </row>
    <row r="1010" spans="18:18" x14ac:dyDescent="0.25">
      <c r="R1010" s="219"/>
    </row>
    <row r="1011" spans="18:18" x14ac:dyDescent="0.25">
      <c r="R1011" s="219"/>
    </row>
    <row r="1012" spans="18:18" x14ac:dyDescent="0.25">
      <c r="R1012" s="219"/>
    </row>
    <row r="1013" spans="18:18" x14ac:dyDescent="0.25">
      <c r="R1013" s="219"/>
    </row>
    <row r="1014" spans="18:18" x14ac:dyDescent="0.25">
      <c r="R1014" s="219"/>
    </row>
    <row r="1015" spans="18:18" x14ac:dyDescent="0.25">
      <c r="R1015" s="219"/>
    </row>
    <row r="1016" spans="18:18" x14ac:dyDescent="0.25">
      <c r="R1016" s="219"/>
    </row>
    <row r="1017" spans="18:18" x14ac:dyDescent="0.25">
      <c r="R1017" s="219"/>
    </row>
    <row r="1018" spans="18:18" x14ac:dyDescent="0.25">
      <c r="R1018" s="219"/>
    </row>
    <row r="1019" spans="18:18" x14ac:dyDescent="0.25">
      <c r="R1019" s="219"/>
    </row>
    <row r="1020" spans="18:18" x14ac:dyDescent="0.25">
      <c r="R1020" s="219"/>
    </row>
    <row r="1021" spans="18:18" x14ac:dyDescent="0.25">
      <c r="R1021" s="219"/>
    </row>
    <row r="1022" spans="18:18" x14ac:dyDescent="0.25">
      <c r="R1022" s="219"/>
    </row>
    <row r="1023" spans="18:18" x14ac:dyDescent="0.25">
      <c r="R1023" s="219"/>
    </row>
    <row r="1024" spans="18:18" x14ac:dyDescent="0.25">
      <c r="R1024" s="219"/>
    </row>
    <row r="1025" spans="18:18" x14ac:dyDescent="0.25">
      <c r="R1025" s="219"/>
    </row>
    <row r="1026" spans="18:18" x14ac:dyDescent="0.25">
      <c r="R1026" s="219"/>
    </row>
    <row r="1027" spans="18:18" x14ac:dyDescent="0.25">
      <c r="R1027" s="219"/>
    </row>
    <row r="1028" spans="18:18" x14ac:dyDescent="0.25">
      <c r="R1028" s="219"/>
    </row>
    <row r="1029" spans="18:18" x14ac:dyDescent="0.25">
      <c r="R1029" s="219"/>
    </row>
    <row r="1030" spans="18:18" x14ac:dyDescent="0.25">
      <c r="R1030" s="219"/>
    </row>
    <row r="1031" spans="18:18" x14ac:dyDescent="0.25">
      <c r="R1031" s="219"/>
    </row>
    <row r="1032" spans="18:18" x14ac:dyDescent="0.25">
      <c r="R1032" s="219"/>
    </row>
    <row r="1033" spans="18:18" x14ac:dyDescent="0.25">
      <c r="R1033" s="219"/>
    </row>
    <row r="1034" spans="18:18" x14ac:dyDescent="0.25">
      <c r="R1034" s="219"/>
    </row>
    <row r="1035" spans="18:18" x14ac:dyDescent="0.25">
      <c r="R1035" s="219"/>
    </row>
    <row r="1036" spans="18:18" x14ac:dyDescent="0.25">
      <c r="R1036" s="219"/>
    </row>
    <row r="1037" spans="18:18" x14ac:dyDescent="0.25">
      <c r="R1037" s="219"/>
    </row>
    <row r="1038" spans="18:18" x14ac:dyDescent="0.25">
      <c r="R1038" s="219"/>
    </row>
    <row r="1039" spans="18:18" x14ac:dyDescent="0.25">
      <c r="R1039" s="219"/>
    </row>
    <row r="1040" spans="18:18" x14ac:dyDescent="0.25">
      <c r="R1040" s="219"/>
    </row>
    <row r="1041" spans="18:18" x14ac:dyDescent="0.25">
      <c r="R1041" s="219"/>
    </row>
    <row r="1042" spans="18:18" x14ac:dyDescent="0.25">
      <c r="R1042" s="219"/>
    </row>
    <row r="1043" spans="18:18" x14ac:dyDescent="0.25">
      <c r="R1043" s="219"/>
    </row>
    <row r="1044" spans="18:18" x14ac:dyDescent="0.25">
      <c r="R1044" s="219"/>
    </row>
    <row r="1045" spans="18:18" x14ac:dyDescent="0.25">
      <c r="R1045" s="219"/>
    </row>
    <row r="1046" spans="18:18" x14ac:dyDescent="0.25">
      <c r="R1046" s="219"/>
    </row>
    <row r="1047" spans="18:18" x14ac:dyDescent="0.25">
      <c r="R1047" s="219"/>
    </row>
    <row r="1048" spans="18:18" x14ac:dyDescent="0.25">
      <c r="R1048" s="219"/>
    </row>
    <row r="1049" spans="18:18" x14ac:dyDescent="0.25">
      <c r="R1049" s="219"/>
    </row>
    <row r="1050" spans="18:18" x14ac:dyDescent="0.25">
      <c r="R1050" s="219"/>
    </row>
    <row r="1051" spans="18:18" x14ac:dyDescent="0.25">
      <c r="R1051" s="219"/>
    </row>
    <row r="1052" spans="18:18" x14ac:dyDescent="0.25">
      <c r="R1052" s="219"/>
    </row>
    <row r="1053" spans="18:18" x14ac:dyDescent="0.25">
      <c r="R1053" s="219"/>
    </row>
    <row r="1054" spans="18:18" x14ac:dyDescent="0.25">
      <c r="R1054" s="219"/>
    </row>
    <row r="1055" spans="18:18" x14ac:dyDescent="0.25">
      <c r="R1055" s="219"/>
    </row>
    <row r="1056" spans="18:18" x14ac:dyDescent="0.25">
      <c r="R1056" s="219"/>
    </row>
    <row r="1057" spans="18:18" x14ac:dyDescent="0.25">
      <c r="R1057" s="219"/>
    </row>
    <row r="1058" spans="18:18" x14ac:dyDescent="0.25">
      <c r="R1058" s="219"/>
    </row>
    <row r="1059" spans="18:18" x14ac:dyDescent="0.25">
      <c r="R1059" s="219"/>
    </row>
    <row r="1060" spans="18:18" x14ac:dyDescent="0.25">
      <c r="R1060" s="219"/>
    </row>
    <row r="1061" spans="18:18" x14ac:dyDescent="0.25">
      <c r="R1061" s="219"/>
    </row>
    <row r="1062" spans="18:18" x14ac:dyDescent="0.25">
      <c r="R1062" s="219"/>
    </row>
    <row r="1063" spans="18:18" x14ac:dyDescent="0.25">
      <c r="R1063" s="219"/>
    </row>
    <row r="1064" spans="18:18" x14ac:dyDescent="0.25">
      <c r="R1064" s="219"/>
    </row>
    <row r="1065" spans="18:18" x14ac:dyDescent="0.25">
      <c r="R1065" s="219"/>
    </row>
    <row r="1066" spans="18:18" x14ac:dyDescent="0.25">
      <c r="R1066" s="219"/>
    </row>
    <row r="1067" spans="18:18" x14ac:dyDescent="0.25">
      <c r="R1067" s="219"/>
    </row>
    <row r="1068" spans="18:18" x14ac:dyDescent="0.25">
      <c r="R1068" s="219"/>
    </row>
    <row r="1069" spans="18:18" x14ac:dyDescent="0.25">
      <c r="R1069" s="219"/>
    </row>
    <row r="1070" spans="18:18" x14ac:dyDescent="0.25">
      <c r="R1070" s="219"/>
    </row>
    <row r="1071" spans="18:18" x14ac:dyDescent="0.25">
      <c r="R1071" s="219"/>
    </row>
    <row r="1072" spans="18:18" x14ac:dyDescent="0.25">
      <c r="R1072" s="219"/>
    </row>
    <row r="1073" spans="18:18" x14ac:dyDescent="0.25">
      <c r="R1073" s="219"/>
    </row>
    <row r="1074" spans="18:18" x14ac:dyDescent="0.25">
      <c r="R1074" s="219"/>
    </row>
    <row r="1075" spans="18:18" x14ac:dyDescent="0.25">
      <c r="R1075" s="219"/>
    </row>
    <row r="1076" spans="18:18" x14ac:dyDescent="0.25">
      <c r="R1076" s="219"/>
    </row>
    <row r="1077" spans="18:18" x14ac:dyDescent="0.25">
      <c r="R1077" s="219"/>
    </row>
    <row r="1078" spans="18:18" x14ac:dyDescent="0.25">
      <c r="R1078" s="219"/>
    </row>
    <row r="1079" spans="18:18" x14ac:dyDescent="0.25">
      <c r="R1079" s="219"/>
    </row>
    <row r="1080" spans="18:18" x14ac:dyDescent="0.25">
      <c r="R1080" s="219"/>
    </row>
    <row r="1081" spans="18:18" x14ac:dyDescent="0.25">
      <c r="R1081" s="219"/>
    </row>
    <row r="1082" spans="18:18" x14ac:dyDescent="0.25">
      <c r="R1082" s="219"/>
    </row>
    <row r="1083" spans="18:18" x14ac:dyDescent="0.25">
      <c r="R1083" s="219"/>
    </row>
    <row r="1084" spans="18:18" x14ac:dyDescent="0.25">
      <c r="R1084" s="219"/>
    </row>
    <row r="1085" spans="18:18" x14ac:dyDescent="0.25">
      <c r="R1085" s="219"/>
    </row>
    <row r="1086" spans="18:18" x14ac:dyDescent="0.25">
      <c r="R1086" s="219"/>
    </row>
    <row r="1087" spans="18:18" x14ac:dyDescent="0.25">
      <c r="R1087" s="219"/>
    </row>
    <row r="1088" spans="18:18" x14ac:dyDescent="0.25">
      <c r="R1088" s="219"/>
    </row>
    <row r="1089" spans="18:18" x14ac:dyDescent="0.25">
      <c r="R1089" s="219"/>
    </row>
    <row r="1090" spans="18:18" x14ac:dyDescent="0.25">
      <c r="R1090" s="219"/>
    </row>
    <row r="1091" spans="18:18" x14ac:dyDescent="0.25">
      <c r="R1091" s="219"/>
    </row>
    <row r="1092" spans="18:18" x14ac:dyDescent="0.25">
      <c r="R1092" s="219"/>
    </row>
    <row r="1093" spans="18:18" x14ac:dyDescent="0.25">
      <c r="R1093" s="219"/>
    </row>
    <row r="1094" spans="18:18" x14ac:dyDescent="0.25">
      <c r="R1094" s="219"/>
    </row>
    <row r="1095" spans="18:18" x14ac:dyDescent="0.25">
      <c r="R1095" s="219"/>
    </row>
    <row r="1096" spans="18:18" x14ac:dyDescent="0.25">
      <c r="R1096" s="219"/>
    </row>
    <row r="1097" spans="18:18" x14ac:dyDescent="0.25">
      <c r="R1097" s="219"/>
    </row>
    <row r="1098" spans="18:18" x14ac:dyDescent="0.25">
      <c r="R1098" s="219"/>
    </row>
    <row r="1099" spans="18:18" x14ac:dyDescent="0.25">
      <c r="R1099" s="219"/>
    </row>
    <row r="1100" spans="18:18" x14ac:dyDescent="0.25">
      <c r="R1100" s="219"/>
    </row>
    <row r="1101" spans="18:18" x14ac:dyDescent="0.25">
      <c r="R1101" s="219"/>
    </row>
    <row r="1102" spans="18:18" x14ac:dyDescent="0.25">
      <c r="R1102" s="219"/>
    </row>
    <row r="1103" spans="18:18" x14ac:dyDescent="0.25">
      <c r="R1103" s="219"/>
    </row>
    <row r="1104" spans="18:18" x14ac:dyDescent="0.25">
      <c r="R1104" s="219"/>
    </row>
    <row r="1105" spans="18:18" x14ac:dyDescent="0.25">
      <c r="R1105" s="219"/>
    </row>
    <row r="1106" spans="18:18" x14ac:dyDescent="0.25">
      <c r="R1106" s="219"/>
    </row>
    <row r="1107" spans="18:18" x14ac:dyDescent="0.25">
      <c r="R1107" s="219"/>
    </row>
    <row r="1108" spans="18:18" x14ac:dyDescent="0.25">
      <c r="R1108" s="219"/>
    </row>
    <row r="1109" spans="18:18" x14ac:dyDescent="0.25">
      <c r="R1109" s="219"/>
    </row>
    <row r="1110" spans="18:18" x14ac:dyDescent="0.25">
      <c r="R1110" s="219"/>
    </row>
    <row r="1111" spans="18:18" x14ac:dyDescent="0.25">
      <c r="R1111" s="219"/>
    </row>
    <row r="1112" spans="18:18" x14ac:dyDescent="0.25">
      <c r="R1112" s="219"/>
    </row>
    <row r="1113" spans="18:18" x14ac:dyDescent="0.25">
      <c r="R1113" s="219"/>
    </row>
    <row r="1114" spans="18:18" x14ac:dyDescent="0.25">
      <c r="R1114" s="219"/>
    </row>
    <row r="1115" spans="18:18" x14ac:dyDescent="0.25">
      <c r="R1115" s="219"/>
    </row>
    <row r="1116" spans="18:18" x14ac:dyDescent="0.25">
      <c r="R1116" s="219"/>
    </row>
    <row r="1117" spans="18:18" x14ac:dyDescent="0.25">
      <c r="R1117" s="219"/>
    </row>
    <row r="1118" spans="18:18" x14ac:dyDescent="0.25">
      <c r="R1118" s="219"/>
    </row>
    <row r="1119" spans="18:18" x14ac:dyDescent="0.25">
      <c r="R1119" s="219"/>
    </row>
    <row r="1120" spans="18:18" x14ac:dyDescent="0.25">
      <c r="R1120" s="219"/>
    </row>
    <row r="1121" spans="18:18" x14ac:dyDescent="0.25">
      <c r="R1121" s="219"/>
    </row>
    <row r="1122" spans="18:18" x14ac:dyDescent="0.25">
      <c r="R1122" s="219"/>
    </row>
    <row r="1123" spans="18:18" x14ac:dyDescent="0.25">
      <c r="R1123" s="219"/>
    </row>
    <row r="1124" spans="18:18" x14ac:dyDescent="0.25">
      <c r="R1124" s="219"/>
    </row>
    <row r="1125" spans="18:18" x14ac:dyDescent="0.25">
      <c r="R1125" s="219"/>
    </row>
    <row r="1126" spans="18:18" x14ac:dyDescent="0.25">
      <c r="R1126" s="219"/>
    </row>
    <row r="1127" spans="18:18" x14ac:dyDescent="0.25">
      <c r="R1127" s="219"/>
    </row>
    <row r="1128" spans="18:18" x14ac:dyDescent="0.25">
      <c r="R1128" s="219"/>
    </row>
    <row r="1129" spans="18:18" x14ac:dyDescent="0.25">
      <c r="R1129" s="219"/>
    </row>
    <row r="1130" spans="18:18" x14ac:dyDescent="0.25">
      <c r="R1130" s="219"/>
    </row>
    <row r="1131" spans="18:18" x14ac:dyDescent="0.25">
      <c r="R1131" s="219"/>
    </row>
    <row r="1132" spans="18:18" x14ac:dyDescent="0.25">
      <c r="R1132" s="219"/>
    </row>
    <row r="1133" spans="18:18" x14ac:dyDescent="0.25">
      <c r="R1133" s="219"/>
    </row>
    <row r="1134" spans="18:18" x14ac:dyDescent="0.25">
      <c r="R1134" s="219"/>
    </row>
    <row r="1135" spans="18:18" x14ac:dyDescent="0.25">
      <c r="R1135" s="219"/>
    </row>
    <row r="1136" spans="18:18" x14ac:dyDescent="0.25">
      <c r="R1136" s="219"/>
    </row>
    <row r="1137" spans="18:18" x14ac:dyDescent="0.25">
      <c r="R1137" s="219"/>
    </row>
    <row r="1138" spans="18:18" x14ac:dyDescent="0.25">
      <c r="R1138" s="219"/>
    </row>
    <row r="1139" spans="18:18" x14ac:dyDescent="0.25">
      <c r="R1139" s="219"/>
    </row>
    <row r="1140" spans="18:18" x14ac:dyDescent="0.25">
      <c r="R1140" s="219"/>
    </row>
    <row r="1141" spans="18:18" x14ac:dyDescent="0.25">
      <c r="R1141" s="219"/>
    </row>
    <row r="1142" spans="18:18" x14ac:dyDescent="0.25">
      <c r="R1142" s="219"/>
    </row>
    <row r="1143" spans="18:18" x14ac:dyDescent="0.25">
      <c r="R1143" s="219"/>
    </row>
    <row r="1144" spans="18:18" x14ac:dyDescent="0.25">
      <c r="R1144" s="219"/>
    </row>
    <row r="1145" spans="18:18" x14ac:dyDescent="0.25">
      <c r="R1145" s="219"/>
    </row>
    <row r="1146" spans="18:18" x14ac:dyDescent="0.25">
      <c r="R1146" s="219"/>
    </row>
    <row r="1147" spans="18:18" x14ac:dyDescent="0.25">
      <c r="R1147" s="219"/>
    </row>
    <row r="1148" spans="18:18" x14ac:dyDescent="0.25">
      <c r="R1148" s="219"/>
    </row>
    <row r="1149" spans="18:18" x14ac:dyDescent="0.25">
      <c r="R1149" s="219"/>
    </row>
    <row r="1150" spans="18:18" x14ac:dyDescent="0.25">
      <c r="R1150" s="219"/>
    </row>
    <row r="1151" spans="18:18" x14ac:dyDescent="0.25">
      <c r="R1151" s="219"/>
    </row>
    <row r="1152" spans="18:18" x14ac:dyDescent="0.25">
      <c r="R1152" s="219"/>
    </row>
    <row r="1153" spans="18:18" x14ac:dyDescent="0.25">
      <c r="R1153" s="219"/>
    </row>
    <row r="1154" spans="18:18" x14ac:dyDescent="0.25">
      <c r="R1154" s="219"/>
    </row>
    <row r="1155" spans="18:18" x14ac:dyDescent="0.25">
      <c r="R1155" s="219"/>
    </row>
    <row r="1156" spans="18:18" x14ac:dyDescent="0.25">
      <c r="R1156" s="219"/>
    </row>
    <row r="1157" spans="18:18" x14ac:dyDescent="0.25">
      <c r="R1157" s="219"/>
    </row>
    <row r="1158" spans="18:18" x14ac:dyDescent="0.25">
      <c r="R1158" s="219"/>
    </row>
    <row r="1159" spans="18:18" x14ac:dyDescent="0.25">
      <c r="R1159" s="219"/>
    </row>
    <row r="1160" spans="18:18" x14ac:dyDescent="0.25">
      <c r="R1160" s="219"/>
    </row>
    <row r="1161" spans="18:18" x14ac:dyDescent="0.25">
      <c r="R1161" s="219"/>
    </row>
    <row r="1162" spans="18:18" x14ac:dyDescent="0.25">
      <c r="R1162" s="219"/>
    </row>
    <row r="1163" spans="18:18" x14ac:dyDescent="0.25">
      <c r="R1163" s="219"/>
    </row>
    <row r="1164" spans="18:18" x14ac:dyDescent="0.25">
      <c r="R1164" s="219"/>
    </row>
    <row r="1165" spans="18:18" x14ac:dyDescent="0.25">
      <c r="R1165" s="219"/>
    </row>
    <row r="1166" spans="18:18" x14ac:dyDescent="0.25">
      <c r="R1166" s="219"/>
    </row>
    <row r="1167" spans="18:18" x14ac:dyDescent="0.25">
      <c r="R1167" s="219"/>
    </row>
    <row r="1168" spans="18:18" x14ac:dyDescent="0.25">
      <c r="R1168" s="219"/>
    </row>
    <row r="1169" spans="18:18" x14ac:dyDescent="0.25">
      <c r="R1169" s="219"/>
    </row>
    <row r="1170" spans="18:18" x14ac:dyDescent="0.25">
      <c r="R1170" s="219"/>
    </row>
    <row r="1171" spans="18:18" x14ac:dyDescent="0.25">
      <c r="R1171" s="219"/>
    </row>
    <row r="1172" spans="18:18" x14ac:dyDescent="0.25">
      <c r="R1172" s="219"/>
    </row>
    <row r="1173" spans="18:18" x14ac:dyDescent="0.25">
      <c r="R1173" s="219"/>
    </row>
    <row r="1174" spans="18:18" x14ac:dyDescent="0.25">
      <c r="R1174" s="219"/>
    </row>
    <row r="1175" spans="18:18" x14ac:dyDescent="0.25">
      <c r="R1175" s="219"/>
    </row>
    <row r="1176" spans="18:18" x14ac:dyDescent="0.25">
      <c r="R1176" s="219"/>
    </row>
    <row r="1177" spans="18:18" x14ac:dyDescent="0.25">
      <c r="R1177" s="219"/>
    </row>
    <row r="1178" spans="18:18" x14ac:dyDescent="0.25">
      <c r="R1178" s="219"/>
    </row>
    <row r="1179" spans="18:18" x14ac:dyDescent="0.25">
      <c r="R1179" s="219"/>
    </row>
    <row r="1180" spans="18:18" x14ac:dyDescent="0.25">
      <c r="R1180" s="219"/>
    </row>
    <row r="1181" spans="18:18" x14ac:dyDescent="0.25">
      <c r="R1181" s="219"/>
    </row>
    <row r="1182" spans="18:18" x14ac:dyDescent="0.25">
      <c r="R1182" s="219"/>
    </row>
    <row r="1183" spans="18:18" x14ac:dyDescent="0.25">
      <c r="R1183" s="219"/>
    </row>
    <row r="1184" spans="18:18" x14ac:dyDescent="0.25">
      <c r="R1184" s="219"/>
    </row>
    <row r="1185" spans="18:18" x14ac:dyDescent="0.25">
      <c r="R1185" s="219"/>
    </row>
    <row r="1186" spans="18:18" x14ac:dyDescent="0.25">
      <c r="R1186" s="219"/>
    </row>
    <row r="1187" spans="18:18" x14ac:dyDescent="0.25">
      <c r="R1187" s="219"/>
    </row>
    <row r="1188" spans="18:18" x14ac:dyDescent="0.25">
      <c r="R1188" s="219"/>
    </row>
    <row r="1189" spans="18:18" x14ac:dyDescent="0.25">
      <c r="R1189" s="219"/>
    </row>
    <row r="1190" spans="18:18" x14ac:dyDescent="0.25">
      <c r="R1190" s="219"/>
    </row>
    <row r="1191" spans="18:18" x14ac:dyDescent="0.25">
      <c r="R1191" s="219"/>
    </row>
    <row r="1192" spans="18:18" x14ac:dyDescent="0.25">
      <c r="R1192" s="219"/>
    </row>
    <row r="1193" spans="18:18" x14ac:dyDescent="0.25">
      <c r="R1193" s="219"/>
    </row>
    <row r="1194" spans="18:18" x14ac:dyDescent="0.25">
      <c r="R1194" s="219"/>
    </row>
    <row r="1195" spans="18:18" x14ac:dyDescent="0.25">
      <c r="R1195" s="219"/>
    </row>
    <row r="1196" spans="18:18" x14ac:dyDescent="0.25">
      <c r="R1196" s="219"/>
    </row>
    <row r="1197" spans="18:18" x14ac:dyDescent="0.25">
      <c r="R1197" s="219"/>
    </row>
    <row r="1198" spans="18:18" x14ac:dyDescent="0.25">
      <c r="R1198" s="219"/>
    </row>
    <row r="1199" spans="18:18" x14ac:dyDescent="0.25">
      <c r="R1199" s="219"/>
    </row>
    <row r="1200" spans="18:18" x14ac:dyDescent="0.25">
      <c r="R1200" s="219"/>
    </row>
    <row r="1201" spans="18:18" x14ac:dyDescent="0.25">
      <c r="R1201" s="219"/>
    </row>
    <row r="1202" spans="18:18" x14ac:dyDescent="0.25">
      <c r="R1202" s="219"/>
    </row>
    <row r="1203" spans="18:18" x14ac:dyDescent="0.25">
      <c r="R1203" s="219"/>
    </row>
    <row r="1204" spans="18:18" x14ac:dyDescent="0.25">
      <c r="R1204" s="219"/>
    </row>
    <row r="1205" spans="18:18" x14ac:dyDescent="0.25">
      <c r="R1205" s="219"/>
    </row>
    <row r="1206" spans="18:18" x14ac:dyDescent="0.25">
      <c r="R1206" s="219"/>
    </row>
    <row r="1207" spans="18:18" x14ac:dyDescent="0.25">
      <c r="R1207" s="219"/>
    </row>
    <row r="1208" spans="18:18" x14ac:dyDescent="0.25">
      <c r="R1208" s="219"/>
    </row>
    <row r="1209" spans="18:18" x14ac:dyDescent="0.25">
      <c r="R1209" s="219"/>
    </row>
    <row r="1210" spans="18:18" x14ac:dyDescent="0.25">
      <c r="R1210" s="219"/>
    </row>
    <row r="1211" spans="18:18" x14ac:dyDescent="0.25">
      <c r="R1211" s="219"/>
    </row>
    <row r="1212" spans="18:18" x14ac:dyDescent="0.25">
      <c r="R1212" s="219"/>
    </row>
    <row r="1213" spans="18:18" x14ac:dyDescent="0.25">
      <c r="R1213" s="219"/>
    </row>
    <row r="1214" spans="18:18" x14ac:dyDescent="0.25">
      <c r="R1214" s="219"/>
    </row>
    <row r="1215" spans="18:18" x14ac:dyDescent="0.25">
      <c r="R1215" s="219"/>
    </row>
    <row r="1216" spans="18:18" x14ac:dyDescent="0.25">
      <c r="R1216" s="219"/>
    </row>
    <row r="1217" spans="18:18" x14ac:dyDescent="0.25">
      <c r="R1217" s="219"/>
    </row>
    <row r="1218" spans="18:18" x14ac:dyDescent="0.25">
      <c r="R1218" s="219"/>
    </row>
    <row r="1219" spans="18:18" x14ac:dyDescent="0.25">
      <c r="R1219" s="219"/>
    </row>
    <row r="1220" spans="18:18" x14ac:dyDescent="0.25">
      <c r="R1220" s="219"/>
    </row>
    <row r="1221" spans="18:18" x14ac:dyDescent="0.25">
      <c r="R1221" s="219"/>
    </row>
    <row r="1222" spans="18:18" x14ac:dyDescent="0.25">
      <c r="R1222" s="219"/>
    </row>
    <row r="1223" spans="18:18" x14ac:dyDescent="0.25">
      <c r="R1223" s="219"/>
    </row>
    <row r="1224" spans="18:18" x14ac:dyDescent="0.25">
      <c r="R1224" s="219"/>
    </row>
    <row r="1225" spans="18:18" x14ac:dyDescent="0.25">
      <c r="R1225" s="219"/>
    </row>
    <row r="1226" spans="18:18" x14ac:dyDescent="0.25">
      <c r="R1226" s="219"/>
    </row>
    <row r="1227" spans="18:18" x14ac:dyDescent="0.25">
      <c r="R1227" s="219"/>
    </row>
    <row r="1228" spans="18:18" x14ac:dyDescent="0.25">
      <c r="R1228" s="219"/>
    </row>
    <row r="1229" spans="18:18" x14ac:dyDescent="0.25">
      <c r="R1229" s="219"/>
    </row>
    <row r="1230" spans="18:18" x14ac:dyDescent="0.25">
      <c r="R1230" s="219"/>
    </row>
    <row r="1231" spans="18:18" x14ac:dyDescent="0.25">
      <c r="R1231" s="219"/>
    </row>
    <row r="1232" spans="18:18" x14ac:dyDescent="0.25">
      <c r="R1232" s="219"/>
    </row>
    <row r="1233" spans="18:18" x14ac:dyDescent="0.25">
      <c r="R1233" s="219"/>
    </row>
    <row r="1234" spans="18:18" x14ac:dyDescent="0.25">
      <c r="R1234" s="219"/>
    </row>
    <row r="1235" spans="18:18" x14ac:dyDescent="0.25">
      <c r="R1235" s="219"/>
    </row>
    <row r="1236" spans="18:18" x14ac:dyDescent="0.25">
      <c r="R1236" s="219"/>
    </row>
    <row r="1237" spans="18:18" x14ac:dyDescent="0.25">
      <c r="R1237" s="219"/>
    </row>
    <row r="1238" spans="18:18" x14ac:dyDescent="0.25">
      <c r="R1238" s="219"/>
    </row>
    <row r="1239" spans="18:18" x14ac:dyDescent="0.25">
      <c r="R1239" s="219"/>
    </row>
    <row r="1240" spans="18:18" x14ac:dyDescent="0.25">
      <c r="R1240" s="219"/>
    </row>
    <row r="1241" spans="18:18" x14ac:dyDescent="0.25">
      <c r="R1241" s="219"/>
    </row>
    <row r="1242" spans="18:18" x14ac:dyDescent="0.25">
      <c r="R1242" s="219"/>
    </row>
    <row r="1243" spans="18:18" x14ac:dyDescent="0.25">
      <c r="R1243" s="219"/>
    </row>
    <row r="1244" spans="18:18" x14ac:dyDescent="0.25">
      <c r="R1244" s="219"/>
    </row>
    <row r="1245" spans="18:18" x14ac:dyDescent="0.25">
      <c r="R1245" s="219"/>
    </row>
    <row r="1246" spans="18:18" x14ac:dyDescent="0.25">
      <c r="R1246" s="219"/>
    </row>
    <row r="1247" spans="18:18" x14ac:dyDescent="0.25">
      <c r="R1247" s="219"/>
    </row>
    <row r="1248" spans="18:18" x14ac:dyDescent="0.25">
      <c r="R1248" s="219"/>
    </row>
    <row r="1249" spans="18:18" x14ac:dyDescent="0.25">
      <c r="R1249" s="219"/>
    </row>
    <row r="1250" spans="18:18" x14ac:dyDescent="0.25">
      <c r="R1250" s="219"/>
    </row>
    <row r="1251" spans="18:18" x14ac:dyDescent="0.25">
      <c r="R1251" s="219"/>
    </row>
    <row r="1252" spans="18:18" x14ac:dyDescent="0.25">
      <c r="R1252" s="219"/>
    </row>
    <row r="1253" spans="18:18" x14ac:dyDescent="0.25">
      <c r="R1253" s="219"/>
    </row>
    <row r="1254" spans="18:18" x14ac:dyDescent="0.25">
      <c r="R1254" s="219"/>
    </row>
    <row r="1255" spans="18:18" x14ac:dyDescent="0.25">
      <c r="R1255" s="219"/>
    </row>
    <row r="1256" spans="18:18" x14ac:dyDescent="0.25">
      <c r="R1256" s="219"/>
    </row>
    <row r="1257" spans="18:18" x14ac:dyDescent="0.25">
      <c r="R1257" s="219"/>
    </row>
    <row r="1258" spans="18:18" x14ac:dyDescent="0.25">
      <c r="R1258" s="219"/>
    </row>
    <row r="1259" spans="18:18" x14ac:dyDescent="0.25">
      <c r="R1259" s="219"/>
    </row>
    <row r="1260" spans="18:18" x14ac:dyDescent="0.25">
      <c r="R1260" s="219"/>
    </row>
    <row r="1261" spans="18:18" x14ac:dyDescent="0.25">
      <c r="R1261" s="219"/>
    </row>
    <row r="1262" spans="18:18" x14ac:dyDescent="0.25">
      <c r="R1262" s="219"/>
    </row>
    <row r="1263" spans="18:18" x14ac:dyDescent="0.25">
      <c r="R1263" s="219"/>
    </row>
    <row r="1264" spans="18:18" x14ac:dyDescent="0.25">
      <c r="R1264" s="219"/>
    </row>
    <row r="1265" spans="18:18" x14ac:dyDescent="0.25">
      <c r="R1265" s="219"/>
    </row>
    <row r="1266" spans="18:18" x14ac:dyDescent="0.25">
      <c r="R1266" s="219"/>
    </row>
    <row r="1267" spans="18:18" x14ac:dyDescent="0.25">
      <c r="R1267" s="219"/>
    </row>
    <row r="1268" spans="18:18" x14ac:dyDescent="0.25">
      <c r="R1268" s="219"/>
    </row>
    <row r="1269" spans="18:18" x14ac:dyDescent="0.25">
      <c r="R1269" s="219"/>
    </row>
    <row r="1270" spans="18:18" x14ac:dyDescent="0.25">
      <c r="R1270" s="219"/>
    </row>
    <row r="1271" spans="18:18" x14ac:dyDescent="0.25">
      <c r="R1271" s="219"/>
    </row>
    <row r="1272" spans="18:18" x14ac:dyDescent="0.25">
      <c r="R1272" s="219"/>
    </row>
    <row r="1273" spans="18:18" x14ac:dyDescent="0.25">
      <c r="R1273" s="219"/>
    </row>
    <row r="1274" spans="18:18" x14ac:dyDescent="0.25">
      <c r="R1274" s="219"/>
    </row>
    <row r="1275" spans="18:18" x14ac:dyDescent="0.25">
      <c r="R1275" s="219"/>
    </row>
    <row r="1276" spans="18:18" x14ac:dyDescent="0.25">
      <c r="R1276" s="219"/>
    </row>
    <row r="1277" spans="18:18" x14ac:dyDescent="0.25">
      <c r="R1277" s="219"/>
    </row>
    <row r="1278" spans="18:18" x14ac:dyDescent="0.25">
      <c r="R1278" s="219"/>
    </row>
    <row r="1279" spans="18:18" x14ac:dyDescent="0.25">
      <c r="R1279" s="219"/>
    </row>
    <row r="1280" spans="18:18" x14ac:dyDescent="0.25">
      <c r="R1280" s="219"/>
    </row>
    <row r="1281" spans="18:18" x14ac:dyDescent="0.25">
      <c r="R1281" s="219"/>
    </row>
    <row r="1282" spans="18:18" x14ac:dyDescent="0.25">
      <c r="R1282" s="219"/>
    </row>
    <row r="1283" spans="18:18" x14ac:dyDescent="0.25">
      <c r="R1283" s="219"/>
    </row>
    <row r="1284" spans="18:18" x14ac:dyDescent="0.25">
      <c r="R1284" s="219"/>
    </row>
    <row r="1285" spans="18:18" x14ac:dyDescent="0.25">
      <c r="R1285" s="219"/>
    </row>
    <row r="1286" spans="18:18" x14ac:dyDescent="0.25">
      <c r="R1286" s="219"/>
    </row>
    <row r="1287" spans="18:18" x14ac:dyDescent="0.25">
      <c r="R1287" s="219"/>
    </row>
    <row r="1288" spans="18:18" x14ac:dyDescent="0.25">
      <c r="R1288" s="219"/>
    </row>
    <row r="1289" spans="18:18" x14ac:dyDescent="0.25">
      <c r="R1289" s="219"/>
    </row>
    <row r="1290" spans="18:18" x14ac:dyDescent="0.25">
      <c r="R1290" s="219"/>
    </row>
    <row r="1291" spans="18:18" x14ac:dyDescent="0.25">
      <c r="R1291" s="219"/>
    </row>
    <row r="1292" spans="18:18" x14ac:dyDescent="0.25">
      <c r="R1292" s="219"/>
    </row>
    <row r="1293" spans="18:18" x14ac:dyDescent="0.25">
      <c r="R1293" s="219"/>
    </row>
    <row r="1294" spans="18:18" x14ac:dyDescent="0.25">
      <c r="R1294" s="219"/>
    </row>
    <row r="1295" spans="18:18" x14ac:dyDescent="0.25">
      <c r="R1295" s="219"/>
    </row>
    <row r="1296" spans="18:18" x14ac:dyDescent="0.25">
      <c r="R1296" s="219"/>
    </row>
    <row r="1297" spans="18:18" x14ac:dyDescent="0.25">
      <c r="R1297" s="219"/>
    </row>
    <row r="1298" spans="18:18" x14ac:dyDescent="0.25">
      <c r="R1298" s="219"/>
    </row>
    <row r="1299" spans="18:18" x14ac:dyDescent="0.25">
      <c r="R1299" s="219"/>
    </row>
    <row r="1300" spans="18:18" x14ac:dyDescent="0.25">
      <c r="R1300" s="219"/>
    </row>
    <row r="1301" spans="18:18" x14ac:dyDescent="0.25">
      <c r="R1301" s="219"/>
    </row>
    <row r="1302" spans="18:18" x14ac:dyDescent="0.25">
      <c r="R1302" s="219"/>
    </row>
    <row r="1303" spans="18:18" x14ac:dyDescent="0.25">
      <c r="R1303" s="219"/>
    </row>
    <row r="1304" spans="18:18" x14ac:dyDescent="0.25">
      <c r="R1304" s="219"/>
    </row>
    <row r="1305" spans="18:18" x14ac:dyDescent="0.25">
      <c r="R1305" s="219"/>
    </row>
    <row r="1306" spans="18:18" x14ac:dyDescent="0.25">
      <c r="R1306" s="219"/>
    </row>
    <row r="1307" spans="18:18" x14ac:dyDescent="0.25">
      <c r="R1307" s="219"/>
    </row>
    <row r="1308" spans="18:18" x14ac:dyDescent="0.25">
      <c r="R1308" s="219"/>
    </row>
    <row r="1309" spans="18:18" x14ac:dyDescent="0.25">
      <c r="R1309" s="219"/>
    </row>
    <row r="1310" spans="18:18" x14ac:dyDescent="0.25">
      <c r="R1310" s="219"/>
    </row>
    <row r="1311" spans="18:18" x14ac:dyDescent="0.25">
      <c r="R1311" s="219"/>
    </row>
    <row r="1312" spans="18:18" x14ac:dyDescent="0.25">
      <c r="R1312" s="219"/>
    </row>
    <row r="1313" spans="18:18" x14ac:dyDescent="0.25">
      <c r="R1313" s="219"/>
    </row>
    <row r="1314" spans="18:18" x14ac:dyDescent="0.25">
      <c r="R1314" s="219"/>
    </row>
    <row r="1315" spans="18:18" x14ac:dyDescent="0.25">
      <c r="R1315" s="219"/>
    </row>
    <row r="1316" spans="18:18" x14ac:dyDescent="0.25">
      <c r="R1316" s="219"/>
    </row>
    <row r="1317" spans="18:18" x14ac:dyDescent="0.25">
      <c r="R1317" s="219"/>
    </row>
    <row r="1318" spans="18:18" x14ac:dyDescent="0.25">
      <c r="R1318" s="219"/>
    </row>
    <row r="1319" spans="18:18" x14ac:dyDescent="0.25">
      <c r="R1319" s="219"/>
    </row>
    <row r="1320" spans="18:18" x14ac:dyDescent="0.25">
      <c r="R1320" s="219"/>
    </row>
    <row r="1321" spans="18:18" x14ac:dyDescent="0.25">
      <c r="R1321" s="219"/>
    </row>
    <row r="1322" spans="18:18" x14ac:dyDescent="0.25">
      <c r="R1322" s="219"/>
    </row>
    <row r="1323" spans="18:18" x14ac:dyDescent="0.25">
      <c r="R1323" s="219"/>
    </row>
    <row r="1324" spans="18:18" x14ac:dyDescent="0.25">
      <c r="R1324" s="219"/>
    </row>
    <row r="1325" spans="18:18" x14ac:dyDescent="0.25">
      <c r="R1325" s="219"/>
    </row>
    <row r="1326" spans="18:18" x14ac:dyDescent="0.25">
      <c r="R1326" s="219"/>
    </row>
    <row r="1327" spans="18:18" x14ac:dyDescent="0.25">
      <c r="R1327" s="219"/>
    </row>
    <row r="1328" spans="18:18" x14ac:dyDescent="0.25">
      <c r="R1328" s="219"/>
    </row>
    <row r="1329" spans="18:18" x14ac:dyDescent="0.25">
      <c r="R1329" s="219"/>
    </row>
    <row r="1330" spans="18:18" x14ac:dyDescent="0.25">
      <c r="R1330" s="219"/>
    </row>
    <row r="1331" spans="18:18" x14ac:dyDescent="0.25">
      <c r="R1331" s="219"/>
    </row>
    <row r="1332" spans="18:18" x14ac:dyDescent="0.25">
      <c r="R1332" s="219"/>
    </row>
    <row r="1333" spans="18:18" x14ac:dyDescent="0.25">
      <c r="R1333" s="219"/>
    </row>
    <row r="1334" spans="18:18" x14ac:dyDescent="0.25">
      <c r="R1334" s="219"/>
    </row>
    <row r="1335" spans="18:18" x14ac:dyDescent="0.25">
      <c r="R1335" s="219"/>
    </row>
    <row r="1336" spans="18:18" x14ac:dyDescent="0.25">
      <c r="R1336" s="219"/>
    </row>
    <row r="1337" spans="18:18" x14ac:dyDescent="0.25">
      <c r="R1337" s="219"/>
    </row>
    <row r="1338" spans="18:18" x14ac:dyDescent="0.25">
      <c r="R1338" s="219"/>
    </row>
    <row r="1339" spans="18:18" x14ac:dyDescent="0.25">
      <c r="R1339" s="219"/>
    </row>
    <row r="1340" spans="18:18" x14ac:dyDescent="0.25">
      <c r="R1340" s="219"/>
    </row>
    <row r="1341" spans="18:18" x14ac:dyDescent="0.25">
      <c r="R1341" s="219"/>
    </row>
    <row r="1342" spans="18:18" x14ac:dyDescent="0.25">
      <c r="R1342" s="219"/>
    </row>
    <row r="1343" spans="18:18" x14ac:dyDescent="0.25">
      <c r="R1343" s="219"/>
    </row>
    <row r="1344" spans="18:18" x14ac:dyDescent="0.25">
      <c r="R1344" s="219"/>
    </row>
    <row r="1345" spans="18:18" x14ac:dyDescent="0.25">
      <c r="R1345" s="219"/>
    </row>
    <row r="1346" spans="18:18" x14ac:dyDescent="0.25">
      <c r="R1346" s="219"/>
    </row>
    <row r="1347" spans="18:18" x14ac:dyDescent="0.25">
      <c r="R1347" s="219"/>
    </row>
    <row r="1348" spans="18:18" x14ac:dyDescent="0.25">
      <c r="R1348" s="219"/>
    </row>
    <row r="1349" spans="18:18" x14ac:dyDescent="0.25">
      <c r="R1349" s="219"/>
    </row>
    <row r="1350" spans="18:18" x14ac:dyDescent="0.25">
      <c r="R1350" s="219"/>
    </row>
    <row r="1351" spans="18:18" x14ac:dyDescent="0.25">
      <c r="R1351" s="219"/>
    </row>
    <row r="1352" spans="18:18" x14ac:dyDescent="0.25">
      <c r="R1352" s="219"/>
    </row>
    <row r="1353" spans="18:18" x14ac:dyDescent="0.25">
      <c r="R1353" s="219"/>
    </row>
    <row r="1354" spans="18:18" x14ac:dyDescent="0.25">
      <c r="R1354" s="219"/>
    </row>
    <row r="1355" spans="18:18" x14ac:dyDescent="0.25">
      <c r="R1355" s="219"/>
    </row>
    <row r="1356" spans="18:18" x14ac:dyDescent="0.25">
      <c r="R1356" s="219"/>
    </row>
    <row r="1357" spans="18:18" x14ac:dyDescent="0.25">
      <c r="R1357" s="219"/>
    </row>
    <row r="1358" spans="18:18" x14ac:dyDescent="0.25">
      <c r="R1358" s="219"/>
    </row>
    <row r="1359" spans="18:18" x14ac:dyDescent="0.25">
      <c r="R1359" s="219"/>
    </row>
    <row r="1360" spans="18:18" x14ac:dyDescent="0.25">
      <c r="R1360" s="219"/>
    </row>
    <row r="1361" spans="18:18" x14ac:dyDescent="0.25">
      <c r="R1361" s="219"/>
    </row>
    <row r="1362" spans="18:18" x14ac:dyDescent="0.25">
      <c r="R1362" s="219"/>
    </row>
    <row r="1363" spans="18:18" x14ac:dyDescent="0.25">
      <c r="R1363" s="219"/>
    </row>
    <row r="1364" spans="18:18" x14ac:dyDescent="0.25">
      <c r="R1364" s="219"/>
    </row>
    <row r="1365" spans="18:18" x14ac:dyDescent="0.25">
      <c r="R1365" s="219"/>
    </row>
    <row r="1366" spans="18:18" x14ac:dyDescent="0.25">
      <c r="R1366" s="219"/>
    </row>
    <row r="1367" spans="18:18" x14ac:dyDescent="0.25">
      <c r="R1367" s="219"/>
    </row>
    <row r="1368" spans="18:18" x14ac:dyDescent="0.25">
      <c r="R1368" s="219"/>
    </row>
    <row r="1369" spans="18:18" x14ac:dyDescent="0.25">
      <c r="R1369" s="219"/>
    </row>
    <row r="1370" spans="18:18" x14ac:dyDescent="0.25">
      <c r="R1370" s="219"/>
    </row>
    <row r="1371" spans="18:18" x14ac:dyDescent="0.25">
      <c r="R1371" s="219"/>
    </row>
    <row r="1372" spans="18:18" x14ac:dyDescent="0.25">
      <c r="R1372" s="219"/>
    </row>
    <row r="1373" spans="18:18" x14ac:dyDescent="0.25">
      <c r="R1373" s="219"/>
    </row>
    <row r="1374" spans="18:18" x14ac:dyDescent="0.25">
      <c r="R1374" s="219"/>
    </row>
    <row r="1375" spans="18:18" x14ac:dyDescent="0.25">
      <c r="R1375" s="219"/>
    </row>
    <row r="1376" spans="18:18" x14ac:dyDescent="0.25">
      <c r="R1376" s="219"/>
    </row>
    <row r="1377" spans="18:18" x14ac:dyDescent="0.25">
      <c r="R1377" s="219"/>
    </row>
    <row r="1378" spans="18:18" x14ac:dyDescent="0.25">
      <c r="R1378" s="219"/>
    </row>
    <row r="1379" spans="18:18" x14ac:dyDescent="0.25">
      <c r="R1379" s="219"/>
    </row>
    <row r="1380" spans="18:18" x14ac:dyDescent="0.25">
      <c r="R1380" s="219"/>
    </row>
    <row r="1381" spans="18:18" x14ac:dyDescent="0.25">
      <c r="R1381" s="219"/>
    </row>
    <row r="1382" spans="18:18" x14ac:dyDescent="0.25">
      <c r="R1382" s="219"/>
    </row>
    <row r="1383" spans="18:18" x14ac:dyDescent="0.25">
      <c r="R1383" s="219"/>
    </row>
    <row r="1384" spans="18:18" x14ac:dyDescent="0.25">
      <c r="R1384" s="219"/>
    </row>
    <row r="1385" spans="18:18" x14ac:dyDescent="0.25">
      <c r="R1385" s="219"/>
    </row>
    <row r="1386" spans="18:18" x14ac:dyDescent="0.25">
      <c r="R1386" s="219"/>
    </row>
    <row r="1387" spans="18:18" x14ac:dyDescent="0.25">
      <c r="R1387" s="219"/>
    </row>
    <row r="1388" spans="18:18" x14ac:dyDescent="0.25">
      <c r="R1388" s="219"/>
    </row>
    <row r="1389" spans="18:18" x14ac:dyDescent="0.25">
      <c r="R1389" s="219"/>
    </row>
    <row r="1390" spans="18:18" x14ac:dyDescent="0.25">
      <c r="R1390" s="219"/>
    </row>
    <row r="1391" spans="18:18" x14ac:dyDescent="0.25">
      <c r="R1391" s="219"/>
    </row>
    <row r="1392" spans="18:18" x14ac:dyDescent="0.25">
      <c r="R1392" s="219"/>
    </row>
    <row r="1393" spans="18:18" x14ac:dyDescent="0.25">
      <c r="R1393" s="219"/>
    </row>
    <row r="1394" spans="18:18" x14ac:dyDescent="0.25">
      <c r="R1394" s="219"/>
    </row>
    <row r="1395" spans="18:18" x14ac:dyDescent="0.25">
      <c r="R1395" s="219"/>
    </row>
    <row r="1396" spans="18:18" x14ac:dyDescent="0.25">
      <c r="R1396" s="219"/>
    </row>
    <row r="1397" spans="18:18" x14ac:dyDescent="0.25">
      <c r="R1397" s="219"/>
    </row>
    <row r="1398" spans="18:18" x14ac:dyDescent="0.25">
      <c r="R1398" s="219"/>
    </row>
    <row r="1399" spans="18:18" x14ac:dyDescent="0.25">
      <c r="R1399" s="219"/>
    </row>
    <row r="1400" spans="18:18" x14ac:dyDescent="0.25">
      <c r="R1400" s="219"/>
    </row>
    <row r="1401" spans="18:18" x14ac:dyDescent="0.25">
      <c r="R1401" s="219"/>
    </row>
    <row r="1402" spans="18:18" x14ac:dyDescent="0.25">
      <c r="R1402" s="219"/>
    </row>
    <row r="1403" spans="18:18" x14ac:dyDescent="0.25">
      <c r="R1403" s="219"/>
    </row>
    <row r="1404" spans="18:18" x14ac:dyDescent="0.25">
      <c r="R1404" s="219"/>
    </row>
    <row r="1405" spans="18:18" x14ac:dyDescent="0.25">
      <c r="R1405" s="219"/>
    </row>
    <row r="1406" spans="18:18" x14ac:dyDescent="0.25">
      <c r="R1406" s="219"/>
    </row>
    <row r="1407" spans="18:18" x14ac:dyDescent="0.25">
      <c r="R1407" s="219"/>
    </row>
    <row r="1408" spans="18:18" x14ac:dyDescent="0.25">
      <c r="R1408" s="219"/>
    </row>
    <row r="1409" spans="18:18" x14ac:dyDescent="0.25">
      <c r="R1409" s="219"/>
    </row>
    <row r="1410" spans="18:18" x14ac:dyDescent="0.25">
      <c r="R1410" s="219"/>
    </row>
    <row r="1411" spans="18:18" x14ac:dyDescent="0.25">
      <c r="R1411" s="219"/>
    </row>
    <row r="1412" spans="18:18" x14ac:dyDescent="0.25">
      <c r="R1412" s="219"/>
    </row>
    <row r="1413" spans="18:18" x14ac:dyDescent="0.25">
      <c r="R1413" s="219"/>
    </row>
    <row r="1414" spans="18:18" x14ac:dyDescent="0.25">
      <c r="R1414" s="219"/>
    </row>
    <row r="1415" spans="18:18" x14ac:dyDescent="0.25">
      <c r="R1415" s="219"/>
    </row>
    <row r="1416" spans="18:18" x14ac:dyDescent="0.25">
      <c r="R1416" s="219"/>
    </row>
    <row r="1417" spans="18:18" x14ac:dyDescent="0.25">
      <c r="R1417" s="219"/>
    </row>
    <row r="1418" spans="18:18" x14ac:dyDescent="0.25">
      <c r="R1418" s="219"/>
    </row>
    <row r="1419" spans="18:18" x14ac:dyDescent="0.25">
      <c r="R1419" s="219"/>
    </row>
    <row r="1420" spans="18:18" x14ac:dyDescent="0.25">
      <c r="R1420" s="219"/>
    </row>
    <row r="1421" spans="18:18" x14ac:dyDescent="0.25">
      <c r="R1421" s="219"/>
    </row>
    <row r="1422" spans="18:18" x14ac:dyDescent="0.25">
      <c r="R1422" s="219"/>
    </row>
    <row r="1423" spans="18:18" x14ac:dyDescent="0.25">
      <c r="R1423" s="219"/>
    </row>
    <row r="1424" spans="18:18" x14ac:dyDescent="0.25">
      <c r="R1424" s="219"/>
    </row>
    <row r="1425" spans="18:18" x14ac:dyDescent="0.25">
      <c r="R1425" s="219"/>
    </row>
    <row r="1426" spans="18:18" x14ac:dyDescent="0.25">
      <c r="R1426" s="219"/>
    </row>
    <row r="1427" spans="18:18" x14ac:dyDescent="0.25">
      <c r="R1427" s="219"/>
    </row>
    <row r="1428" spans="18:18" x14ac:dyDescent="0.25">
      <c r="R1428" s="219"/>
    </row>
    <row r="1429" spans="18:18" x14ac:dyDescent="0.25">
      <c r="R1429" s="219"/>
    </row>
    <row r="1430" spans="18:18" x14ac:dyDescent="0.25">
      <c r="R1430" s="219"/>
    </row>
    <row r="1431" spans="18:18" x14ac:dyDescent="0.25">
      <c r="R1431" s="219"/>
    </row>
    <row r="1432" spans="18:18" x14ac:dyDescent="0.25">
      <c r="R1432" s="219"/>
    </row>
    <row r="1433" spans="18:18" x14ac:dyDescent="0.25">
      <c r="R1433" s="219"/>
    </row>
    <row r="1434" spans="18:18" x14ac:dyDescent="0.25">
      <c r="R1434" s="219"/>
    </row>
    <row r="1435" spans="18:18" x14ac:dyDescent="0.25">
      <c r="R1435" s="219"/>
    </row>
    <row r="1436" spans="18:18" x14ac:dyDescent="0.25">
      <c r="R1436" s="219"/>
    </row>
    <row r="1437" spans="18:18" x14ac:dyDescent="0.25">
      <c r="R1437" s="219"/>
    </row>
    <row r="1438" spans="18:18" x14ac:dyDescent="0.25">
      <c r="R1438" s="219"/>
    </row>
    <row r="1439" spans="18:18" x14ac:dyDescent="0.25">
      <c r="R1439" s="219"/>
    </row>
    <row r="1440" spans="18:18" x14ac:dyDescent="0.25">
      <c r="R1440" s="219"/>
    </row>
    <row r="1441" spans="18:18" x14ac:dyDescent="0.25">
      <c r="R1441" s="219"/>
    </row>
    <row r="1442" spans="18:18" x14ac:dyDescent="0.25">
      <c r="R1442" s="219"/>
    </row>
    <row r="1443" spans="18:18" x14ac:dyDescent="0.25">
      <c r="R1443" s="219"/>
    </row>
    <row r="1444" spans="18:18" x14ac:dyDescent="0.25">
      <c r="R1444" s="219"/>
    </row>
    <row r="1445" spans="18:18" x14ac:dyDescent="0.25">
      <c r="R1445" s="219"/>
    </row>
    <row r="1446" spans="18:18" x14ac:dyDescent="0.25">
      <c r="R1446" s="219"/>
    </row>
    <row r="1447" spans="18:18" x14ac:dyDescent="0.25">
      <c r="R1447" s="219"/>
    </row>
    <row r="1448" spans="18:18" x14ac:dyDescent="0.25">
      <c r="R1448" s="219"/>
    </row>
    <row r="1449" spans="18:18" x14ac:dyDescent="0.25">
      <c r="R1449" s="219"/>
    </row>
    <row r="1450" spans="18:18" x14ac:dyDescent="0.25">
      <c r="R1450" s="219"/>
    </row>
    <row r="1451" spans="18:18" x14ac:dyDescent="0.25">
      <c r="R1451" s="219"/>
    </row>
    <row r="1452" spans="18:18" x14ac:dyDescent="0.25">
      <c r="R1452" s="219"/>
    </row>
    <row r="1453" spans="18:18" x14ac:dyDescent="0.25">
      <c r="R1453" s="219"/>
    </row>
    <row r="1454" spans="18:18" x14ac:dyDescent="0.25">
      <c r="R1454" s="219"/>
    </row>
    <row r="1455" spans="18:18" x14ac:dyDescent="0.25">
      <c r="R1455" s="219"/>
    </row>
    <row r="1456" spans="18:18" x14ac:dyDescent="0.25">
      <c r="R1456" s="219"/>
    </row>
    <row r="1457" spans="18:18" x14ac:dyDescent="0.25">
      <c r="R1457" s="219"/>
    </row>
    <row r="1458" spans="18:18" x14ac:dyDescent="0.25">
      <c r="R1458" s="219"/>
    </row>
    <row r="1459" spans="18:18" x14ac:dyDescent="0.25">
      <c r="R1459" s="219"/>
    </row>
    <row r="1460" spans="18:18" x14ac:dyDescent="0.25">
      <c r="R1460" s="219"/>
    </row>
    <row r="1461" spans="18:18" x14ac:dyDescent="0.25">
      <c r="R1461" s="219"/>
    </row>
    <row r="1462" spans="18:18" x14ac:dyDescent="0.25">
      <c r="R1462" s="219"/>
    </row>
    <row r="1463" spans="18:18" x14ac:dyDescent="0.25">
      <c r="R1463" s="219"/>
    </row>
    <row r="1464" spans="18:18" x14ac:dyDescent="0.25">
      <c r="R1464" s="219"/>
    </row>
    <row r="1465" spans="18:18" x14ac:dyDescent="0.25">
      <c r="R1465" s="219"/>
    </row>
    <row r="1466" spans="18:18" x14ac:dyDescent="0.25">
      <c r="R1466" s="219"/>
    </row>
    <row r="1467" spans="18:18" x14ac:dyDescent="0.25">
      <c r="R1467" s="219"/>
    </row>
    <row r="1468" spans="18:18" x14ac:dyDescent="0.25">
      <c r="R1468" s="219"/>
    </row>
    <row r="1469" spans="18:18" x14ac:dyDescent="0.25">
      <c r="R1469" s="219"/>
    </row>
    <row r="1470" spans="18:18" x14ac:dyDescent="0.25">
      <c r="R1470" s="219"/>
    </row>
    <row r="1471" spans="18:18" x14ac:dyDescent="0.25">
      <c r="R1471" s="219"/>
    </row>
    <row r="1472" spans="18:18" x14ac:dyDescent="0.25">
      <c r="R1472" s="219"/>
    </row>
    <row r="1473" spans="18:18" x14ac:dyDescent="0.25">
      <c r="R1473" s="219"/>
    </row>
    <row r="1474" spans="18:18" x14ac:dyDescent="0.25">
      <c r="R1474" s="219"/>
    </row>
    <row r="1475" spans="18:18" x14ac:dyDescent="0.25">
      <c r="R1475" s="219"/>
    </row>
    <row r="1476" spans="18:18" x14ac:dyDescent="0.25">
      <c r="R1476" s="219"/>
    </row>
    <row r="1477" spans="18:18" x14ac:dyDescent="0.25">
      <c r="R1477" s="219"/>
    </row>
    <row r="1478" spans="18:18" x14ac:dyDescent="0.25">
      <c r="R1478" s="219"/>
    </row>
    <row r="1479" spans="18:18" x14ac:dyDescent="0.25">
      <c r="R1479" s="219"/>
    </row>
    <row r="1480" spans="18:18" x14ac:dyDescent="0.25">
      <c r="R1480" s="219"/>
    </row>
    <row r="1481" spans="18:18" x14ac:dyDescent="0.25">
      <c r="R1481" s="219"/>
    </row>
    <row r="1482" spans="18:18" x14ac:dyDescent="0.25">
      <c r="R1482" s="219"/>
    </row>
    <row r="1483" spans="18:18" x14ac:dyDescent="0.25">
      <c r="R1483" s="219"/>
    </row>
    <row r="1484" spans="18:18" x14ac:dyDescent="0.25">
      <c r="R1484" s="219"/>
    </row>
    <row r="1485" spans="18:18" x14ac:dyDescent="0.25">
      <c r="R1485" s="219"/>
    </row>
    <row r="1486" spans="18:18" x14ac:dyDescent="0.25">
      <c r="R1486" s="219"/>
    </row>
    <row r="1487" spans="18:18" x14ac:dyDescent="0.25">
      <c r="R1487" s="219"/>
    </row>
    <row r="1488" spans="18:18" x14ac:dyDescent="0.25">
      <c r="R1488" s="219"/>
    </row>
    <row r="1489" spans="18:18" x14ac:dyDescent="0.25">
      <c r="R1489" s="219"/>
    </row>
    <row r="1490" spans="18:18" x14ac:dyDescent="0.25">
      <c r="R1490" s="219"/>
    </row>
    <row r="1491" spans="18:18" x14ac:dyDescent="0.25">
      <c r="R1491" s="219"/>
    </row>
    <row r="1492" spans="18:18" x14ac:dyDescent="0.25">
      <c r="R1492" s="219"/>
    </row>
    <row r="1493" spans="18:18" x14ac:dyDescent="0.25">
      <c r="R1493" s="219"/>
    </row>
    <row r="1494" spans="18:18" x14ac:dyDescent="0.25">
      <c r="R1494" s="219"/>
    </row>
    <row r="1495" spans="18:18" x14ac:dyDescent="0.25">
      <c r="R1495" s="219"/>
    </row>
    <row r="1496" spans="18:18" x14ac:dyDescent="0.25">
      <c r="R1496" s="219"/>
    </row>
    <row r="1497" spans="18:18" x14ac:dyDescent="0.25">
      <c r="R1497" s="219"/>
    </row>
    <row r="1498" spans="18:18" x14ac:dyDescent="0.25">
      <c r="R1498" s="219"/>
    </row>
    <row r="1499" spans="18:18" x14ac:dyDescent="0.25">
      <c r="R1499" s="219"/>
    </row>
    <row r="1500" spans="18:18" x14ac:dyDescent="0.25">
      <c r="R1500" s="219"/>
    </row>
    <row r="1501" spans="18:18" x14ac:dyDescent="0.25">
      <c r="R1501" s="219"/>
    </row>
    <row r="1502" spans="18:18" x14ac:dyDescent="0.25">
      <c r="R1502" s="219"/>
    </row>
    <row r="1503" spans="18:18" x14ac:dyDescent="0.25">
      <c r="R1503" s="219"/>
    </row>
    <row r="1504" spans="18:18" x14ac:dyDescent="0.25">
      <c r="R1504" s="219"/>
    </row>
    <row r="1505" spans="18:18" x14ac:dyDescent="0.25">
      <c r="R1505" s="219"/>
    </row>
    <row r="1506" spans="18:18" x14ac:dyDescent="0.25">
      <c r="R1506" s="219"/>
    </row>
    <row r="1507" spans="18:18" x14ac:dyDescent="0.25">
      <c r="R1507" s="219"/>
    </row>
    <row r="1508" spans="18:18" x14ac:dyDescent="0.25">
      <c r="R1508" s="219"/>
    </row>
    <row r="1509" spans="18:18" x14ac:dyDescent="0.25">
      <c r="R1509" s="219"/>
    </row>
    <row r="1510" spans="18:18" x14ac:dyDescent="0.25">
      <c r="R1510" s="219"/>
    </row>
    <row r="1511" spans="18:18" x14ac:dyDescent="0.25">
      <c r="R1511" s="219"/>
    </row>
    <row r="1512" spans="18:18" x14ac:dyDescent="0.25">
      <c r="R1512" s="219"/>
    </row>
    <row r="1513" spans="18:18" x14ac:dyDescent="0.25">
      <c r="R1513" s="219"/>
    </row>
    <row r="1514" spans="18:18" x14ac:dyDescent="0.25">
      <c r="R1514" s="219"/>
    </row>
    <row r="1515" spans="18:18" x14ac:dyDescent="0.25">
      <c r="R1515" s="219"/>
    </row>
    <row r="1516" spans="18:18" x14ac:dyDescent="0.25">
      <c r="R1516" s="219"/>
    </row>
    <row r="1517" spans="18:18" x14ac:dyDescent="0.25">
      <c r="R1517" s="219"/>
    </row>
    <row r="1518" spans="18:18" x14ac:dyDescent="0.25">
      <c r="R1518" s="219"/>
    </row>
    <row r="1519" spans="18:18" x14ac:dyDescent="0.25">
      <c r="R1519" s="219"/>
    </row>
    <row r="1520" spans="18:18" x14ac:dyDescent="0.25">
      <c r="R1520" s="219"/>
    </row>
    <row r="1521" spans="18:18" x14ac:dyDescent="0.25">
      <c r="R1521" s="219"/>
    </row>
    <row r="1522" spans="18:18" x14ac:dyDescent="0.25">
      <c r="R1522" s="219"/>
    </row>
    <row r="1523" spans="18:18" x14ac:dyDescent="0.25">
      <c r="R1523" s="219"/>
    </row>
    <row r="1524" spans="18:18" x14ac:dyDescent="0.25">
      <c r="R1524" s="219"/>
    </row>
    <row r="1525" spans="18:18" x14ac:dyDescent="0.25">
      <c r="R1525" s="219"/>
    </row>
    <row r="1526" spans="18:18" x14ac:dyDescent="0.25">
      <c r="R1526" s="219"/>
    </row>
    <row r="1527" spans="18:18" x14ac:dyDescent="0.25">
      <c r="R1527" s="219"/>
    </row>
    <row r="1528" spans="18:18" x14ac:dyDescent="0.25">
      <c r="R1528" s="219"/>
    </row>
    <row r="1529" spans="18:18" x14ac:dyDescent="0.25">
      <c r="R1529" s="219"/>
    </row>
    <row r="1530" spans="18:18" x14ac:dyDescent="0.25">
      <c r="R1530" s="219"/>
    </row>
    <row r="1531" spans="18:18" x14ac:dyDescent="0.25">
      <c r="R1531" s="219"/>
    </row>
    <row r="1532" spans="18:18" x14ac:dyDescent="0.25">
      <c r="R1532" s="219"/>
    </row>
    <row r="1533" spans="18:18" x14ac:dyDescent="0.25">
      <c r="R1533" s="219"/>
    </row>
    <row r="1534" spans="18:18" x14ac:dyDescent="0.25">
      <c r="R1534" s="219"/>
    </row>
    <row r="1535" spans="18:18" x14ac:dyDescent="0.25">
      <c r="R1535" s="219"/>
    </row>
    <row r="1536" spans="18:18" x14ac:dyDescent="0.25">
      <c r="R1536" s="219"/>
    </row>
    <row r="1537" spans="18:18" x14ac:dyDescent="0.25">
      <c r="R1537" s="219"/>
    </row>
    <row r="1538" spans="18:18" x14ac:dyDescent="0.25">
      <c r="R1538" s="219"/>
    </row>
    <row r="1539" spans="18:18" x14ac:dyDescent="0.25">
      <c r="R1539" s="219"/>
    </row>
    <row r="1540" spans="18:18" x14ac:dyDescent="0.25">
      <c r="R1540" s="219"/>
    </row>
    <row r="1541" spans="18:18" x14ac:dyDescent="0.25">
      <c r="R1541" s="219"/>
    </row>
    <row r="1542" spans="18:18" x14ac:dyDescent="0.25">
      <c r="R1542" s="219"/>
    </row>
    <row r="1543" spans="18:18" x14ac:dyDescent="0.25">
      <c r="R1543" s="219"/>
    </row>
    <row r="1544" spans="18:18" x14ac:dyDescent="0.25">
      <c r="R1544" s="219"/>
    </row>
    <row r="1545" spans="18:18" x14ac:dyDescent="0.25">
      <c r="R1545" s="219"/>
    </row>
    <row r="1546" spans="18:18" x14ac:dyDescent="0.25">
      <c r="R1546" s="219"/>
    </row>
    <row r="1547" spans="18:18" x14ac:dyDescent="0.25">
      <c r="R1547" s="219"/>
    </row>
    <row r="1548" spans="18:18" x14ac:dyDescent="0.25">
      <c r="R1548" s="219"/>
    </row>
    <row r="1549" spans="18:18" x14ac:dyDescent="0.25">
      <c r="R1549" s="219"/>
    </row>
    <row r="1550" spans="18:18" x14ac:dyDescent="0.25">
      <c r="R1550" s="219"/>
    </row>
    <row r="1551" spans="18:18" x14ac:dyDescent="0.25">
      <c r="R1551" s="219"/>
    </row>
    <row r="1552" spans="18:18" x14ac:dyDescent="0.25">
      <c r="R1552" s="219"/>
    </row>
    <row r="1553" spans="18:18" x14ac:dyDescent="0.25">
      <c r="R1553" s="219"/>
    </row>
    <row r="1554" spans="18:18" x14ac:dyDescent="0.25">
      <c r="R1554" s="219"/>
    </row>
    <row r="1555" spans="18:18" x14ac:dyDescent="0.25">
      <c r="R1555" s="219"/>
    </row>
    <row r="1556" spans="18:18" x14ac:dyDescent="0.25">
      <c r="R1556" s="219"/>
    </row>
    <row r="1557" spans="18:18" x14ac:dyDescent="0.25">
      <c r="R1557" s="219"/>
    </row>
    <row r="1558" spans="18:18" x14ac:dyDescent="0.25">
      <c r="R1558" s="219"/>
    </row>
    <row r="1559" spans="18:18" x14ac:dyDescent="0.25">
      <c r="R1559" s="219"/>
    </row>
    <row r="1560" spans="18:18" x14ac:dyDescent="0.25">
      <c r="R1560" s="219"/>
    </row>
    <row r="1561" spans="18:18" x14ac:dyDescent="0.25">
      <c r="R1561" s="219"/>
    </row>
    <row r="1562" spans="18:18" x14ac:dyDescent="0.25">
      <c r="R1562" s="219"/>
    </row>
    <row r="1563" spans="18:18" x14ac:dyDescent="0.25">
      <c r="R1563" s="219"/>
    </row>
    <row r="1564" spans="18:18" x14ac:dyDescent="0.25">
      <c r="R1564" s="219"/>
    </row>
    <row r="1565" spans="18:18" x14ac:dyDescent="0.25">
      <c r="R1565" s="219"/>
    </row>
    <row r="1566" spans="18:18" x14ac:dyDescent="0.25">
      <c r="R1566" s="219"/>
    </row>
    <row r="1567" spans="18:18" x14ac:dyDescent="0.25">
      <c r="R1567" s="219"/>
    </row>
    <row r="1568" spans="18:18" x14ac:dyDescent="0.25">
      <c r="R1568" s="219"/>
    </row>
    <row r="1569" spans="18:18" x14ac:dyDescent="0.25">
      <c r="R1569" s="219"/>
    </row>
    <row r="1570" spans="18:18" x14ac:dyDescent="0.25">
      <c r="R1570" s="219"/>
    </row>
    <row r="1571" spans="18:18" x14ac:dyDescent="0.25">
      <c r="R1571" s="219"/>
    </row>
    <row r="1572" spans="18:18" x14ac:dyDescent="0.25">
      <c r="R1572" s="219"/>
    </row>
    <row r="1573" spans="18:18" x14ac:dyDescent="0.25">
      <c r="R1573" s="219"/>
    </row>
    <row r="1574" spans="18:18" x14ac:dyDescent="0.25">
      <c r="R1574" s="219"/>
    </row>
    <row r="1575" spans="18:18" x14ac:dyDescent="0.25">
      <c r="R1575" s="219"/>
    </row>
    <row r="1576" spans="18:18" x14ac:dyDescent="0.25">
      <c r="R1576" s="219"/>
    </row>
    <row r="1577" spans="18:18" x14ac:dyDescent="0.25">
      <c r="R1577" s="219"/>
    </row>
    <row r="1578" spans="18:18" x14ac:dyDescent="0.25">
      <c r="R1578" s="219"/>
    </row>
    <row r="1579" spans="18:18" x14ac:dyDescent="0.25">
      <c r="R1579" s="219"/>
    </row>
    <row r="1580" spans="18:18" x14ac:dyDescent="0.25">
      <c r="R1580" s="219"/>
    </row>
    <row r="1581" spans="18:18" x14ac:dyDescent="0.25">
      <c r="R1581" s="219"/>
    </row>
    <row r="1582" spans="18:18" x14ac:dyDescent="0.25">
      <c r="R1582" s="219"/>
    </row>
    <row r="1583" spans="18:18" x14ac:dyDescent="0.25">
      <c r="R1583" s="219"/>
    </row>
    <row r="1584" spans="18:18" x14ac:dyDescent="0.25">
      <c r="R1584" s="219"/>
    </row>
    <row r="1585" spans="18:18" x14ac:dyDescent="0.25">
      <c r="R1585" s="219"/>
    </row>
    <row r="1586" spans="18:18" x14ac:dyDescent="0.25">
      <c r="R1586" s="219"/>
    </row>
    <row r="1587" spans="18:18" x14ac:dyDescent="0.25">
      <c r="R1587" s="219"/>
    </row>
    <row r="1588" spans="18:18" x14ac:dyDescent="0.25">
      <c r="R1588" s="219"/>
    </row>
    <row r="1589" spans="18:18" x14ac:dyDescent="0.25">
      <c r="R1589" s="219"/>
    </row>
    <row r="1590" spans="18:18" x14ac:dyDescent="0.25">
      <c r="R1590" s="219"/>
    </row>
    <row r="1591" spans="18:18" x14ac:dyDescent="0.25">
      <c r="R1591" s="219"/>
    </row>
    <row r="1592" spans="18:18" x14ac:dyDescent="0.25">
      <c r="R1592" s="219"/>
    </row>
    <row r="1593" spans="18:18" x14ac:dyDescent="0.25">
      <c r="R1593" s="219"/>
    </row>
    <row r="1594" spans="18:18" x14ac:dyDescent="0.25">
      <c r="R1594" s="219"/>
    </row>
    <row r="1595" spans="18:18" x14ac:dyDescent="0.25">
      <c r="R1595" s="219"/>
    </row>
    <row r="1596" spans="18:18" x14ac:dyDescent="0.25">
      <c r="R1596" s="219"/>
    </row>
    <row r="1597" spans="18:18" x14ac:dyDescent="0.25">
      <c r="R1597" s="219"/>
    </row>
    <row r="1598" spans="18:18" x14ac:dyDescent="0.25">
      <c r="R1598" s="219"/>
    </row>
    <row r="1599" spans="18:18" x14ac:dyDescent="0.25">
      <c r="R1599" s="219"/>
    </row>
    <row r="1600" spans="18:18" x14ac:dyDescent="0.25">
      <c r="R1600" s="219"/>
    </row>
    <row r="1601" spans="18:18" x14ac:dyDescent="0.25">
      <c r="R1601" s="219"/>
    </row>
    <row r="1602" spans="18:18" x14ac:dyDescent="0.25">
      <c r="R1602" s="219"/>
    </row>
    <row r="1603" spans="18:18" x14ac:dyDescent="0.25">
      <c r="R1603" s="219"/>
    </row>
    <row r="1604" spans="18:18" x14ac:dyDescent="0.25">
      <c r="R1604" s="219"/>
    </row>
    <row r="1605" spans="18:18" x14ac:dyDescent="0.25">
      <c r="R1605" s="219"/>
    </row>
    <row r="1606" spans="18:18" x14ac:dyDescent="0.25">
      <c r="R1606" s="219"/>
    </row>
    <row r="1607" spans="18:18" x14ac:dyDescent="0.25">
      <c r="R1607" s="219"/>
    </row>
    <row r="1608" spans="18:18" x14ac:dyDescent="0.25">
      <c r="R1608" s="219"/>
    </row>
    <row r="1609" spans="18:18" x14ac:dyDescent="0.25">
      <c r="R1609" s="219"/>
    </row>
    <row r="1610" spans="18:18" x14ac:dyDescent="0.25">
      <c r="R1610" s="219"/>
    </row>
    <row r="1611" spans="18:18" x14ac:dyDescent="0.25">
      <c r="R1611" s="219"/>
    </row>
    <row r="1612" spans="18:18" x14ac:dyDescent="0.25">
      <c r="R1612" s="219"/>
    </row>
    <row r="1613" spans="18:18" x14ac:dyDescent="0.25">
      <c r="R1613" s="219"/>
    </row>
    <row r="1614" spans="18:18" x14ac:dyDescent="0.25">
      <c r="R1614" s="219"/>
    </row>
    <row r="1615" spans="18:18" x14ac:dyDescent="0.25">
      <c r="R1615" s="219"/>
    </row>
    <row r="1616" spans="18:18" x14ac:dyDescent="0.25">
      <c r="R1616" s="219"/>
    </row>
    <row r="1617" spans="18:18" x14ac:dyDescent="0.25">
      <c r="R1617" s="219"/>
    </row>
    <row r="1618" spans="18:18" x14ac:dyDescent="0.25">
      <c r="R1618" s="219"/>
    </row>
    <row r="1619" spans="18:18" x14ac:dyDescent="0.25">
      <c r="R1619" s="219"/>
    </row>
    <row r="1620" spans="18:18" x14ac:dyDescent="0.25">
      <c r="R1620" s="219"/>
    </row>
    <row r="1621" spans="18:18" x14ac:dyDescent="0.25">
      <c r="R1621" s="219"/>
    </row>
    <row r="1622" spans="18:18" x14ac:dyDescent="0.25">
      <c r="R1622" s="219"/>
    </row>
    <row r="1623" spans="18:18" x14ac:dyDescent="0.25">
      <c r="R1623" s="219"/>
    </row>
    <row r="1624" spans="18:18" x14ac:dyDescent="0.25">
      <c r="R1624" s="219"/>
    </row>
    <row r="1625" spans="18:18" x14ac:dyDescent="0.25">
      <c r="R1625" s="219"/>
    </row>
    <row r="1626" spans="18:18" x14ac:dyDescent="0.25">
      <c r="R1626" s="219"/>
    </row>
    <row r="1627" spans="18:18" x14ac:dyDescent="0.25">
      <c r="R1627" s="219"/>
    </row>
    <row r="1628" spans="18:18" x14ac:dyDescent="0.25">
      <c r="R1628" s="219"/>
    </row>
    <row r="1629" spans="18:18" x14ac:dyDescent="0.25">
      <c r="R1629" s="219"/>
    </row>
    <row r="1630" spans="18:18" x14ac:dyDescent="0.25">
      <c r="R1630" s="219"/>
    </row>
    <row r="1631" spans="18:18" x14ac:dyDescent="0.25">
      <c r="R1631" s="219"/>
    </row>
    <row r="1632" spans="18:18" x14ac:dyDescent="0.25">
      <c r="R1632" s="219"/>
    </row>
    <row r="1633" spans="18:18" x14ac:dyDescent="0.25">
      <c r="R1633" s="219"/>
    </row>
    <row r="1634" spans="18:18" x14ac:dyDescent="0.25">
      <c r="R1634" s="219"/>
    </row>
    <row r="1635" spans="18:18" x14ac:dyDescent="0.25">
      <c r="R1635" s="219"/>
    </row>
    <row r="1636" spans="18:18" x14ac:dyDescent="0.25">
      <c r="R1636" s="219"/>
    </row>
    <row r="1637" spans="18:18" x14ac:dyDescent="0.25">
      <c r="R1637" s="219"/>
    </row>
    <row r="1638" spans="18:18" x14ac:dyDescent="0.25">
      <c r="R1638" s="219"/>
    </row>
    <row r="1639" spans="18:18" x14ac:dyDescent="0.25">
      <c r="R1639" s="219"/>
    </row>
    <row r="1640" spans="18:18" x14ac:dyDescent="0.25">
      <c r="R1640" s="219"/>
    </row>
    <row r="1641" spans="18:18" x14ac:dyDescent="0.25">
      <c r="R1641" s="219"/>
    </row>
    <row r="1642" spans="18:18" x14ac:dyDescent="0.25">
      <c r="R1642" s="219"/>
    </row>
    <row r="1643" spans="18:18" x14ac:dyDescent="0.25">
      <c r="R1643" s="219"/>
    </row>
    <row r="1644" spans="18:18" x14ac:dyDescent="0.25">
      <c r="R1644" s="219"/>
    </row>
    <row r="1645" spans="18:18" x14ac:dyDescent="0.25">
      <c r="R1645" s="219"/>
    </row>
    <row r="1646" spans="18:18" x14ac:dyDescent="0.25">
      <c r="R1646" s="219"/>
    </row>
    <row r="1647" spans="18:18" x14ac:dyDescent="0.25">
      <c r="R1647" s="219"/>
    </row>
    <row r="1648" spans="18:18" x14ac:dyDescent="0.25">
      <c r="R1648" s="219"/>
    </row>
    <row r="1649" spans="18:18" x14ac:dyDescent="0.25">
      <c r="R1649" s="219"/>
    </row>
    <row r="1650" spans="18:18" x14ac:dyDescent="0.25">
      <c r="R1650" s="219"/>
    </row>
    <row r="1651" spans="18:18" x14ac:dyDescent="0.25">
      <c r="R1651" s="219"/>
    </row>
    <row r="1652" spans="18:18" x14ac:dyDescent="0.25">
      <c r="R1652" s="219"/>
    </row>
    <row r="1653" spans="18:18" x14ac:dyDescent="0.25">
      <c r="R1653" s="219"/>
    </row>
    <row r="1654" spans="18:18" x14ac:dyDescent="0.25">
      <c r="R1654" s="219"/>
    </row>
    <row r="1655" spans="18:18" x14ac:dyDescent="0.25">
      <c r="R1655" s="219"/>
    </row>
    <row r="1656" spans="18:18" x14ac:dyDescent="0.25">
      <c r="R1656" s="219"/>
    </row>
    <row r="1657" spans="18:18" x14ac:dyDescent="0.25">
      <c r="R1657" s="219"/>
    </row>
    <row r="1658" spans="18:18" x14ac:dyDescent="0.25">
      <c r="R1658" s="219"/>
    </row>
    <row r="1659" spans="18:18" x14ac:dyDescent="0.25">
      <c r="R1659" s="219"/>
    </row>
    <row r="1660" spans="18:18" x14ac:dyDescent="0.25">
      <c r="R1660" s="219"/>
    </row>
    <row r="1661" spans="18:18" x14ac:dyDescent="0.25">
      <c r="R1661" s="219"/>
    </row>
    <row r="1662" spans="18:18" x14ac:dyDescent="0.25">
      <c r="R1662" s="219"/>
    </row>
    <row r="1663" spans="18:18" x14ac:dyDescent="0.25">
      <c r="R1663" s="219"/>
    </row>
    <row r="1664" spans="18:18" x14ac:dyDescent="0.25">
      <c r="R1664" s="219"/>
    </row>
    <row r="1665" spans="18:18" x14ac:dyDescent="0.25">
      <c r="R1665" s="219"/>
    </row>
    <row r="1666" spans="18:18" x14ac:dyDescent="0.25">
      <c r="R1666" s="219"/>
    </row>
    <row r="1667" spans="18:18" x14ac:dyDescent="0.25">
      <c r="R1667" s="219"/>
    </row>
    <row r="1668" spans="18:18" x14ac:dyDescent="0.25">
      <c r="R1668" s="219"/>
    </row>
    <row r="1669" spans="18:18" x14ac:dyDescent="0.25">
      <c r="R1669" s="219"/>
    </row>
    <row r="1670" spans="18:18" x14ac:dyDescent="0.25">
      <c r="R1670" s="219"/>
    </row>
    <row r="1671" spans="18:18" x14ac:dyDescent="0.25">
      <c r="R1671" s="219"/>
    </row>
    <row r="1672" spans="18:18" x14ac:dyDescent="0.25">
      <c r="R1672" s="219"/>
    </row>
    <row r="1673" spans="18:18" x14ac:dyDescent="0.25">
      <c r="R1673" s="219"/>
    </row>
    <row r="1674" spans="18:18" x14ac:dyDescent="0.25">
      <c r="R1674" s="219"/>
    </row>
    <row r="1675" spans="18:18" x14ac:dyDescent="0.25">
      <c r="R1675" s="219"/>
    </row>
    <row r="1676" spans="18:18" x14ac:dyDescent="0.25">
      <c r="R1676" s="219"/>
    </row>
    <row r="1677" spans="18:18" x14ac:dyDescent="0.25">
      <c r="R1677" s="219"/>
    </row>
    <row r="1678" spans="18:18" x14ac:dyDescent="0.25">
      <c r="R1678" s="219"/>
    </row>
    <row r="1679" spans="18:18" x14ac:dyDescent="0.25">
      <c r="R1679" s="219"/>
    </row>
    <row r="1680" spans="18:18" x14ac:dyDescent="0.25">
      <c r="R1680" s="219"/>
    </row>
    <row r="1681" spans="18:18" x14ac:dyDescent="0.25">
      <c r="R1681" s="219"/>
    </row>
    <row r="1682" spans="18:18" x14ac:dyDescent="0.25">
      <c r="R1682" s="219"/>
    </row>
    <row r="1683" spans="18:18" x14ac:dyDescent="0.25">
      <c r="R1683" s="219"/>
    </row>
    <row r="1684" spans="18:18" x14ac:dyDescent="0.25">
      <c r="R1684" s="219"/>
    </row>
    <row r="1685" spans="18:18" x14ac:dyDescent="0.25">
      <c r="R1685" s="219"/>
    </row>
    <row r="1686" spans="18:18" x14ac:dyDescent="0.25">
      <c r="R1686" s="219"/>
    </row>
    <row r="1687" spans="18:18" x14ac:dyDescent="0.25">
      <c r="R1687" s="219"/>
    </row>
    <row r="1688" spans="18:18" x14ac:dyDescent="0.25">
      <c r="R1688" s="219"/>
    </row>
    <row r="1689" spans="18:18" x14ac:dyDescent="0.25">
      <c r="R1689" s="219"/>
    </row>
    <row r="1690" spans="18:18" x14ac:dyDescent="0.25">
      <c r="R1690" s="219"/>
    </row>
    <row r="1691" spans="18:18" x14ac:dyDescent="0.25">
      <c r="R1691" s="219"/>
    </row>
    <row r="1692" spans="18:18" x14ac:dyDescent="0.25">
      <c r="R1692" s="219"/>
    </row>
    <row r="1693" spans="18:18" x14ac:dyDescent="0.25">
      <c r="R1693" s="219"/>
    </row>
    <row r="1694" spans="18:18" x14ac:dyDescent="0.25">
      <c r="R1694" s="219"/>
    </row>
    <row r="1695" spans="18:18" x14ac:dyDescent="0.25">
      <c r="R1695" s="219"/>
    </row>
    <row r="1696" spans="18:18" x14ac:dyDescent="0.25">
      <c r="R1696" s="219"/>
    </row>
    <row r="1697" spans="18:18" x14ac:dyDescent="0.25">
      <c r="R1697" s="219"/>
    </row>
    <row r="1698" spans="18:18" x14ac:dyDescent="0.25">
      <c r="R1698" s="219"/>
    </row>
    <row r="1699" spans="18:18" x14ac:dyDescent="0.25">
      <c r="R1699" s="219"/>
    </row>
    <row r="1700" spans="18:18" x14ac:dyDescent="0.25">
      <c r="R1700" s="219"/>
    </row>
    <row r="1701" spans="18:18" x14ac:dyDescent="0.25">
      <c r="R1701" s="219"/>
    </row>
    <row r="1702" spans="18:18" x14ac:dyDescent="0.25">
      <c r="R1702" s="219"/>
    </row>
    <row r="1703" spans="18:18" x14ac:dyDescent="0.25">
      <c r="R1703" s="219"/>
    </row>
    <row r="1704" spans="18:18" x14ac:dyDescent="0.25">
      <c r="R1704" s="219"/>
    </row>
    <row r="1705" spans="18:18" x14ac:dyDescent="0.25">
      <c r="R1705" s="219"/>
    </row>
    <row r="1706" spans="18:18" x14ac:dyDescent="0.25">
      <c r="R1706" s="219"/>
    </row>
    <row r="1707" spans="18:18" x14ac:dyDescent="0.25">
      <c r="R1707" s="219"/>
    </row>
    <row r="1708" spans="18:18" x14ac:dyDescent="0.25">
      <c r="R1708" s="219"/>
    </row>
    <row r="1709" spans="18:18" x14ac:dyDescent="0.25">
      <c r="R1709" s="219"/>
    </row>
    <row r="1710" spans="18:18" x14ac:dyDescent="0.25">
      <c r="R1710" s="219"/>
    </row>
    <row r="1711" spans="18:18" x14ac:dyDescent="0.25">
      <c r="R1711" s="219"/>
    </row>
    <row r="1712" spans="18:18" x14ac:dyDescent="0.25">
      <c r="R1712" s="219"/>
    </row>
    <row r="1713" spans="18:18" x14ac:dyDescent="0.25">
      <c r="R1713" s="219"/>
    </row>
    <row r="1714" spans="18:18" x14ac:dyDescent="0.25">
      <c r="R1714" s="219"/>
    </row>
    <row r="1715" spans="18:18" x14ac:dyDescent="0.25">
      <c r="R1715" s="219"/>
    </row>
    <row r="1716" spans="18:18" x14ac:dyDescent="0.25">
      <c r="R1716" s="219"/>
    </row>
    <row r="1717" spans="18:18" x14ac:dyDescent="0.25">
      <c r="R1717" s="219"/>
    </row>
    <row r="1718" spans="18:18" x14ac:dyDescent="0.25">
      <c r="R1718" s="219"/>
    </row>
    <row r="1719" spans="18:18" x14ac:dyDescent="0.25">
      <c r="R1719" s="219"/>
    </row>
    <row r="1720" spans="18:18" x14ac:dyDescent="0.25">
      <c r="R1720" s="219"/>
    </row>
    <row r="1721" spans="18:18" x14ac:dyDescent="0.25">
      <c r="R1721" s="219"/>
    </row>
    <row r="1722" spans="18:18" x14ac:dyDescent="0.25">
      <c r="R1722" s="219"/>
    </row>
    <row r="1723" spans="18:18" x14ac:dyDescent="0.25">
      <c r="R1723" s="219"/>
    </row>
    <row r="1724" spans="18:18" x14ac:dyDescent="0.25">
      <c r="R1724" s="219"/>
    </row>
    <row r="1725" spans="18:18" x14ac:dyDescent="0.25">
      <c r="R1725" s="219"/>
    </row>
    <row r="1726" spans="18:18" x14ac:dyDescent="0.25">
      <c r="R1726" s="219"/>
    </row>
    <row r="1727" spans="18:18" x14ac:dyDescent="0.25">
      <c r="R1727" s="219"/>
    </row>
    <row r="1728" spans="18:18" x14ac:dyDescent="0.25">
      <c r="R1728" s="219"/>
    </row>
    <row r="1729" spans="18:18" x14ac:dyDescent="0.25">
      <c r="R1729" s="219"/>
    </row>
    <row r="1730" spans="18:18" x14ac:dyDescent="0.25">
      <c r="R1730" s="219"/>
    </row>
    <row r="1731" spans="18:18" x14ac:dyDescent="0.25">
      <c r="R1731" s="219"/>
    </row>
    <row r="1732" spans="18:18" x14ac:dyDescent="0.25">
      <c r="R1732" s="219"/>
    </row>
    <row r="1733" spans="18:18" x14ac:dyDescent="0.25">
      <c r="R1733" s="219"/>
    </row>
    <row r="1734" spans="18:18" x14ac:dyDescent="0.25">
      <c r="R1734" s="219"/>
    </row>
    <row r="1735" spans="18:18" x14ac:dyDescent="0.25">
      <c r="R1735" s="219"/>
    </row>
    <row r="1736" spans="18:18" x14ac:dyDescent="0.25">
      <c r="R1736" s="219"/>
    </row>
    <row r="1737" spans="18:18" x14ac:dyDescent="0.25">
      <c r="R1737" s="219"/>
    </row>
    <row r="1738" spans="18:18" x14ac:dyDescent="0.25">
      <c r="R1738" s="219"/>
    </row>
    <row r="1739" spans="18:18" x14ac:dyDescent="0.25">
      <c r="R1739" s="219"/>
    </row>
    <row r="1740" spans="18:18" x14ac:dyDescent="0.25">
      <c r="R1740" s="219"/>
    </row>
    <row r="1741" spans="18:18" x14ac:dyDescent="0.25">
      <c r="R1741" s="219"/>
    </row>
    <row r="1742" spans="18:18" x14ac:dyDescent="0.25">
      <c r="R1742" s="219"/>
    </row>
    <row r="1743" spans="18:18" x14ac:dyDescent="0.25">
      <c r="R1743" s="219"/>
    </row>
    <row r="1744" spans="18:18" x14ac:dyDescent="0.25">
      <c r="R1744" s="219"/>
    </row>
    <row r="1745" spans="18:18" x14ac:dyDescent="0.25">
      <c r="R1745" s="219"/>
    </row>
    <row r="1746" spans="18:18" x14ac:dyDescent="0.25">
      <c r="R1746" s="219"/>
    </row>
    <row r="1747" spans="18:18" x14ac:dyDescent="0.25">
      <c r="R1747" s="219"/>
    </row>
    <row r="1748" spans="18:18" x14ac:dyDescent="0.25">
      <c r="R1748" s="219"/>
    </row>
    <row r="1749" spans="18:18" x14ac:dyDescent="0.25">
      <c r="R1749" s="219"/>
    </row>
    <row r="1750" spans="18:18" x14ac:dyDescent="0.25">
      <c r="R1750" s="219"/>
    </row>
    <row r="1751" spans="18:18" x14ac:dyDescent="0.25">
      <c r="R1751" s="219"/>
    </row>
    <row r="1752" spans="18:18" x14ac:dyDescent="0.25">
      <c r="R1752" s="219"/>
    </row>
    <row r="1753" spans="18:18" x14ac:dyDescent="0.25">
      <c r="R1753" s="219"/>
    </row>
    <row r="1754" spans="18:18" x14ac:dyDescent="0.25">
      <c r="R1754" s="219"/>
    </row>
    <row r="1755" spans="18:18" x14ac:dyDescent="0.25">
      <c r="R1755" s="219"/>
    </row>
    <row r="1756" spans="18:18" x14ac:dyDescent="0.25">
      <c r="R1756" s="219"/>
    </row>
    <row r="1757" spans="18:18" x14ac:dyDescent="0.25">
      <c r="R1757" s="219"/>
    </row>
    <row r="1758" spans="18:18" x14ac:dyDescent="0.25">
      <c r="R1758" s="219"/>
    </row>
    <row r="1759" spans="18:18" x14ac:dyDescent="0.25">
      <c r="R1759" s="219"/>
    </row>
    <row r="1760" spans="18:18" x14ac:dyDescent="0.25">
      <c r="R1760" s="219"/>
    </row>
    <row r="1761" spans="18:18" x14ac:dyDescent="0.25">
      <c r="R1761" s="219"/>
    </row>
    <row r="1762" spans="18:18" x14ac:dyDescent="0.25">
      <c r="R1762" s="219"/>
    </row>
    <row r="1763" spans="18:18" x14ac:dyDescent="0.25">
      <c r="R1763" s="219"/>
    </row>
    <row r="1764" spans="18:18" x14ac:dyDescent="0.25">
      <c r="R1764" s="219"/>
    </row>
    <row r="1765" spans="18:18" x14ac:dyDescent="0.25">
      <c r="R1765" s="219"/>
    </row>
    <row r="1766" spans="18:18" x14ac:dyDescent="0.25">
      <c r="R1766" s="219"/>
    </row>
    <row r="1767" spans="18:18" x14ac:dyDescent="0.25">
      <c r="R1767" s="219"/>
    </row>
    <row r="1768" spans="18:18" x14ac:dyDescent="0.25">
      <c r="R1768" s="219"/>
    </row>
    <row r="1769" spans="18:18" x14ac:dyDescent="0.25">
      <c r="R1769" s="219"/>
    </row>
    <row r="1770" spans="18:18" x14ac:dyDescent="0.25">
      <c r="R1770" s="219"/>
    </row>
    <row r="1771" spans="18:18" x14ac:dyDescent="0.25">
      <c r="R1771" s="219"/>
    </row>
    <row r="1772" spans="18:18" x14ac:dyDescent="0.25">
      <c r="R1772" s="219"/>
    </row>
    <row r="1773" spans="18:18" x14ac:dyDescent="0.25">
      <c r="R1773" s="219"/>
    </row>
    <row r="1774" spans="18:18" x14ac:dyDescent="0.25">
      <c r="R1774" s="219"/>
    </row>
    <row r="1775" spans="18:18" x14ac:dyDescent="0.25">
      <c r="R1775" s="219"/>
    </row>
    <row r="1776" spans="18:18" x14ac:dyDescent="0.25">
      <c r="R1776" s="219"/>
    </row>
    <row r="1777" spans="18:18" x14ac:dyDescent="0.25">
      <c r="R1777" s="219"/>
    </row>
    <row r="1778" spans="18:18" x14ac:dyDescent="0.25">
      <c r="R1778" s="219"/>
    </row>
    <row r="1779" spans="18:18" x14ac:dyDescent="0.25">
      <c r="R1779" s="219"/>
    </row>
    <row r="1780" spans="18:18" x14ac:dyDescent="0.25">
      <c r="R1780" s="219"/>
    </row>
    <row r="1781" spans="18:18" x14ac:dyDescent="0.25">
      <c r="R1781" s="219"/>
    </row>
    <row r="1782" spans="18:18" x14ac:dyDescent="0.25">
      <c r="R1782" s="219"/>
    </row>
    <row r="1783" spans="18:18" x14ac:dyDescent="0.25">
      <c r="R1783" s="219"/>
    </row>
    <row r="1784" spans="18:18" x14ac:dyDescent="0.25">
      <c r="R1784" s="219"/>
    </row>
    <row r="1785" spans="18:18" x14ac:dyDescent="0.25">
      <c r="R1785" s="219"/>
    </row>
    <row r="1786" spans="18:18" x14ac:dyDescent="0.25">
      <c r="R1786" s="219"/>
    </row>
    <row r="1787" spans="18:18" x14ac:dyDescent="0.25">
      <c r="R1787" s="219"/>
    </row>
    <row r="1788" spans="18:18" x14ac:dyDescent="0.25">
      <c r="R1788" s="219"/>
    </row>
    <row r="1789" spans="18:18" x14ac:dyDescent="0.25">
      <c r="R1789" s="219"/>
    </row>
    <row r="1790" spans="18:18" x14ac:dyDescent="0.25">
      <c r="R1790" s="219"/>
    </row>
    <row r="1791" spans="18:18" x14ac:dyDescent="0.25">
      <c r="R1791" s="219"/>
    </row>
    <row r="1792" spans="18:18" x14ac:dyDescent="0.25">
      <c r="R1792" s="219"/>
    </row>
    <row r="1793" spans="18:18" x14ac:dyDescent="0.25">
      <c r="R1793" s="219"/>
    </row>
    <row r="1794" spans="18:18" x14ac:dyDescent="0.25">
      <c r="R1794" s="219"/>
    </row>
    <row r="1795" spans="18:18" x14ac:dyDescent="0.25">
      <c r="R1795" s="219"/>
    </row>
    <row r="1796" spans="18:18" x14ac:dyDescent="0.25">
      <c r="R1796" s="219"/>
    </row>
    <row r="1797" spans="18:18" x14ac:dyDescent="0.25">
      <c r="R1797" s="219"/>
    </row>
    <row r="1798" spans="18:18" x14ac:dyDescent="0.25">
      <c r="R1798" s="219"/>
    </row>
    <row r="1799" spans="18:18" x14ac:dyDescent="0.25">
      <c r="R1799" s="219"/>
    </row>
    <row r="1800" spans="18:18" x14ac:dyDescent="0.25">
      <c r="R1800" s="219"/>
    </row>
    <row r="1801" spans="18:18" x14ac:dyDescent="0.25">
      <c r="R1801" s="219"/>
    </row>
    <row r="1802" spans="18:18" x14ac:dyDescent="0.25">
      <c r="R1802" s="219"/>
    </row>
    <row r="1803" spans="18:18" x14ac:dyDescent="0.25">
      <c r="R1803" s="219"/>
    </row>
    <row r="1804" spans="18:18" x14ac:dyDescent="0.25">
      <c r="R1804" s="219"/>
    </row>
    <row r="1805" spans="18:18" x14ac:dyDescent="0.25">
      <c r="R1805" s="219"/>
    </row>
    <row r="1806" spans="18:18" x14ac:dyDescent="0.25">
      <c r="R1806" s="219"/>
    </row>
    <row r="1807" spans="18:18" x14ac:dyDescent="0.25">
      <c r="R1807" s="219"/>
    </row>
    <row r="1808" spans="18:18" x14ac:dyDescent="0.25">
      <c r="R1808" s="219"/>
    </row>
    <row r="1809" spans="18:18" x14ac:dyDescent="0.25">
      <c r="R1809" s="219"/>
    </row>
    <row r="1810" spans="18:18" x14ac:dyDescent="0.25">
      <c r="R1810" s="219"/>
    </row>
    <row r="1811" spans="18:18" x14ac:dyDescent="0.25">
      <c r="R1811" s="219"/>
    </row>
    <row r="1812" spans="18:18" x14ac:dyDescent="0.25">
      <c r="R1812" s="219"/>
    </row>
    <row r="1813" spans="18:18" x14ac:dyDescent="0.25">
      <c r="R1813" s="219"/>
    </row>
    <row r="1814" spans="18:18" x14ac:dyDescent="0.25">
      <c r="R1814" s="219"/>
    </row>
    <row r="1815" spans="18:18" x14ac:dyDescent="0.25">
      <c r="R1815" s="219"/>
    </row>
    <row r="1816" spans="18:18" x14ac:dyDescent="0.25">
      <c r="R1816" s="219"/>
    </row>
    <row r="1817" spans="18:18" x14ac:dyDescent="0.25">
      <c r="R1817" s="219"/>
    </row>
    <row r="1818" spans="18:18" x14ac:dyDescent="0.25">
      <c r="R1818" s="219"/>
    </row>
    <row r="1819" spans="18:18" x14ac:dyDescent="0.25">
      <c r="R1819" s="219"/>
    </row>
    <row r="1820" spans="18:18" x14ac:dyDescent="0.25">
      <c r="R1820" s="219"/>
    </row>
    <row r="1821" spans="18:18" x14ac:dyDescent="0.25">
      <c r="R1821" s="219"/>
    </row>
    <row r="1822" spans="18:18" x14ac:dyDescent="0.25">
      <c r="R1822" s="219"/>
    </row>
    <row r="1823" spans="18:18" x14ac:dyDescent="0.25">
      <c r="R1823" s="219"/>
    </row>
    <row r="1824" spans="18:18" x14ac:dyDescent="0.25">
      <c r="R1824" s="219"/>
    </row>
    <row r="1825" spans="18:18" x14ac:dyDescent="0.25">
      <c r="R1825" s="219"/>
    </row>
    <row r="1826" spans="18:18" x14ac:dyDescent="0.25">
      <c r="R1826" s="219"/>
    </row>
    <row r="1827" spans="18:18" x14ac:dyDescent="0.25">
      <c r="R1827" s="219"/>
    </row>
    <row r="1828" spans="18:18" x14ac:dyDescent="0.25">
      <c r="R1828" s="219"/>
    </row>
    <row r="1829" spans="18:18" x14ac:dyDescent="0.25">
      <c r="R1829" s="219"/>
    </row>
    <row r="1830" spans="18:18" x14ac:dyDescent="0.25">
      <c r="R1830" s="219"/>
    </row>
    <row r="1831" spans="18:18" x14ac:dyDescent="0.25">
      <c r="R1831" s="219"/>
    </row>
    <row r="1832" spans="18:18" x14ac:dyDescent="0.25">
      <c r="R1832" s="219"/>
    </row>
    <row r="1833" spans="18:18" x14ac:dyDescent="0.25">
      <c r="R1833" s="219"/>
    </row>
    <row r="1834" spans="18:18" x14ac:dyDescent="0.25">
      <c r="R1834" s="219"/>
    </row>
    <row r="1835" spans="18:18" x14ac:dyDescent="0.25">
      <c r="R1835" s="219"/>
    </row>
    <row r="1836" spans="18:18" x14ac:dyDescent="0.25">
      <c r="R1836" s="219"/>
    </row>
    <row r="1837" spans="18:18" x14ac:dyDescent="0.25">
      <c r="R1837" s="219"/>
    </row>
    <row r="1838" spans="18:18" x14ac:dyDescent="0.25">
      <c r="R1838" s="219"/>
    </row>
    <row r="1839" spans="18:18" x14ac:dyDescent="0.25">
      <c r="R1839" s="219"/>
    </row>
    <row r="1840" spans="18:18" x14ac:dyDescent="0.25">
      <c r="R1840" s="219"/>
    </row>
    <row r="1841" spans="18:18" x14ac:dyDescent="0.25">
      <c r="R1841" s="219"/>
    </row>
    <row r="1842" spans="18:18" x14ac:dyDescent="0.25">
      <c r="R1842" s="219"/>
    </row>
    <row r="1843" spans="18:18" x14ac:dyDescent="0.25">
      <c r="R1843" s="219"/>
    </row>
    <row r="1844" spans="18:18" x14ac:dyDescent="0.25">
      <c r="R1844" s="219"/>
    </row>
    <row r="1845" spans="18:18" x14ac:dyDescent="0.25">
      <c r="R1845" s="219"/>
    </row>
    <row r="1846" spans="18:18" x14ac:dyDescent="0.25">
      <c r="R1846" s="219"/>
    </row>
    <row r="1847" spans="18:18" x14ac:dyDescent="0.25">
      <c r="R1847" s="219"/>
    </row>
    <row r="1848" spans="18:18" x14ac:dyDescent="0.25">
      <c r="R1848" s="219"/>
    </row>
    <row r="1849" spans="18:18" x14ac:dyDescent="0.25">
      <c r="R1849" s="219"/>
    </row>
    <row r="1850" spans="18:18" x14ac:dyDescent="0.25">
      <c r="R1850" s="219"/>
    </row>
    <row r="1851" spans="18:18" x14ac:dyDescent="0.25">
      <c r="R1851" s="219"/>
    </row>
    <row r="1852" spans="18:18" x14ac:dyDescent="0.25">
      <c r="R1852" s="219"/>
    </row>
    <row r="1853" spans="18:18" x14ac:dyDescent="0.25">
      <c r="R1853" s="219"/>
    </row>
    <row r="1854" spans="18:18" x14ac:dyDescent="0.25">
      <c r="R1854" s="219"/>
    </row>
    <row r="1855" spans="18:18" x14ac:dyDescent="0.25">
      <c r="R1855" s="219"/>
    </row>
    <row r="1856" spans="18:18" x14ac:dyDescent="0.25">
      <c r="R1856" s="219"/>
    </row>
    <row r="1857" spans="18:18" x14ac:dyDescent="0.25">
      <c r="R1857" s="219"/>
    </row>
    <row r="1858" spans="18:18" x14ac:dyDescent="0.25">
      <c r="R1858" s="219"/>
    </row>
    <row r="1859" spans="18:18" x14ac:dyDescent="0.25">
      <c r="R1859" s="219"/>
    </row>
    <row r="1860" spans="18:18" x14ac:dyDescent="0.25">
      <c r="R1860" s="219"/>
    </row>
    <row r="1861" spans="18:18" x14ac:dyDescent="0.25">
      <c r="R1861" s="219"/>
    </row>
    <row r="1862" spans="18:18" x14ac:dyDescent="0.25">
      <c r="R1862" s="219"/>
    </row>
    <row r="1863" spans="18:18" x14ac:dyDescent="0.25">
      <c r="R1863" s="219"/>
    </row>
    <row r="1864" spans="18:18" x14ac:dyDescent="0.25">
      <c r="R1864" s="219"/>
    </row>
    <row r="1865" spans="18:18" x14ac:dyDescent="0.25">
      <c r="R1865" s="219"/>
    </row>
    <row r="1866" spans="18:18" x14ac:dyDescent="0.25">
      <c r="R1866" s="219"/>
    </row>
    <row r="1867" spans="18:18" x14ac:dyDescent="0.25">
      <c r="R1867" s="219"/>
    </row>
    <row r="1868" spans="18:18" x14ac:dyDescent="0.25">
      <c r="R1868" s="219"/>
    </row>
    <row r="1869" spans="18:18" x14ac:dyDescent="0.25">
      <c r="R1869" s="219"/>
    </row>
    <row r="1870" spans="18:18" x14ac:dyDescent="0.25">
      <c r="R1870" s="219"/>
    </row>
    <row r="1871" spans="18:18" x14ac:dyDescent="0.25">
      <c r="R1871" s="219"/>
    </row>
    <row r="1872" spans="18:18" x14ac:dyDescent="0.25">
      <c r="R1872" s="219"/>
    </row>
    <row r="1873" spans="18:18" x14ac:dyDescent="0.25">
      <c r="R1873" s="219"/>
    </row>
    <row r="1874" spans="18:18" x14ac:dyDescent="0.25">
      <c r="R1874" s="219"/>
    </row>
    <row r="1875" spans="18:18" x14ac:dyDescent="0.25">
      <c r="R1875" s="219"/>
    </row>
    <row r="1876" spans="18:18" x14ac:dyDescent="0.25">
      <c r="R1876" s="219"/>
    </row>
    <row r="1877" spans="18:18" x14ac:dyDescent="0.25">
      <c r="R1877" s="219"/>
    </row>
    <row r="1878" spans="18:18" x14ac:dyDescent="0.25">
      <c r="R1878" s="219"/>
    </row>
    <row r="1879" spans="18:18" x14ac:dyDescent="0.25">
      <c r="R1879" s="219"/>
    </row>
    <row r="1880" spans="18:18" x14ac:dyDescent="0.25">
      <c r="R1880" s="219"/>
    </row>
    <row r="1881" spans="18:18" x14ac:dyDescent="0.25">
      <c r="R1881" s="219"/>
    </row>
    <row r="1882" spans="18:18" x14ac:dyDescent="0.25">
      <c r="R1882" s="219"/>
    </row>
    <row r="1883" spans="18:18" x14ac:dyDescent="0.25">
      <c r="R1883" s="219"/>
    </row>
    <row r="1884" spans="18:18" x14ac:dyDescent="0.25">
      <c r="R1884" s="219"/>
    </row>
    <row r="1885" spans="18:18" x14ac:dyDescent="0.25">
      <c r="R1885" s="219"/>
    </row>
    <row r="1886" spans="18:18" x14ac:dyDescent="0.25">
      <c r="R1886" s="219"/>
    </row>
    <row r="1887" spans="18:18" x14ac:dyDescent="0.25">
      <c r="R1887" s="219"/>
    </row>
    <row r="1888" spans="18:18" x14ac:dyDescent="0.25">
      <c r="R1888" s="219"/>
    </row>
    <row r="1889" spans="18:18" x14ac:dyDescent="0.25">
      <c r="R1889" s="219"/>
    </row>
    <row r="1890" spans="18:18" x14ac:dyDescent="0.25">
      <c r="R1890" s="219"/>
    </row>
    <row r="1891" spans="18:18" x14ac:dyDescent="0.25">
      <c r="R1891" s="219"/>
    </row>
    <row r="1892" spans="18:18" x14ac:dyDescent="0.25">
      <c r="R1892" s="219"/>
    </row>
    <row r="1893" spans="18:18" x14ac:dyDescent="0.25">
      <c r="R1893" s="219"/>
    </row>
    <row r="1894" spans="18:18" x14ac:dyDescent="0.25">
      <c r="R1894" s="219"/>
    </row>
    <row r="1895" spans="18:18" x14ac:dyDescent="0.25">
      <c r="R1895" s="219"/>
    </row>
    <row r="1896" spans="18:18" x14ac:dyDescent="0.25">
      <c r="R1896" s="219"/>
    </row>
    <row r="1897" spans="18:18" x14ac:dyDescent="0.25">
      <c r="R1897" s="219"/>
    </row>
    <row r="1898" spans="18:18" x14ac:dyDescent="0.25">
      <c r="R1898" s="219"/>
    </row>
    <row r="1899" spans="18:18" x14ac:dyDescent="0.25">
      <c r="R1899" s="219"/>
    </row>
    <row r="1900" spans="18:18" x14ac:dyDescent="0.25">
      <c r="R1900" s="219"/>
    </row>
    <row r="1901" spans="18:18" x14ac:dyDescent="0.25">
      <c r="R1901" s="219"/>
    </row>
    <row r="1902" spans="18:18" x14ac:dyDescent="0.25">
      <c r="R1902" s="219"/>
    </row>
    <row r="1903" spans="18:18" x14ac:dyDescent="0.25">
      <c r="R1903" s="219"/>
    </row>
    <row r="1904" spans="18:18" x14ac:dyDescent="0.25">
      <c r="R1904" s="219"/>
    </row>
    <row r="1905" spans="18:18" x14ac:dyDescent="0.25">
      <c r="R1905" s="219"/>
    </row>
    <row r="1906" spans="18:18" x14ac:dyDescent="0.25">
      <c r="R1906" s="219"/>
    </row>
    <row r="1907" spans="18:18" x14ac:dyDescent="0.25">
      <c r="R1907" s="219"/>
    </row>
    <row r="1908" spans="18:18" x14ac:dyDescent="0.25">
      <c r="R1908" s="219"/>
    </row>
    <row r="1909" spans="18:18" x14ac:dyDescent="0.25">
      <c r="R1909" s="219"/>
    </row>
    <row r="1910" spans="18:18" x14ac:dyDescent="0.25">
      <c r="R1910" s="219"/>
    </row>
    <row r="1911" spans="18:18" x14ac:dyDescent="0.25">
      <c r="R1911" s="219"/>
    </row>
    <row r="1912" spans="18:18" x14ac:dyDescent="0.25">
      <c r="R1912" s="219"/>
    </row>
    <row r="1913" spans="18:18" x14ac:dyDescent="0.25">
      <c r="R1913" s="219"/>
    </row>
    <row r="1914" spans="18:18" x14ac:dyDescent="0.25">
      <c r="R1914" s="219"/>
    </row>
    <row r="1915" spans="18:18" x14ac:dyDescent="0.25">
      <c r="R1915" s="219"/>
    </row>
    <row r="1916" spans="18:18" x14ac:dyDescent="0.25">
      <c r="R1916" s="219"/>
    </row>
    <row r="1917" spans="18:18" x14ac:dyDescent="0.25">
      <c r="R1917" s="219"/>
    </row>
    <row r="1918" spans="18:18" x14ac:dyDescent="0.25">
      <c r="R1918" s="219"/>
    </row>
    <row r="1919" spans="18:18" x14ac:dyDescent="0.25">
      <c r="R1919" s="219"/>
    </row>
    <row r="1920" spans="18:18" x14ac:dyDescent="0.25">
      <c r="R1920" s="219"/>
    </row>
    <row r="1921" spans="18:18" x14ac:dyDescent="0.25">
      <c r="R1921" s="219"/>
    </row>
    <row r="1922" spans="18:18" x14ac:dyDescent="0.25">
      <c r="R1922" s="219"/>
    </row>
    <row r="1923" spans="18:18" x14ac:dyDescent="0.25">
      <c r="R1923" s="219"/>
    </row>
    <row r="1924" spans="18:18" x14ac:dyDescent="0.25">
      <c r="R1924" s="219"/>
    </row>
    <row r="1925" spans="18:18" x14ac:dyDescent="0.25">
      <c r="R1925" s="219"/>
    </row>
    <row r="1926" spans="18:18" x14ac:dyDescent="0.25">
      <c r="R1926" s="219"/>
    </row>
    <row r="1927" spans="18:18" x14ac:dyDescent="0.25">
      <c r="R1927" s="219"/>
    </row>
    <row r="1928" spans="18:18" x14ac:dyDescent="0.25">
      <c r="R1928" s="219"/>
    </row>
    <row r="1929" spans="18:18" x14ac:dyDescent="0.25">
      <c r="R1929" s="219"/>
    </row>
    <row r="1930" spans="18:18" x14ac:dyDescent="0.25">
      <c r="R1930" s="219"/>
    </row>
    <row r="1931" spans="18:18" x14ac:dyDescent="0.25">
      <c r="R1931" s="219"/>
    </row>
    <row r="1932" spans="18:18" x14ac:dyDescent="0.25">
      <c r="R1932" s="219"/>
    </row>
    <row r="1933" spans="18:18" x14ac:dyDescent="0.25">
      <c r="R1933" s="219"/>
    </row>
    <row r="1934" spans="18:18" x14ac:dyDescent="0.25">
      <c r="R1934" s="219"/>
    </row>
    <row r="1935" spans="18:18" x14ac:dyDescent="0.25">
      <c r="R1935" s="219"/>
    </row>
    <row r="1936" spans="18:18" x14ac:dyDescent="0.25">
      <c r="R1936" s="219"/>
    </row>
    <row r="1937" spans="18:18" x14ac:dyDescent="0.25">
      <c r="R1937" s="219"/>
    </row>
    <row r="1938" spans="18:18" x14ac:dyDescent="0.25">
      <c r="R1938" s="219"/>
    </row>
    <row r="1939" spans="18:18" x14ac:dyDescent="0.25">
      <c r="R1939" s="219"/>
    </row>
    <row r="1940" spans="18:18" x14ac:dyDescent="0.25">
      <c r="R1940" s="219"/>
    </row>
    <row r="1941" spans="18:18" x14ac:dyDescent="0.25">
      <c r="R1941" s="219"/>
    </row>
    <row r="1942" spans="18:18" x14ac:dyDescent="0.25">
      <c r="R1942" s="219"/>
    </row>
    <row r="1943" spans="18:18" x14ac:dyDescent="0.25">
      <c r="R1943" s="219"/>
    </row>
    <row r="1944" spans="18:18" x14ac:dyDescent="0.25">
      <c r="R1944" s="219"/>
    </row>
    <row r="1945" spans="18:18" x14ac:dyDescent="0.25">
      <c r="R1945" s="219"/>
    </row>
    <row r="1946" spans="18:18" x14ac:dyDescent="0.25">
      <c r="R1946" s="219"/>
    </row>
    <row r="1947" spans="18:18" x14ac:dyDescent="0.25">
      <c r="R1947" s="219"/>
    </row>
    <row r="1948" spans="18:18" x14ac:dyDescent="0.25">
      <c r="R1948" s="219"/>
    </row>
    <row r="1949" spans="18:18" x14ac:dyDescent="0.25">
      <c r="R1949" s="219"/>
    </row>
    <row r="1950" spans="18:18" x14ac:dyDescent="0.25">
      <c r="R1950" s="219"/>
    </row>
    <row r="1951" spans="18:18" x14ac:dyDescent="0.25">
      <c r="R1951" s="219"/>
    </row>
    <row r="1952" spans="18:18" x14ac:dyDescent="0.25">
      <c r="R1952" s="219"/>
    </row>
    <row r="1953" spans="18:18" x14ac:dyDescent="0.25">
      <c r="R1953" s="219"/>
    </row>
    <row r="1954" spans="18:18" x14ac:dyDescent="0.25">
      <c r="R1954" s="219"/>
    </row>
    <row r="1955" spans="18:18" x14ac:dyDescent="0.25">
      <c r="R1955" s="219"/>
    </row>
    <row r="1956" spans="18:18" x14ac:dyDescent="0.25">
      <c r="R1956" s="219"/>
    </row>
    <row r="1957" spans="18:18" x14ac:dyDescent="0.25">
      <c r="R1957" s="219"/>
    </row>
    <row r="1958" spans="18:18" x14ac:dyDescent="0.25">
      <c r="R1958" s="219"/>
    </row>
    <row r="1959" spans="18:18" x14ac:dyDescent="0.25">
      <c r="R1959" s="219"/>
    </row>
    <row r="1960" spans="18:18" x14ac:dyDescent="0.25">
      <c r="R1960" s="219"/>
    </row>
    <row r="1961" spans="18:18" x14ac:dyDescent="0.25">
      <c r="R1961" s="219"/>
    </row>
    <row r="1962" spans="18:18" x14ac:dyDescent="0.25">
      <c r="R1962" s="219"/>
    </row>
    <row r="1963" spans="18:18" x14ac:dyDescent="0.25">
      <c r="R1963" s="219"/>
    </row>
    <row r="1964" spans="18:18" x14ac:dyDescent="0.25">
      <c r="R1964" s="219"/>
    </row>
    <row r="1965" spans="18:18" x14ac:dyDescent="0.25">
      <c r="R1965" s="219"/>
    </row>
    <row r="1966" spans="18:18" x14ac:dyDescent="0.25">
      <c r="R1966" s="219"/>
    </row>
    <row r="1967" spans="18:18" x14ac:dyDescent="0.25">
      <c r="R1967" s="219"/>
    </row>
    <row r="1968" spans="18:18" x14ac:dyDescent="0.25">
      <c r="R1968" s="219"/>
    </row>
    <row r="1969" spans="18:18" x14ac:dyDescent="0.25">
      <c r="R1969" s="219"/>
    </row>
    <row r="1970" spans="18:18" x14ac:dyDescent="0.25">
      <c r="R1970" s="219"/>
    </row>
    <row r="1971" spans="18:18" x14ac:dyDescent="0.25">
      <c r="R1971" s="219"/>
    </row>
    <row r="1972" spans="18:18" x14ac:dyDescent="0.25">
      <c r="R1972" s="219"/>
    </row>
    <row r="1973" spans="18:18" x14ac:dyDescent="0.25">
      <c r="R1973" s="219"/>
    </row>
    <row r="1974" spans="18:18" x14ac:dyDescent="0.25">
      <c r="R1974" s="219"/>
    </row>
    <row r="1975" spans="18:18" x14ac:dyDescent="0.25">
      <c r="R1975" s="219"/>
    </row>
    <row r="1976" spans="18:18" x14ac:dyDescent="0.25">
      <c r="R1976" s="219"/>
    </row>
    <row r="1977" spans="18:18" x14ac:dyDescent="0.25">
      <c r="R1977" s="219"/>
    </row>
    <row r="1978" spans="18:18" x14ac:dyDescent="0.25">
      <c r="R1978" s="219"/>
    </row>
    <row r="1979" spans="18:18" x14ac:dyDescent="0.25">
      <c r="R1979" s="219"/>
    </row>
    <row r="1980" spans="18:18" x14ac:dyDescent="0.25">
      <c r="R1980" s="219"/>
    </row>
    <row r="1981" spans="18:18" x14ac:dyDescent="0.25">
      <c r="R1981" s="219"/>
    </row>
    <row r="1982" spans="18:18" x14ac:dyDescent="0.25">
      <c r="R1982" s="219"/>
    </row>
    <row r="1983" spans="18:18" x14ac:dyDescent="0.25">
      <c r="R1983" s="219"/>
    </row>
    <row r="1984" spans="18:18" x14ac:dyDescent="0.25">
      <c r="R1984" s="219"/>
    </row>
    <row r="1985" spans="18:18" x14ac:dyDescent="0.25">
      <c r="R1985" s="219"/>
    </row>
    <row r="1986" spans="18:18" x14ac:dyDescent="0.25">
      <c r="R1986" s="219"/>
    </row>
    <row r="1987" spans="18:18" x14ac:dyDescent="0.25">
      <c r="R1987" s="219"/>
    </row>
    <row r="1988" spans="18:18" x14ac:dyDescent="0.25">
      <c r="R1988" s="219"/>
    </row>
    <row r="1989" spans="18:18" x14ac:dyDescent="0.25">
      <c r="R1989" s="219"/>
    </row>
    <row r="1990" spans="18:18" x14ac:dyDescent="0.25">
      <c r="R1990" s="219"/>
    </row>
    <row r="1991" spans="18:18" x14ac:dyDescent="0.25">
      <c r="R1991" s="219"/>
    </row>
    <row r="1992" spans="18:18" x14ac:dyDescent="0.25">
      <c r="R1992" s="219"/>
    </row>
    <row r="1993" spans="18:18" x14ac:dyDescent="0.25">
      <c r="R1993" s="219"/>
    </row>
    <row r="1994" spans="18:18" x14ac:dyDescent="0.25">
      <c r="R1994" s="219"/>
    </row>
    <row r="1995" spans="18:18" x14ac:dyDescent="0.25">
      <c r="R1995" s="219"/>
    </row>
    <row r="1996" spans="18:18" x14ac:dyDescent="0.25">
      <c r="R1996" s="219"/>
    </row>
    <row r="1997" spans="18:18" x14ac:dyDescent="0.25">
      <c r="R1997" s="219"/>
    </row>
    <row r="1998" spans="18:18" x14ac:dyDescent="0.25">
      <c r="R1998" s="219"/>
    </row>
    <row r="1999" spans="18:18" x14ac:dyDescent="0.25">
      <c r="R1999" s="219"/>
    </row>
    <row r="2000" spans="18:18" x14ac:dyDescent="0.25">
      <c r="R2000" s="219"/>
    </row>
    <row r="2001" spans="18:18" x14ac:dyDescent="0.25">
      <c r="R2001" s="219"/>
    </row>
    <row r="2002" spans="18:18" x14ac:dyDescent="0.25">
      <c r="R2002" s="219"/>
    </row>
    <row r="2003" spans="18:18" x14ac:dyDescent="0.25">
      <c r="R2003" s="219"/>
    </row>
    <row r="2004" spans="18:18" x14ac:dyDescent="0.25">
      <c r="R2004" s="219"/>
    </row>
    <row r="2005" spans="18:18" x14ac:dyDescent="0.25">
      <c r="R2005" s="219"/>
    </row>
    <row r="2006" spans="18:18" x14ac:dyDescent="0.25">
      <c r="R2006" s="219"/>
    </row>
    <row r="2007" spans="18:18" x14ac:dyDescent="0.25">
      <c r="R2007" s="219"/>
    </row>
    <row r="2008" spans="18:18" x14ac:dyDescent="0.25">
      <c r="R2008" s="219"/>
    </row>
    <row r="2009" spans="18:18" x14ac:dyDescent="0.25">
      <c r="R2009" s="219"/>
    </row>
    <row r="2010" spans="18:18" x14ac:dyDescent="0.25">
      <c r="R2010" s="219"/>
    </row>
    <row r="2011" spans="18:18" x14ac:dyDescent="0.25">
      <c r="R2011" s="219"/>
    </row>
    <row r="2012" spans="18:18" x14ac:dyDescent="0.25">
      <c r="R2012" s="219"/>
    </row>
    <row r="2013" spans="18:18" x14ac:dyDescent="0.25">
      <c r="R2013" s="219"/>
    </row>
    <row r="2014" spans="18:18" x14ac:dyDescent="0.25">
      <c r="R2014" s="219"/>
    </row>
    <row r="2015" spans="18:18" x14ac:dyDescent="0.25">
      <c r="R2015" s="219"/>
    </row>
    <row r="2016" spans="18:18" x14ac:dyDescent="0.25">
      <c r="R2016" s="219"/>
    </row>
    <row r="2017" spans="18:18" x14ac:dyDescent="0.25">
      <c r="R2017" s="219"/>
    </row>
    <row r="2018" spans="18:18" x14ac:dyDescent="0.25">
      <c r="R2018" s="219"/>
    </row>
    <row r="2019" spans="18:18" x14ac:dyDescent="0.25">
      <c r="R2019" s="219"/>
    </row>
    <row r="2020" spans="18:18" x14ac:dyDescent="0.25">
      <c r="R2020" s="219"/>
    </row>
    <row r="2021" spans="18:18" x14ac:dyDescent="0.25">
      <c r="R2021" s="219"/>
    </row>
    <row r="2022" spans="18:18" x14ac:dyDescent="0.25">
      <c r="R2022" s="219"/>
    </row>
    <row r="2023" spans="18:18" x14ac:dyDescent="0.25">
      <c r="R2023" s="219"/>
    </row>
    <row r="2024" spans="18:18" x14ac:dyDescent="0.25">
      <c r="R2024" s="219"/>
    </row>
    <row r="2025" spans="18:18" x14ac:dyDescent="0.25">
      <c r="R2025" s="219"/>
    </row>
    <row r="2026" spans="18:18" x14ac:dyDescent="0.25">
      <c r="R2026" s="219"/>
    </row>
    <row r="2027" spans="18:18" x14ac:dyDescent="0.25">
      <c r="R2027" s="219"/>
    </row>
    <row r="2028" spans="18:18" x14ac:dyDescent="0.25">
      <c r="R2028" s="219"/>
    </row>
    <row r="2029" spans="18:18" x14ac:dyDescent="0.25">
      <c r="R2029" s="219"/>
    </row>
    <row r="2030" spans="18:18" x14ac:dyDescent="0.25">
      <c r="R2030" s="219"/>
    </row>
    <row r="2031" spans="18:18" x14ac:dyDescent="0.25">
      <c r="R2031" s="219"/>
    </row>
    <row r="2032" spans="18:18" x14ac:dyDescent="0.25">
      <c r="R2032" s="219"/>
    </row>
    <row r="2033" spans="18:18" x14ac:dyDescent="0.25">
      <c r="R2033" s="219"/>
    </row>
    <row r="2034" spans="18:18" x14ac:dyDescent="0.25">
      <c r="R2034" s="219"/>
    </row>
    <row r="2035" spans="18:18" x14ac:dyDescent="0.25">
      <c r="R2035" s="219"/>
    </row>
    <row r="2036" spans="18:18" x14ac:dyDescent="0.25">
      <c r="R2036" s="219"/>
    </row>
    <row r="2037" spans="18:18" x14ac:dyDescent="0.25">
      <c r="R2037" s="219"/>
    </row>
    <row r="2038" spans="18:18" x14ac:dyDescent="0.25">
      <c r="R2038" s="219"/>
    </row>
    <row r="2039" spans="18:18" x14ac:dyDescent="0.25">
      <c r="R2039" s="219"/>
    </row>
    <row r="2040" spans="18:18" x14ac:dyDescent="0.25">
      <c r="R2040" s="219"/>
    </row>
    <row r="2041" spans="18:18" x14ac:dyDescent="0.25">
      <c r="R2041" s="219"/>
    </row>
    <row r="2042" spans="18:18" x14ac:dyDescent="0.25">
      <c r="R2042" s="219"/>
    </row>
    <row r="2043" spans="18:18" x14ac:dyDescent="0.25">
      <c r="R2043" s="219"/>
    </row>
    <row r="2044" spans="18:18" x14ac:dyDescent="0.25">
      <c r="R2044" s="219"/>
    </row>
    <row r="2045" spans="18:18" x14ac:dyDescent="0.25">
      <c r="R2045" s="219"/>
    </row>
    <row r="2046" spans="18:18" x14ac:dyDescent="0.25">
      <c r="R2046" s="219"/>
    </row>
    <row r="2047" spans="18:18" x14ac:dyDescent="0.25">
      <c r="R2047" s="219"/>
    </row>
    <row r="2048" spans="18:18" x14ac:dyDescent="0.25">
      <c r="R2048" s="219"/>
    </row>
    <row r="2049" spans="18:18" x14ac:dyDescent="0.25">
      <c r="R2049" s="219"/>
    </row>
    <row r="2050" spans="18:18" x14ac:dyDescent="0.25">
      <c r="R2050" s="219"/>
    </row>
    <row r="2051" spans="18:18" x14ac:dyDescent="0.25">
      <c r="R2051" s="219"/>
    </row>
    <row r="2052" spans="18:18" x14ac:dyDescent="0.25">
      <c r="R2052" s="219"/>
    </row>
    <row r="2053" spans="18:18" x14ac:dyDescent="0.25">
      <c r="R2053" s="219"/>
    </row>
    <row r="2054" spans="18:18" x14ac:dyDescent="0.25">
      <c r="R2054" s="219"/>
    </row>
    <row r="2055" spans="18:18" x14ac:dyDescent="0.25">
      <c r="R2055" s="219"/>
    </row>
    <row r="2056" spans="18:18" x14ac:dyDescent="0.25">
      <c r="R2056" s="219"/>
    </row>
    <row r="2057" spans="18:18" x14ac:dyDescent="0.25">
      <c r="R2057" s="219"/>
    </row>
    <row r="2058" spans="18:18" x14ac:dyDescent="0.25">
      <c r="R2058" s="219"/>
    </row>
    <row r="2059" spans="18:18" x14ac:dyDescent="0.25">
      <c r="R2059" s="219"/>
    </row>
    <row r="2060" spans="18:18" x14ac:dyDescent="0.25">
      <c r="R2060" s="219"/>
    </row>
    <row r="2061" spans="18:18" x14ac:dyDescent="0.25">
      <c r="R2061" s="219"/>
    </row>
    <row r="2062" spans="18:18" x14ac:dyDescent="0.25">
      <c r="R2062" s="219"/>
    </row>
    <row r="2063" spans="18:18" x14ac:dyDescent="0.25">
      <c r="R2063" s="219"/>
    </row>
    <row r="2064" spans="18:18" x14ac:dyDescent="0.25">
      <c r="R2064" s="219"/>
    </row>
    <row r="2065" spans="18:18" x14ac:dyDescent="0.25">
      <c r="R2065" s="219"/>
    </row>
    <row r="2066" spans="18:18" x14ac:dyDescent="0.25">
      <c r="R2066" s="219"/>
    </row>
    <row r="2067" spans="18:18" x14ac:dyDescent="0.25">
      <c r="R2067" s="219"/>
    </row>
    <row r="2068" spans="18:18" x14ac:dyDescent="0.25">
      <c r="R2068" s="219"/>
    </row>
    <row r="2069" spans="18:18" x14ac:dyDescent="0.25">
      <c r="R2069" s="219"/>
    </row>
    <row r="2070" spans="18:18" x14ac:dyDescent="0.25">
      <c r="R2070" s="219"/>
    </row>
    <row r="2071" spans="18:18" x14ac:dyDescent="0.25">
      <c r="R2071" s="219"/>
    </row>
    <row r="2072" spans="18:18" x14ac:dyDescent="0.25">
      <c r="R2072" s="219"/>
    </row>
    <row r="2073" spans="18:18" x14ac:dyDescent="0.25">
      <c r="R2073" s="219"/>
    </row>
    <row r="2074" spans="18:18" x14ac:dyDescent="0.25">
      <c r="R2074" s="219"/>
    </row>
    <row r="2075" spans="18:18" x14ac:dyDescent="0.25">
      <c r="R2075" s="219"/>
    </row>
    <row r="2076" spans="18:18" x14ac:dyDescent="0.25">
      <c r="R2076" s="219"/>
    </row>
    <row r="2077" spans="18:18" x14ac:dyDescent="0.25">
      <c r="R2077" s="219"/>
    </row>
    <row r="2078" spans="18:18" x14ac:dyDescent="0.25">
      <c r="R2078" s="219"/>
    </row>
    <row r="2079" spans="18:18" x14ac:dyDescent="0.25">
      <c r="R2079" s="219"/>
    </row>
    <row r="2080" spans="18:18" x14ac:dyDescent="0.25">
      <c r="R2080" s="219"/>
    </row>
    <row r="2081" spans="18:18" x14ac:dyDescent="0.25">
      <c r="R2081" s="219"/>
    </row>
    <row r="2082" spans="18:18" x14ac:dyDescent="0.25">
      <c r="R2082" s="219"/>
    </row>
    <row r="2083" spans="18:18" x14ac:dyDescent="0.25">
      <c r="R2083" s="219"/>
    </row>
    <row r="2084" spans="18:18" x14ac:dyDescent="0.25">
      <c r="R2084" s="219"/>
    </row>
    <row r="2085" spans="18:18" x14ac:dyDescent="0.25">
      <c r="R2085" s="219"/>
    </row>
    <row r="2086" spans="18:18" x14ac:dyDescent="0.25">
      <c r="R2086" s="219"/>
    </row>
    <row r="2087" spans="18:18" x14ac:dyDescent="0.25">
      <c r="R2087" s="219"/>
    </row>
    <row r="2088" spans="18:18" x14ac:dyDescent="0.25">
      <c r="R2088" s="219"/>
    </row>
    <row r="2089" spans="18:18" x14ac:dyDescent="0.25">
      <c r="R2089" s="219"/>
    </row>
    <row r="2090" spans="18:18" x14ac:dyDescent="0.25">
      <c r="R2090" s="219"/>
    </row>
    <row r="2091" spans="18:18" x14ac:dyDescent="0.25">
      <c r="R2091" s="219"/>
    </row>
    <row r="2092" spans="18:18" x14ac:dyDescent="0.25">
      <c r="R2092" s="219"/>
    </row>
    <row r="2093" spans="18:18" x14ac:dyDescent="0.25">
      <c r="R2093" s="219"/>
    </row>
    <row r="2094" spans="18:18" x14ac:dyDescent="0.25">
      <c r="R2094" s="219"/>
    </row>
    <row r="2095" spans="18:18" x14ac:dyDescent="0.25">
      <c r="R2095" s="219"/>
    </row>
    <row r="2096" spans="18:18" x14ac:dyDescent="0.25">
      <c r="R2096" s="219"/>
    </row>
    <row r="2097" spans="18:18" x14ac:dyDescent="0.25">
      <c r="R2097" s="219"/>
    </row>
    <row r="2098" spans="18:18" x14ac:dyDescent="0.25">
      <c r="R2098" s="219"/>
    </row>
    <row r="2099" spans="18:18" x14ac:dyDescent="0.25">
      <c r="R2099" s="219"/>
    </row>
    <row r="2100" spans="18:18" x14ac:dyDescent="0.25">
      <c r="R2100" s="219"/>
    </row>
    <row r="2101" spans="18:18" x14ac:dyDescent="0.25">
      <c r="R2101" s="219"/>
    </row>
    <row r="2102" spans="18:18" x14ac:dyDescent="0.25">
      <c r="R2102" s="219"/>
    </row>
    <row r="2103" spans="18:18" x14ac:dyDescent="0.25">
      <c r="R2103" s="219"/>
    </row>
    <row r="2104" spans="18:18" x14ac:dyDescent="0.25">
      <c r="R2104" s="219"/>
    </row>
    <row r="2105" spans="18:18" x14ac:dyDescent="0.25">
      <c r="R2105" s="219"/>
    </row>
    <row r="2106" spans="18:18" x14ac:dyDescent="0.25">
      <c r="R2106" s="219"/>
    </row>
    <row r="2107" spans="18:18" x14ac:dyDescent="0.25">
      <c r="R2107" s="219"/>
    </row>
    <row r="2108" spans="18:18" x14ac:dyDescent="0.25">
      <c r="R2108" s="219"/>
    </row>
    <row r="2109" spans="18:18" x14ac:dyDescent="0.25">
      <c r="R2109" s="219"/>
    </row>
    <row r="2110" spans="18:18" x14ac:dyDescent="0.25">
      <c r="R2110" s="219"/>
    </row>
    <row r="2111" spans="18:18" x14ac:dyDescent="0.25">
      <c r="R2111" s="219"/>
    </row>
    <row r="2112" spans="18:18" x14ac:dyDescent="0.25">
      <c r="R2112" s="219"/>
    </row>
    <row r="2113" spans="18:18" x14ac:dyDescent="0.25">
      <c r="R2113" s="219"/>
    </row>
    <row r="2114" spans="18:18" x14ac:dyDescent="0.25">
      <c r="R2114" s="219"/>
    </row>
    <row r="2115" spans="18:18" x14ac:dyDescent="0.25">
      <c r="R2115" s="219"/>
    </row>
    <row r="2116" spans="18:18" x14ac:dyDescent="0.25">
      <c r="R2116" s="219"/>
    </row>
    <row r="2117" spans="18:18" x14ac:dyDescent="0.25">
      <c r="R2117" s="219"/>
    </row>
    <row r="2118" spans="18:18" x14ac:dyDescent="0.25">
      <c r="R2118" s="219"/>
    </row>
    <row r="2119" spans="18:18" x14ac:dyDescent="0.25">
      <c r="R2119" s="219"/>
    </row>
    <row r="2120" spans="18:18" x14ac:dyDescent="0.25">
      <c r="R2120" s="219"/>
    </row>
    <row r="2121" spans="18:18" x14ac:dyDescent="0.25">
      <c r="R2121" s="219"/>
    </row>
    <row r="2122" spans="18:18" x14ac:dyDescent="0.25">
      <c r="R2122" s="219"/>
    </row>
    <row r="2123" spans="18:18" x14ac:dyDescent="0.25">
      <c r="R2123" s="219"/>
    </row>
    <row r="2124" spans="18:18" x14ac:dyDescent="0.25">
      <c r="R2124" s="219"/>
    </row>
    <row r="2125" spans="18:18" x14ac:dyDescent="0.25">
      <c r="R2125" s="219"/>
    </row>
    <row r="2126" spans="18:18" x14ac:dyDescent="0.25">
      <c r="R2126" s="219"/>
    </row>
    <row r="2127" spans="18:18" x14ac:dyDescent="0.25">
      <c r="R2127" s="219"/>
    </row>
    <row r="2128" spans="18:18" x14ac:dyDescent="0.25">
      <c r="R2128" s="219"/>
    </row>
    <row r="2129" spans="18:18" x14ac:dyDescent="0.25">
      <c r="R2129" s="219"/>
    </row>
    <row r="2130" spans="18:18" x14ac:dyDescent="0.25">
      <c r="R2130" s="219"/>
    </row>
    <row r="2131" spans="18:18" x14ac:dyDescent="0.25">
      <c r="R2131" s="219"/>
    </row>
    <row r="2132" spans="18:18" x14ac:dyDescent="0.25">
      <c r="R2132" s="219"/>
    </row>
    <row r="2133" spans="18:18" x14ac:dyDescent="0.25">
      <c r="R2133" s="219"/>
    </row>
    <row r="2134" spans="18:18" x14ac:dyDescent="0.25">
      <c r="R2134" s="219"/>
    </row>
    <row r="2135" spans="18:18" x14ac:dyDescent="0.25">
      <c r="R2135" s="219"/>
    </row>
    <row r="2136" spans="18:18" x14ac:dyDescent="0.25">
      <c r="R2136" s="219"/>
    </row>
    <row r="2137" spans="18:18" x14ac:dyDescent="0.25">
      <c r="R2137" s="219"/>
    </row>
    <row r="2138" spans="18:18" x14ac:dyDescent="0.25">
      <c r="R2138" s="219"/>
    </row>
    <row r="2139" spans="18:18" x14ac:dyDescent="0.25">
      <c r="R2139" s="219"/>
    </row>
    <row r="2140" spans="18:18" x14ac:dyDescent="0.25">
      <c r="R2140" s="219"/>
    </row>
    <row r="2141" spans="18:18" x14ac:dyDescent="0.25">
      <c r="R2141" s="219"/>
    </row>
    <row r="2142" spans="18:18" x14ac:dyDescent="0.25">
      <c r="R2142" s="219"/>
    </row>
    <row r="2143" spans="18:18" x14ac:dyDescent="0.25">
      <c r="R2143" s="219"/>
    </row>
    <row r="2144" spans="18:18" x14ac:dyDescent="0.25">
      <c r="R2144" s="219"/>
    </row>
    <row r="2145" spans="18:18" x14ac:dyDescent="0.25">
      <c r="R2145" s="219"/>
    </row>
    <row r="2146" spans="18:18" x14ac:dyDescent="0.25">
      <c r="R2146" s="219"/>
    </row>
    <row r="2147" spans="18:18" x14ac:dyDescent="0.25">
      <c r="R2147" s="219"/>
    </row>
    <row r="2148" spans="18:18" x14ac:dyDescent="0.25">
      <c r="R2148" s="219"/>
    </row>
    <row r="2149" spans="18:18" x14ac:dyDescent="0.25">
      <c r="R2149" s="219"/>
    </row>
    <row r="2150" spans="18:18" x14ac:dyDescent="0.25">
      <c r="R2150" s="219"/>
    </row>
    <row r="2151" spans="18:18" x14ac:dyDescent="0.25">
      <c r="R2151" s="219"/>
    </row>
    <row r="2152" spans="18:18" x14ac:dyDescent="0.25">
      <c r="R2152" s="219"/>
    </row>
    <row r="2153" spans="18:18" x14ac:dyDescent="0.25">
      <c r="R2153" s="219"/>
    </row>
    <row r="2154" spans="18:18" x14ac:dyDescent="0.25">
      <c r="R2154" s="219"/>
    </row>
    <row r="2155" spans="18:18" x14ac:dyDescent="0.25">
      <c r="R2155" s="219"/>
    </row>
    <row r="2156" spans="18:18" x14ac:dyDescent="0.25">
      <c r="R2156" s="219"/>
    </row>
    <row r="2157" spans="18:18" x14ac:dyDescent="0.25">
      <c r="R2157" s="219"/>
    </row>
    <row r="2158" spans="18:18" x14ac:dyDescent="0.25">
      <c r="R2158" s="219"/>
    </row>
    <row r="2159" spans="18:18" x14ac:dyDescent="0.25">
      <c r="R2159" s="219"/>
    </row>
    <row r="2160" spans="18:18" x14ac:dyDescent="0.25">
      <c r="R2160" s="219"/>
    </row>
    <row r="2161" spans="18:18" x14ac:dyDescent="0.25">
      <c r="R2161" s="219"/>
    </row>
    <row r="2162" spans="18:18" x14ac:dyDescent="0.25">
      <c r="R2162" s="219"/>
    </row>
    <row r="2163" spans="18:18" x14ac:dyDescent="0.25">
      <c r="R2163" s="219"/>
    </row>
    <row r="2164" spans="18:18" x14ac:dyDescent="0.25">
      <c r="R2164" s="219"/>
    </row>
    <row r="2165" spans="18:18" x14ac:dyDescent="0.25">
      <c r="R2165" s="219"/>
    </row>
    <row r="2166" spans="18:18" x14ac:dyDescent="0.25">
      <c r="R2166" s="219"/>
    </row>
    <row r="2167" spans="18:18" x14ac:dyDescent="0.25">
      <c r="R2167" s="219"/>
    </row>
    <row r="2168" spans="18:18" x14ac:dyDescent="0.25">
      <c r="R2168" s="219"/>
    </row>
    <row r="2169" spans="18:18" x14ac:dyDescent="0.25">
      <c r="R2169" s="219"/>
    </row>
    <row r="2170" spans="18:18" x14ac:dyDescent="0.25">
      <c r="R2170" s="219"/>
    </row>
    <row r="2171" spans="18:18" x14ac:dyDescent="0.25">
      <c r="R2171" s="219"/>
    </row>
    <row r="2172" spans="18:18" x14ac:dyDescent="0.25">
      <c r="R2172" s="219"/>
    </row>
    <row r="2173" spans="18:18" x14ac:dyDescent="0.25">
      <c r="R2173" s="219"/>
    </row>
    <row r="2174" spans="18:18" x14ac:dyDescent="0.25">
      <c r="R2174" s="219"/>
    </row>
    <row r="2175" spans="18:18" x14ac:dyDescent="0.25">
      <c r="R2175" s="219"/>
    </row>
    <row r="2176" spans="18:18" x14ac:dyDescent="0.25">
      <c r="R2176" s="219"/>
    </row>
    <row r="2177" spans="18:18" x14ac:dyDescent="0.25">
      <c r="R2177" s="219"/>
    </row>
    <row r="2178" spans="18:18" x14ac:dyDescent="0.25">
      <c r="R2178" s="219"/>
    </row>
    <row r="2179" spans="18:18" x14ac:dyDescent="0.25">
      <c r="R2179" s="219"/>
    </row>
    <row r="2180" spans="18:18" x14ac:dyDescent="0.25">
      <c r="R2180" s="219"/>
    </row>
    <row r="2181" spans="18:18" x14ac:dyDescent="0.25">
      <c r="R2181" s="219"/>
    </row>
    <row r="2182" spans="18:18" x14ac:dyDescent="0.25">
      <c r="R2182" s="219"/>
    </row>
    <row r="2183" spans="18:18" x14ac:dyDescent="0.25">
      <c r="R2183" s="219"/>
    </row>
    <row r="2184" spans="18:18" x14ac:dyDescent="0.25">
      <c r="R2184" s="219"/>
    </row>
    <row r="2185" spans="18:18" x14ac:dyDescent="0.25">
      <c r="R2185" s="219"/>
    </row>
    <row r="2186" spans="18:18" x14ac:dyDescent="0.25">
      <c r="R2186" s="219"/>
    </row>
    <row r="2187" spans="18:18" x14ac:dyDescent="0.25">
      <c r="R2187" s="219"/>
    </row>
    <row r="2188" spans="18:18" x14ac:dyDescent="0.25">
      <c r="R2188" s="219"/>
    </row>
    <row r="2189" spans="18:18" x14ac:dyDescent="0.25">
      <c r="R2189" s="219"/>
    </row>
    <row r="2190" spans="18:18" x14ac:dyDescent="0.25">
      <c r="R2190" s="219"/>
    </row>
    <row r="2191" spans="18:18" x14ac:dyDescent="0.25">
      <c r="R2191" s="219"/>
    </row>
    <row r="2192" spans="18:18" x14ac:dyDescent="0.25">
      <c r="R2192" s="219"/>
    </row>
    <row r="2193" spans="18:18" x14ac:dyDescent="0.25">
      <c r="R2193" s="219"/>
    </row>
    <row r="2194" spans="18:18" x14ac:dyDescent="0.25">
      <c r="R2194" s="219"/>
    </row>
    <row r="2195" spans="18:18" x14ac:dyDescent="0.25">
      <c r="R2195" s="219"/>
    </row>
    <row r="2196" spans="18:18" x14ac:dyDescent="0.25">
      <c r="R2196" s="219"/>
    </row>
    <row r="2197" spans="18:18" x14ac:dyDescent="0.25">
      <c r="R2197" s="219"/>
    </row>
    <row r="2198" spans="18:18" x14ac:dyDescent="0.25">
      <c r="R2198" s="219"/>
    </row>
    <row r="2199" spans="18:18" x14ac:dyDescent="0.25">
      <c r="R2199" s="219"/>
    </row>
    <row r="2200" spans="18:18" x14ac:dyDescent="0.25">
      <c r="R2200" s="219"/>
    </row>
    <row r="2201" spans="18:18" x14ac:dyDescent="0.25">
      <c r="R2201" s="219"/>
    </row>
    <row r="2202" spans="18:18" x14ac:dyDescent="0.25">
      <c r="R2202" s="219"/>
    </row>
    <row r="2203" spans="18:18" x14ac:dyDescent="0.25">
      <c r="R2203" s="219"/>
    </row>
    <row r="2204" spans="18:18" x14ac:dyDescent="0.25">
      <c r="R2204" s="219"/>
    </row>
    <row r="2205" spans="18:18" x14ac:dyDescent="0.25">
      <c r="R2205" s="219"/>
    </row>
    <row r="2206" spans="18:18" x14ac:dyDescent="0.25">
      <c r="R2206" s="219"/>
    </row>
    <row r="2207" spans="18:18" x14ac:dyDescent="0.25">
      <c r="R2207" s="219"/>
    </row>
    <row r="2208" spans="18:18" x14ac:dyDescent="0.25">
      <c r="R2208" s="219"/>
    </row>
    <row r="2209" spans="18:18" x14ac:dyDescent="0.25">
      <c r="R2209" s="219"/>
    </row>
    <row r="2210" spans="18:18" x14ac:dyDescent="0.25">
      <c r="R2210" s="219"/>
    </row>
    <row r="2211" spans="18:18" x14ac:dyDescent="0.25">
      <c r="R2211" s="219"/>
    </row>
    <row r="2212" spans="18:18" x14ac:dyDescent="0.25">
      <c r="R2212" s="219"/>
    </row>
    <row r="2213" spans="18:18" x14ac:dyDescent="0.25">
      <c r="R2213" s="219"/>
    </row>
    <row r="2214" spans="18:18" x14ac:dyDescent="0.25">
      <c r="R2214" s="219"/>
    </row>
    <row r="2215" spans="18:18" x14ac:dyDescent="0.25">
      <c r="R2215" s="219"/>
    </row>
    <row r="2216" spans="18:18" x14ac:dyDescent="0.25">
      <c r="R2216" s="219"/>
    </row>
    <row r="2217" spans="18:18" x14ac:dyDescent="0.25">
      <c r="R2217" s="219"/>
    </row>
    <row r="2218" spans="18:18" x14ac:dyDescent="0.25">
      <c r="R2218" s="219"/>
    </row>
    <row r="2219" spans="18:18" x14ac:dyDescent="0.25">
      <c r="R2219" s="219"/>
    </row>
    <row r="2220" spans="18:18" x14ac:dyDescent="0.25">
      <c r="R2220" s="219"/>
    </row>
    <row r="2221" spans="18:18" x14ac:dyDescent="0.25">
      <c r="R2221" s="219"/>
    </row>
    <row r="2222" spans="18:18" x14ac:dyDescent="0.25">
      <c r="R2222" s="219"/>
    </row>
    <row r="2223" spans="18:18" x14ac:dyDescent="0.25">
      <c r="R2223" s="219"/>
    </row>
    <row r="2224" spans="18:18" x14ac:dyDescent="0.25">
      <c r="R2224" s="219"/>
    </row>
    <row r="2225" spans="18:18" x14ac:dyDescent="0.25">
      <c r="R2225" s="219"/>
    </row>
    <row r="2226" spans="18:18" x14ac:dyDescent="0.25">
      <c r="R2226" s="219"/>
    </row>
    <row r="2227" spans="18:18" x14ac:dyDescent="0.25">
      <c r="R2227" s="219"/>
    </row>
    <row r="2228" spans="18:18" x14ac:dyDescent="0.25">
      <c r="R2228" s="219"/>
    </row>
    <row r="2229" spans="18:18" x14ac:dyDescent="0.25">
      <c r="R2229" s="219"/>
    </row>
    <row r="2230" spans="18:18" x14ac:dyDescent="0.25">
      <c r="R2230" s="219"/>
    </row>
    <row r="2231" spans="18:18" x14ac:dyDescent="0.25">
      <c r="R2231" s="219"/>
    </row>
    <row r="2232" spans="18:18" x14ac:dyDescent="0.25">
      <c r="R2232" s="219"/>
    </row>
    <row r="2233" spans="18:18" x14ac:dyDescent="0.25">
      <c r="R2233" s="219"/>
    </row>
    <row r="2234" spans="18:18" x14ac:dyDescent="0.25">
      <c r="R2234" s="219"/>
    </row>
    <row r="2235" spans="18:18" x14ac:dyDescent="0.25">
      <c r="R2235" s="219"/>
    </row>
    <row r="2236" spans="18:18" x14ac:dyDescent="0.25">
      <c r="R2236" s="219"/>
    </row>
    <row r="2237" spans="18:18" x14ac:dyDescent="0.25">
      <c r="R2237" s="219"/>
    </row>
    <row r="2238" spans="18:18" x14ac:dyDescent="0.25">
      <c r="R2238" s="219"/>
    </row>
    <row r="2239" spans="18:18" x14ac:dyDescent="0.25">
      <c r="R2239" s="219"/>
    </row>
    <row r="2240" spans="18:18" x14ac:dyDescent="0.25">
      <c r="R2240" s="219"/>
    </row>
    <row r="2241" spans="18:18" x14ac:dyDescent="0.25">
      <c r="R2241" s="219"/>
    </row>
    <row r="2242" spans="18:18" x14ac:dyDescent="0.25">
      <c r="R2242" s="219"/>
    </row>
    <row r="2243" spans="18:18" x14ac:dyDescent="0.25">
      <c r="R2243" s="219"/>
    </row>
    <row r="2244" spans="18:18" x14ac:dyDescent="0.25">
      <c r="R2244" s="219"/>
    </row>
    <row r="2245" spans="18:18" x14ac:dyDescent="0.25">
      <c r="R2245" s="219"/>
    </row>
    <row r="2246" spans="18:18" x14ac:dyDescent="0.25">
      <c r="R2246" s="219"/>
    </row>
    <row r="2247" spans="18:18" x14ac:dyDescent="0.25">
      <c r="R2247" s="219"/>
    </row>
    <row r="2248" spans="18:18" x14ac:dyDescent="0.25">
      <c r="R2248" s="219"/>
    </row>
    <row r="2249" spans="18:18" x14ac:dyDescent="0.25">
      <c r="R2249" s="219"/>
    </row>
    <row r="2250" spans="18:18" x14ac:dyDescent="0.25">
      <c r="R2250" s="219"/>
    </row>
    <row r="2251" spans="18:18" x14ac:dyDescent="0.25">
      <c r="R2251" s="219"/>
    </row>
    <row r="2252" spans="18:18" x14ac:dyDescent="0.25">
      <c r="R2252" s="219"/>
    </row>
    <row r="2253" spans="18:18" x14ac:dyDescent="0.25">
      <c r="R2253" s="219"/>
    </row>
    <row r="2254" spans="18:18" x14ac:dyDescent="0.25">
      <c r="R2254" s="219"/>
    </row>
    <row r="2255" spans="18:18" x14ac:dyDescent="0.25">
      <c r="R2255" s="219"/>
    </row>
    <row r="2256" spans="18:18" x14ac:dyDescent="0.25">
      <c r="R2256" s="219"/>
    </row>
    <row r="2257" spans="18:18" x14ac:dyDescent="0.25">
      <c r="R2257" s="219"/>
    </row>
    <row r="2258" spans="18:18" x14ac:dyDescent="0.25">
      <c r="R2258" s="219"/>
    </row>
    <row r="2259" spans="18:18" x14ac:dyDescent="0.25">
      <c r="R2259" s="219"/>
    </row>
    <row r="2260" spans="18:18" x14ac:dyDescent="0.25">
      <c r="R2260" s="219"/>
    </row>
    <row r="2261" spans="18:18" x14ac:dyDescent="0.25">
      <c r="R2261" s="219"/>
    </row>
    <row r="2262" spans="18:18" x14ac:dyDescent="0.25">
      <c r="R2262" s="219"/>
    </row>
    <row r="2263" spans="18:18" x14ac:dyDescent="0.25">
      <c r="R2263" s="219"/>
    </row>
    <row r="2264" spans="18:18" x14ac:dyDescent="0.25">
      <c r="R2264" s="219"/>
    </row>
    <row r="2265" spans="18:18" x14ac:dyDescent="0.25">
      <c r="R2265" s="219"/>
    </row>
    <row r="2266" spans="18:18" x14ac:dyDescent="0.25">
      <c r="R2266" s="219"/>
    </row>
    <row r="2267" spans="18:18" x14ac:dyDescent="0.25">
      <c r="R2267" s="219"/>
    </row>
    <row r="2268" spans="18:18" x14ac:dyDescent="0.25">
      <c r="R2268" s="219"/>
    </row>
    <row r="2269" spans="18:18" x14ac:dyDescent="0.25">
      <c r="R2269" s="219"/>
    </row>
    <row r="2270" spans="18:18" x14ac:dyDescent="0.25">
      <c r="R2270" s="219"/>
    </row>
    <row r="2271" spans="18:18" x14ac:dyDescent="0.25">
      <c r="R2271" s="219"/>
    </row>
    <row r="2272" spans="18:18" x14ac:dyDescent="0.25">
      <c r="R2272" s="219"/>
    </row>
    <row r="2273" spans="18:18" x14ac:dyDescent="0.25">
      <c r="R2273" s="219"/>
    </row>
    <row r="2274" spans="18:18" x14ac:dyDescent="0.25">
      <c r="R2274" s="219"/>
    </row>
    <row r="2275" spans="18:18" x14ac:dyDescent="0.25">
      <c r="R2275" s="219"/>
    </row>
    <row r="2276" spans="18:18" x14ac:dyDescent="0.25">
      <c r="R2276" s="219"/>
    </row>
    <row r="2277" spans="18:18" x14ac:dyDescent="0.25">
      <c r="R2277" s="219"/>
    </row>
    <row r="2278" spans="18:18" x14ac:dyDescent="0.25">
      <c r="R2278" s="219"/>
    </row>
    <row r="2279" spans="18:18" x14ac:dyDescent="0.25">
      <c r="R2279" s="219"/>
    </row>
    <row r="2280" spans="18:18" x14ac:dyDescent="0.25">
      <c r="R2280" s="219"/>
    </row>
    <row r="2281" spans="18:18" x14ac:dyDescent="0.25">
      <c r="R2281" s="219"/>
    </row>
    <row r="2282" spans="18:18" x14ac:dyDescent="0.25">
      <c r="R2282" s="219"/>
    </row>
    <row r="2283" spans="18:18" x14ac:dyDescent="0.25">
      <c r="R2283" s="219"/>
    </row>
    <row r="2284" spans="18:18" x14ac:dyDescent="0.25">
      <c r="R2284" s="219"/>
    </row>
    <row r="2285" spans="18:18" x14ac:dyDescent="0.25">
      <c r="R2285" s="219"/>
    </row>
    <row r="2286" spans="18:18" x14ac:dyDescent="0.25">
      <c r="R2286" s="219"/>
    </row>
    <row r="2287" spans="18:18" x14ac:dyDescent="0.25">
      <c r="R2287" s="219"/>
    </row>
    <row r="2288" spans="18:18" x14ac:dyDescent="0.25">
      <c r="R2288" s="219"/>
    </row>
    <row r="2289" spans="18:18" x14ac:dyDescent="0.25">
      <c r="R2289" s="219"/>
    </row>
    <row r="2290" spans="18:18" x14ac:dyDescent="0.25">
      <c r="R2290" s="219"/>
    </row>
    <row r="2291" spans="18:18" x14ac:dyDescent="0.25">
      <c r="R2291" s="219"/>
    </row>
    <row r="2292" spans="18:18" x14ac:dyDescent="0.25">
      <c r="R2292" s="219"/>
    </row>
    <row r="2293" spans="18:18" x14ac:dyDescent="0.25">
      <c r="R2293" s="219"/>
    </row>
    <row r="2294" spans="18:18" x14ac:dyDescent="0.25">
      <c r="R2294" s="219"/>
    </row>
    <row r="2295" spans="18:18" x14ac:dyDescent="0.25">
      <c r="R2295" s="219"/>
    </row>
    <row r="2296" spans="18:18" x14ac:dyDescent="0.25">
      <c r="R2296" s="219"/>
    </row>
    <row r="2297" spans="18:18" x14ac:dyDescent="0.25">
      <c r="R2297" s="219"/>
    </row>
    <row r="2298" spans="18:18" x14ac:dyDescent="0.25">
      <c r="R2298" s="219"/>
    </row>
    <row r="2299" spans="18:18" x14ac:dyDescent="0.25">
      <c r="R2299" s="219"/>
    </row>
    <row r="2300" spans="18:18" x14ac:dyDescent="0.25">
      <c r="R2300" s="219"/>
    </row>
    <row r="2301" spans="18:18" x14ac:dyDescent="0.25">
      <c r="R2301" s="219"/>
    </row>
    <row r="2302" spans="18:18" x14ac:dyDescent="0.25">
      <c r="R2302" s="219"/>
    </row>
    <row r="2303" spans="18:18" x14ac:dyDescent="0.25">
      <c r="R2303" s="219"/>
    </row>
    <row r="2304" spans="18:18" x14ac:dyDescent="0.25">
      <c r="R2304" s="219"/>
    </row>
    <row r="2305" spans="18:18" x14ac:dyDescent="0.25">
      <c r="R2305" s="219"/>
    </row>
    <row r="2306" spans="18:18" x14ac:dyDescent="0.25">
      <c r="R2306" s="219"/>
    </row>
    <row r="2307" spans="18:18" x14ac:dyDescent="0.25">
      <c r="R2307" s="219"/>
    </row>
    <row r="2308" spans="18:18" x14ac:dyDescent="0.25">
      <c r="R2308" s="219"/>
    </row>
    <row r="2309" spans="18:18" x14ac:dyDescent="0.25">
      <c r="R2309" s="219"/>
    </row>
    <row r="2310" spans="18:18" x14ac:dyDescent="0.25">
      <c r="R2310" s="219"/>
    </row>
    <row r="2311" spans="18:18" x14ac:dyDescent="0.25">
      <c r="R2311" s="219"/>
    </row>
    <row r="2312" spans="18:18" x14ac:dyDescent="0.25">
      <c r="R2312" s="219"/>
    </row>
    <row r="2313" spans="18:18" x14ac:dyDescent="0.25">
      <c r="R2313" s="219"/>
    </row>
    <row r="2314" spans="18:18" x14ac:dyDescent="0.25">
      <c r="R2314" s="219"/>
    </row>
    <row r="2315" spans="18:18" x14ac:dyDescent="0.25">
      <c r="R2315" s="219"/>
    </row>
    <row r="2316" spans="18:18" x14ac:dyDescent="0.25">
      <c r="R2316" s="219"/>
    </row>
    <row r="2317" spans="18:18" x14ac:dyDescent="0.25">
      <c r="R2317" s="219"/>
    </row>
    <row r="2318" spans="18:18" x14ac:dyDescent="0.25">
      <c r="R2318" s="219"/>
    </row>
    <row r="2319" spans="18:18" x14ac:dyDescent="0.25">
      <c r="R2319" s="219"/>
    </row>
    <row r="2320" spans="18:18" x14ac:dyDescent="0.25">
      <c r="R2320" s="219"/>
    </row>
    <row r="2321" spans="18:18" x14ac:dyDescent="0.25">
      <c r="R2321" s="219"/>
    </row>
    <row r="2322" spans="18:18" x14ac:dyDescent="0.25">
      <c r="R2322" s="219"/>
    </row>
    <row r="2323" spans="18:18" x14ac:dyDescent="0.25">
      <c r="R2323" s="219"/>
    </row>
    <row r="2324" spans="18:18" x14ac:dyDescent="0.25">
      <c r="R2324" s="219"/>
    </row>
    <row r="2325" spans="18:18" x14ac:dyDescent="0.25">
      <c r="R2325" s="219"/>
    </row>
    <row r="2326" spans="18:18" x14ac:dyDescent="0.25">
      <c r="R2326" s="219"/>
    </row>
    <row r="2327" spans="18:18" x14ac:dyDescent="0.25">
      <c r="R2327" s="219"/>
    </row>
    <row r="2328" spans="18:18" x14ac:dyDescent="0.25">
      <c r="R2328" s="219"/>
    </row>
    <row r="2329" spans="18:18" x14ac:dyDescent="0.25">
      <c r="R2329" s="219"/>
    </row>
    <row r="2330" spans="18:18" x14ac:dyDescent="0.25">
      <c r="R2330" s="219"/>
    </row>
    <row r="2331" spans="18:18" x14ac:dyDescent="0.25">
      <c r="R2331" s="219"/>
    </row>
    <row r="2332" spans="18:18" x14ac:dyDescent="0.25">
      <c r="R2332" s="219"/>
    </row>
    <row r="2333" spans="18:18" x14ac:dyDescent="0.25">
      <c r="R2333" s="219"/>
    </row>
    <row r="2334" spans="18:18" x14ac:dyDescent="0.25">
      <c r="R2334" s="219"/>
    </row>
    <row r="2335" spans="18:18" x14ac:dyDescent="0.25">
      <c r="R2335" s="219"/>
    </row>
    <row r="2336" spans="18:18" x14ac:dyDescent="0.25">
      <c r="R2336" s="219"/>
    </row>
    <row r="2337" spans="18:18" x14ac:dyDescent="0.25">
      <c r="R2337" s="219"/>
    </row>
    <row r="2338" spans="18:18" x14ac:dyDescent="0.25">
      <c r="R2338" s="219"/>
    </row>
    <row r="2339" spans="18:18" x14ac:dyDescent="0.25">
      <c r="R2339" s="219"/>
    </row>
    <row r="2340" spans="18:18" x14ac:dyDescent="0.25">
      <c r="R2340" s="219"/>
    </row>
    <row r="2341" spans="18:18" x14ac:dyDescent="0.25">
      <c r="R2341" s="219"/>
    </row>
    <row r="2342" spans="18:18" x14ac:dyDescent="0.25">
      <c r="R2342" s="219"/>
    </row>
    <row r="2343" spans="18:18" x14ac:dyDescent="0.25">
      <c r="R2343" s="219"/>
    </row>
    <row r="2344" spans="18:18" x14ac:dyDescent="0.25">
      <c r="R2344" s="219"/>
    </row>
    <row r="2345" spans="18:18" x14ac:dyDescent="0.25">
      <c r="R2345" s="219"/>
    </row>
    <row r="2346" spans="18:18" x14ac:dyDescent="0.25">
      <c r="R2346" s="219"/>
    </row>
    <row r="2347" spans="18:18" x14ac:dyDescent="0.25">
      <c r="R2347" s="219"/>
    </row>
    <row r="2348" spans="18:18" x14ac:dyDescent="0.25">
      <c r="R2348" s="219"/>
    </row>
    <row r="2349" spans="18:18" x14ac:dyDescent="0.25">
      <c r="R2349" s="219"/>
    </row>
    <row r="2350" spans="18:18" x14ac:dyDescent="0.25">
      <c r="R2350" s="219"/>
    </row>
    <row r="2351" spans="18:18" x14ac:dyDescent="0.25">
      <c r="R2351" s="219"/>
    </row>
    <row r="2352" spans="18:18" x14ac:dyDescent="0.25">
      <c r="R2352" s="219"/>
    </row>
    <row r="2353" spans="18:18" x14ac:dyDescent="0.25">
      <c r="R2353" s="219"/>
    </row>
    <row r="2354" spans="18:18" x14ac:dyDescent="0.25">
      <c r="R2354" s="219"/>
    </row>
    <row r="2355" spans="18:18" x14ac:dyDescent="0.25">
      <c r="R2355" s="219"/>
    </row>
    <row r="2356" spans="18:18" x14ac:dyDescent="0.25">
      <c r="R2356" s="219"/>
    </row>
    <row r="2357" spans="18:18" x14ac:dyDescent="0.25">
      <c r="R2357" s="219"/>
    </row>
    <row r="2358" spans="18:18" x14ac:dyDescent="0.25">
      <c r="R2358" s="219"/>
    </row>
    <row r="2359" spans="18:18" x14ac:dyDescent="0.25">
      <c r="R2359" s="219"/>
    </row>
    <row r="2360" spans="18:18" x14ac:dyDescent="0.25">
      <c r="R2360" s="219"/>
    </row>
    <row r="2361" spans="18:18" x14ac:dyDescent="0.25">
      <c r="R2361" s="219"/>
    </row>
    <row r="2362" spans="18:18" x14ac:dyDescent="0.25">
      <c r="R2362" s="219"/>
    </row>
    <row r="2363" spans="18:18" x14ac:dyDescent="0.25">
      <c r="R2363" s="219"/>
    </row>
    <row r="2364" spans="18:18" x14ac:dyDescent="0.25">
      <c r="R2364" s="219"/>
    </row>
    <row r="2365" spans="18:18" x14ac:dyDescent="0.25">
      <c r="R2365" s="219"/>
    </row>
    <row r="2366" spans="18:18" x14ac:dyDescent="0.25">
      <c r="R2366" s="219"/>
    </row>
    <row r="2367" spans="18:18" x14ac:dyDescent="0.25">
      <c r="R2367" s="219"/>
    </row>
    <row r="2368" spans="18:18" x14ac:dyDescent="0.25">
      <c r="R2368" s="219"/>
    </row>
    <row r="2369" spans="18:18" x14ac:dyDescent="0.25">
      <c r="R2369" s="219"/>
    </row>
    <row r="2370" spans="18:18" x14ac:dyDescent="0.25">
      <c r="R2370" s="219"/>
    </row>
    <row r="2371" spans="18:18" x14ac:dyDescent="0.25">
      <c r="R2371" s="219"/>
    </row>
    <row r="2372" spans="18:18" x14ac:dyDescent="0.25">
      <c r="R2372" s="219"/>
    </row>
    <row r="2373" spans="18:18" x14ac:dyDescent="0.25">
      <c r="R2373" s="219"/>
    </row>
    <row r="2374" spans="18:18" x14ac:dyDescent="0.25">
      <c r="R2374" s="219"/>
    </row>
    <row r="2375" spans="18:18" x14ac:dyDescent="0.25">
      <c r="R2375" s="219"/>
    </row>
    <row r="2376" spans="18:18" x14ac:dyDescent="0.25">
      <c r="R2376" s="219"/>
    </row>
    <row r="2377" spans="18:18" x14ac:dyDescent="0.25">
      <c r="R2377" s="219"/>
    </row>
    <row r="2378" spans="18:18" x14ac:dyDescent="0.25">
      <c r="R2378" s="219"/>
    </row>
    <row r="2379" spans="18:18" x14ac:dyDescent="0.25">
      <c r="R2379" s="219"/>
    </row>
    <row r="2380" spans="18:18" x14ac:dyDescent="0.25">
      <c r="R2380" s="219"/>
    </row>
    <row r="2381" spans="18:18" x14ac:dyDescent="0.25">
      <c r="R2381" s="219"/>
    </row>
    <row r="2382" spans="18:18" x14ac:dyDescent="0.25">
      <c r="R2382" s="219"/>
    </row>
    <row r="2383" spans="18:18" x14ac:dyDescent="0.25">
      <c r="R2383" s="219"/>
    </row>
    <row r="2384" spans="18:18" x14ac:dyDescent="0.25">
      <c r="R2384" s="219"/>
    </row>
    <row r="2385" spans="18:18" x14ac:dyDescent="0.25">
      <c r="R2385" s="219"/>
    </row>
    <row r="2386" spans="18:18" x14ac:dyDescent="0.25">
      <c r="R2386" s="219"/>
    </row>
    <row r="2387" spans="18:18" x14ac:dyDescent="0.25">
      <c r="R2387" s="219"/>
    </row>
    <row r="2388" spans="18:18" x14ac:dyDescent="0.25">
      <c r="R2388" s="219"/>
    </row>
    <row r="2389" spans="18:18" x14ac:dyDescent="0.25">
      <c r="R2389" s="219"/>
    </row>
    <row r="2390" spans="18:18" x14ac:dyDescent="0.25">
      <c r="R2390" s="219"/>
    </row>
    <row r="2391" spans="18:18" x14ac:dyDescent="0.25">
      <c r="R2391" s="219"/>
    </row>
    <row r="2392" spans="18:18" x14ac:dyDescent="0.25">
      <c r="R2392" s="219"/>
    </row>
    <row r="2393" spans="18:18" x14ac:dyDescent="0.25">
      <c r="R2393" s="219"/>
    </row>
    <row r="2394" spans="18:18" x14ac:dyDescent="0.25">
      <c r="R2394" s="219"/>
    </row>
    <row r="2395" spans="18:18" x14ac:dyDescent="0.25">
      <c r="R2395" s="219"/>
    </row>
    <row r="2396" spans="18:18" x14ac:dyDescent="0.25">
      <c r="R2396" s="219"/>
    </row>
    <row r="2397" spans="18:18" x14ac:dyDescent="0.25">
      <c r="R2397" s="219"/>
    </row>
    <row r="2398" spans="18:18" x14ac:dyDescent="0.25">
      <c r="R2398" s="219"/>
    </row>
    <row r="2399" spans="18:18" x14ac:dyDescent="0.25">
      <c r="R2399" s="219"/>
    </row>
    <row r="2400" spans="18:18" x14ac:dyDescent="0.25">
      <c r="R2400" s="219"/>
    </row>
    <row r="2401" spans="18:18" x14ac:dyDescent="0.25">
      <c r="R2401" s="219"/>
    </row>
    <row r="2402" spans="18:18" x14ac:dyDescent="0.25">
      <c r="R2402" s="219"/>
    </row>
    <row r="2403" spans="18:18" x14ac:dyDescent="0.25">
      <c r="R2403" s="219"/>
    </row>
    <row r="2404" spans="18:18" x14ac:dyDescent="0.25">
      <c r="R2404" s="219"/>
    </row>
    <row r="2405" spans="18:18" x14ac:dyDescent="0.25">
      <c r="R2405" s="219"/>
    </row>
    <row r="2406" spans="18:18" x14ac:dyDescent="0.25">
      <c r="R2406" s="219"/>
    </row>
    <row r="2407" spans="18:18" x14ac:dyDescent="0.25">
      <c r="R2407" s="219"/>
    </row>
    <row r="2408" spans="18:18" x14ac:dyDescent="0.25">
      <c r="R2408" s="219"/>
    </row>
    <row r="2409" spans="18:18" x14ac:dyDescent="0.25">
      <c r="R2409" s="219"/>
    </row>
    <row r="2410" spans="18:18" x14ac:dyDescent="0.25">
      <c r="R2410" s="219"/>
    </row>
    <row r="2411" spans="18:18" x14ac:dyDescent="0.25">
      <c r="R2411" s="219"/>
    </row>
    <row r="2412" spans="18:18" x14ac:dyDescent="0.25">
      <c r="R2412" s="219"/>
    </row>
    <row r="2413" spans="18:18" x14ac:dyDescent="0.25">
      <c r="R2413" s="219"/>
    </row>
    <row r="2414" spans="18:18" x14ac:dyDescent="0.25">
      <c r="R2414" s="219"/>
    </row>
    <row r="2415" spans="18:18" x14ac:dyDescent="0.25">
      <c r="R2415" s="219"/>
    </row>
    <row r="2416" spans="18:18" x14ac:dyDescent="0.25">
      <c r="R2416" s="219"/>
    </row>
    <row r="2417" spans="18:18" x14ac:dyDescent="0.25">
      <c r="R2417" s="219"/>
    </row>
    <row r="2418" spans="18:18" x14ac:dyDescent="0.25">
      <c r="R2418" s="219"/>
    </row>
    <row r="2419" spans="18:18" x14ac:dyDescent="0.25">
      <c r="R2419" s="219"/>
    </row>
    <row r="2420" spans="18:18" x14ac:dyDescent="0.25">
      <c r="R2420" s="219"/>
    </row>
    <row r="2421" spans="18:18" x14ac:dyDescent="0.25">
      <c r="R2421" s="219"/>
    </row>
    <row r="2422" spans="18:18" x14ac:dyDescent="0.25">
      <c r="R2422" s="219"/>
    </row>
    <row r="2423" spans="18:18" x14ac:dyDescent="0.25">
      <c r="R2423" s="219"/>
    </row>
    <row r="2424" spans="18:18" x14ac:dyDescent="0.25">
      <c r="R2424" s="219"/>
    </row>
    <row r="2425" spans="18:18" x14ac:dyDescent="0.25">
      <c r="R2425" s="219"/>
    </row>
    <row r="2426" spans="18:18" x14ac:dyDescent="0.25">
      <c r="R2426" s="219"/>
    </row>
    <row r="2427" spans="18:18" x14ac:dyDescent="0.25">
      <c r="R2427" s="219"/>
    </row>
    <row r="2428" spans="18:18" x14ac:dyDescent="0.25">
      <c r="R2428" s="219"/>
    </row>
    <row r="2429" spans="18:18" x14ac:dyDescent="0.25">
      <c r="R2429" s="219"/>
    </row>
    <row r="2430" spans="18:18" x14ac:dyDescent="0.25">
      <c r="R2430" s="219"/>
    </row>
    <row r="2431" spans="18:18" x14ac:dyDescent="0.25">
      <c r="R2431" s="219"/>
    </row>
    <row r="2432" spans="18:18" x14ac:dyDescent="0.25">
      <c r="R2432" s="219"/>
    </row>
    <row r="2433" spans="18:18" x14ac:dyDescent="0.25">
      <c r="R2433" s="219"/>
    </row>
    <row r="2434" spans="18:18" x14ac:dyDescent="0.25">
      <c r="R2434" s="219"/>
    </row>
    <row r="2435" spans="18:18" x14ac:dyDescent="0.25">
      <c r="R2435" s="219"/>
    </row>
    <row r="2436" spans="18:18" x14ac:dyDescent="0.25">
      <c r="R2436" s="219"/>
    </row>
    <row r="2437" spans="18:18" x14ac:dyDescent="0.25">
      <c r="R2437" s="219"/>
    </row>
    <row r="2438" spans="18:18" x14ac:dyDescent="0.25">
      <c r="R2438" s="219"/>
    </row>
    <row r="2439" spans="18:18" x14ac:dyDescent="0.25">
      <c r="R2439" s="219"/>
    </row>
    <row r="2440" spans="18:18" x14ac:dyDescent="0.25">
      <c r="R2440" s="219"/>
    </row>
    <row r="2441" spans="18:18" x14ac:dyDescent="0.25">
      <c r="R2441" s="219"/>
    </row>
    <row r="2442" spans="18:18" x14ac:dyDescent="0.25">
      <c r="R2442" s="219"/>
    </row>
    <row r="2443" spans="18:18" x14ac:dyDescent="0.25">
      <c r="R2443" s="219"/>
    </row>
    <row r="2444" spans="18:18" x14ac:dyDescent="0.25">
      <c r="R2444" s="219"/>
    </row>
    <row r="2445" spans="18:18" x14ac:dyDescent="0.25">
      <c r="R2445" s="219"/>
    </row>
    <row r="2446" spans="18:18" x14ac:dyDescent="0.25">
      <c r="R2446" s="219"/>
    </row>
    <row r="2447" spans="18:18" x14ac:dyDescent="0.25">
      <c r="R2447" s="219"/>
    </row>
    <row r="2448" spans="18:18" x14ac:dyDescent="0.25">
      <c r="R2448" s="219"/>
    </row>
    <row r="2449" spans="18:18" x14ac:dyDescent="0.25">
      <c r="R2449" s="219"/>
    </row>
    <row r="2450" spans="18:18" x14ac:dyDescent="0.25">
      <c r="R2450" s="219"/>
    </row>
    <row r="2451" spans="18:18" x14ac:dyDescent="0.25">
      <c r="R2451" s="219"/>
    </row>
    <row r="2452" spans="18:18" x14ac:dyDescent="0.25">
      <c r="R2452" s="219"/>
    </row>
    <row r="2453" spans="18:18" x14ac:dyDescent="0.25">
      <c r="R2453" s="219"/>
    </row>
    <row r="2454" spans="18:18" x14ac:dyDescent="0.25">
      <c r="R2454" s="219"/>
    </row>
    <row r="2455" spans="18:18" x14ac:dyDescent="0.25">
      <c r="R2455" s="219"/>
    </row>
    <row r="2456" spans="18:18" x14ac:dyDescent="0.25">
      <c r="R2456" s="219"/>
    </row>
    <row r="2457" spans="18:18" x14ac:dyDescent="0.25">
      <c r="R2457" s="219"/>
    </row>
    <row r="2458" spans="18:18" x14ac:dyDescent="0.25">
      <c r="R2458" s="219"/>
    </row>
    <row r="2459" spans="18:18" x14ac:dyDescent="0.25">
      <c r="R2459" s="219"/>
    </row>
    <row r="2460" spans="18:18" x14ac:dyDescent="0.25">
      <c r="R2460" s="219"/>
    </row>
    <row r="2461" spans="18:18" x14ac:dyDescent="0.25">
      <c r="R2461" s="219"/>
    </row>
    <row r="2462" spans="18:18" x14ac:dyDescent="0.25">
      <c r="R2462" s="219"/>
    </row>
    <row r="2463" spans="18:18" x14ac:dyDescent="0.25">
      <c r="R2463" s="219"/>
    </row>
    <row r="2464" spans="18:18" x14ac:dyDescent="0.25">
      <c r="R2464" s="219"/>
    </row>
    <row r="2465" spans="18:18" x14ac:dyDescent="0.25">
      <c r="R2465" s="219"/>
    </row>
    <row r="2466" spans="18:18" x14ac:dyDescent="0.25">
      <c r="R2466" s="219"/>
    </row>
    <row r="2467" spans="18:18" x14ac:dyDescent="0.25">
      <c r="R2467" s="219"/>
    </row>
    <row r="2468" spans="18:18" x14ac:dyDescent="0.25">
      <c r="R2468" s="219"/>
    </row>
    <row r="2469" spans="18:18" x14ac:dyDescent="0.25">
      <c r="R2469" s="219"/>
    </row>
    <row r="2470" spans="18:18" x14ac:dyDescent="0.25">
      <c r="R2470" s="219"/>
    </row>
    <row r="2471" spans="18:18" x14ac:dyDescent="0.25">
      <c r="R2471" s="219"/>
    </row>
    <row r="2472" spans="18:18" x14ac:dyDescent="0.25">
      <c r="R2472" s="219"/>
    </row>
    <row r="2473" spans="18:18" x14ac:dyDescent="0.25">
      <c r="R2473" s="219"/>
    </row>
    <row r="2474" spans="18:18" x14ac:dyDescent="0.25">
      <c r="R2474" s="219"/>
    </row>
    <row r="2475" spans="18:18" x14ac:dyDescent="0.25">
      <c r="R2475" s="219"/>
    </row>
    <row r="2476" spans="18:18" x14ac:dyDescent="0.25">
      <c r="R2476" s="219"/>
    </row>
    <row r="2477" spans="18:18" x14ac:dyDescent="0.25">
      <c r="R2477" s="219"/>
    </row>
    <row r="2478" spans="18:18" x14ac:dyDescent="0.25">
      <c r="R2478" s="219"/>
    </row>
    <row r="2479" spans="18:18" x14ac:dyDescent="0.25">
      <c r="R2479" s="219"/>
    </row>
    <row r="2480" spans="18:18" x14ac:dyDescent="0.25">
      <c r="R2480" s="219"/>
    </row>
    <row r="2481" spans="18:18" x14ac:dyDescent="0.25">
      <c r="R2481" s="219"/>
    </row>
    <row r="2482" spans="18:18" x14ac:dyDescent="0.25">
      <c r="R2482" s="219"/>
    </row>
    <row r="2483" spans="18:18" x14ac:dyDescent="0.25">
      <c r="R2483" s="219"/>
    </row>
    <row r="2484" spans="18:18" x14ac:dyDescent="0.25">
      <c r="R2484" s="219"/>
    </row>
    <row r="2485" spans="18:18" x14ac:dyDescent="0.25">
      <c r="R2485" s="219"/>
    </row>
    <row r="2486" spans="18:18" x14ac:dyDescent="0.25">
      <c r="R2486" s="219"/>
    </row>
    <row r="2487" spans="18:18" x14ac:dyDescent="0.25">
      <c r="R2487" s="219"/>
    </row>
    <row r="2488" spans="18:18" x14ac:dyDescent="0.25">
      <c r="R2488" s="219"/>
    </row>
    <row r="2489" spans="18:18" x14ac:dyDescent="0.25">
      <c r="R2489" s="219"/>
    </row>
    <row r="2490" spans="18:18" x14ac:dyDescent="0.25">
      <c r="R2490" s="219"/>
    </row>
    <row r="2491" spans="18:18" x14ac:dyDescent="0.25">
      <c r="R2491" s="219"/>
    </row>
    <row r="2492" spans="18:18" x14ac:dyDescent="0.25">
      <c r="R2492" s="219"/>
    </row>
    <row r="2493" spans="18:18" x14ac:dyDescent="0.25">
      <c r="R2493" s="219"/>
    </row>
    <row r="2494" spans="18:18" x14ac:dyDescent="0.25">
      <c r="R2494" s="219"/>
    </row>
    <row r="2495" spans="18:18" x14ac:dyDescent="0.25">
      <c r="R2495" s="219"/>
    </row>
    <row r="2496" spans="18:18" x14ac:dyDescent="0.25">
      <c r="R2496" s="219"/>
    </row>
    <row r="2497" spans="18:18" x14ac:dyDescent="0.25">
      <c r="R2497" s="219"/>
    </row>
    <row r="2498" spans="18:18" x14ac:dyDescent="0.25">
      <c r="R2498" s="219"/>
    </row>
    <row r="2499" spans="18:18" x14ac:dyDescent="0.25">
      <c r="R2499" s="219"/>
    </row>
    <row r="2500" spans="18:18" x14ac:dyDescent="0.25">
      <c r="R2500" s="219"/>
    </row>
    <row r="2501" spans="18:18" x14ac:dyDescent="0.25">
      <c r="R2501" s="219"/>
    </row>
    <row r="2502" spans="18:18" x14ac:dyDescent="0.25">
      <c r="R2502" s="219"/>
    </row>
    <row r="2503" spans="18:18" x14ac:dyDescent="0.25">
      <c r="R2503" s="219"/>
    </row>
    <row r="2504" spans="18:18" x14ac:dyDescent="0.25">
      <c r="R2504" s="219"/>
    </row>
    <row r="2505" spans="18:18" x14ac:dyDescent="0.25">
      <c r="R2505" s="219"/>
    </row>
    <row r="2506" spans="18:18" x14ac:dyDescent="0.25">
      <c r="R2506" s="219"/>
    </row>
    <row r="2507" spans="18:18" x14ac:dyDescent="0.25">
      <c r="R2507" s="219"/>
    </row>
    <row r="2508" spans="18:18" x14ac:dyDescent="0.25">
      <c r="R2508" s="219"/>
    </row>
    <row r="2509" spans="18:18" x14ac:dyDescent="0.25">
      <c r="R2509" s="219"/>
    </row>
    <row r="2510" spans="18:18" x14ac:dyDescent="0.25">
      <c r="R2510" s="219"/>
    </row>
    <row r="2511" spans="18:18" x14ac:dyDescent="0.25">
      <c r="R2511" s="219"/>
    </row>
    <row r="2512" spans="18:18" x14ac:dyDescent="0.25">
      <c r="R2512" s="219"/>
    </row>
    <row r="2513" spans="18:18" x14ac:dyDescent="0.25">
      <c r="R2513" s="219"/>
    </row>
    <row r="2514" spans="18:18" x14ac:dyDescent="0.25">
      <c r="R2514" s="219"/>
    </row>
    <row r="2515" spans="18:18" x14ac:dyDescent="0.25">
      <c r="R2515" s="219"/>
    </row>
    <row r="2516" spans="18:18" x14ac:dyDescent="0.25">
      <c r="R2516" s="219"/>
    </row>
    <row r="2517" spans="18:18" x14ac:dyDescent="0.25">
      <c r="R2517" s="219"/>
    </row>
    <row r="2518" spans="18:18" x14ac:dyDescent="0.25">
      <c r="R2518" s="219"/>
    </row>
    <row r="2519" spans="18:18" x14ac:dyDescent="0.25">
      <c r="R2519" s="219"/>
    </row>
    <row r="2520" spans="18:18" x14ac:dyDescent="0.25">
      <c r="R2520" s="219"/>
    </row>
    <row r="2521" spans="18:18" x14ac:dyDescent="0.25">
      <c r="R2521" s="219"/>
    </row>
    <row r="2522" spans="18:18" x14ac:dyDescent="0.25">
      <c r="R2522" s="219"/>
    </row>
    <row r="2523" spans="18:18" x14ac:dyDescent="0.25">
      <c r="R2523" s="219"/>
    </row>
    <row r="2524" spans="18:18" x14ac:dyDescent="0.25">
      <c r="R2524" s="219"/>
    </row>
    <row r="2525" spans="18:18" x14ac:dyDescent="0.25">
      <c r="R2525" s="219"/>
    </row>
    <row r="2526" spans="18:18" x14ac:dyDescent="0.25">
      <c r="R2526" s="219"/>
    </row>
    <row r="2527" spans="18:18" x14ac:dyDescent="0.25">
      <c r="R2527" s="219"/>
    </row>
    <row r="2528" spans="18:18" x14ac:dyDescent="0.25">
      <c r="R2528" s="219"/>
    </row>
    <row r="2529" spans="18:18" x14ac:dyDescent="0.25">
      <c r="R2529" s="219"/>
    </row>
    <row r="2530" spans="18:18" x14ac:dyDescent="0.25">
      <c r="R2530" s="219"/>
    </row>
    <row r="2531" spans="18:18" x14ac:dyDescent="0.25">
      <c r="R2531" s="219"/>
    </row>
    <row r="2532" spans="18:18" x14ac:dyDescent="0.25">
      <c r="R2532" s="219"/>
    </row>
    <row r="2533" spans="18:18" x14ac:dyDescent="0.25">
      <c r="R2533" s="219"/>
    </row>
    <row r="2534" spans="18:18" x14ac:dyDescent="0.25">
      <c r="R2534" s="219"/>
    </row>
    <row r="2535" spans="18:18" x14ac:dyDescent="0.25">
      <c r="R2535" s="219"/>
    </row>
    <row r="2536" spans="18:18" x14ac:dyDescent="0.25">
      <c r="R2536" s="219"/>
    </row>
    <row r="2537" spans="18:18" x14ac:dyDescent="0.25">
      <c r="R2537" s="219"/>
    </row>
    <row r="2538" spans="18:18" x14ac:dyDescent="0.25">
      <c r="R2538" s="219"/>
    </row>
    <row r="2539" spans="18:18" x14ac:dyDescent="0.25">
      <c r="R2539" s="219"/>
    </row>
    <row r="2540" spans="18:18" x14ac:dyDescent="0.25">
      <c r="R2540" s="219"/>
    </row>
    <row r="2541" spans="18:18" x14ac:dyDescent="0.25">
      <c r="R2541" s="219"/>
    </row>
    <row r="2542" spans="18:18" x14ac:dyDescent="0.25">
      <c r="R2542" s="219"/>
    </row>
    <row r="2543" spans="18:18" x14ac:dyDescent="0.25">
      <c r="R2543" s="219"/>
    </row>
    <row r="2544" spans="18:18" x14ac:dyDescent="0.25">
      <c r="R2544" s="219"/>
    </row>
    <row r="2545" spans="18:18" x14ac:dyDescent="0.25">
      <c r="R2545" s="219"/>
    </row>
    <row r="2546" spans="18:18" x14ac:dyDescent="0.25">
      <c r="R2546" s="219"/>
    </row>
    <row r="2547" spans="18:18" x14ac:dyDescent="0.25">
      <c r="R2547" s="219"/>
    </row>
    <row r="2548" spans="18:18" x14ac:dyDescent="0.25">
      <c r="R2548" s="219"/>
    </row>
    <row r="2549" spans="18:18" x14ac:dyDescent="0.25">
      <c r="R2549" s="219"/>
    </row>
    <row r="2550" spans="18:18" x14ac:dyDescent="0.25">
      <c r="R2550" s="219"/>
    </row>
    <row r="2551" spans="18:18" x14ac:dyDescent="0.25">
      <c r="R2551" s="219"/>
    </row>
    <row r="2552" spans="18:18" x14ac:dyDescent="0.25">
      <c r="R2552" s="219"/>
    </row>
    <row r="2553" spans="18:18" x14ac:dyDescent="0.25">
      <c r="R2553" s="219"/>
    </row>
    <row r="2554" spans="18:18" x14ac:dyDescent="0.25">
      <c r="R2554" s="219"/>
    </row>
    <row r="2555" spans="18:18" x14ac:dyDescent="0.25">
      <c r="R2555" s="219"/>
    </row>
    <row r="2556" spans="18:18" x14ac:dyDescent="0.25">
      <c r="R2556" s="219"/>
    </row>
    <row r="2557" spans="18:18" x14ac:dyDescent="0.25">
      <c r="R2557" s="219"/>
    </row>
    <row r="2558" spans="18:18" x14ac:dyDescent="0.25">
      <c r="R2558" s="219"/>
    </row>
    <row r="2559" spans="18:18" x14ac:dyDescent="0.25">
      <c r="R2559" s="219"/>
    </row>
    <row r="2560" spans="18:18" x14ac:dyDescent="0.25">
      <c r="R2560" s="219"/>
    </row>
    <row r="2561" spans="18:18" x14ac:dyDescent="0.25">
      <c r="R2561" s="219"/>
    </row>
    <row r="2562" spans="18:18" x14ac:dyDescent="0.25">
      <c r="R2562" s="219"/>
    </row>
    <row r="2563" spans="18:18" x14ac:dyDescent="0.25">
      <c r="R2563" s="219"/>
    </row>
    <row r="2564" spans="18:18" x14ac:dyDescent="0.25">
      <c r="R2564" s="219"/>
    </row>
    <row r="2565" spans="18:18" x14ac:dyDescent="0.25">
      <c r="R2565" s="219"/>
    </row>
    <row r="2566" spans="18:18" x14ac:dyDescent="0.25">
      <c r="R2566" s="219"/>
    </row>
    <row r="2567" spans="18:18" x14ac:dyDescent="0.25">
      <c r="R2567" s="219"/>
    </row>
    <row r="2568" spans="18:18" x14ac:dyDescent="0.25">
      <c r="R2568" s="219"/>
    </row>
    <row r="2569" spans="18:18" x14ac:dyDescent="0.25">
      <c r="R2569" s="219"/>
    </row>
    <row r="2570" spans="18:18" x14ac:dyDescent="0.25">
      <c r="R2570" s="219"/>
    </row>
    <row r="2571" spans="18:18" x14ac:dyDescent="0.25">
      <c r="R2571" s="219"/>
    </row>
    <row r="2572" spans="18:18" x14ac:dyDescent="0.25">
      <c r="R2572" s="219"/>
    </row>
    <row r="2573" spans="18:18" x14ac:dyDescent="0.25">
      <c r="R2573" s="219"/>
    </row>
    <row r="2574" spans="18:18" x14ac:dyDescent="0.25">
      <c r="R2574" s="219"/>
    </row>
    <row r="2575" spans="18:18" x14ac:dyDescent="0.25">
      <c r="R2575" s="219"/>
    </row>
    <row r="2576" spans="18:18" x14ac:dyDescent="0.25">
      <c r="R2576" s="219"/>
    </row>
    <row r="2577" spans="18:18" x14ac:dyDescent="0.25">
      <c r="R2577" s="219"/>
    </row>
    <row r="2578" spans="18:18" x14ac:dyDescent="0.25">
      <c r="R2578" s="219"/>
    </row>
    <row r="2579" spans="18:18" x14ac:dyDescent="0.25">
      <c r="R2579" s="219"/>
    </row>
    <row r="2580" spans="18:18" x14ac:dyDescent="0.25">
      <c r="R2580" s="219"/>
    </row>
    <row r="2581" spans="18:18" x14ac:dyDescent="0.25">
      <c r="R2581" s="219"/>
    </row>
    <row r="2582" spans="18:18" x14ac:dyDescent="0.25">
      <c r="R2582" s="219"/>
    </row>
    <row r="2583" spans="18:18" x14ac:dyDescent="0.25">
      <c r="R2583" s="219"/>
    </row>
    <row r="2584" spans="18:18" x14ac:dyDescent="0.25">
      <c r="R2584" s="219"/>
    </row>
    <row r="2585" spans="18:18" x14ac:dyDescent="0.25">
      <c r="R2585" s="219"/>
    </row>
    <row r="2586" spans="18:18" x14ac:dyDescent="0.25">
      <c r="R2586" s="219"/>
    </row>
    <row r="2587" spans="18:18" x14ac:dyDescent="0.25">
      <c r="R2587" s="219"/>
    </row>
    <row r="2588" spans="18:18" x14ac:dyDescent="0.25">
      <c r="R2588" s="219"/>
    </row>
    <row r="2589" spans="18:18" x14ac:dyDescent="0.25">
      <c r="R2589" s="219"/>
    </row>
    <row r="2590" spans="18:18" x14ac:dyDescent="0.25">
      <c r="R2590" s="219"/>
    </row>
    <row r="2591" spans="18:18" x14ac:dyDescent="0.25">
      <c r="R2591" s="219"/>
    </row>
    <row r="2592" spans="18:18" x14ac:dyDescent="0.25">
      <c r="R2592" s="219"/>
    </row>
    <row r="2593" spans="18:18" x14ac:dyDescent="0.25">
      <c r="R2593" s="219"/>
    </row>
    <row r="2594" spans="18:18" x14ac:dyDescent="0.25">
      <c r="R2594" s="219"/>
    </row>
    <row r="2595" spans="18:18" x14ac:dyDescent="0.25">
      <c r="R2595" s="219"/>
    </row>
    <row r="2596" spans="18:18" x14ac:dyDescent="0.25">
      <c r="R2596" s="219"/>
    </row>
    <row r="2597" spans="18:18" x14ac:dyDescent="0.25">
      <c r="R2597" s="219"/>
    </row>
    <row r="2598" spans="18:18" x14ac:dyDescent="0.25">
      <c r="R2598" s="219"/>
    </row>
    <row r="2599" spans="18:18" x14ac:dyDescent="0.25">
      <c r="R2599" s="219"/>
    </row>
    <row r="2600" spans="18:18" x14ac:dyDescent="0.25">
      <c r="R2600" s="219"/>
    </row>
    <row r="2601" spans="18:18" x14ac:dyDescent="0.25">
      <c r="R2601" s="219"/>
    </row>
    <row r="2602" spans="18:18" x14ac:dyDescent="0.25">
      <c r="R2602" s="219"/>
    </row>
    <row r="2603" spans="18:18" x14ac:dyDescent="0.25">
      <c r="R2603" s="219"/>
    </row>
    <row r="2604" spans="18:18" x14ac:dyDescent="0.25">
      <c r="R2604" s="219"/>
    </row>
    <row r="2605" spans="18:18" x14ac:dyDescent="0.25">
      <c r="R2605" s="219"/>
    </row>
    <row r="2606" spans="18:18" x14ac:dyDescent="0.25">
      <c r="R2606" s="219"/>
    </row>
    <row r="2607" spans="18:18" x14ac:dyDescent="0.25">
      <c r="R2607" s="219"/>
    </row>
    <row r="2608" spans="18:18" x14ac:dyDescent="0.25">
      <c r="R2608" s="219"/>
    </row>
    <row r="2609" spans="18:18" x14ac:dyDescent="0.25">
      <c r="R2609" s="219"/>
    </row>
    <row r="2610" spans="18:18" x14ac:dyDescent="0.25">
      <c r="R2610" s="219"/>
    </row>
    <row r="2611" spans="18:18" x14ac:dyDescent="0.25">
      <c r="R2611" s="219"/>
    </row>
    <row r="2612" spans="18:18" x14ac:dyDescent="0.25">
      <c r="R2612" s="219"/>
    </row>
    <row r="2613" spans="18:18" x14ac:dyDescent="0.25">
      <c r="R2613" s="219"/>
    </row>
    <row r="2614" spans="18:18" x14ac:dyDescent="0.25">
      <c r="R2614" s="219"/>
    </row>
    <row r="2615" spans="18:18" x14ac:dyDescent="0.25">
      <c r="R2615" s="219"/>
    </row>
    <row r="2616" spans="18:18" x14ac:dyDescent="0.25">
      <c r="R2616" s="219"/>
    </row>
    <row r="2617" spans="18:18" x14ac:dyDescent="0.25">
      <c r="R2617" s="219"/>
    </row>
    <row r="2618" spans="18:18" x14ac:dyDescent="0.25">
      <c r="R2618" s="219"/>
    </row>
    <row r="2619" spans="18:18" x14ac:dyDescent="0.25">
      <c r="R2619" s="219"/>
    </row>
    <row r="2620" spans="18:18" x14ac:dyDescent="0.25">
      <c r="R2620" s="219"/>
    </row>
    <row r="2621" spans="18:18" x14ac:dyDescent="0.25">
      <c r="R2621" s="219"/>
    </row>
    <row r="2622" spans="18:18" x14ac:dyDescent="0.25">
      <c r="R2622" s="219"/>
    </row>
    <row r="2623" spans="18:18" x14ac:dyDescent="0.25">
      <c r="R2623" s="219"/>
    </row>
    <row r="2624" spans="18:18" x14ac:dyDescent="0.25">
      <c r="R2624" s="219"/>
    </row>
    <row r="2625" spans="18:18" x14ac:dyDescent="0.25">
      <c r="R2625" s="219"/>
    </row>
    <row r="2626" spans="18:18" x14ac:dyDescent="0.25">
      <c r="R2626" s="219"/>
    </row>
    <row r="2627" spans="18:18" x14ac:dyDescent="0.25">
      <c r="R2627" s="219"/>
    </row>
    <row r="2628" spans="18:18" x14ac:dyDescent="0.25">
      <c r="R2628" s="219"/>
    </row>
    <row r="2629" spans="18:18" x14ac:dyDescent="0.25">
      <c r="R2629" s="219"/>
    </row>
    <row r="2630" spans="18:18" x14ac:dyDescent="0.25">
      <c r="R2630" s="219"/>
    </row>
    <row r="2631" spans="18:18" x14ac:dyDescent="0.25">
      <c r="R2631" s="219"/>
    </row>
    <row r="2632" spans="18:18" x14ac:dyDescent="0.25">
      <c r="R2632" s="219"/>
    </row>
    <row r="2633" spans="18:18" x14ac:dyDescent="0.25">
      <c r="R2633" s="219"/>
    </row>
    <row r="2634" spans="18:18" x14ac:dyDescent="0.25">
      <c r="R2634" s="219"/>
    </row>
    <row r="2635" spans="18:18" x14ac:dyDescent="0.25">
      <c r="R2635" s="219"/>
    </row>
    <row r="2636" spans="18:18" x14ac:dyDescent="0.25">
      <c r="R2636" s="219"/>
    </row>
    <row r="2637" spans="18:18" x14ac:dyDescent="0.25">
      <c r="R2637" s="219"/>
    </row>
    <row r="2638" spans="18:18" x14ac:dyDescent="0.25">
      <c r="R2638" s="219"/>
    </row>
    <row r="2639" spans="18:18" x14ac:dyDescent="0.25">
      <c r="R2639" s="219"/>
    </row>
    <row r="2640" spans="18:18" x14ac:dyDescent="0.25">
      <c r="R2640" s="219"/>
    </row>
    <row r="2641" spans="18:18" x14ac:dyDescent="0.25">
      <c r="R2641" s="219"/>
    </row>
    <row r="2642" spans="18:18" x14ac:dyDescent="0.25">
      <c r="R2642" s="219"/>
    </row>
    <row r="2643" spans="18:18" x14ac:dyDescent="0.25">
      <c r="R2643" s="219"/>
    </row>
    <row r="2644" spans="18:18" x14ac:dyDescent="0.25">
      <c r="R2644" s="219"/>
    </row>
    <row r="2645" spans="18:18" x14ac:dyDescent="0.25">
      <c r="R2645" s="219"/>
    </row>
    <row r="2646" spans="18:18" x14ac:dyDescent="0.25">
      <c r="R2646" s="219"/>
    </row>
    <row r="2647" spans="18:18" x14ac:dyDescent="0.25">
      <c r="R2647" s="219"/>
    </row>
    <row r="2648" spans="18:18" x14ac:dyDescent="0.25">
      <c r="R2648" s="219"/>
    </row>
    <row r="2649" spans="18:18" x14ac:dyDescent="0.25">
      <c r="R2649" s="219"/>
    </row>
    <row r="2650" spans="18:18" x14ac:dyDescent="0.25">
      <c r="R2650" s="219"/>
    </row>
    <row r="2651" spans="18:18" x14ac:dyDescent="0.25">
      <c r="R2651" s="219"/>
    </row>
    <row r="2652" spans="18:18" x14ac:dyDescent="0.25">
      <c r="R2652" s="219"/>
    </row>
    <row r="2653" spans="18:18" x14ac:dyDescent="0.25">
      <c r="R2653" s="219"/>
    </row>
    <row r="2654" spans="18:18" x14ac:dyDescent="0.25">
      <c r="R2654" s="219"/>
    </row>
    <row r="2655" spans="18:18" x14ac:dyDescent="0.25">
      <c r="R2655" s="219"/>
    </row>
    <row r="2656" spans="18:18" x14ac:dyDescent="0.25">
      <c r="R2656" s="219"/>
    </row>
    <row r="2657" spans="18:18" x14ac:dyDescent="0.25">
      <c r="R2657" s="219"/>
    </row>
    <row r="2658" spans="18:18" x14ac:dyDescent="0.25">
      <c r="R2658" s="219"/>
    </row>
    <row r="2659" spans="18:18" x14ac:dyDescent="0.25">
      <c r="R2659" s="219"/>
    </row>
    <row r="2660" spans="18:18" x14ac:dyDescent="0.25">
      <c r="R2660" s="219"/>
    </row>
    <row r="2661" spans="18:18" x14ac:dyDescent="0.25">
      <c r="R2661" s="219"/>
    </row>
    <row r="2662" spans="18:18" x14ac:dyDescent="0.25">
      <c r="R2662" s="219"/>
    </row>
    <row r="2663" spans="18:18" x14ac:dyDescent="0.25">
      <c r="R2663" s="219"/>
    </row>
    <row r="2664" spans="18:18" x14ac:dyDescent="0.25">
      <c r="R2664" s="219"/>
    </row>
    <row r="2665" spans="18:18" x14ac:dyDescent="0.25">
      <c r="R2665" s="219"/>
    </row>
    <row r="2666" spans="18:18" x14ac:dyDescent="0.25">
      <c r="R2666" s="219"/>
    </row>
    <row r="2667" spans="18:18" x14ac:dyDescent="0.25">
      <c r="R2667" s="219"/>
    </row>
    <row r="2668" spans="18:18" x14ac:dyDescent="0.25">
      <c r="R2668" s="219"/>
    </row>
    <row r="2669" spans="18:18" x14ac:dyDescent="0.25">
      <c r="R2669" s="219"/>
    </row>
    <row r="2670" spans="18:18" x14ac:dyDescent="0.25">
      <c r="R2670" s="219"/>
    </row>
    <row r="2671" spans="18:18" x14ac:dyDescent="0.25">
      <c r="R2671" s="219"/>
    </row>
    <row r="2672" spans="18:18" x14ac:dyDescent="0.25">
      <c r="R2672" s="219"/>
    </row>
    <row r="2673" spans="18:18" x14ac:dyDescent="0.25">
      <c r="R2673" s="219"/>
    </row>
    <row r="2674" spans="18:18" x14ac:dyDescent="0.25">
      <c r="R2674" s="219"/>
    </row>
    <row r="2675" spans="18:18" x14ac:dyDescent="0.25">
      <c r="R2675" s="219"/>
    </row>
    <row r="2676" spans="18:18" x14ac:dyDescent="0.25">
      <c r="R2676" s="219"/>
    </row>
    <row r="2677" spans="18:18" x14ac:dyDescent="0.25">
      <c r="R2677" s="219"/>
    </row>
    <row r="2678" spans="18:18" x14ac:dyDescent="0.25">
      <c r="R2678" s="219"/>
    </row>
    <row r="2679" spans="18:18" x14ac:dyDescent="0.25">
      <c r="R2679" s="219"/>
    </row>
    <row r="2680" spans="18:18" x14ac:dyDescent="0.25">
      <c r="R2680" s="219"/>
    </row>
    <row r="2681" spans="18:18" x14ac:dyDescent="0.25">
      <c r="R2681" s="219"/>
    </row>
    <row r="2682" spans="18:18" x14ac:dyDescent="0.25">
      <c r="R2682" s="219"/>
    </row>
    <row r="2683" spans="18:18" x14ac:dyDescent="0.25">
      <c r="R2683" s="219"/>
    </row>
    <row r="2684" spans="18:18" x14ac:dyDescent="0.25">
      <c r="R2684" s="219"/>
    </row>
    <row r="2685" spans="18:18" x14ac:dyDescent="0.25">
      <c r="R2685" s="219"/>
    </row>
    <row r="2686" spans="18:18" x14ac:dyDescent="0.25">
      <c r="R2686" s="219"/>
    </row>
    <row r="2687" spans="18:18" x14ac:dyDescent="0.25">
      <c r="R2687" s="219"/>
    </row>
    <row r="2688" spans="18:18" x14ac:dyDescent="0.25">
      <c r="R2688" s="219"/>
    </row>
    <row r="2689" spans="18:18" x14ac:dyDescent="0.25">
      <c r="R2689" s="219"/>
    </row>
    <row r="2690" spans="18:18" x14ac:dyDescent="0.25">
      <c r="R2690" s="219"/>
    </row>
    <row r="2691" spans="18:18" x14ac:dyDescent="0.25">
      <c r="R2691" s="219"/>
    </row>
    <row r="2692" spans="18:18" x14ac:dyDescent="0.25">
      <c r="R2692" s="219"/>
    </row>
    <row r="2693" spans="18:18" x14ac:dyDescent="0.25">
      <c r="R2693" s="219"/>
    </row>
    <row r="2694" spans="18:18" x14ac:dyDescent="0.25">
      <c r="R2694" s="219"/>
    </row>
    <row r="2695" spans="18:18" x14ac:dyDescent="0.25">
      <c r="R2695" s="219"/>
    </row>
    <row r="2696" spans="18:18" x14ac:dyDescent="0.25">
      <c r="R2696" s="219"/>
    </row>
    <row r="2697" spans="18:18" x14ac:dyDescent="0.25">
      <c r="R2697" s="219"/>
    </row>
    <row r="2698" spans="18:18" x14ac:dyDescent="0.25">
      <c r="R2698" s="219"/>
    </row>
    <row r="2699" spans="18:18" x14ac:dyDescent="0.25">
      <c r="R2699" s="219"/>
    </row>
    <row r="2700" spans="18:18" x14ac:dyDescent="0.25">
      <c r="R2700" s="219"/>
    </row>
    <row r="2701" spans="18:18" x14ac:dyDescent="0.25">
      <c r="R2701" s="219"/>
    </row>
    <row r="2702" spans="18:18" x14ac:dyDescent="0.25">
      <c r="R2702" s="219"/>
    </row>
    <row r="2703" spans="18:18" x14ac:dyDescent="0.25">
      <c r="R2703" s="219"/>
    </row>
    <row r="2704" spans="18:18" x14ac:dyDescent="0.25">
      <c r="R2704" s="219"/>
    </row>
    <row r="2705" spans="18:18" x14ac:dyDescent="0.25">
      <c r="R2705" s="219"/>
    </row>
    <row r="2706" spans="18:18" x14ac:dyDescent="0.25">
      <c r="R2706" s="219"/>
    </row>
    <row r="2707" spans="18:18" x14ac:dyDescent="0.25">
      <c r="R2707" s="219"/>
    </row>
    <row r="2708" spans="18:18" x14ac:dyDescent="0.25">
      <c r="R2708" s="219"/>
    </row>
    <row r="2709" spans="18:18" x14ac:dyDescent="0.25">
      <c r="R2709" s="219"/>
    </row>
    <row r="2710" spans="18:18" x14ac:dyDescent="0.25">
      <c r="R2710" s="219"/>
    </row>
    <row r="2711" spans="18:18" x14ac:dyDescent="0.25">
      <c r="R2711" s="219"/>
    </row>
    <row r="2712" spans="18:18" x14ac:dyDescent="0.25">
      <c r="R2712" s="219"/>
    </row>
    <row r="2713" spans="18:18" x14ac:dyDescent="0.25">
      <c r="R2713" s="219"/>
    </row>
    <row r="2714" spans="18:18" x14ac:dyDescent="0.25">
      <c r="R2714" s="219"/>
    </row>
    <row r="2715" spans="18:18" x14ac:dyDescent="0.25">
      <c r="R2715" s="219"/>
    </row>
    <row r="2716" spans="18:18" x14ac:dyDescent="0.25">
      <c r="R2716" s="219"/>
    </row>
    <row r="2717" spans="18:18" x14ac:dyDescent="0.25">
      <c r="R2717" s="219"/>
    </row>
    <row r="2718" spans="18:18" x14ac:dyDescent="0.25">
      <c r="R2718" s="219"/>
    </row>
    <row r="2719" spans="18:18" x14ac:dyDescent="0.25">
      <c r="R2719" s="219"/>
    </row>
    <row r="2720" spans="18:18" x14ac:dyDescent="0.25">
      <c r="R2720" s="219"/>
    </row>
    <row r="2721" spans="18:18" x14ac:dyDescent="0.25">
      <c r="R2721" s="219"/>
    </row>
    <row r="2722" spans="18:18" x14ac:dyDescent="0.25">
      <c r="R2722" s="219"/>
    </row>
    <row r="2723" spans="18:18" x14ac:dyDescent="0.25">
      <c r="R2723" s="219"/>
    </row>
    <row r="2724" spans="18:18" x14ac:dyDescent="0.25">
      <c r="R2724" s="219"/>
    </row>
    <row r="2725" spans="18:18" x14ac:dyDescent="0.25">
      <c r="R2725" s="219"/>
    </row>
    <row r="2726" spans="18:18" x14ac:dyDescent="0.25">
      <c r="R2726" s="219"/>
    </row>
    <row r="2727" spans="18:18" x14ac:dyDescent="0.25">
      <c r="R2727" s="219"/>
    </row>
    <row r="2728" spans="18:18" x14ac:dyDescent="0.25">
      <c r="R2728" s="219"/>
    </row>
    <row r="2729" spans="18:18" x14ac:dyDescent="0.25">
      <c r="R2729" s="219"/>
    </row>
    <row r="2730" spans="18:18" x14ac:dyDescent="0.25">
      <c r="R2730" s="219"/>
    </row>
    <row r="2731" spans="18:18" x14ac:dyDescent="0.25">
      <c r="R2731" s="219"/>
    </row>
    <row r="2732" spans="18:18" x14ac:dyDescent="0.25">
      <c r="R2732" s="219"/>
    </row>
    <row r="2733" spans="18:18" x14ac:dyDescent="0.25">
      <c r="R2733" s="219"/>
    </row>
    <row r="2734" spans="18:18" x14ac:dyDescent="0.25">
      <c r="R2734" s="219"/>
    </row>
    <row r="2735" spans="18:18" x14ac:dyDescent="0.25">
      <c r="R2735" s="219"/>
    </row>
    <row r="2736" spans="18:18" x14ac:dyDescent="0.25">
      <c r="R2736" s="219"/>
    </row>
    <row r="2737" spans="18:18" x14ac:dyDescent="0.25">
      <c r="R2737" s="219"/>
    </row>
    <row r="2738" spans="18:18" x14ac:dyDescent="0.25">
      <c r="R2738" s="219"/>
    </row>
    <row r="2739" spans="18:18" x14ac:dyDescent="0.25">
      <c r="R2739" s="219"/>
    </row>
    <row r="2740" spans="18:18" x14ac:dyDescent="0.25">
      <c r="R2740" s="219"/>
    </row>
    <row r="2741" spans="18:18" x14ac:dyDescent="0.25">
      <c r="R2741" s="219"/>
    </row>
    <row r="2742" spans="18:18" x14ac:dyDescent="0.25">
      <c r="R2742" s="219"/>
    </row>
    <row r="2743" spans="18:18" x14ac:dyDescent="0.25">
      <c r="R2743" s="219"/>
    </row>
    <row r="2744" spans="18:18" x14ac:dyDescent="0.25">
      <c r="R2744" s="219"/>
    </row>
    <row r="2745" spans="18:18" x14ac:dyDescent="0.25">
      <c r="R2745" s="219"/>
    </row>
    <row r="2746" spans="18:18" x14ac:dyDescent="0.25">
      <c r="R2746" s="219"/>
    </row>
    <row r="2747" spans="18:18" x14ac:dyDescent="0.25">
      <c r="R2747" s="219"/>
    </row>
    <row r="2748" spans="18:18" x14ac:dyDescent="0.25">
      <c r="R2748" s="219"/>
    </row>
    <row r="2749" spans="18:18" x14ac:dyDescent="0.25">
      <c r="R2749" s="219"/>
    </row>
    <row r="2750" spans="18:18" x14ac:dyDescent="0.25">
      <c r="R2750" s="219"/>
    </row>
    <row r="2751" spans="18:18" x14ac:dyDescent="0.25">
      <c r="R2751" s="219"/>
    </row>
    <row r="2752" spans="18:18" x14ac:dyDescent="0.25">
      <c r="R2752" s="219"/>
    </row>
    <row r="2753" spans="18:18" x14ac:dyDescent="0.25">
      <c r="R2753" s="219"/>
    </row>
    <row r="2754" spans="18:18" x14ac:dyDescent="0.25">
      <c r="R2754" s="219"/>
    </row>
    <row r="2755" spans="18:18" x14ac:dyDescent="0.25">
      <c r="R2755" s="219"/>
    </row>
    <row r="2756" spans="18:18" x14ac:dyDescent="0.25">
      <c r="R2756" s="219"/>
    </row>
    <row r="2757" spans="18:18" x14ac:dyDescent="0.25">
      <c r="R2757" s="219"/>
    </row>
    <row r="2758" spans="18:18" x14ac:dyDescent="0.25">
      <c r="R2758" s="219"/>
    </row>
    <row r="2759" spans="18:18" x14ac:dyDescent="0.25">
      <c r="R2759" s="219"/>
    </row>
    <row r="2760" spans="18:18" x14ac:dyDescent="0.25">
      <c r="R2760" s="219"/>
    </row>
    <row r="2761" spans="18:18" x14ac:dyDescent="0.25">
      <c r="R2761" s="219"/>
    </row>
    <row r="2762" spans="18:18" x14ac:dyDescent="0.25">
      <c r="R2762" s="219"/>
    </row>
    <row r="2763" spans="18:18" x14ac:dyDescent="0.25">
      <c r="R2763" s="219"/>
    </row>
    <row r="2764" spans="18:18" x14ac:dyDescent="0.25">
      <c r="R2764" s="219"/>
    </row>
    <row r="2765" spans="18:18" x14ac:dyDescent="0.25">
      <c r="R2765" s="219"/>
    </row>
    <row r="2766" spans="18:18" x14ac:dyDescent="0.25">
      <c r="R2766" s="219"/>
    </row>
    <row r="2767" spans="18:18" x14ac:dyDescent="0.25">
      <c r="R2767" s="219"/>
    </row>
    <row r="2768" spans="18:18" x14ac:dyDescent="0.25">
      <c r="R2768" s="219"/>
    </row>
    <row r="2769" spans="18:18" x14ac:dyDescent="0.25">
      <c r="R2769" s="219"/>
    </row>
    <row r="2770" spans="18:18" x14ac:dyDescent="0.25">
      <c r="R2770" s="219"/>
    </row>
    <row r="2771" spans="18:18" x14ac:dyDescent="0.25">
      <c r="R2771" s="219"/>
    </row>
    <row r="2772" spans="18:18" x14ac:dyDescent="0.25">
      <c r="R2772" s="219"/>
    </row>
    <row r="2773" spans="18:18" x14ac:dyDescent="0.25">
      <c r="R2773" s="219"/>
    </row>
    <row r="2774" spans="18:18" x14ac:dyDescent="0.25">
      <c r="R2774" s="219"/>
    </row>
    <row r="2775" spans="18:18" x14ac:dyDescent="0.25">
      <c r="R2775" s="219"/>
    </row>
    <row r="2776" spans="18:18" x14ac:dyDescent="0.25">
      <c r="R2776" s="219"/>
    </row>
    <row r="2777" spans="18:18" x14ac:dyDescent="0.25">
      <c r="R2777" s="219"/>
    </row>
    <row r="2778" spans="18:18" x14ac:dyDescent="0.25">
      <c r="R2778" s="219"/>
    </row>
    <row r="2779" spans="18:18" x14ac:dyDescent="0.25">
      <c r="R2779" s="219"/>
    </row>
    <row r="2780" spans="18:18" x14ac:dyDescent="0.25">
      <c r="R2780" s="219"/>
    </row>
    <row r="2781" spans="18:18" x14ac:dyDescent="0.25">
      <c r="R2781" s="219"/>
    </row>
    <row r="2782" spans="18:18" x14ac:dyDescent="0.25">
      <c r="R2782" s="219"/>
    </row>
    <row r="2783" spans="18:18" x14ac:dyDescent="0.25">
      <c r="R2783" s="219"/>
    </row>
    <row r="2784" spans="18:18" x14ac:dyDescent="0.25">
      <c r="R2784" s="219"/>
    </row>
    <row r="2785" spans="18:18" x14ac:dyDescent="0.25">
      <c r="R2785" s="219"/>
    </row>
    <row r="2786" spans="18:18" x14ac:dyDescent="0.25">
      <c r="R2786" s="219"/>
    </row>
    <row r="2787" spans="18:18" x14ac:dyDescent="0.25">
      <c r="R2787" s="219"/>
    </row>
    <row r="2788" spans="18:18" x14ac:dyDescent="0.25">
      <c r="R2788" s="219"/>
    </row>
    <row r="2789" spans="18:18" x14ac:dyDescent="0.25">
      <c r="R2789" s="219"/>
    </row>
    <row r="2790" spans="18:18" x14ac:dyDescent="0.25">
      <c r="R2790" s="219"/>
    </row>
    <row r="2791" spans="18:18" x14ac:dyDescent="0.25">
      <c r="R2791" s="219"/>
    </row>
    <row r="2792" spans="18:18" x14ac:dyDescent="0.25">
      <c r="R2792" s="219"/>
    </row>
    <row r="2793" spans="18:18" x14ac:dyDescent="0.25">
      <c r="R2793" s="219"/>
    </row>
    <row r="2794" spans="18:18" x14ac:dyDescent="0.25">
      <c r="R2794" s="219"/>
    </row>
    <row r="2795" spans="18:18" x14ac:dyDescent="0.25">
      <c r="R2795" s="219"/>
    </row>
    <row r="2796" spans="18:18" x14ac:dyDescent="0.25">
      <c r="R2796" s="219"/>
    </row>
    <row r="2797" spans="18:18" x14ac:dyDescent="0.25">
      <c r="R2797" s="219"/>
    </row>
    <row r="2798" spans="18:18" x14ac:dyDescent="0.25">
      <c r="R2798" s="219"/>
    </row>
    <row r="2799" spans="18:18" x14ac:dyDescent="0.25">
      <c r="R2799" s="219"/>
    </row>
    <row r="2800" spans="18:18" x14ac:dyDescent="0.25">
      <c r="R2800" s="219"/>
    </row>
    <row r="2801" spans="18:18" x14ac:dyDescent="0.25">
      <c r="R2801" s="219"/>
    </row>
    <row r="2802" spans="18:18" x14ac:dyDescent="0.25">
      <c r="R2802" s="219"/>
    </row>
    <row r="2803" spans="18:18" x14ac:dyDescent="0.25">
      <c r="R2803" s="219"/>
    </row>
    <row r="2804" spans="18:18" x14ac:dyDescent="0.25">
      <c r="R2804" s="219"/>
    </row>
    <row r="2805" spans="18:18" x14ac:dyDescent="0.25">
      <c r="R2805" s="219"/>
    </row>
    <row r="2806" spans="18:18" x14ac:dyDescent="0.25">
      <c r="R2806" s="219"/>
    </row>
    <row r="2807" spans="18:18" x14ac:dyDescent="0.25">
      <c r="R2807" s="219"/>
    </row>
    <row r="2808" spans="18:18" x14ac:dyDescent="0.25">
      <c r="R2808" s="219"/>
    </row>
    <row r="2809" spans="18:18" x14ac:dyDescent="0.25">
      <c r="R2809" s="219"/>
    </row>
    <row r="2810" spans="18:18" x14ac:dyDescent="0.25">
      <c r="R2810" s="219"/>
    </row>
    <row r="2811" spans="18:18" x14ac:dyDescent="0.25">
      <c r="R2811" s="219"/>
    </row>
    <row r="2812" spans="18:18" x14ac:dyDescent="0.25">
      <c r="R2812" s="219"/>
    </row>
    <row r="2813" spans="18:18" x14ac:dyDescent="0.25">
      <c r="R2813" s="219"/>
    </row>
    <row r="2814" spans="18:18" x14ac:dyDescent="0.25">
      <c r="R2814" s="219"/>
    </row>
    <row r="2815" spans="18:18" x14ac:dyDescent="0.25">
      <c r="R2815" s="219"/>
    </row>
    <row r="2816" spans="18:18" x14ac:dyDescent="0.25">
      <c r="R2816" s="219"/>
    </row>
    <row r="2817" spans="18:18" x14ac:dyDescent="0.25">
      <c r="R2817" s="219"/>
    </row>
    <row r="2818" spans="18:18" x14ac:dyDescent="0.25">
      <c r="R2818" s="219"/>
    </row>
    <row r="2819" spans="18:18" x14ac:dyDescent="0.25">
      <c r="R2819" s="219"/>
    </row>
    <row r="2820" spans="18:18" x14ac:dyDescent="0.25">
      <c r="R2820" s="219"/>
    </row>
    <row r="2821" spans="18:18" x14ac:dyDescent="0.25">
      <c r="R2821" s="219"/>
    </row>
    <row r="2822" spans="18:18" x14ac:dyDescent="0.25">
      <c r="R2822" s="219"/>
    </row>
    <row r="2823" spans="18:18" x14ac:dyDescent="0.25">
      <c r="R2823" s="219"/>
    </row>
    <row r="2824" spans="18:18" x14ac:dyDescent="0.25">
      <c r="R2824" s="219"/>
    </row>
    <row r="2825" spans="18:18" x14ac:dyDescent="0.25">
      <c r="R2825" s="219"/>
    </row>
    <row r="2826" spans="18:18" x14ac:dyDescent="0.25">
      <c r="R2826" s="219"/>
    </row>
    <row r="2827" spans="18:18" x14ac:dyDescent="0.25">
      <c r="R2827" s="219"/>
    </row>
    <row r="2828" spans="18:18" x14ac:dyDescent="0.25">
      <c r="R2828" s="219"/>
    </row>
    <row r="2829" spans="18:18" x14ac:dyDescent="0.25">
      <c r="R2829" s="219"/>
    </row>
    <row r="2830" spans="18:18" x14ac:dyDescent="0.25">
      <c r="R2830" s="219"/>
    </row>
    <row r="2831" spans="18:18" x14ac:dyDescent="0.25">
      <c r="R2831" s="219"/>
    </row>
    <row r="2832" spans="18:18" x14ac:dyDescent="0.25">
      <c r="R2832" s="219"/>
    </row>
    <row r="2833" spans="18:18" x14ac:dyDescent="0.25">
      <c r="R2833" s="219"/>
    </row>
    <row r="2834" spans="18:18" x14ac:dyDescent="0.25">
      <c r="R2834" s="219"/>
    </row>
    <row r="2835" spans="18:18" x14ac:dyDescent="0.25">
      <c r="R2835" s="219"/>
    </row>
    <row r="2836" spans="18:18" x14ac:dyDescent="0.25">
      <c r="R2836" s="219"/>
    </row>
    <row r="2837" spans="18:18" x14ac:dyDescent="0.25">
      <c r="R2837" s="219"/>
    </row>
    <row r="2838" spans="18:18" x14ac:dyDescent="0.25">
      <c r="R2838" s="219"/>
    </row>
    <row r="2839" spans="18:18" x14ac:dyDescent="0.25">
      <c r="R2839" s="219"/>
    </row>
    <row r="2840" spans="18:18" x14ac:dyDescent="0.25">
      <c r="R2840" s="219"/>
    </row>
    <row r="2841" spans="18:18" x14ac:dyDescent="0.25">
      <c r="R2841" s="219"/>
    </row>
    <row r="2842" spans="18:18" x14ac:dyDescent="0.25">
      <c r="R2842" s="219"/>
    </row>
    <row r="2843" spans="18:18" x14ac:dyDescent="0.25">
      <c r="R2843" s="219"/>
    </row>
    <row r="2844" spans="18:18" x14ac:dyDescent="0.25">
      <c r="R2844" s="219"/>
    </row>
    <row r="2845" spans="18:18" x14ac:dyDescent="0.25">
      <c r="R2845" s="219"/>
    </row>
    <row r="2846" spans="18:18" x14ac:dyDescent="0.25">
      <c r="R2846" s="219"/>
    </row>
    <row r="2847" spans="18:18" x14ac:dyDescent="0.25">
      <c r="R2847" s="219"/>
    </row>
    <row r="2848" spans="18:18" x14ac:dyDescent="0.25">
      <c r="R2848" s="219"/>
    </row>
    <row r="2849" spans="18:18" x14ac:dyDescent="0.25">
      <c r="R2849" s="219"/>
    </row>
    <row r="2850" spans="18:18" x14ac:dyDescent="0.25">
      <c r="R2850" s="219"/>
    </row>
    <row r="2851" spans="18:18" x14ac:dyDescent="0.25">
      <c r="R2851" s="219"/>
    </row>
    <row r="2852" spans="18:18" x14ac:dyDescent="0.25">
      <c r="R2852" s="219"/>
    </row>
    <row r="2853" spans="18:18" x14ac:dyDescent="0.25">
      <c r="R2853" s="219"/>
    </row>
    <row r="2854" spans="18:18" x14ac:dyDescent="0.25">
      <c r="R2854" s="219"/>
    </row>
    <row r="2855" spans="18:18" x14ac:dyDescent="0.25">
      <c r="R2855" s="219"/>
    </row>
    <row r="2856" spans="18:18" x14ac:dyDescent="0.25">
      <c r="R2856" s="219"/>
    </row>
    <row r="2857" spans="18:18" x14ac:dyDescent="0.25">
      <c r="R2857" s="219"/>
    </row>
    <row r="2858" spans="18:18" x14ac:dyDescent="0.25">
      <c r="R2858" s="219"/>
    </row>
    <row r="2859" spans="18:18" x14ac:dyDescent="0.25">
      <c r="R2859" s="219"/>
    </row>
    <row r="2860" spans="18:18" x14ac:dyDescent="0.25">
      <c r="R2860" s="219"/>
    </row>
    <row r="2861" spans="18:18" x14ac:dyDescent="0.25">
      <c r="R2861" s="219"/>
    </row>
    <row r="2862" spans="18:18" x14ac:dyDescent="0.25">
      <c r="R2862" s="219"/>
    </row>
    <row r="2863" spans="18:18" x14ac:dyDescent="0.25">
      <c r="R2863" s="219"/>
    </row>
    <row r="2864" spans="18:18" x14ac:dyDescent="0.25">
      <c r="R2864" s="219"/>
    </row>
    <row r="2865" spans="18:18" x14ac:dyDescent="0.25">
      <c r="R2865" s="219"/>
    </row>
    <row r="2866" spans="18:18" x14ac:dyDescent="0.25">
      <c r="R2866" s="219"/>
    </row>
    <row r="2867" spans="18:18" x14ac:dyDescent="0.25">
      <c r="R2867" s="219"/>
    </row>
    <row r="2868" spans="18:18" x14ac:dyDescent="0.25">
      <c r="R2868" s="219"/>
    </row>
    <row r="2869" spans="18:18" x14ac:dyDescent="0.25">
      <c r="R2869" s="219"/>
    </row>
    <row r="2870" spans="18:18" x14ac:dyDescent="0.25">
      <c r="R2870" s="219"/>
    </row>
    <row r="2871" spans="18:18" x14ac:dyDescent="0.25">
      <c r="R2871" s="219"/>
    </row>
    <row r="2872" spans="18:18" x14ac:dyDescent="0.25">
      <c r="R2872" s="219"/>
    </row>
    <row r="2873" spans="18:18" x14ac:dyDescent="0.25">
      <c r="R2873" s="219"/>
    </row>
    <row r="2874" spans="18:18" x14ac:dyDescent="0.25">
      <c r="R2874" s="219"/>
    </row>
    <row r="2875" spans="18:18" x14ac:dyDescent="0.25">
      <c r="R2875" s="219"/>
    </row>
    <row r="2876" spans="18:18" x14ac:dyDescent="0.25">
      <c r="R2876" s="219"/>
    </row>
    <row r="2877" spans="18:18" x14ac:dyDescent="0.25">
      <c r="R2877" s="219"/>
    </row>
    <row r="2878" spans="18:18" x14ac:dyDescent="0.25">
      <c r="R2878" s="219"/>
    </row>
    <row r="2879" spans="18:18" x14ac:dyDescent="0.25">
      <c r="R2879" s="219"/>
    </row>
    <row r="2880" spans="18:18" x14ac:dyDescent="0.25">
      <c r="R2880" s="219"/>
    </row>
    <row r="2881" spans="18:18" x14ac:dyDescent="0.25">
      <c r="R2881" s="219"/>
    </row>
    <row r="2882" spans="18:18" x14ac:dyDescent="0.25">
      <c r="R2882" s="219"/>
    </row>
    <row r="2883" spans="18:18" x14ac:dyDescent="0.25">
      <c r="R2883" s="219"/>
    </row>
    <row r="2884" spans="18:18" x14ac:dyDescent="0.25">
      <c r="R2884" s="219"/>
    </row>
    <row r="2885" spans="18:18" x14ac:dyDescent="0.25">
      <c r="R2885" s="219"/>
    </row>
    <row r="2886" spans="18:18" x14ac:dyDescent="0.25">
      <c r="R2886" s="219"/>
    </row>
    <row r="2887" spans="18:18" x14ac:dyDescent="0.25">
      <c r="R2887" s="219"/>
    </row>
    <row r="2888" spans="18:18" x14ac:dyDescent="0.25">
      <c r="R2888" s="219"/>
    </row>
    <row r="2889" spans="18:18" x14ac:dyDescent="0.25">
      <c r="R2889" s="219"/>
    </row>
    <row r="2890" spans="18:18" x14ac:dyDescent="0.25">
      <c r="R2890" s="219"/>
    </row>
    <row r="2891" spans="18:18" x14ac:dyDescent="0.25">
      <c r="R2891" s="219"/>
    </row>
    <row r="2892" spans="18:18" x14ac:dyDescent="0.25">
      <c r="R2892" s="219"/>
    </row>
    <row r="2893" spans="18:18" x14ac:dyDescent="0.25">
      <c r="R2893" s="219"/>
    </row>
    <row r="2894" spans="18:18" x14ac:dyDescent="0.25">
      <c r="R2894" s="219"/>
    </row>
    <row r="2895" spans="18:18" x14ac:dyDescent="0.25">
      <c r="R2895" s="219"/>
    </row>
    <row r="2896" spans="18:18" x14ac:dyDescent="0.25">
      <c r="R2896" s="219"/>
    </row>
    <row r="2897" spans="18:18" x14ac:dyDescent="0.25">
      <c r="R2897" s="219"/>
    </row>
    <row r="2898" spans="18:18" x14ac:dyDescent="0.25">
      <c r="R2898" s="219"/>
    </row>
    <row r="2899" spans="18:18" x14ac:dyDescent="0.25">
      <c r="R2899" s="219"/>
    </row>
    <row r="2900" spans="18:18" x14ac:dyDescent="0.25">
      <c r="R2900" s="219"/>
    </row>
    <row r="2901" spans="18:18" x14ac:dyDescent="0.25">
      <c r="R2901" s="219"/>
    </row>
    <row r="2902" spans="18:18" x14ac:dyDescent="0.25">
      <c r="R2902" s="219"/>
    </row>
    <row r="2903" spans="18:18" x14ac:dyDescent="0.25">
      <c r="R2903" s="219"/>
    </row>
    <row r="2904" spans="18:18" x14ac:dyDescent="0.25">
      <c r="R2904" s="219"/>
    </row>
    <row r="2905" spans="18:18" x14ac:dyDescent="0.25">
      <c r="R2905" s="219"/>
    </row>
    <row r="2906" spans="18:18" x14ac:dyDescent="0.25">
      <c r="R2906" s="219"/>
    </row>
    <row r="2907" spans="18:18" x14ac:dyDescent="0.25">
      <c r="R2907" s="219"/>
    </row>
    <row r="2908" spans="18:18" x14ac:dyDescent="0.25">
      <c r="R2908" s="219"/>
    </row>
    <row r="2909" spans="18:18" x14ac:dyDescent="0.25">
      <c r="R2909" s="219"/>
    </row>
    <row r="2910" spans="18:18" x14ac:dyDescent="0.25">
      <c r="R2910" s="219"/>
    </row>
    <row r="2911" spans="18:18" x14ac:dyDescent="0.25">
      <c r="R2911" s="219"/>
    </row>
    <row r="2912" spans="18:18" x14ac:dyDescent="0.25">
      <c r="R2912" s="219"/>
    </row>
    <row r="2913" spans="18:18" x14ac:dyDescent="0.25">
      <c r="R2913" s="219"/>
    </row>
    <row r="2914" spans="18:18" x14ac:dyDescent="0.25">
      <c r="R2914" s="219"/>
    </row>
    <row r="2915" spans="18:18" x14ac:dyDescent="0.25">
      <c r="R2915" s="219"/>
    </row>
    <row r="2916" spans="18:18" x14ac:dyDescent="0.25">
      <c r="R2916" s="219"/>
    </row>
    <row r="2917" spans="18:18" x14ac:dyDescent="0.25">
      <c r="R2917" s="219"/>
    </row>
    <row r="2918" spans="18:18" x14ac:dyDescent="0.25">
      <c r="R2918" s="219"/>
    </row>
    <row r="2919" spans="18:18" x14ac:dyDescent="0.25">
      <c r="R2919" s="219"/>
    </row>
    <row r="2920" spans="18:18" x14ac:dyDescent="0.25">
      <c r="R2920" s="219"/>
    </row>
    <row r="2921" spans="18:18" x14ac:dyDescent="0.25">
      <c r="R2921" s="219"/>
    </row>
    <row r="2922" spans="18:18" x14ac:dyDescent="0.25">
      <c r="R2922" s="219"/>
    </row>
    <row r="2923" spans="18:18" x14ac:dyDescent="0.25">
      <c r="R2923" s="219"/>
    </row>
    <row r="2924" spans="18:18" x14ac:dyDescent="0.25">
      <c r="R2924" s="219"/>
    </row>
    <row r="2925" spans="18:18" x14ac:dyDescent="0.25">
      <c r="R2925" s="219"/>
    </row>
    <row r="2926" spans="18:18" x14ac:dyDescent="0.25">
      <c r="R2926" s="219"/>
    </row>
    <row r="2927" spans="18:18" x14ac:dyDescent="0.25">
      <c r="R2927" s="219"/>
    </row>
    <row r="2928" spans="18:18" x14ac:dyDescent="0.25">
      <c r="R2928" s="219"/>
    </row>
    <row r="2929" spans="18:18" x14ac:dyDescent="0.25">
      <c r="R2929" s="219"/>
    </row>
    <row r="2930" spans="18:18" x14ac:dyDescent="0.25">
      <c r="R2930" s="219"/>
    </row>
    <row r="2931" spans="18:18" x14ac:dyDescent="0.25">
      <c r="R2931" s="219"/>
    </row>
    <row r="2932" spans="18:18" x14ac:dyDescent="0.25">
      <c r="R2932" s="219"/>
    </row>
    <row r="2933" spans="18:18" x14ac:dyDescent="0.25">
      <c r="R2933" s="219"/>
    </row>
    <row r="2934" spans="18:18" x14ac:dyDescent="0.25">
      <c r="R2934" s="219"/>
    </row>
    <row r="2935" spans="18:18" x14ac:dyDescent="0.25">
      <c r="R2935" s="219"/>
    </row>
    <row r="2936" spans="18:18" x14ac:dyDescent="0.25">
      <c r="R2936" s="219"/>
    </row>
    <row r="2937" spans="18:18" x14ac:dyDescent="0.25">
      <c r="R2937" s="219"/>
    </row>
    <row r="2938" spans="18:18" x14ac:dyDescent="0.25">
      <c r="R2938" s="219"/>
    </row>
    <row r="2939" spans="18:18" x14ac:dyDescent="0.25">
      <c r="R2939" s="219"/>
    </row>
    <row r="2940" spans="18:18" x14ac:dyDescent="0.25">
      <c r="R2940" s="219"/>
    </row>
    <row r="2941" spans="18:18" x14ac:dyDescent="0.25">
      <c r="R2941" s="219"/>
    </row>
    <row r="2942" spans="18:18" x14ac:dyDescent="0.25">
      <c r="R2942" s="219"/>
    </row>
    <row r="2943" spans="18:18" x14ac:dyDescent="0.25">
      <c r="R2943" s="219"/>
    </row>
    <row r="2944" spans="18:18" x14ac:dyDescent="0.25">
      <c r="R2944" s="219"/>
    </row>
    <row r="2945" spans="18:18" x14ac:dyDescent="0.25">
      <c r="R2945" s="219"/>
    </row>
    <row r="2946" spans="18:18" x14ac:dyDescent="0.25">
      <c r="R2946" s="219"/>
    </row>
    <row r="2947" spans="18:18" x14ac:dyDescent="0.25">
      <c r="R2947" s="219"/>
    </row>
    <row r="2948" spans="18:18" x14ac:dyDescent="0.25">
      <c r="R2948" s="219"/>
    </row>
    <row r="2949" spans="18:18" x14ac:dyDescent="0.25">
      <c r="R2949" s="219"/>
    </row>
    <row r="2950" spans="18:18" x14ac:dyDescent="0.25">
      <c r="R2950" s="219"/>
    </row>
    <row r="2951" spans="18:18" x14ac:dyDescent="0.25">
      <c r="R2951" s="219"/>
    </row>
    <row r="2952" spans="18:18" x14ac:dyDescent="0.25">
      <c r="R2952" s="219"/>
    </row>
    <row r="2953" spans="18:18" x14ac:dyDescent="0.25">
      <c r="R2953" s="219"/>
    </row>
    <row r="2954" spans="18:18" x14ac:dyDescent="0.25">
      <c r="R2954" s="219"/>
    </row>
    <row r="2955" spans="18:18" x14ac:dyDescent="0.25">
      <c r="R2955" s="219"/>
    </row>
    <row r="2956" spans="18:18" x14ac:dyDescent="0.25">
      <c r="R2956" s="219"/>
    </row>
    <row r="2957" spans="18:18" x14ac:dyDescent="0.25">
      <c r="R2957" s="219"/>
    </row>
    <row r="2958" spans="18:18" x14ac:dyDescent="0.25">
      <c r="R2958" s="219"/>
    </row>
    <row r="2959" spans="18:18" x14ac:dyDescent="0.25">
      <c r="R2959" s="219"/>
    </row>
    <row r="2960" spans="18:18" x14ac:dyDescent="0.25">
      <c r="R2960" s="219"/>
    </row>
    <row r="2961" spans="18:18" x14ac:dyDescent="0.25">
      <c r="R2961" s="219"/>
    </row>
    <row r="2962" spans="18:18" x14ac:dyDescent="0.25">
      <c r="R2962" s="219"/>
    </row>
    <row r="2963" spans="18:18" x14ac:dyDescent="0.25">
      <c r="R2963" s="219"/>
    </row>
    <row r="2964" spans="18:18" x14ac:dyDescent="0.25">
      <c r="R2964" s="219"/>
    </row>
    <row r="2965" spans="18:18" x14ac:dyDescent="0.25">
      <c r="R2965" s="219"/>
    </row>
    <row r="2966" spans="18:18" x14ac:dyDescent="0.25">
      <c r="R2966" s="219"/>
    </row>
    <row r="2967" spans="18:18" x14ac:dyDescent="0.25">
      <c r="R2967" s="219"/>
    </row>
    <row r="2968" spans="18:18" x14ac:dyDescent="0.25">
      <c r="R2968" s="219"/>
    </row>
    <row r="2969" spans="18:18" x14ac:dyDescent="0.25">
      <c r="R2969" s="219"/>
    </row>
    <row r="2970" spans="18:18" x14ac:dyDescent="0.25">
      <c r="R2970" s="219"/>
    </row>
    <row r="2971" spans="18:18" x14ac:dyDescent="0.25">
      <c r="R2971" s="219"/>
    </row>
    <row r="2972" spans="18:18" x14ac:dyDescent="0.25">
      <c r="R2972" s="219"/>
    </row>
    <row r="2973" spans="18:18" x14ac:dyDescent="0.25">
      <c r="R2973" s="219"/>
    </row>
    <row r="2974" spans="18:18" x14ac:dyDescent="0.25">
      <c r="R2974" s="219"/>
    </row>
    <row r="2975" spans="18:18" x14ac:dyDescent="0.25">
      <c r="R2975" s="219"/>
    </row>
    <row r="2976" spans="18:18" x14ac:dyDescent="0.25">
      <c r="R2976" s="219"/>
    </row>
    <row r="2977" spans="18:18" x14ac:dyDescent="0.25">
      <c r="R2977" s="219"/>
    </row>
    <row r="2978" spans="18:18" x14ac:dyDescent="0.25">
      <c r="R2978" s="219"/>
    </row>
    <row r="2979" spans="18:18" x14ac:dyDescent="0.25">
      <c r="R2979" s="219"/>
    </row>
    <row r="2980" spans="18:18" x14ac:dyDescent="0.25">
      <c r="R2980" s="219"/>
    </row>
    <row r="2981" spans="18:18" x14ac:dyDescent="0.25">
      <c r="R2981" s="219"/>
    </row>
    <row r="2982" spans="18:18" x14ac:dyDescent="0.25">
      <c r="R2982" s="219"/>
    </row>
    <row r="2983" spans="18:18" x14ac:dyDescent="0.25">
      <c r="R2983" s="219"/>
    </row>
    <row r="2984" spans="18:18" x14ac:dyDescent="0.25">
      <c r="R2984" s="219"/>
    </row>
    <row r="2985" spans="18:18" x14ac:dyDescent="0.25">
      <c r="R2985" s="219"/>
    </row>
    <row r="2986" spans="18:18" x14ac:dyDescent="0.25">
      <c r="R2986" s="219"/>
    </row>
    <row r="2987" spans="18:18" x14ac:dyDescent="0.25">
      <c r="R2987" s="219"/>
    </row>
    <row r="2988" spans="18:18" x14ac:dyDescent="0.25">
      <c r="R2988" s="219"/>
    </row>
    <row r="2989" spans="18:18" x14ac:dyDescent="0.25">
      <c r="R2989" s="219"/>
    </row>
    <row r="2990" spans="18:18" x14ac:dyDescent="0.25">
      <c r="R2990" s="219"/>
    </row>
    <row r="2991" spans="18:18" x14ac:dyDescent="0.25">
      <c r="R2991" s="219"/>
    </row>
    <row r="2992" spans="18:18" x14ac:dyDescent="0.25">
      <c r="R2992" s="219"/>
    </row>
    <row r="2993" spans="18:18" x14ac:dyDescent="0.25">
      <c r="R2993" s="219"/>
    </row>
    <row r="2994" spans="18:18" x14ac:dyDescent="0.25">
      <c r="R2994" s="219"/>
    </row>
    <row r="2995" spans="18:18" x14ac:dyDescent="0.25">
      <c r="R2995" s="219"/>
    </row>
    <row r="2996" spans="18:18" x14ac:dyDescent="0.25">
      <c r="R2996" s="219"/>
    </row>
    <row r="2997" spans="18:18" x14ac:dyDescent="0.25">
      <c r="R2997" s="219"/>
    </row>
    <row r="2998" spans="18:18" x14ac:dyDescent="0.25">
      <c r="R2998" s="219"/>
    </row>
    <row r="2999" spans="18:18" x14ac:dyDescent="0.25">
      <c r="R2999" s="219"/>
    </row>
    <row r="3000" spans="18:18" x14ac:dyDescent="0.25">
      <c r="R3000" s="219"/>
    </row>
    <row r="3001" spans="18:18" x14ac:dyDescent="0.25">
      <c r="R3001" s="219"/>
    </row>
    <row r="3002" spans="18:18" x14ac:dyDescent="0.25">
      <c r="R3002" s="219"/>
    </row>
    <row r="3003" spans="18:18" x14ac:dyDescent="0.25">
      <c r="R3003" s="219"/>
    </row>
    <row r="3004" spans="18:18" x14ac:dyDescent="0.25">
      <c r="R3004" s="219"/>
    </row>
    <row r="3005" spans="18:18" x14ac:dyDescent="0.25">
      <c r="R3005" s="219"/>
    </row>
    <row r="3006" spans="18:18" x14ac:dyDescent="0.25">
      <c r="R3006" s="219"/>
    </row>
    <row r="3007" spans="18:18" x14ac:dyDescent="0.25">
      <c r="R3007" s="219"/>
    </row>
    <row r="3008" spans="18:18" x14ac:dyDescent="0.25">
      <c r="R3008" s="219"/>
    </row>
    <row r="3009" spans="18:18" x14ac:dyDescent="0.25">
      <c r="R3009" s="219"/>
    </row>
    <row r="3010" spans="18:18" x14ac:dyDescent="0.25">
      <c r="R3010" s="219"/>
    </row>
    <row r="3011" spans="18:18" x14ac:dyDescent="0.25">
      <c r="R3011" s="219"/>
    </row>
    <row r="3012" spans="18:18" x14ac:dyDescent="0.25">
      <c r="R3012" s="219"/>
    </row>
    <row r="3013" spans="18:18" x14ac:dyDescent="0.25">
      <c r="R3013" s="219"/>
    </row>
    <row r="3014" spans="18:18" x14ac:dyDescent="0.25">
      <c r="R3014" s="219"/>
    </row>
    <row r="3015" spans="18:18" x14ac:dyDescent="0.25">
      <c r="R3015" s="219"/>
    </row>
    <row r="3016" spans="18:18" x14ac:dyDescent="0.25">
      <c r="R3016" s="219"/>
    </row>
    <row r="3017" spans="18:18" x14ac:dyDescent="0.25">
      <c r="R3017" s="219"/>
    </row>
    <row r="3018" spans="18:18" x14ac:dyDescent="0.25">
      <c r="R3018" s="219"/>
    </row>
    <row r="3019" spans="18:18" x14ac:dyDescent="0.25">
      <c r="R3019" s="219"/>
    </row>
    <row r="3020" spans="18:18" x14ac:dyDescent="0.25">
      <c r="R3020" s="219"/>
    </row>
    <row r="3021" spans="18:18" x14ac:dyDescent="0.25">
      <c r="R3021" s="219"/>
    </row>
    <row r="3022" spans="18:18" x14ac:dyDescent="0.25">
      <c r="R3022" s="219"/>
    </row>
    <row r="3023" spans="18:18" x14ac:dyDescent="0.25">
      <c r="R3023" s="219"/>
    </row>
    <row r="3024" spans="18:18" x14ac:dyDescent="0.25">
      <c r="R3024" s="219"/>
    </row>
    <row r="3025" spans="18:18" x14ac:dyDescent="0.25">
      <c r="R3025" s="219"/>
    </row>
    <row r="3026" spans="18:18" x14ac:dyDescent="0.25">
      <c r="R3026" s="219"/>
    </row>
    <row r="3027" spans="18:18" x14ac:dyDescent="0.25">
      <c r="R3027" s="219"/>
    </row>
    <row r="3028" spans="18:18" x14ac:dyDescent="0.25">
      <c r="R3028" s="219"/>
    </row>
    <row r="3029" spans="18:18" x14ac:dyDescent="0.25">
      <c r="R3029" s="219"/>
    </row>
    <row r="3030" spans="18:18" x14ac:dyDescent="0.25">
      <c r="R3030" s="219"/>
    </row>
    <row r="3031" spans="18:18" x14ac:dyDescent="0.25">
      <c r="R3031" s="219"/>
    </row>
    <row r="3032" spans="18:18" x14ac:dyDescent="0.25">
      <c r="R3032" s="219"/>
    </row>
    <row r="3033" spans="18:18" x14ac:dyDescent="0.25">
      <c r="R3033" s="219"/>
    </row>
    <row r="3034" spans="18:18" x14ac:dyDescent="0.25">
      <c r="R3034" s="219"/>
    </row>
    <row r="3035" spans="18:18" x14ac:dyDescent="0.25">
      <c r="R3035" s="219"/>
    </row>
    <row r="3036" spans="18:18" x14ac:dyDescent="0.25">
      <c r="R3036" s="219"/>
    </row>
    <row r="3037" spans="18:18" x14ac:dyDescent="0.25">
      <c r="R3037" s="219"/>
    </row>
    <row r="3038" spans="18:18" x14ac:dyDescent="0.25">
      <c r="R3038" s="219"/>
    </row>
    <row r="3039" spans="18:18" x14ac:dyDescent="0.25">
      <c r="R3039" s="219"/>
    </row>
    <row r="3040" spans="18:18" x14ac:dyDescent="0.25">
      <c r="R3040" s="219"/>
    </row>
    <row r="3041" spans="18:18" x14ac:dyDescent="0.25">
      <c r="R3041" s="219"/>
    </row>
    <row r="3042" spans="18:18" x14ac:dyDescent="0.25">
      <c r="R3042" s="219"/>
    </row>
    <row r="3043" spans="18:18" x14ac:dyDescent="0.25">
      <c r="R3043" s="219"/>
    </row>
    <row r="3044" spans="18:18" x14ac:dyDescent="0.25">
      <c r="R3044" s="219"/>
    </row>
    <row r="3045" spans="18:18" x14ac:dyDescent="0.25">
      <c r="R3045" s="219"/>
    </row>
    <row r="3046" spans="18:18" x14ac:dyDescent="0.25">
      <c r="R3046" s="219"/>
    </row>
    <row r="3047" spans="18:18" x14ac:dyDescent="0.25">
      <c r="R3047" s="219"/>
    </row>
    <row r="3048" spans="18:18" x14ac:dyDescent="0.25">
      <c r="R3048" s="219"/>
    </row>
    <row r="3049" spans="18:18" x14ac:dyDescent="0.25">
      <c r="R3049" s="219"/>
    </row>
    <row r="3050" spans="18:18" x14ac:dyDescent="0.25">
      <c r="R3050" s="219"/>
    </row>
    <row r="3051" spans="18:18" x14ac:dyDescent="0.25">
      <c r="R3051" s="219"/>
    </row>
    <row r="3052" spans="18:18" x14ac:dyDescent="0.25">
      <c r="R3052" s="219"/>
    </row>
    <row r="3053" spans="18:18" x14ac:dyDescent="0.25">
      <c r="R3053" s="219"/>
    </row>
    <row r="3054" spans="18:18" x14ac:dyDescent="0.25">
      <c r="R3054" s="219"/>
    </row>
    <row r="3055" spans="18:18" x14ac:dyDescent="0.25">
      <c r="R3055" s="219"/>
    </row>
    <row r="3056" spans="18:18" x14ac:dyDescent="0.25">
      <c r="R3056" s="219"/>
    </row>
    <row r="3057" spans="18:18" x14ac:dyDescent="0.25">
      <c r="R3057" s="219"/>
    </row>
    <row r="3058" spans="18:18" x14ac:dyDescent="0.25">
      <c r="R3058" s="219"/>
    </row>
    <row r="3059" spans="18:18" x14ac:dyDescent="0.25">
      <c r="R3059" s="219"/>
    </row>
    <row r="3060" spans="18:18" x14ac:dyDescent="0.25">
      <c r="R3060" s="219"/>
    </row>
    <row r="3061" spans="18:18" x14ac:dyDescent="0.25">
      <c r="R3061" s="219"/>
    </row>
    <row r="3062" spans="18:18" x14ac:dyDescent="0.25">
      <c r="R3062" s="219"/>
    </row>
    <row r="3063" spans="18:18" x14ac:dyDescent="0.25">
      <c r="R3063" s="219"/>
    </row>
    <row r="3064" spans="18:18" x14ac:dyDescent="0.25">
      <c r="R3064" s="219"/>
    </row>
    <row r="3065" spans="18:18" x14ac:dyDescent="0.25">
      <c r="R3065" s="219"/>
    </row>
    <row r="3066" spans="18:18" x14ac:dyDescent="0.25">
      <c r="R3066" s="219"/>
    </row>
    <row r="3067" spans="18:18" x14ac:dyDescent="0.25">
      <c r="R3067" s="219"/>
    </row>
    <row r="3068" spans="18:18" x14ac:dyDescent="0.25">
      <c r="R3068" s="219"/>
    </row>
    <row r="3069" spans="18:18" x14ac:dyDescent="0.25">
      <c r="R3069" s="219"/>
    </row>
    <row r="3070" spans="18:18" x14ac:dyDescent="0.25">
      <c r="R3070" s="219"/>
    </row>
    <row r="3071" spans="18:18" x14ac:dyDescent="0.25">
      <c r="R3071" s="219"/>
    </row>
    <row r="3072" spans="18:18" x14ac:dyDescent="0.25">
      <c r="R3072" s="219"/>
    </row>
    <row r="3073" spans="18:18" x14ac:dyDescent="0.25">
      <c r="R3073" s="219"/>
    </row>
    <row r="3074" spans="18:18" x14ac:dyDescent="0.25">
      <c r="R3074" s="219"/>
    </row>
    <row r="3075" spans="18:18" x14ac:dyDescent="0.25">
      <c r="R3075" s="219"/>
    </row>
    <row r="3076" spans="18:18" x14ac:dyDescent="0.25">
      <c r="R3076" s="219"/>
    </row>
    <row r="3077" spans="18:18" x14ac:dyDescent="0.25">
      <c r="R3077" s="219"/>
    </row>
    <row r="3078" spans="18:18" x14ac:dyDescent="0.25">
      <c r="R3078" s="219"/>
    </row>
    <row r="3079" spans="18:18" x14ac:dyDescent="0.25">
      <c r="R3079" s="219"/>
    </row>
    <row r="3080" spans="18:18" x14ac:dyDescent="0.25">
      <c r="R3080" s="219"/>
    </row>
    <row r="3081" spans="18:18" x14ac:dyDescent="0.25">
      <c r="R3081" s="219"/>
    </row>
    <row r="3082" spans="18:18" x14ac:dyDescent="0.25">
      <c r="R3082" s="219"/>
    </row>
    <row r="3083" spans="18:18" x14ac:dyDescent="0.25">
      <c r="R3083" s="219"/>
    </row>
    <row r="3084" spans="18:18" x14ac:dyDescent="0.25">
      <c r="R3084" s="219"/>
    </row>
    <row r="3085" spans="18:18" x14ac:dyDescent="0.25">
      <c r="R3085" s="219"/>
    </row>
    <row r="3086" spans="18:18" x14ac:dyDescent="0.25">
      <c r="R3086" s="219"/>
    </row>
    <row r="3087" spans="18:18" x14ac:dyDescent="0.25">
      <c r="R3087" s="219"/>
    </row>
    <row r="3088" spans="18:18" x14ac:dyDescent="0.25">
      <c r="R3088" s="219"/>
    </row>
    <row r="3089" spans="18:18" x14ac:dyDescent="0.25">
      <c r="R3089" s="219"/>
    </row>
    <row r="3090" spans="18:18" x14ac:dyDescent="0.25">
      <c r="R3090" s="219"/>
    </row>
    <row r="3091" spans="18:18" x14ac:dyDescent="0.25">
      <c r="R3091" s="219"/>
    </row>
    <row r="3092" spans="18:18" x14ac:dyDescent="0.25">
      <c r="R3092" s="219"/>
    </row>
    <row r="3093" spans="18:18" x14ac:dyDescent="0.25">
      <c r="R3093" s="219"/>
    </row>
    <row r="3094" spans="18:18" x14ac:dyDescent="0.25">
      <c r="R3094" s="219"/>
    </row>
    <row r="3095" spans="18:18" x14ac:dyDescent="0.25">
      <c r="R3095" s="219"/>
    </row>
    <row r="3096" spans="18:18" x14ac:dyDescent="0.25">
      <c r="R3096" s="219"/>
    </row>
    <row r="3097" spans="18:18" x14ac:dyDescent="0.25">
      <c r="R3097" s="219"/>
    </row>
    <row r="3098" spans="18:18" x14ac:dyDescent="0.25">
      <c r="R3098" s="219"/>
    </row>
    <row r="3099" spans="18:18" x14ac:dyDescent="0.25">
      <c r="R3099" s="219"/>
    </row>
    <row r="3100" spans="18:18" x14ac:dyDescent="0.25">
      <c r="R3100" s="219"/>
    </row>
    <row r="3101" spans="18:18" x14ac:dyDescent="0.25">
      <c r="R3101" s="219"/>
    </row>
    <row r="3102" spans="18:18" x14ac:dyDescent="0.25">
      <c r="R3102" s="219"/>
    </row>
    <row r="3103" spans="18:18" x14ac:dyDescent="0.25">
      <c r="R3103" s="219"/>
    </row>
    <row r="3104" spans="18:18" x14ac:dyDescent="0.25">
      <c r="R3104" s="219"/>
    </row>
    <row r="3105" spans="18:18" x14ac:dyDescent="0.25">
      <c r="R3105" s="219"/>
    </row>
    <row r="3106" spans="18:18" x14ac:dyDescent="0.25">
      <c r="R3106" s="219"/>
    </row>
    <row r="3107" spans="18:18" x14ac:dyDescent="0.25">
      <c r="R3107" s="219"/>
    </row>
    <row r="3108" spans="18:18" x14ac:dyDescent="0.25">
      <c r="R3108" s="219"/>
    </row>
    <row r="3109" spans="18:18" x14ac:dyDescent="0.25">
      <c r="R3109" s="219"/>
    </row>
    <row r="3110" spans="18:18" x14ac:dyDescent="0.25">
      <c r="R3110" s="219"/>
    </row>
    <row r="3111" spans="18:18" x14ac:dyDescent="0.25">
      <c r="R3111" s="219"/>
    </row>
    <row r="3112" spans="18:18" x14ac:dyDescent="0.25">
      <c r="R3112" s="219"/>
    </row>
    <row r="3113" spans="18:18" x14ac:dyDescent="0.25">
      <c r="R3113" s="219"/>
    </row>
    <row r="3114" spans="18:18" x14ac:dyDescent="0.25">
      <c r="R3114" s="219"/>
    </row>
    <row r="3115" spans="18:18" x14ac:dyDescent="0.25">
      <c r="R3115" s="219"/>
    </row>
    <row r="3116" spans="18:18" x14ac:dyDescent="0.25">
      <c r="R3116" s="219"/>
    </row>
    <row r="3117" spans="18:18" x14ac:dyDescent="0.25">
      <c r="R3117" s="219"/>
    </row>
    <row r="3118" spans="18:18" x14ac:dyDescent="0.25">
      <c r="R3118" s="219"/>
    </row>
    <row r="3119" spans="18:18" x14ac:dyDescent="0.25">
      <c r="R3119" s="219"/>
    </row>
    <row r="3120" spans="18:18" x14ac:dyDescent="0.25">
      <c r="R3120" s="219"/>
    </row>
    <row r="3121" spans="18:18" x14ac:dyDescent="0.25">
      <c r="R3121" s="219"/>
    </row>
    <row r="3122" spans="18:18" x14ac:dyDescent="0.25">
      <c r="R3122" s="219"/>
    </row>
    <row r="3123" spans="18:18" x14ac:dyDescent="0.25">
      <c r="R3123" s="219"/>
    </row>
    <row r="3124" spans="18:18" x14ac:dyDescent="0.25">
      <c r="R3124" s="219"/>
    </row>
    <row r="3125" spans="18:18" x14ac:dyDescent="0.25">
      <c r="R3125" s="219"/>
    </row>
    <row r="3126" spans="18:18" x14ac:dyDescent="0.25">
      <c r="R3126" s="219"/>
    </row>
    <row r="3127" spans="18:18" x14ac:dyDescent="0.25">
      <c r="R3127" s="219"/>
    </row>
    <row r="3128" spans="18:18" x14ac:dyDescent="0.25">
      <c r="R3128" s="219"/>
    </row>
    <row r="3129" spans="18:18" x14ac:dyDescent="0.25">
      <c r="R3129" s="219"/>
    </row>
    <row r="3130" spans="18:18" x14ac:dyDescent="0.25">
      <c r="R3130" s="219"/>
    </row>
    <row r="3131" spans="18:18" x14ac:dyDescent="0.25">
      <c r="R3131" s="219"/>
    </row>
    <row r="3132" spans="18:18" x14ac:dyDescent="0.25">
      <c r="R3132" s="219"/>
    </row>
    <row r="3133" spans="18:18" x14ac:dyDescent="0.25">
      <c r="R3133" s="219"/>
    </row>
    <row r="3134" spans="18:18" x14ac:dyDescent="0.25">
      <c r="R3134" s="219"/>
    </row>
    <row r="3135" spans="18:18" x14ac:dyDescent="0.25">
      <c r="R3135" s="219"/>
    </row>
    <row r="3136" spans="18:18" x14ac:dyDescent="0.25">
      <c r="R3136" s="219"/>
    </row>
    <row r="3137" spans="18:18" x14ac:dyDescent="0.25">
      <c r="R3137" s="219"/>
    </row>
    <row r="3138" spans="18:18" x14ac:dyDescent="0.25">
      <c r="R3138" s="219"/>
    </row>
    <row r="3139" spans="18:18" x14ac:dyDescent="0.25">
      <c r="R3139" s="219"/>
    </row>
    <row r="3140" spans="18:18" x14ac:dyDescent="0.25">
      <c r="R3140" s="219"/>
    </row>
    <row r="3141" spans="18:18" x14ac:dyDescent="0.25">
      <c r="R3141" s="219"/>
    </row>
    <row r="3142" spans="18:18" x14ac:dyDescent="0.25">
      <c r="R3142" s="219"/>
    </row>
    <row r="3143" spans="18:18" x14ac:dyDescent="0.25">
      <c r="R3143" s="219"/>
    </row>
    <row r="3144" spans="18:18" x14ac:dyDescent="0.25">
      <c r="R3144" s="219"/>
    </row>
    <row r="3145" spans="18:18" x14ac:dyDescent="0.25">
      <c r="R3145" s="219"/>
    </row>
    <row r="3146" spans="18:18" x14ac:dyDescent="0.25">
      <c r="R3146" s="219"/>
    </row>
    <row r="3147" spans="18:18" x14ac:dyDescent="0.25">
      <c r="R3147" s="219"/>
    </row>
    <row r="3148" spans="18:18" x14ac:dyDescent="0.25">
      <c r="R3148" s="219"/>
    </row>
    <row r="3149" spans="18:18" x14ac:dyDescent="0.25">
      <c r="R3149" s="219"/>
    </row>
    <row r="3150" spans="18:18" x14ac:dyDescent="0.25">
      <c r="R3150" s="219"/>
    </row>
    <row r="3151" spans="18:18" x14ac:dyDescent="0.25">
      <c r="R3151" s="219"/>
    </row>
    <row r="3152" spans="18:18" x14ac:dyDescent="0.25">
      <c r="R3152" s="219"/>
    </row>
    <row r="3153" spans="18:18" x14ac:dyDescent="0.25">
      <c r="R3153" s="219"/>
    </row>
    <row r="3154" spans="18:18" x14ac:dyDescent="0.25">
      <c r="R3154" s="219"/>
    </row>
    <row r="3155" spans="18:18" x14ac:dyDescent="0.25">
      <c r="R3155" s="219"/>
    </row>
    <row r="3156" spans="18:18" x14ac:dyDescent="0.25">
      <c r="R3156" s="219"/>
    </row>
    <row r="3157" spans="18:18" x14ac:dyDescent="0.25">
      <c r="R3157" s="219"/>
    </row>
    <row r="3158" spans="18:18" x14ac:dyDescent="0.25">
      <c r="R3158" s="219"/>
    </row>
    <row r="3159" spans="18:18" x14ac:dyDescent="0.25">
      <c r="R3159" s="219"/>
    </row>
    <row r="3160" spans="18:18" x14ac:dyDescent="0.25">
      <c r="R3160" s="219"/>
    </row>
    <row r="3161" spans="18:18" x14ac:dyDescent="0.25">
      <c r="R3161" s="219"/>
    </row>
    <row r="3162" spans="18:18" x14ac:dyDescent="0.25">
      <c r="R3162" s="219"/>
    </row>
    <row r="3163" spans="18:18" x14ac:dyDescent="0.25">
      <c r="R3163" s="219"/>
    </row>
    <row r="3164" spans="18:18" x14ac:dyDescent="0.25">
      <c r="R3164" s="219"/>
    </row>
    <row r="3165" spans="18:18" x14ac:dyDescent="0.25">
      <c r="R3165" s="219"/>
    </row>
    <row r="3166" spans="18:18" x14ac:dyDescent="0.25">
      <c r="R3166" s="219"/>
    </row>
    <row r="3167" spans="18:18" x14ac:dyDescent="0.25">
      <c r="R3167" s="219"/>
    </row>
    <row r="3168" spans="18:18" x14ac:dyDescent="0.25">
      <c r="R3168" s="219"/>
    </row>
    <row r="3169" spans="18:18" x14ac:dyDescent="0.25">
      <c r="R3169" s="219"/>
    </row>
    <row r="3170" spans="18:18" x14ac:dyDescent="0.25">
      <c r="R3170" s="219"/>
    </row>
    <row r="3171" spans="18:18" x14ac:dyDescent="0.25">
      <c r="R3171" s="219"/>
    </row>
    <row r="3172" spans="18:18" x14ac:dyDescent="0.25">
      <c r="R3172" s="219"/>
    </row>
    <row r="3173" spans="18:18" x14ac:dyDescent="0.25">
      <c r="R3173" s="219"/>
    </row>
    <row r="3174" spans="18:18" x14ac:dyDescent="0.25">
      <c r="R3174" s="219"/>
    </row>
    <row r="3175" spans="18:18" x14ac:dyDescent="0.25">
      <c r="R3175" s="219"/>
    </row>
    <row r="3176" spans="18:18" x14ac:dyDescent="0.25">
      <c r="R3176" s="219"/>
    </row>
    <row r="3177" spans="18:18" x14ac:dyDescent="0.25">
      <c r="R3177" s="219"/>
    </row>
    <row r="3178" spans="18:18" x14ac:dyDescent="0.25">
      <c r="R3178" s="219"/>
    </row>
    <row r="3179" spans="18:18" x14ac:dyDescent="0.25">
      <c r="R3179" s="219"/>
    </row>
    <row r="3180" spans="18:18" x14ac:dyDescent="0.25">
      <c r="R3180" s="219"/>
    </row>
    <row r="3181" spans="18:18" x14ac:dyDescent="0.25">
      <c r="R3181" s="219"/>
    </row>
    <row r="3182" spans="18:18" x14ac:dyDescent="0.25">
      <c r="R3182" s="219"/>
    </row>
    <row r="3183" spans="18:18" x14ac:dyDescent="0.25">
      <c r="R3183" s="219"/>
    </row>
    <row r="3184" spans="18:18" x14ac:dyDescent="0.25">
      <c r="R3184" s="219"/>
    </row>
    <row r="3185" spans="18:18" x14ac:dyDescent="0.25">
      <c r="R3185" s="219"/>
    </row>
    <row r="3186" spans="18:18" x14ac:dyDescent="0.25">
      <c r="R3186" s="219"/>
    </row>
    <row r="3187" spans="18:18" x14ac:dyDescent="0.25">
      <c r="R3187" s="219"/>
    </row>
    <row r="3188" spans="18:18" x14ac:dyDescent="0.25">
      <c r="R3188" s="219"/>
    </row>
    <row r="3189" spans="18:18" x14ac:dyDescent="0.25">
      <c r="R3189" s="219"/>
    </row>
    <row r="3190" spans="18:18" x14ac:dyDescent="0.25">
      <c r="R3190" s="219"/>
    </row>
    <row r="3191" spans="18:18" x14ac:dyDescent="0.25">
      <c r="R3191" s="219"/>
    </row>
    <row r="3192" spans="18:18" x14ac:dyDescent="0.25">
      <c r="R3192" s="219"/>
    </row>
    <row r="3193" spans="18:18" x14ac:dyDescent="0.25">
      <c r="R3193" s="219"/>
    </row>
    <row r="3194" spans="18:18" x14ac:dyDescent="0.25">
      <c r="R3194" s="219"/>
    </row>
    <row r="3195" spans="18:18" x14ac:dyDescent="0.25">
      <c r="R3195" s="219"/>
    </row>
    <row r="3196" spans="18:18" x14ac:dyDescent="0.25">
      <c r="R3196" s="219"/>
    </row>
    <row r="3197" spans="18:18" x14ac:dyDescent="0.25">
      <c r="R3197" s="219"/>
    </row>
    <row r="3198" spans="18:18" x14ac:dyDescent="0.25">
      <c r="R3198" s="219"/>
    </row>
    <row r="3199" spans="18:18" x14ac:dyDescent="0.25">
      <c r="R3199" s="219"/>
    </row>
    <row r="3200" spans="18:18" x14ac:dyDescent="0.25">
      <c r="R3200" s="219"/>
    </row>
    <row r="3201" spans="18:18" x14ac:dyDescent="0.25">
      <c r="R3201" s="219"/>
    </row>
    <row r="3202" spans="18:18" x14ac:dyDescent="0.25">
      <c r="R3202" s="219"/>
    </row>
    <row r="3203" spans="18:18" x14ac:dyDescent="0.25">
      <c r="R3203" s="219"/>
    </row>
    <row r="3204" spans="18:18" x14ac:dyDescent="0.25">
      <c r="R3204" s="219"/>
    </row>
    <row r="3205" spans="18:18" x14ac:dyDescent="0.25">
      <c r="R3205" s="219"/>
    </row>
    <row r="3206" spans="18:18" x14ac:dyDescent="0.25">
      <c r="R3206" s="219"/>
    </row>
    <row r="3207" spans="18:18" x14ac:dyDescent="0.25">
      <c r="R3207" s="219"/>
    </row>
    <row r="3208" spans="18:18" x14ac:dyDescent="0.25">
      <c r="R3208" s="219"/>
    </row>
    <row r="3209" spans="18:18" x14ac:dyDescent="0.25">
      <c r="R3209" s="219"/>
    </row>
    <row r="3210" spans="18:18" x14ac:dyDescent="0.25">
      <c r="R3210" s="219"/>
    </row>
    <row r="3211" spans="18:18" x14ac:dyDescent="0.25">
      <c r="R3211" s="219"/>
    </row>
    <row r="3212" spans="18:18" x14ac:dyDescent="0.25">
      <c r="R3212" s="219"/>
    </row>
    <row r="3213" spans="18:18" x14ac:dyDescent="0.25">
      <c r="R3213" s="219"/>
    </row>
    <row r="3214" spans="18:18" x14ac:dyDescent="0.25">
      <c r="R3214" s="219"/>
    </row>
    <row r="3215" spans="18:18" x14ac:dyDescent="0.25">
      <c r="R3215" s="219"/>
    </row>
    <row r="3216" spans="18:18" x14ac:dyDescent="0.25">
      <c r="R3216" s="219"/>
    </row>
    <row r="3217" spans="18:18" x14ac:dyDescent="0.25">
      <c r="R3217" s="219"/>
    </row>
    <row r="3218" spans="18:18" x14ac:dyDescent="0.25">
      <c r="R3218" s="219"/>
    </row>
    <row r="3219" spans="18:18" x14ac:dyDescent="0.25">
      <c r="R3219" s="219"/>
    </row>
    <row r="3220" spans="18:18" x14ac:dyDescent="0.25">
      <c r="R3220" s="219"/>
    </row>
    <row r="3221" spans="18:18" x14ac:dyDescent="0.25">
      <c r="R3221" s="219"/>
    </row>
    <row r="3222" spans="18:18" x14ac:dyDescent="0.25">
      <c r="R3222" s="219"/>
    </row>
    <row r="3223" spans="18:18" x14ac:dyDescent="0.25">
      <c r="R3223" s="219"/>
    </row>
    <row r="3224" spans="18:18" x14ac:dyDescent="0.25">
      <c r="R3224" s="219"/>
    </row>
    <row r="3225" spans="18:18" x14ac:dyDescent="0.25">
      <c r="R3225" s="219"/>
    </row>
    <row r="3226" spans="18:18" x14ac:dyDescent="0.25">
      <c r="R3226" s="219"/>
    </row>
    <row r="3227" spans="18:18" x14ac:dyDescent="0.25">
      <c r="R3227" s="219"/>
    </row>
    <row r="3228" spans="18:18" x14ac:dyDescent="0.25">
      <c r="R3228" s="219"/>
    </row>
    <row r="3229" spans="18:18" x14ac:dyDescent="0.25">
      <c r="R3229" s="219"/>
    </row>
    <row r="3230" spans="18:18" x14ac:dyDescent="0.25">
      <c r="R3230" s="219"/>
    </row>
    <row r="3231" spans="18:18" x14ac:dyDescent="0.25">
      <c r="R3231" s="219"/>
    </row>
    <row r="3232" spans="18:18" x14ac:dyDescent="0.25">
      <c r="R3232" s="219"/>
    </row>
    <row r="3233" spans="18:18" x14ac:dyDescent="0.25">
      <c r="R3233" s="219"/>
    </row>
    <row r="3234" spans="18:18" x14ac:dyDescent="0.25">
      <c r="R3234" s="219"/>
    </row>
    <row r="3235" spans="18:18" x14ac:dyDescent="0.25">
      <c r="R3235" s="219"/>
    </row>
    <row r="3236" spans="18:18" x14ac:dyDescent="0.25">
      <c r="R3236" s="219"/>
    </row>
    <row r="3237" spans="18:18" x14ac:dyDescent="0.25">
      <c r="R3237" s="219"/>
    </row>
    <row r="3238" spans="18:18" x14ac:dyDescent="0.25">
      <c r="R3238" s="219"/>
    </row>
    <row r="3239" spans="18:18" x14ac:dyDescent="0.25">
      <c r="R3239" s="219"/>
    </row>
    <row r="3240" spans="18:18" x14ac:dyDescent="0.25">
      <c r="R3240" s="219"/>
    </row>
    <row r="3241" spans="18:18" x14ac:dyDescent="0.25">
      <c r="R3241" s="219"/>
    </row>
    <row r="3242" spans="18:18" x14ac:dyDescent="0.25">
      <c r="R3242" s="219"/>
    </row>
    <row r="3243" spans="18:18" x14ac:dyDescent="0.25">
      <c r="R3243" s="219"/>
    </row>
    <row r="3244" spans="18:18" x14ac:dyDescent="0.25">
      <c r="R3244" s="219"/>
    </row>
    <row r="3245" spans="18:18" x14ac:dyDescent="0.25">
      <c r="R3245" s="219"/>
    </row>
    <row r="3246" spans="18:18" x14ac:dyDescent="0.25">
      <c r="R3246" s="219"/>
    </row>
    <row r="3247" spans="18:18" x14ac:dyDescent="0.25">
      <c r="R3247" s="219"/>
    </row>
    <row r="3248" spans="18:18" x14ac:dyDescent="0.25">
      <c r="R3248" s="219"/>
    </row>
    <row r="3249" spans="18:18" x14ac:dyDescent="0.25">
      <c r="R3249" s="219"/>
    </row>
    <row r="3250" spans="18:18" x14ac:dyDescent="0.25">
      <c r="R3250" s="219"/>
    </row>
    <row r="3251" spans="18:18" x14ac:dyDescent="0.25">
      <c r="R3251" s="219"/>
    </row>
    <row r="3252" spans="18:18" x14ac:dyDescent="0.25">
      <c r="R3252" s="219"/>
    </row>
    <row r="3253" spans="18:18" x14ac:dyDescent="0.25">
      <c r="R3253" s="219"/>
    </row>
    <row r="3254" spans="18:18" x14ac:dyDescent="0.25">
      <c r="R3254" s="219"/>
    </row>
    <row r="3255" spans="18:18" x14ac:dyDescent="0.25">
      <c r="R3255" s="219"/>
    </row>
    <row r="3256" spans="18:18" x14ac:dyDescent="0.25">
      <c r="R3256" s="219"/>
    </row>
    <row r="3257" spans="18:18" x14ac:dyDescent="0.25">
      <c r="R3257" s="219"/>
    </row>
    <row r="3258" spans="18:18" x14ac:dyDescent="0.25">
      <c r="R3258" s="219"/>
    </row>
    <row r="3259" spans="18:18" x14ac:dyDescent="0.25">
      <c r="R3259" s="219"/>
    </row>
    <row r="3260" spans="18:18" x14ac:dyDescent="0.25">
      <c r="R3260" s="219"/>
    </row>
    <row r="3261" spans="18:18" x14ac:dyDescent="0.25">
      <c r="R3261" s="219"/>
    </row>
    <row r="3262" spans="18:18" x14ac:dyDescent="0.25">
      <c r="R3262" s="219"/>
    </row>
    <row r="3263" spans="18:18" x14ac:dyDescent="0.25">
      <c r="R3263" s="219"/>
    </row>
    <row r="3264" spans="18:18" x14ac:dyDescent="0.25">
      <c r="R3264" s="219"/>
    </row>
    <row r="3265" spans="18:18" x14ac:dyDescent="0.25">
      <c r="R3265" s="219"/>
    </row>
    <row r="3266" spans="18:18" x14ac:dyDescent="0.25">
      <c r="R3266" s="219"/>
    </row>
    <row r="3267" spans="18:18" x14ac:dyDescent="0.25">
      <c r="R3267" s="219"/>
    </row>
    <row r="3268" spans="18:18" x14ac:dyDescent="0.25">
      <c r="R3268" s="219"/>
    </row>
    <row r="3269" spans="18:18" x14ac:dyDescent="0.25">
      <c r="R3269" s="219"/>
    </row>
    <row r="3270" spans="18:18" x14ac:dyDescent="0.25">
      <c r="R3270" s="219"/>
    </row>
    <row r="3271" spans="18:18" x14ac:dyDescent="0.25">
      <c r="R3271" s="219"/>
    </row>
    <row r="3272" spans="18:18" x14ac:dyDescent="0.25">
      <c r="R3272" s="219"/>
    </row>
    <row r="3273" spans="18:18" x14ac:dyDescent="0.25">
      <c r="R3273" s="219"/>
    </row>
    <row r="3274" spans="18:18" x14ac:dyDescent="0.25">
      <c r="R3274" s="219"/>
    </row>
    <row r="3275" spans="18:18" x14ac:dyDescent="0.25">
      <c r="R3275" s="219"/>
    </row>
    <row r="3276" spans="18:18" x14ac:dyDescent="0.25">
      <c r="R3276" s="219"/>
    </row>
    <row r="3277" spans="18:18" x14ac:dyDescent="0.25">
      <c r="R3277" s="219"/>
    </row>
    <row r="3278" spans="18:18" x14ac:dyDescent="0.25">
      <c r="R3278" s="219"/>
    </row>
    <row r="3279" spans="18:18" x14ac:dyDescent="0.25">
      <c r="R3279" s="219"/>
    </row>
    <row r="3280" spans="18:18" x14ac:dyDescent="0.25">
      <c r="R3280" s="219"/>
    </row>
    <row r="3281" spans="18:18" x14ac:dyDescent="0.25">
      <c r="R3281" s="219"/>
    </row>
    <row r="3282" spans="18:18" x14ac:dyDescent="0.25">
      <c r="R3282" s="219"/>
    </row>
    <row r="3283" spans="18:18" x14ac:dyDescent="0.25">
      <c r="R3283" s="219"/>
    </row>
    <row r="3284" spans="18:18" x14ac:dyDescent="0.25">
      <c r="R3284" s="219"/>
    </row>
    <row r="3285" spans="18:18" x14ac:dyDescent="0.25">
      <c r="R3285" s="219"/>
    </row>
    <row r="3286" spans="18:18" x14ac:dyDescent="0.25">
      <c r="R3286" s="219"/>
    </row>
    <row r="3287" spans="18:18" x14ac:dyDescent="0.25">
      <c r="R3287" s="219"/>
    </row>
    <row r="3288" spans="18:18" x14ac:dyDescent="0.25">
      <c r="R3288" s="219"/>
    </row>
    <row r="3289" spans="18:18" x14ac:dyDescent="0.25">
      <c r="R3289" s="219"/>
    </row>
    <row r="3290" spans="18:18" x14ac:dyDescent="0.25">
      <c r="R3290" s="219"/>
    </row>
    <row r="3291" spans="18:18" x14ac:dyDescent="0.25">
      <c r="R3291" s="219"/>
    </row>
    <row r="3292" spans="18:18" x14ac:dyDescent="0.25">
      <c r="R3292" s="219"/>
    </row>
    <row r="3293" spans="18:18" x14ac:dyDescent="0.25">
      <c r="R3293" s="219"/>
    </row>
    <row r="3294" spans="18:18" x14ac:dyDescent="0.25">
      <c r="R3294" s="219"/>
    </row>
    <row r="3295" spans="18:18" x14ac:dyDescent="0.25">
      <c r="R3295" s="219"/>
    </row>
    <row r="3296" spans="18:18" x14ac:dyDescent="0.25">
      <c r="R3296" s="219"/>
    </row>
    <row r="3297" spans="18:18" x14ac:dyDescent="0.25">
      <c r="R3297" s="219"/>
    </row>
    <row r="3298" spans="18:18" x14ac:dyDescent="0.25">
      <c r="R3298" s="219"/>
    </row>
    <row r="3299" spans="18:18" x14ac:dyDescent="0.25">
      <c r="R3299" s="219"/>
    </row>
    <row r="3300" spans="18:18" x14ac:dyDescent="0.25">
      <c r="R3300" s="219"/>
    </row>
    <row r="3301" spans="18:18" x14ac:dyDescent="0.25">
      <c r="R3301" s="219"/>
    </row>
    <row r="3302" spans="18:18" x14ac:dyDescent="0.25">
      <c r="R3302" s="219"/>
    </row>
    <row r="3303" spans="18:18" x14ac:dyDescent="0.25">
      <c r="R3303" s="219"/>
    </row>
    <row r="3304" spans="18:18" x14ac:dyDescent="0.25">
      <c r="R3304" s="219"/>
    </row>
    <row r="3305" spans="18:18" x14ac:dyDescent="0.25">
      <c r="R3305" s="219"/>
    </row>
    <row r="3306" spans="18:18" x14ac:dyDescent="0.25">
      <c r="R3306" s="219"/>
    </row>
    <row r="3307" spans="18:18" x14ac:dyDescent="0.25">
      <c r="R3307" s="219"/>
    </row>
    <row r="3308" spans="18:18" x14ac:dyDescent="0.25">
      <c r="R3308" s="219"/>
    </row>
    <row r="3309" spans="18:18" x14ac:dyDescent="0.25">
      <c r="R3309" s="219"/>
    </row>
    <row r="3310" spans="18:18" x14ac:dyDescent="0.25">
      <c r="R3310" s="219"/>
    </row>
    <row r="3311" spans="18:18" x14ac:dyDescent="0.25">
      <c r="R3311" s="219"/>
    </row>
    <row r="3312" spans="18:18" x14ac:dyDescent="0.25">
      <c r="R3312" s="219"/>
    </row>
    <row r="3313" spans="18:18" x14ac:dyDescent="0.25">
      <c r="R3313" s="219"/>
    </row>
    <row r="3314" spans="18:18" x14ac:dyDescent="0.25">
      <c r="R3314" s="219"/>
    </row>
    <row r="3315" spans="18:18" x14ac:dyDescent="0.25">
      <c r="R3315" s="219"/>
    </row>
    <row r="3316" spans="18:18" x14ac:dyDescent="0.25">
      <c r="R3316" s="219"/>
    </row>
    <row r="3317" spans="18:18" x14ac:dyDescent="0.25">
      <c r="R3317" s="219"/>
    </row>
    <row r="3318" spans="18:18" x14ac:dyDescent="0.25">
      <c r="R3318" s="219"/>
    </row>
    <row r="3319" spans="18:18" x14ac:dyDescent="0.25">
      <c r="R3319" s="219"/>
    </row>
    <row r="3320" spans="18:18" x14ac:dyDescent="0.25">
      <c r="R3320" s="219"/>
    </row>
    <row r="3321" spans="18:18" x14ac:dyDescent="0.25">
      <c r="R3321" s="219"/>
    </row>
    <row r="3322" spans="18:18" x14ac:dyDescent="0.25">
      <c r="R3322" s="219"/>
    </row>
    <row r="3323" spans="18:18" x14ac:dyDescent="0.25">
      <c r="R3323" s="219"/>
    </row>
    <row r="3324" spans="18:18" x14ac:dyDescent="0.25">
      <c r="R3324" s="219"/>
    </row>
    <row r="3325" spans="18:18" x14ac:dyDescent="0.25">
      <c r="R3325" s="219"/>
    </row>
    <row r="3326" spans="18:18" x14ac:dyDescent="0.25">
      <c r="R3326" s="219"/>
    </row>
    <row r="3327" spans="18:18" x14ac:dyDescent="0.25">
      <c r="R3327" s="219"/>
    </row>
    <row r="3328" spans="18:18" x14ac:dyDescent="0.25">
      <c r="R3328" s="219"/>
    </row>
    <row r="3329" spans="18:18" x14ac:dyDescent="0.25">
      <c r="R3329" s="219"/>
    </row>
    <row r="3330" spans="18:18" x14ac:dyDescent="0.25">
      <c r="R3330" s="219"/>
    </row>
    <row r="3331" spans="18:18" x14ac:dyDescent="0.25">
      <c r="R3331" s="219"/>
    </row>
    <row r="3332" spans="18:18" x14ac:dyDescent="0.25">
      <c r="R3332" s="219"/>
    </row>
    <row r="3333" spans="18:18" x14ac:dyDescent="0.25">
      <c r="R3333" s="219"/>
    </row>
    <row r="3334" spans="18:18" x14ac:dyDescent="0.25">
      <c r="R3334" s="219"/>
    </row>
    <row r="3335" spans="18:18" x14ac:dyDescent="0.25">
      <c r="R3335" s="219"/>
    </row>
    <row r="3336" spans="18:18" x14ac:dyDescent="0.25">
      <c r="R3336" s="219"/>
    </row>
    <row r="3337" spans="18:18" x14ac:dyDescent="0.25">
      <c r="R3337" s="219"/>
    </row>
    <row r="3338" spans="18:18" x14ac:dyDescent="0.25">
      <c r="R3338" s="219"/>
    </row>
    <row r="3339" spans="18:18" x14ac:dyDescent="0.25">
      <c r="R3339" s="219"/>
    </row>
    <row r="3340" spans="18:18" x14ac:dyDescent="0.25">
      <c r="R3340" s="219"/>
    </row>
    <row r="3341" spans="18:18" x14ac:dyDescent="0.25">
      <c r="R3341" s="219"/>
    </row>
    <row r="3342" spans="18:18" x14ac:dyDescent="0.25">
      <c r="R3342" s="219"/>
    </row>
    <row r="3343" spans="18:18" x14ac:dyDescent="0.25">
      <c r="R3343" s="219"/>
    </row>
    <row r="3344" spans="18:18" x14ac:dyDescent="0.25">
      <c r="R3344" s="219"/>
    </row>
    <row r="3345" spans="18:18" x14ac:dyDescent="0.25">
      <c r="R3345" s="219"/>
    </row>
    <row r="3346" spans="18:18" x14ac:dyDescent="0.25">
      <c r="R3346" s="219"/>
    </row>
    <row r="3347" spans="18:18" x14ac:dyDescent="0.25">
      <c r="R3347" s="219"/>
    </row>
    <row r="3348" spans="18:18" x14ac:dyDescent="0.25">
      <c r="R3348" s="219"/>
    </row>
    <row r="3349" spans="18:18" x14ac:dyDescent="0.25">
      <c r="R3349" s="219"/>
    </row>
    <row r="3350" spans="18:18" x14ac:dyDescent="0.25">
      <c r="R3350" s="219"/>
    </row>
    <row r="3351" spans="18:18" x14ac:dyDescent="0.25">
      <c r="R3351" s="219"/>
    </row>
    <row r="3352" spans="18:18" x14ac:dyDescent="0.25">
      <c r="R3352" s="219"/>
    </row>
    <row r="3353" spans="18:18" x14ac:dyDescent="0.25">
      <c r="R3353" s="219"/>
    </row>
    <row r="3354" spans="18:18" x14ac:dyDescent="0.25">
      <c r="R3354" s="219"/>
    </row>
    <row r="3355" spans="18:18" x14ac:dyDescent="0.25">
      <c r="R3355" s="219"/>
    </row>
    <row r="3356" spans="18:18" x14ac:dyDescent="0.25">
      <c r="R3356" s="219"/>
    </row>
    <row r="3357" spans="18:18" x14ac:dyDescent="0.25">
      <c r="R3357" s="219"/>
    </row>
    <row r="3358" spans="18:18" x14ac:dyDescent="0.25">
      <c r="R3358" s="219"/>
    </row>
    <row r="3359" spans="18:18" x14ac:dyDescent="0.25">
      <c r="R3359" s="219"/>
    </row>
    <row r="3360" spans="18:18" x14ac:dyDescent="0.25">
      <c r="R3360" s="219"/>
    </row>
    <row r="3361" spans="18:18" x14ac:dyDescent="0.25">
      <c r="R3361" s="219"/>
    </row>
    <row r="3362" spans="18:18" x14ac:dyDescent="0.25">
      <c r="R3362" s="219"/>
    </row>
    <row r="3363" spans="18:18" x14ac:dyDescent="0.25">
      <c r="R3363" s="219"/>
    </row>
    <row r="3364" spans="18:18" x14ac:dyDescent="0.25">
      <c r="R3364" s="219"/>
    </row>
    <row r="3365" spans="18:18" x14ac:dyDescent="0.25">
      <c r="R3365" s="219"/>
    </row>
    <row r="3366" spans="18:18" x14ac:dyDescent="0.25">
      <c r="R3366" s="219"/>
    </row>
    <row r="3367" spans="18:18" x14ac:dyDescent="0.25">
      <c r="R3367" s="219"/>
    </row>
    <row r="3368" spans="18:18" x14ac:dyDescent="0.25">
      <c r="R3368" s="219"/>
    </row>
    <row r="3369" spans="18:18" x14ac:dyDescent="0.25">
      <c r="R3369" s="219"/>
    </row>
    <row r="3370" spans="18:18" x14ac:dyDescent="0.25">
      <c r="R3370" s="219"/>
    </row>
    <row r="3371" spans="18:18" x14ac:dyDescent="0.25">
      <c r="R3371" s="219"/>
    </row>
    <row r="3372" spans="18:18" x14ac:dyDescent="0.25">
      <c r="R3372" s="219"/>
    </row>
    <row r="3373" spans="18:18" x14ac:dyDescent="0.25">
      <c r="R3373" s="219"/>
    </row>
    <row r="3374" spans="18:18" x14ac:dyDescent="0.25">
      <c r="R3374" s="219"/>
    </row>
    <row r="3375" spans="18:18" x14ac:dyDescent="0.25">
      <c r="R3375" s="219"/>
    </row>
    <row r="3376" spans="18:18" x14ac:dyDescent="0.25">
      <c r="R3376" s="219"/>
    </row>
    <row r="3377" spans="18:18" x14ac:dyDescent="0.25">
      <c r="R3377" s="219"/>
    </row>
    <row r="3378" spans="18:18" x14ac:dyDescent="0.25">
      <c r="R3378" s="219"/>
    </row>
    <row r="3379" spans="18:18" x14ac:dyDescent="0.25">
      <c r="R3379" s="219"/>
    </row>
    <row r="3380" spans="18:18" x14ac:dyDescent="0.25">
      <c r="R3380" s="219"/>
    </row>
    <row r="3381" spans="18:18" x14ac:dyDescent="0.25">
      <c r="R3381" s="219"/>
    </row>
    <row r="3382" spans="18:18" x14ac:dyDescent="0.25">
      <c r="R3382" s="219"/>
    </row>
    <row r="3383" spans="18:18" x14ac:dyDescent="0.25">
      <c r="R3383" s="219"/>
    </row>
    <row r="3384" spans="18:18" x14ac:dyDescent="0.25">
      <c r="R3384" s="219"/>
    </row>
    <row r="3385" spans="18:18" x14ac:dyDescent="0.25">
      <c r="R3385" s="219"/>
    </row>
    <row r="3386" spans="18:18" x14ac:dyDescent="0.25">
      <c r="R3386" s="219"/>
    </row>
    <row r="3387" spans="18:18" x14ac:dyDescent="0.25">
      <c r="R3387" s="219"/>
    </row>
    <row r="3388" spans="18:18" x14ac:dyDescent="0.25">
      <c r="R3388" s="219"/>
    </row>
    <row r="3389" spans="18:18" x14ac:dyDescent="0.25">
      <c r="R3389" s="219"/>
    </row>
    <row r="3390" spans="18:18" x14ac:dyDescent="0.25">
      <c r="R3390" s="219"/>
    </row>
    <row r="3391" spans="18:18" x14ac:dyDescent="0.25">
      <c r="R3391" s="219"/>
    </row>
    <row r="3392" spans="18:18" x14ac:dyDescent="0.25">
      <c r="R3392" s="219"/>
    </row>
    <row r="3393" spans="18:18" x14ac:dyDescent="0.25">
      <c r="R3393" s="219"/>
    </row>
    <row r="3394" spans="18:18" x14ac:dyDescent="0.25">
      <c r="R3394" s="219"/>
    </row>
    <row r="3395" spans="18:18" x14ac:dyDescent="0.25">
      <c r="R3395" s="219"/>
    </row>
    <row r="3396" spans="18:18" x14ac:dyDescent="0.25">
      <c r="R3396" s="219"/>
    </row>
    <row r="3397" spans="18:18" x14ac:dyDescent="0.25">
      <c r="R3397" s="219"/>
    </row>
    <row r="3398" spans="18:18" x14ac:dyDescent="0.25">
      <c r="R3398" s="219"/>
    </row>
    <row r="3399" spans="18:18" x14ac:dyDescent="0.25">
      <c r="R3399" s="219"/>
    </row>
    <row r="3400" spans="18:18" x14ac:dyDescent="0.25">
      <c r="R3400" s="219"/>
    </row>
    <row r="3401" spans="18:18" x14ac:dyDescent="0.25">
      <c r="R3401" s="219"/>
    </row>
    <row r="3402" spans="18:18" x14ac:dyDescent="0.25">
      <c r="R3402" s="219"/>
    </row>
    <row r="3403" spans="18:18" x14ac:dyDescent="0.25">
      <c r="R3403" s="219"/>
    </row>
    <row r="3404" spans="18:18" x14ac:dyDescent="0.25">
      <c r="R3404" s="219"/>
    </row>
    <row r="3405" spans="18:18" x14ac:dyDescent="0.25">
      <c r="R3405" s="219"/>
    </row>
    <row r="3406" spans="18:18" x14ac:dyDescent="0.25">
      <c r="R3406" s="219"/>
    </row>
    <row r="3407" spans="18:18" x14ac:dyDescent="0.25">
      <c r="R3407" s="219"/>
    </row>
    <row r="3408" spans="18:18" x14ac:dyDescent="0.25">
      <c r="R3408" s="219"/>
    </row>
    <row r="3409" spans="18:18" x14ac:dyDescent="0.25">
      <c r="R3409" s="219"/>
    </row>
    <row r="3410" spans="18:18" x14ac:dyDescent="0.25">
      <c r="R3410" s="219"/>
    </row>
    <row r="3411" spans="18:18" x14ac:dyDescent="0.25">
      <c r="R3411" s="219"/>
    </row>
    <row r="3412" spans="18:18" x14ac:dyDescent="0.25">
      <c r="R3412" s="219"/>
    </row>
    <row r="3413" spans="18:18" x14ac:dyDescent="0.25">
      <c r="R3413" s="219"/>
    </row>
    <row r="3414" spans="18:18" x14ac:dyDescent="0.25">
      <c r="R3414" s="219"/>
    </row>
    <row r="3415" spans="18:18" x14ac:dyDescent="0.25">
      <c r="R3415" s="219"/>
    </row>
    <row r="3416" spans="18:18" x14ac:dyDescent="0.25">
      <c r="R3416" s="219"/>
    </row>
    <row r="3417" spans="18:18" x14ac:dyDescent="0.25">
      <c r="R3417" s="219"/>
    </row>
    <row r="3418" spans="18:18" x14ac:dyDescent="0.25">
      <c r="R3418" s="219"/>
    </row>
    <row r="3419" spans="18:18" x14ac:dyDescent="0.25">
      <c r="R3419" s="219"/>
    </row>
    <row r="3420" spans="18:18" x14ac:dyDescent="0.25">
      <c r="R3420" s="219"/>
    </row>
    <row r="3421" spans="18:18" x14ac:dyDescent="0.25">
      <c r="R3421" s="219"/>
    </row>
    <row r="3422" spans="18:18" x14ac:dyDescent="0.25">
      <c r="R3422" s="219"/>
    </row>
    <row r="3423" spans="18:18" x14ac:dyDescent="0.25">
      <c r="R3423" s="219"/>
    </row>
    <row r="3424" spans="18:18" x14ac:dyDescent="0.25">
      <c r="R3424" s="219"/>
    </row>
    <row r="3425" spans="18:18" x14ac:dyDescent="0.25">
      <c r="R3425" s="219"/>
    </row>
    <row r="3426" spans="18:18" x14ac:dyDescent="0.25">
      <c r="R3426" s="219"/>
    </row>
    <row r="3427" spans="18:18" x14ac:dyDescent="0.25">
      <c r="R3427" s="219"/>
    </row>
    <row r="3428" spans="18:18" x14ac:dyDescent="0.25">
      <c r="R3428" s="219"/>
    </row>
    <row r="3429" spans="18:18" x14ac:dyDescent="0.25">
      <c r="R3429" s="219"/>
    </row>
    <row r="3430" spans="18:18" x14ac:dyDescent="0.25">
      <c r="R3430" s="219"/>
    </row>
    <row r="3431" spans="18:18" x14ac:dyDescent="0.25">
      <c r="R3431" s="219"/>
    </row>
    <row r="3432" spans="18:18" x14ac:dyDescent="0.25">
      <c r="R3432" s="219"/>
    </row>
    <row r="3433" spans="18:18" x14ac:dyDescent="0.25">
      <c r="R3433" s="219"/>
    </row>
    <row r="3434" spans="18:18" x14ac:dyDescent="0.25">
      <c r="R3434" s="219"/>
    </row>
    <row r="3435" spans="18:18" x14ac:dyDescent="0.25">
      <c r="R3435" s="219"/>
    </row>
    <row r="3436" spans="18:18" x14ac:dyDescent="0.25">
      <c r="R3436" s="219"/>
    </row>
    <row r="3437" spans="18:18" x14ac:dyDescent="0.25">
      <c r="R3437" s="219"/>
    </row>
    <row r="3438" spans="18:18" x14ac:dyDescent="0.25">
      <c r="R3438" s="219"/>
    </row>
    <row r="3439" spans="18:18" x14ac:dyDescent="0.25">
      <c r="R3439" s="219"/>
    </row>
    <row r="3440" spans="18:18" x14ac:dyDescent="0.25">
      <c r="R3440" s="219"/>
    </row>
    <row r="3441" spans="18:18" x14ac:dyDescent="0.25">
      <c r="R3441" s="219"/>
    </row>
    <row r="3442" spans="18:18" x14ac:dyDescent="0.25">
      <c r="R3442" s="219"/>
    </row>
    <row r="3443" spans="18:18" x14ac:dyDescent="0.25">
      <c r="R3443" s="219"/>
    </row>
    <row r="3444" spans="18:18" x14ac:dyDescent="0.25">
      <c r="R3444" s="219"/>
    </row>
    <row r="3445" spans="18:18" x14ac:dyDescent="0.25">
      <c r="R3445" s="219"/>
    </row>
    <row r="3446" spans="18:18" x14ac:dyDescent="0.25">
      <c r="R3446" s="219"/>
    </row>
    <row r="3447" spans="18:18" x14ac:dyDescent="0.25">
      <c r="R3447" s="219"/>
    </row>
    <row r="3448" spans="18:18" x14ac:dyDescent="0.25">
      <c r="R3448" s="219"/>
    </row>
    <row r="3449" spans="18:18" x14ac:dyDescent="0.25">
      <c r="R3449" s="219"/>
    </row>
    <row r="3450" spans="18:18" x14ac:dyDescent="0.25">
      <c r="R3450" s="219"/>
    </row>
    <row r="3451" spans="18:18" x14ac:dyDescent="0.25">
      <c r="R3451" s="219"/>
    </row>
    <row r="3452" spans="18:18" x14ac:dyDescent="0.25">
      <c r="R3452" s="219"/>
    </row>
    <row r="3453" spans="18:18" x14ac:dyDescent="0.25">
      <c r="R3453" s="219"/>
    </row>
    <row r="3454" spans="18:18" x14ac:dyDescent="0.25">
      <c r="R3454" s="219"/>
    </row>
    <row r="3455" spans="18:18" x14ac:dyDescent="0.25">
      <c r="R3455" s="219"/>
    </row>
    <row r="3456" spans="18:18" x14ac:dyDescent="0.25">
      <c r="R3456" s="219"/>
    </row>
    <row r="3457" spans="18:18" x14ac:dyDescent="0.25">
      <c r="R3457" s="219"/>
    </row>
    <row r="3458" spans="18:18" x14ac:dyDescent="0.25">
      <c r="R3458" s="219"/>
    </row>
    <row r="3459" spans="18:18" x14ac:dyDescent="0.25">
      <c r="R3459" s="219"/>
    </row>
    <row r="3460" spans="18:18" x14ac:dyDescent="0.25">
      <c r="R3460" s="219"/>
    </row>
    <row r="3461" spans="18:18" x14ac:dyDescent="0.25">
      <c r="R3461" s="219"/>
    </row>
    <row r="3462" spans="18:18" x14ac:dyDescent="0.25">
      <c r="R3462" s="219"/>
    </row>
    <row r="3463" spans="18:18" x14ac:dyDescent="0.25">
      <c r="R3463" s="219"/>
    </row>
    <row r="3464" spans="18:18" x14ac:dyDescent="0.25">
      <c r="R3464" s="219"/>
    </row>
    <row r="3465" spans="18:18" x14ac:dyDescent="0.25">
      <c r="R3465" s="219"/>
    </row>
    <row r="3466" spans="18:18" x14ac:dyDescent="0.25">
      <c r="R3466" s="219"/>
    </row>
    <row r="3467" spans="18:18" x14ac:dyDescent="0.25">
      <c r="R3467" s="219"/>
    </row>
    <row r="3468" spans="18:18" x14ac:dyDescent="0.25">
      <c r="R3468" s="219"/>
    </row>
    <row r="3469" spans="18:18" x14ac:dyDescent="0.25">
      <c r="R3469" s="219"/>
    </row>
    <row r="3470" spans="18:18" x14ac:dyDescent="0.25">
      <c r="R3470" s="219"/>
    </row>
    <row r="3471" spans="18:18" x14ac:dyDescent="0.25">
      <c r="R3471" s="219"/>
    </row>
    <row r="3472" spans="18:18" x14ac:dyDescent="0.25">
      <c r="R3472" s="219"/>
    </row>
    <row r="3473" spans="18:18" x14ac:dyDescent="0.25">
      <c r="R3473" s="219"/>
    </row>
    <row r="3474" spans="18:18" x14ac:dyDescent="0.25">
      <c r="R3474" s="219"/>
    </row>
    <row r="3475" spans="18:18" x14ac:dyDescent="0.25">
      <c r="R3475" s="219"/>
    </row>
    <row r="3476" spans="18:18" x14ac:dyDescent="0.25">
      <c r="R3476" s="219"/>
    </row>
    <row r="3477" spans="18:18" x14ac:dyDescent="0.25">
      <c r="R3477" s="219"/>
    </row>
    <row r="3478" spans="18:18" x14ac:dyDescent="0.25">
      <c r="R3478" s="219"/>
    </row>
    <row r="3479" spans="18:18" x14ac:dyDescent="0.25">
      <c r="R3479" s="219"/>
    </row>
    <row r="3480" spans="18:18" x14ac:dyDescent="0.25">
      <c r="R3480" s="219"/>
    </row>
    <row r="3481" spans="18:18" x14ac:dyDescent="0.25">
      <c r="R3481" s="219"/>
    </row>
    <row r="3482" spans="18:18" x14ac:dyDescent="0.25">
      <c r="R3482" s="219"/>
    </row>
    <row r="3483" spans="18:18" x14ac:dyDescent="0.25">
      <c r="R3483" s="219"/>
    </row>
    <row r="3484" spans="18:18" x14ac:dyDescent="0.25">
      <c r="R3484" s="219"/>
    </row>
    <row r="3485" spans="18:18" x14ac:dyDescent="0.25">
      <c r="R3485" s="219"/>
    </row>
    <row r="3486" spans="18:18" x14ac:dyDescent="0.25">
      <c r="R3486" s="219"/>
    </row>
    <row r="3487" spans="18:18" x14ac:dyDescent="0.25">
      <c r="R3487" s="219"/>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Z73"/>
  <sheetViews>
    <sheetView topLeftCell="BN1" zoomScaleNormal="100" zoomScaleSheetLayoutView="80" workbookViewId="0">
      <selection activeCell="A68" sqref="A1:CA68"/>
    </sheetView>
  </sheetViews>
  <sheetFormatPr defaultRowHeight="15" x14ac:dyDescent="0.25"/>
  <cols>
    <col min="1" max="1" width="7.5703125" style="172" customWidth="1"/>
    <col min="2" max="2" width="61.5703125" style="172" customWidth="1"/>
    <col min="3" max="15" width="9.28515625" style="172" hidden="1" customWidth="1"/>
    <col min="16" max="21" width="9.140625" style="172" hidden="1" customWidth="1"/>
    <col min="22" max="22" width="9.7109375" style="172" hidden="1" customWidth="1"/>
    <col min="23" max="25" width="9.140625" style="172" hidden="1" customWidth="1"/>
    <col min="26" max="41" width="10.85546875" style="172" hidden="1" customWidth="1"/>
    <col min="42" max="54" width="14.28515625" style="172" hidden="1" customWidth="1"/>
    <col min="55" max="65" width="12.28515625" style="172" hidden="1" customWidth="1"/>
    <col min="66" max="78" width="12.28515625" style="172" customWidth="1"/>
    <col min="79" max="261" width="9.140625" style="172"/>
    <col min="262" max="262" width="5.140625" style="172" customWidth="1"/>
    <col min="263" max="263" width="63.42578125" style="172" customWidth="1"/>
    <col min="264" max="301" width="0" style="172" hidden="1" customWidth="1"/>
    <col min="302" max="312" width="10.85546875" style="172" customWidth="1"/>
    <col min="313" max="314" width="10.7109375" style="172" customWidth="1"/>
    <col min="315" max="517" width="9.140625" style="172"/>
    <col min="518" max="518" width="5.140625" style="172" customWidth="1"/>
    <col min="519" max="519" width="63.42578125" style="172" customWidth="1"/>
    <col min="520" max="557" width="0" style="172" hidden="1" customWidth="1"/>
    <col min="558" max="568" width="10.85546875" style="172" customWidth="1"/>
    <col min="569" max="570" width="10.7109375" style="172" customWidth="1"/>
    <col min="571" max="773" width="9.140625" style="172"/>
    <col min="774" max="774" width="5.140625" style="172" customWidth="1"/>
    <col min="775" max="775" width="63.42578125" style="172" customWidth="1"/>
    <col min="776" max="813" width="0" style="172" hidden="1" customWidth="1"/>
    <col min="814" max="824" width="10.85546875" style="172" customWidth="1"/>
    <col min="825" max="826" width="10.7109375" style="172" customWidth="1"/>
    <col min="827" max="1029" width="9.140625" style="172"/>
    <col min="1030" max="1030" width="5.140625" style="172" customWidth="1"/>
    <col min="1031" max="1031" width="63.42578125" style="172" customWidth="1"/>
    <col min="1032" max="1069" width="0" style="172" hidden="1" customWidth="1"/>
    <col min="1070" max="1080" width="10.85546875" style="172" customWidth="1"/>
    <col min="1081" max="1082" width="10.7109375" style="172" customWidth="1"/>
    <col min="1083" max="1285" width="9.140625" style="172"/>
    <col min="1286" max="1286" width="5.140625" style="172" customWidth="1"/>
    <col min="1287" max="1287" width="63.42578125" style="172" customWidth="1"/>
    <col min="1288" max="1325" width="0" style="172" hidden="1" customWidth="1"/>
    <col min="1326" max="1336" width="10.85546875" style="172" customWidth="1"/>
    <col min="1337" max="1338" width="10.7109375" style="172" customWidth="1"/>
    <col min="1339" max="1541" width="9.140625" style="172"/>
    <col min="1542" max="1542" width="5.140625" style="172" customWidth="1"/>
    <col min="1543" max="1543" width="63.42578125" style="172" customWidth="1"/>
    <col min="1544" max="1581" width="0" style="172" hidden="1" customWidth="1"/>
    <col min="1582" max="1592" width="10.85546875" style="172" customWidth="1"/>
    <col min="1593" max="1594" width="10.7109375" style="172" customWidth="1"/>
    <col min="1595" max="1797" width="9.140625" style="172"/>
    <col min="1798" max="1798" width="5.140625" style="172" customWidth="1"/>
    <col min="1799" max="1799" width="63.42578125" style="172" customWidth="1"/>
    <col min="1800" max="1837" width="0" style="172" hidden="1" customWidth="1"/>
    <col min="1838" max="1848" width="10.85546875" style="172" customWidth="1"/>
    <col min="1849" max="1850" width="10.7109375" style="172" customWidth="1"/>
    <col min="1851" max="2053" width="9.140625" style="172"/>
    <col min="2054" max="2054" width="5.140625" style="172" customWidth="1"/>
    <col min="2055" max="2055" width="63.42578125" style="172" customWidth="1"/>
    <col min="2056" max="2093" width="0" style="172" hidden="1" customWidth="1"/>
    <col min="2094" max="2104" width="10.85546875" style="172" customWidth="1"/>
    <col min="2105" max="2106" width="10.7109375" style="172" customWidth="1"/>
    <col min="2107" max="2309" width="9.140625" style="172"/>
    <col min="2310" max="2310" width="5.140625" style="172" customWidth="1"/>
    <col min="2311" max="2311" width="63.42578125" style="172" customWidth="1"/>
    <col min="2312" max="2349" width="0" style="172" hidden="1" customWidth="1"/>
    <col min="2350" max="2360" width="10.85546875" style="172" customWidth="1"/>
    <col min="2361" max="2362" width="10.7109375" style="172" customWidth="1"/>
    <col min="2363" max="2565" width="9.140625" style="172"/>
    <col min="2566" max="2566" width="5.140625" style="172" customWidth="1"/>
    <col min="2567" max="2567" width="63.42578125" style="172" customWidth="1"/>
    <col min="2568" max="2605" width="0" style="172" hidden="1" customWidth="1"/>
    <col min="2606" max="2616" width="10.85546875" style="172" customWidth="1"/>
    <col min="2617" max="2618" width="10.7109375" style="172" customWidth="1"/>
    <col min="2619" max="2821" width="9.140625" style="172"/>
    <col min="2822" max="2822" width="5.140625" style="172" customWidth="1"/>
    <col min="2823" max="2823" width="63.42578125" style="172" customWidth="1"/>
    <col min="2824" max="2861" width="0" style="172" hidden="1" customWidth="1"/>
    <col min="2862" max="2872" width="10.85546875" style="172" customWidth="1"/>
    <col min="2873" max="2874" width="10.7109375" style="172" customWidth="1"/>
    <col min="2875" max="3077" width="9.140625" style="172"/>
    <col min="3078" max="3078" width="5.140625" style="172" customWidth="1"/>
    <col min="3079" max="3079" width="63.42578125" style="172" customWidth="1"/>
    <col min="3080" max="3117" width="0" style="172" hidden="1" customWidth="1"/>
    <col min="3118" max="3128" width="10.85546875" style="172" customWidth="1"/>
    <col min="3129" max="3130" width="10.7109375" style="172" customWidth="1"/>
    <col min="3131" max="3333" width="9.140625" style="172"/>
    <col min="3334" max="3334" width="5.140625" style="172" customWidth="1"/>
    <col min="3335" max="3335" width="63.42578125" style="172" customWidth="1"/>
    <col min="3336" max="3373" width="0" style="172" hidden="1" customWidth="1"/>
    <col min="3374" max="3384" width="10.85546875" style="172" customWidth="1"/>
    <col min="3385" max="3386" width="10.7109375" style="172" customWidth="1"/>
    <col min="3387" max="3589" width="9.140625" style="172"/>
    <col min="3590" max="3590" width="5.140625" style="172" customWidth="1"/>
    <col min="3591" max="3591" width="63.42578125" style="172" customWidth="1"/>
    <col min="3592" max="3629" width="0" style="172" hidden="1" customWidth="1"/>
    <col min="3630" max="3640" width="10.85546875" style="172" customWidth="1"/>
    <col min="3641" max="3642" width="10.7109375" style="172" customWidth="1"/>
    <col min="3643" max="3845" width="9.140625" style="172"/>
    <col min="3846" max="3846" width="5.140625" style="172" customWidth="1"/>
    <col min="3847" max="3847" width="63.42578125" style="172" customWidth="1"/>
    <col min="3848" max="3885" width="0" style="172" hidden="1" customWidth="1"/>
    <col min="3886" max="3896" width="10.85546875" style="172" customWidth="1"/>
    <col min="3897" max="3898" width="10.7109375" style="172" customWidth="1"/>
    <col min="3899" max="4101" width="9.140625" style="172"/>
    <col min="4102" max="4102" width="5.140625" style="172" customWidth="1"/>
    <col min="4103" max="4103" width="63.42578125" style="172" customWidth="1"/>
    <col min="4104" max="4141" width="0" style="172" hidden="1" customWidth="1"/>
    <col min="4142" max="4152" width="10.85546875" style="172" customWidth="1"/>
    <col min="4153" max="4154" width="10.7109375" style="172" customWidth="1"/>
    <col min="4155" max="4357" width="9.140625" style="172"/>
    <col min="4358" max="4358" width="5.140625" style="172" customWidth="1"/>
    <col min="4359" max="4359" width="63.42578125" style="172" customWidth="1"/>
    <col min="4360" max="4397" width="0" style="172" hidden="1" customWidth="1"/>
    <col min="4398" max="4408" width="10.85546875" style="172" customWidth="1"/>
    <col min="4409" max="4410" width="10.7109375" style="172" customWidth="1"/>
    <col min="4411" max="4613" width="9.140625" style="172"/>
    <col min="4614" max="4614" width="5.140625" style="172" customWidth="1"/>
    <col min="4615" max="4615" width="63.42578125" style="172" customWidth="1"/>
    <col min="4616" max="4653" width="0" style="172" hidden="1" customWidth="1"/>
    <col min="4654" max="4664" width="10.85546875" style="172" customWidth="1"/>
    <col min="4665" max="4666" width="10.7109375" style="172" customWidth="1"/>
    <col min="4667" max="4869" width="9.140625" style="172"/>
    <col min="4870" max="4870" width="5.140625" style="172" customWidth="1"/>
    <col min="4871" max="4871" width="63.42578125" style="172" customWidth="1"/>
    <col min="4872" max="4909" width="0" style="172" hidden="1" customWidth="1"/>
    <col min="4910" max="4920" width="10.85546875" style="172" customWidth="1"/>
    <col min="4921" max="4922" width="10.7109375" style="172" customWidth="1"/>
    <col min="4923" max="5125" width="9.140625" style="172"/>
    <col min="5126" max="5126" width="5.140625" style="172" customWidth="1"/>
    <col min="5127" max="5127" width="63.42578125" style="172" customWidth="1"/>
    <col min="5128" max="5165" width="0" style="172" hidden="1" customWidth="1"/>
    <col min="5166" max="5176" width="10.85546875" style="172" customWidth="1"/>
    <col min="5177" max="5178" width="10.7109375" style="172" customWidth="1"/>
    <col min="5179" max="5381" width="9.140625" style="172"/>
    <col min="5382" max="5382" width="5.140625" style="172" customWidth="1"/>
    <col min="5383" max="5383" width="63.42578125" style="172" customWidth="1"/>
    <col min="5384" max="5421" width="0" style="172" hidden="1" customWidth="1"/>
    <col min="5422" max="5432" width="10.85546875" style="172" customWidth="1"/>
    <col min="5433" max="5434" width="10.7109375" style="172" customWidth="1"/>
    <col min="5435" max="5637" width="9.140625" style="172"/>
    <col min="5638" max="5638" width="5.140625" style="172" customWidth="1"/>
    <col min="5639" max="5639" width="63.42578125" style="172" customWidth="1"/>
    <col min="5640" max="5677" width="0" style="172" hidden="1" customWidth="1"/>
    <col min="5678" max="5688" width="10.85546875" style="172" customWidth="1"/>
    <col min="5689" max="5690" width="10.7109375" style="172" customWidth="1"/>
    <col min="5691" max="5893" width="9.140625" style="172"/>
    <col min="5894" max="5894" width="5.140625" style="172" customWidth="1"/>
    <col min="5895" max="5895" width="63.42578125" style="172" customWidth="1"/>
    <col min="5896" max="5933" width="0" style="172" hidden="1" customWidth="1"/>
    <col min="5934" max="5944" width="10.85546875" style="172" customWidth="1"/>
    <col min="5945" max="5946" width="10.7109375" style="172" customWidth="1"/>
    <col min="5947" max="6149" width="9.140625" style="172"/>
    <col min="6150" max="6150" width="5.140625" style="172" customWidth="1"/>
    <col min="6151" max="6151" width="63.42578125" style="172" customWidth="1"/>
    <col min="6152" max="6189" width="0" style="172" hidden="1" customWidth="1"/>
    <col min="6190" max="6200" width="10.85546875" style="172" customWidth="1"/>
    <col min="6201" max="6202" width="10.7109375" style="172" customWidth="1"/>
    <col min="6203" max="6405" width="9.140625" style="172"/>
    <col min="6406" max="6406" width="5.140625" style="172" customWidth="1"/>
    <col min="6407" max="6407" width="63.42578125" style="172" customWidth="1"/>
    <col min="6408" max="6445" width="0" style="172" hidden="1" customWidth="1"/>
    <col min="6446" max="6456" width="10.85546875" style="172" customWidth="1"/>
    <col min="6457" max="6458" width="10.7109375" style="172" customWidth="1"/>
    <col min="6459" max="6661" width="9.140625" style="172"/>
    <col min="6662" max="6662" width="5.140625" style="172" customWidth="1"/>
    <col min="6663" max="6663" width="63.42578125" style="172" customWidth="1"/>
    <col min="6664" max="6701" width="0" style="172" hidden="1" customWidth="1"/>
    <col min="6702" max="6712" width="10.85546875" style="172" customWidth="1"/>
    <col min="6713" max="6714" width="10.7109375" style="172" customWidth="1"/>
    <col min="6715" max="6917" width="9.140625" style="172"/>
    <col min="6918" max="6918" width="5.140625" style="172" customWidth="1"/>
    <col min="6919" max="6919" width="63.42578125" style="172" customWidth="1"/>
    <col min="6920" max="6957" width="0" style="172" hidden="1" customWidth="1"/>
    <col min="6958" max="6968" width="10.85546875" style="172" customWidth="1"/>
    <col min="6969" max="6970" width="10.7109375" style="172" customWidth="1"/>
    <col min="6971" max="7173" width="9.140625" style="172"/>
    <col min="7174" max="7174" width="5.140625" style="172" customWidth="1"/>
    <col min="7175" max="7175" width="63.42578125" style="172" customWidth="1"/>
    <col min="7176" max="7213" width="0" style="172" hidden="1" customWidth="1"/>
    <col min="7214" max="7224" width="10.85546875" style="172" customWidth="1"/>
    <col min="7225" max="7226" width="10.7109375" style="172" customWidth="1"/>
    <col min="7227" max="7429" width="9.140625" style="172"/>
    <col min="7430" max="7430" width="5.140625" style="172" customWidth="1"/>
    <col min="7431" max="7431" width="63.42578125" style="172" customWidth="1"/>
    <col min="7432" max="7469" width="0" style="172" hidden="1" customWidth="1"/>
    <col min="7470" max="7480" width="10.85546875" style="172" customWidth="1"/>
    <col min="7481" max="7482" width="10.7109375" style="172" customWidth="1"/>
    <col min="7483" max="7685" width="9.140625" style="172"/>
    <col min="7686" max="7686" width="5.140625" style="172" customWidth="1"/>
    <col min="7687" max="7687" width="63.42578125" style="172" customWidth="1"/>
    <col min="7688" max="7725" width="0" style="172" hidden="1" customWidth="1"/>
    <col min="7726" max="7736" width="10.85546875" style="172" customWidth="1"/>
    <col min="7737" max="7738" width="10.7109375" style="172" customWidth="1"/>
    <col min="7739" max="7941" width="9.140625" style="172"/>
    <col min="7942" max="7942" width="5.140625" style="172" customWidth="1"/>
    <col min="7943" max="7943" width="63.42578125" style="172" customWidth="1"/>
    <col min="7944" max="7981" width="0" style="172" hidden="1" customWidth="1"/>
    <col min="7982" max="7992" width="10.85546875" style="172" customWidth="1"/>
    <col min="7993" max="7994" width="10.7109375" style="172" customWidth="1"/>
    <col min="7995" max="8197" width="9.140625" style="172"/>
    <col min="8198" max="8198" width="5.140625" style="172" customWidth="1"/>
    <col min="8199" max="8199" width="63.42578125" style="172" customWidth="1"/>
    <col min="8200" max="8237" width="0" style="172" hidden="1" customWidth="1"/>
    <col min="8238" max="8248" width="10.85546875" style="172" customWidth="1"/>
    <col min="8249" max="8250" width="10.7109375" style="172" customWidth="1"/>
    <col min="8251" max="8453" width="9.140625" style="172"/>
    <col min="8454" max="8454" width="5.140625" style="172" customWidth="1"/>
    <col min="8455" max="8455" width="63.42578125" style="172" customWidth="1"/>
    <col min="8456" max="8493" width="0" style="172" hidden="1" customWidth="1"/>
    <col min="8494" max="8504" width="10.85546875" style="172" customWidth="1"/>
    <col min="8505" max="8506" width="10.7109375" style="172" customWidth="1"/>
    <col min="8507" max="8709" width="9.140625" style="172"/>
    <col min="8710" max="8710" width="5.140625" style="172" customWidth="1"/>
    <col min="8711" max="8711" width="63.42578125" style="172" customWidth="1"/>
    <col min="8712" max="8749" width="0" style="172" hidden="1" customWidth="1"/>
    <col min="8750" max="8760" width="10.85546875" style="172" customWidth="1"/>
    <col min="8761" max="8762" width="10.7109375" style="172" customWidth="1"/>
    <col min="8763" max="8965" width="9.140625" style="172"/>
    <col min="8966" max="8966" width="5.140625" style="172" customWidth="1"/>
    <col min="8967" max="8967" width="63.42578125" style="172" customWidth="1"/>
    <col min="8968" max="9005" width="0" style="172" hidden="1" customWidth="1"/>
    <col min="9006" max="9016" width="10.85546875" style="172" customWidth="1"/>
    <col min="9017" max="9018" width="10.7109375" style="172" customWidth="1"/>
    <col min="9019" max="9221" width="9.140625" style="172"/>
    <col min="9222" max="9222" width="5.140625" style="172" customWidth="1"/>
    <col min="9223" max="9223" width="63.42578125" style="172" customWidth="1"/>
    <col min="9224" max="9261" width="0" style="172" hidden="1" customWidth="1"/>
    <col min="9262" max="9272" width="10.85546875" style="172" customWidth="1"/>
    <col min="9273" max="9274" width="10.7109375" style="172" customWidth="1"/>
    <col min="9275" max="9477" width="9.140625" style="172"/>
    <col min="9478" max="9478" width="5.140625" style="172" customWidth="1"/>
    <col min="9479" max="9479" width="63.42578125" style="172" customWidth="1"/>
    <col min="9480" max="9517" width="0" style="172" hidden="1" customWidth="1"/>
    <col min="9518" max="9528" width="10.85546875" style="172" customWidth="1"/>
    <col min="9529" max="9530" width="10.7109375" style="172" customWidth="1"/>
    <col min="9531" max="9733" width="9.140625" style="172"/>
    <col min="9734" max="9734" width="5.140625" style="172" customWidth="1"/>
    <col min="9735" max="9735" width="63.42578125" style="172" customWidth="1"/>
    <col min="9736" max="9773" width="0" style="172" hidden="1" customWidth="1"/>
    <col min="9774" max="9784" width="10.85546875" style="172" customWidth="1"/>
    <col min="9785" max="9786" width="10.7109375" style="172" customWidth="1"/>
    <col min="9787" max="9989" width="9.140625" style="172"/>
    <col min="9990" max="9990" width="5.140625" style="172" customWidth="1"/>
    <col min="9991" max="9991" width="63.42578125" style="172" customWidth="1"/>
    <col min="9992" max="10029" width="0" style="172" hidden="1" customWidth="1"/>
    <col min="10030" max="10040" width="10.85546875" style="172" customWidth="1"/>
    <col min="10041" max="10042" width="10.7109375" style="172" customWidth="1"/>
    <col min="10043" max="10245" width="9.140625" style="172"/>
    <col min="10246" max="10246" width="5.140625" style="172" customWidth="1"/>
    <col min="10247" max="10247" width="63.42578125" style="172" customWidth="1"/>
    <col min="10248" max="10285" width="0" style="172" hidden="1" customWidth="1"/>
    <col min="10286" max="10296" width="10.85546875" style="172" customWidth="1"/>
    <col min="10297" max="10298" width="10.7109375" style="172" customWidth="1"/>
    <col min="10299" max="10501" width="9.140625" style="172"/>
    <col min="10502" max="10502" width="5.140625" style="172" customWidth="1"/>
    <col min="10503" max="10503" width="63.42578125" style="172" customWidth="1"/>
    <col min="10504" max="10541" width="0" style="172" hidden="1" customWidth="1"/>
    <col min="10542" max="10552" width="10.85546875" style="172" customWidth="1"/>
    <col min="10553" max="10554" width="10.7109375" style="172" customWidth="1"/>
    <col min="10555" max="10757" width="9.140625" style="172"/>
    <col min="10758" max="10758" width="5.140625" style="172" customWidth="1"/>
    <col min="10759" max="10759" width="63.42578125" style="172" customWidth="1"/>
    <col min="10760" max="10797" width="0" style="172" hidden="1" customWidth="1"/>
    <col min="10798" max="10808" width="10.85546875" style="172" customWidth="1"/>
    <col min="10809" max="10810" width="10.7109375" style="172" customWidth="1"/>
    <col min="10811" max="11013" width="9.140625" style="172"/>
    <col min="11014" max="11014" width="5.140625" style="172" customWidth="1"/>
    <col min="11015" max="11015" width="63.42578125" style="172" customWidth="1"/>
    <col min="11016" max="11053" width="0" style="172" hidden="1" customWidth="1"/>
    <col min="11054" max="11064" width="10.85546875" style="172" customWidth="1"/>
    <col min="11065" max="11066" width="10.7109375" style="172" customWidth="1"/>
    <col min="11067" max="11269" width="9.140625" style="172"/>
    <col min="11270" max="11270" width="5.140625" style="172" customWidth="1"/>
    <col min="11271" max="11271" width="63.42578125" style="172" customWidth="1"/>
    <col min="11272" max="11309" width="0" style="172" hidden="1" customWidth="1"/>
    <col min="11310" max="11320" width="10.85546875" style="172" customWidth="1"/>
    <col min="11321" max="11322" width="10.7109375" style="172" customWidth="1"/>
    <col min="11323" max="11525" width="9.140625" style="172"/>
    <col min="11526" max="11526" width="5.140625" style="172" customWidth="1"/>
    <col min="11527" max="11527" width="63.42578125" style="172" customWidth="1"/>
    <col min="11528" max="11565" width="0" style="172" hidden="1" customWidth="1"/>
    <col min="11566" max="11576" width="10.85546875" style="172" customWidth="1"/>
    <col min="11577" max="11578" width="10.7109375" style="172" customWidth="1"/>
    <col min="11579" max="11781" width="9.140625" style="172"/>
    <col min="11782" max="11782" width="5.140625" style="172" customWidth="1"/>
    <col min="11783" max="11783" width="63.42578125" style="172" customWidth="1"/>
    <col min="11784" max="11821" width="0" style="172" hidden="1" customWidth="1"/>
    <col min="11822" max="11832" width="10.85546875" style="172" customWidth="1"/>
    <col min="11833" max="11834" width="10.7109375" style="172" customWidth="1"/>
    <col min="11835" max="12037" width="9.140625" style="172"/>
    <col min="12038" max="12038" width="5.140625" style="172" customWidth="1"/>
    <col min="12039" max="12039" width="63.42578125" style="172" customWidth="1"/>
    <col min="12040" max="12077" width="0" style="172" hidden="1" customWidth="1"/>
    <col min="12078" max="12088" width="10.85546875" style="172" customWidth="1"/>
    <col min="12089" max="12090" width="10.7109375" style="172" customWidth="1"/>
    <col min="12091" max="12293" width="9.140625" style="172"/>
    <col min="12294" max="12294" width="5.140625" style="172" customWidth="1"/>
    <col min="12295" max="12295" width="63.42578125" style="172" customWidth="1"/>
    <col min="12296" max="12333" width="0" style="172" hidden="1" customWidth="1"/>
    <col min="12334" max="12344" width="10.85546875" style="172" customWidth="1"/>
    <col min="12345" max="12346" width="10.7109375" style="172" customWidth="1"/>
    <col min="12347" max="12549" width="9.140625" style="172"/>
    <col min="12550" max="12550" width="5.140625" style="172" customWidth="1"/>
    <col min="12551" max="12551" width="63.42578125" style="172" customWidth="1"/>
    <col min="12552" max="12589" width="0" style="172" hidden="1" customWidth="1"/>
    <col min="12590" max="12600" width="10.85546875" style="172" customWidth="1"/>
    <col min="12601" max="12602" width="10.7109375" style="172" customWidth="1"/>
    <col min="12603" max="12805" width="9.140625" style="172"/>
    <col min="12806" max="12806" width="5.140625" style="172" customWidth="1"/>
    <col min="12807" max="12807" width="63.42578125" style="172" customWidth="1"/>
    <col min="12808" max="12845" width="0" style="172" hidden="1" customWidth="1"/>
    <col min="12846" max="12856" width="10.85546875" style="172" customWidth="1"/>
    <col min="12857" max="12858" width="10.7109375" style="172" customWidth="1"/>
    <col min="12859" max="13061" width="9.140625" style="172"/>
    <col min="13062" max="13062" width="5.140625" style="172" customWidth="1"/>
    <col min="13063" max="13063" width="63.42578125" style="172" customWidth="1"/>
    <col min="13064" max="13101" width="0" style="172" hidden="1" customWidth="1"/>
    <col min="13102" max="13112" width="10.85546875" style="172" customWidth="1"/>
    <col min="13113" max="13114" width="10.7109375" style="172" customWidth="1"/>
    <col min="13115" max="13317" width="9.140625" style="172"/>
    <col min="13318" max="13318" width="5.140625" style="172" customWidth="1"/>
    <col min="13319" max="13319" width="63.42578125" style="172" customWidth="1"/>
    <col min="13320" max="13357" width="0" style="172" hidden="1" customWidth="1"/>
    <col min="13358" max="13368" width="10.85546875" style="172" customWidth="1"/>
    <col min="13369" max="13370" width="10.7109375" style="172" customWidth="1"/>
    <col min="13371" max="13573" width="9.140625" style="172"/>
    <col min="13574" max="13574" width="5.140625" style="172" customWidth="1"/>
    <col min="13575" max="13575" width="63.42578125" style="172" customWidth="1"/>
    <col min="13576" max="13613" width="0" style="172" hidden="1" customWidth="1"/>
    <col min="13614" max="13624" width="10.85546875" style="172" customWidth="1"/>
    <col min="13625" max="13626" width="10.7109375" style="172" customWidth="1"/>
    <col min="13627" max="13829" width="9.140625" style="172"/>
    <col min="13830" max="13830" width="5.140625" style="172" customWidth="1"/>
    <col min="13831" max="13831" width="63.42578125" style="172" customWidth="1"/>
    <col min="13832" max="13869" width="0" style="172" hidden="1" customWidth="1"/>
    <col min="13870" max="13880" width="10.85546875" style="172" customWidth="1"/>
    <col min="13881" max="13882" width="10.7109375" style="172" customWidth="1"/>
    <col min="13883" max="14085" width="9.140625" style="172"/>
    <col min="14086" max="14086" width="5.140625" style="172" customWidth="1"/>
    <col min="14087" max="14087" width="63.42578125" style="172" customWidth="1"/>
    <col min="14088" max="14125" width="0" style="172" hidden="1" customWidth="1"/>
    <col min="14126" max="14136" width="10.85546875" style="172" customWidth="1"/>
    <col min="14137" max="14138" width="10.7109375" style="172" customWidth="1"/>
    <col min="14139" max="14341" width="9.140625" style="172"/>
    <col min="14342" max="14342" width="5.140625" style="172" customWidth="1"/>
    <col min="14343" max="14343" width="63.42578125" style="172" customWidth="1"/>
    <col min="14344" max="14381" width="0" style="172" hidden="1" customWidth="1"/>
    <col min="14382" max="14392" width="10.85546875" style="172" customWidth="1"/>
    <col min="14393" max="14394" width="10.7109375" style="172" customWidth="1"/>
    <col min="14395" max="14597" width="9.140625" style="172"/>
    <col min="14598" max="14598" width="5.140625" style="172" customWidth="1"/>
    <col min="14599" max="14599" width="63.42578125" style="172" customWidth="1"/>
    <col min="14600" max="14637" width="0" style="172" hidden="1" customWidth="1"/>
    <col min="14638" max="14648" width="10.85546875" style="172" customWidth="1"/>
    <col min="14649" max="14650" width="10.7109375" style="172" customWidth="1"/>
    <col min="14651" max="14853" width="9.140625" style="172"/>
    <col min="14854" max="14854" width="5.140625" style="172" customWidth="1"/>
    <col min="14855" max="14855" width="63.42578125" style="172" customWidth="1"/>
    <col min="14856" max="14893" width="0" style="172" hidden="1" customWidth="1"/>
    <col min="14894" max="14904" width="10.85546875" style="172" customWidth="1"/>
    <col min="14905" max="14906" width="10.7109375" style="172" customWidth="1"/>
    <col min="14907" max="15109" width="9.140625" style="172"/>
    <col min="15110" max="15110" width="5.140625" style="172" customWidth="1"/>
    <col min="15111" max="15111" width="63.42578125" style="172" customWidth="1"/>
    <col min="15112" max="15149" width="0" style="172" hidden="1" customWidth="1"/>
    <col min="15150" max="15160" width="10.85546875" style="172" customWidth="1"/>
    <col min="15161" max="15162" width="10.7109375" style="172" customWidth="1"/>
    <col min="15163" max="15365" width="9.140625" style="172"/>
    <col min="15366" max="15366" width="5.140625" style="172" customWidth="1"/>
    <col min="15367" max="15367" width="63.42578125" style="172" customWidth="1"/>
    <col min="15368" max="15405" width="0" style="172" hidden="1" customWidth="1"/>
    <col min="15406" max="15416" width="10.85546875" style="172" customWidth="1"/>
    <col min="15417" max="15418" width="10.7109375" style="172" customWidth="1"/>
    <col min="15419" max="15621" width="9.140625" style="172"/>
    <col min="15622" max="15622" width="5.140625" style="172" customWidth="1"/>
    <col min="15623" max="15623" width="63.42578125" style="172" customWidth="1"/>
    <col min="15624" max="15661" width="0" style="172" hidden="1" customWidth="1"/>
    <col min="15662" max="15672" width="10.85546875" style="172" customWidth="1"/>
    <col min="15673" max="15674" width="10.7109375" style="172" customWidth="1"/>
    <col min="15675" max="15877" width="9.140625" style="172"/>
    <col min="15878" max="15878" width="5.140625" style="172" customWidth="1"/>
    <col min="15879" max="15879" width="63.42578125" style="172" customWidth="1"/>
    <col min="15880" max="15917" width="0" style="172" hidden="1" customWidth="1"/>
    <col min="15918" max="15928" width="10.85546875" style="172" customWidth="1"/>
    <col min="15929" max="15930" width="10.7109375" style="172" customWidth="1"/>
    <col min="15931" max="16133" width="9.140625" style="172"/>
    <col min="16134" max="16134" width="5.140625" style="172" customWidth="1"/>
    <col min="16135" max="16135" width="63.42578125" style="172" customWidth="1"/>
    <col min="16136" max="16173" width="0" style="172" hidden="1" customWidth="1"/>
    <col min="16174" max="16184" width="10.85546875" style="172" customWidth="1"/>
    <col min="16185" max="16186" width="10.7109375" style="172" customWidth="1"/>
    <col min="16187" max="16384" width="9.140625" style="172"/>
  </cols>
  <sheetData>
    <row r="1" spans="1:78" ht="21.75" x14ac:dyDescent="0.3">
      <c r="A1" s="458" t="s">
        <v>399</v>
      </c>
      <c r="B1" s="459"/>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row>
    <row r="2" spans="1:78" ht="15.75" thickBot="1" x14ac:dyDescent="0.3">
      <c r="A2" s="461"/>
      <c r="B2" s="461"/>
      <c r="C2" s="260"/>
      <c r="D2" s="260"/>
      <c r="E2" s="260"/>
      <c r="F2" s="260"/>
      <c r="H2" s="260"/>
      <c r="I2" s="260"/>
      <c r="J2" s="260"/>
      <c r="L2" s="260"/>
      <c r="O2" s="260"/>
      <c r="P2" s="260"/>
      <c r="Q2" s="260"/>
      <c r="R2" s="260"/>
      <c r="S2" s="260"/>
      <c r="T2" s="260"/>
      <c r="U2" s="260"/>
      <c r="V2" s="260"/>
      <c r="W2" s="260"/>
      <c r="X2" s="260"/>
      <c r="Y2" s="260"/>
      <c r="Z2" s="398"/>
      <c r="AA2" s="398"/>
      <c r="AB2" s="398"/>
      <c r="AC2" s="398"/>
      <c r="AD2" s="398"/>
      <c r="AE2" s="398"/>
      <c r="AF2" s="398"/>
      <c r="AG2" s="398"/>
      <c r="AH2" s="398"/>
      <c r="AI2" s="398"/>
      <c r="AJ2" s="398"/>
      <c r="AK2" s="398"/>
      <c r="AL2" s="398"/>
      <c r="AM2" s="398"/>
      <c r="AN2" s="398"/>
      <c r="AO2" s="398"/>
      <c r="AP2" s="398"/>
      <c r="AQ2" s="398"/>
      <c r="AR2" s="398"/>
      <c r="AS2" s="398"/>
      <c r="AT2" s="398"/>
      <c r="AV2" s="398"/>
      <c r="AW2" s="398"/>
      <c r="AX2" s="398"/>
      <c r="AZ2" s="398"/>
      <c r="BC2" s="462"/>
      <c r="BE2" s="462"/>
      <c r="BF2" s="462"/>
      <c r="BZ2" s="398" t="s">
        <v>73</v>
      </c>
    </row>
    <row r="3" spans="1:78" ht="24.75" customHeight="1" thickTop="1" thickBot="1" x14ac:dyDescent="0.3">
      <c r="A3" s="463" t="s">
        <v>400</v>
      </c>
      <c r="B3" s="464" t="s">
        <v>401</v>
      </c>
      <c r="C3" s="465">
        <v>40179</v>
      </c>
      <c r="D3" s="465">
        <v>40211</v>
      </c>
      <c r="E3" s="465">
        <v>40239</v>
      </c>
      <c r="F3" s="465">
        <v>40270</v>
      </c>
      <c r="G3" s="465">
        <v>40300</v>
      </c>
      <c r="H3" s="465">
        <v>40331</v>
      </c>
      <c r="I3" s="465">
        <v>40361</v>
      </c>
      <c r="J3" s="466">
        <v>40392</v>
      </c>
      <c r="K3" s="467">
        <v>40423</v>
      </c>
      <c r="L3" s="467">
        <v>40453</v>
      </c>
      <c r="M3" s="467">
        <v>40484</v>
      </c>
      <c r="N3" s="467">
        <v>40514</v>
      </c>
      <c r="O3" s="467">
        <v>40545</v>
      </c>
      <c r="P3" s="467">
        <v>40576</v>
      </c>
      <c r="Q3" s="467">
        <v>40604</v>
      </c>
      <c r="R3" s="467">
        <v>40635</v>
      </c>
      <c r="S3" s="467">
        <v>40665</v>
      </c>
      <c r="T3" s="467">
        <v>40696</v>
      </c>
      <c r="U3" s="467">
        <v>40726</v>
      </c>
      <c r="V3" s="468">
        <v>40757</v>
      </c>
      <c r="W3" s="468">
        <v>40788</v>
      </c>
      <c r="X3" s="468">
        <v>40818</v>
      </c>
      <c r="Y3" s="468">
        <v>40849</v>
      </c>
      <c r="Z3" s="468">
        <v>40879</v>
      </c>
      <c r="AA3" s="468">
        <v>40910</v>
      </c>
      <c r="AB3" s="468">
        <v>40941</v>
      </c>
      <c r="AC3" s="468">
        <v>40970</v>
      </c>
      <c r="AD3" s="468">
        <v>41001</v>
      </c>
      <c r="AE3" s="468">
        <v>41031</v>
      </c>
      <c r="AF3" s="468">
        <v>41062</v>
      </c>
      <c r="AG3" s="468">
        <v>41092</v>
      </c>
      <c r="AH3" s="468">
        <v>41123</v>
      </c>
      <c r="AI3" s="468">
        <v>41154</v>
      </c>
      <c r="AJ3" s="468">
        <v>41184</v>
      </c>
      <c r="AK3" s="468">
        <v>41215</v>
      </c>
      <c r="AL3" s="468">
        <v>41245</v>
      </c>
      <c r="AM3" s="468">
        <v>41276</v>
      </c>
      <c r="AN3" s="468">
        <v>41307</v>
      </c>
      <c r="AO3" s="469">
        <v>41335</v>
      </c>
      <c r="AP3" s="469">
        <v>41366</v>
      </c>
      <c r="AQ3" s="469">
        <v>41396</v>
      </c>
      <c r="AR3" s="469">
        <v>41427</v>
      </c>
      <c r="AS3" s="469">
        <v>41457</v>
      </c>
      <c r="AT3" s="469">
        <v>41488</v>
      </c>
      <c r="AU3" s="469">
        <v>41519</v>
      </c>
      <c r="AV3" s="469">
        <v>41549</v>
      </c>
      <c r="AW3" s="469">
        <v>41580</v>
      </c>
      <c r="AX3" s="469">
        <v>41610</v>
      </c>
      <c r="AY3" s="469">
        <v>41641</v>
      </c>
      <c r="AZ3" s="469">
        <v>41672</v>
      </c>
      <c r="BA3" s="469">
        <v>41700</v>
      </c>
      <c r="BB3" s="469">
        <v>41731</v>
      </c>
      <c r="BC3" s="469">
        <v>41761</v>
      </c>
      <c r="BD3" s="469">
        <v>41791</v>
      </c>
      <c r="BE3" s="469">
        <v>41822</v>
      </c>
      <c r="BF3" s="469">
        <v>41853</v>
      </c>
      <c r="BG3" s="469">
        <v>41884</v>
      </c>
      <c r="BH3" s="469">
        <v>41914</v>
      </c>
      <c r="BI3" s="469">
        <v>41945</v>
      </c>
      <c r="BJ3" s="469">
        <v>41975</v>
      </c>
      <c r="BK3" s="469">
        <v>42006</v>
      </c>
      <c r="BL3" s="469">
        <v>42037</v>
      </c>
      <c r="BM3" s="469">
        <v>42065</v>
      </c>
      <c r="BN3" s="469">
        <v>42096</v>
      </c>
      <c r="BO3" s="469">
        <v>42126</v>
      </c>
      <c r="BP3" s="469">
        <v>42157</v>
      </c>
      <c r="BQ3" s="469">
        <v>42187</v>
      </c>
      <c r="BR3" s="469">
        <v>42218</v>
      </c>
      <c r="BS3" s="469">
        <v>42249</v>
      </c>
      <c r="BT3" s="469">
        <v>42279</v>
      </c>
      <c r="BU3" s="469">
        <v>42310</v>
      </c>
      <c r="BV3" s="469">
        <v>42340</v>
      </c>
      <c r="BW3" s="469">
        <v>42371</v>
      </c>
      <c r="BX3" s="469">
        <v>42402</v>
      </c>
      <c r="BY3" s="469">
        <v>42431</v>
      </c>
      <c r="BZ3" s="469">
        <v>42462</v>
      </c>
    </row>
    <row r="4" spans="1:78" ht="16.5" thickTop="1" x14ac:dyDescent="0.25">
      <c r="A4" s="470"/>
      <c r="B4" s="471"/>
      <c r="C4" s="472"/>
      <c r="D4" s="472"/>
      <c r="E4" s="472"/>
      <c r="F4" s="472"/>
      <c r="G4" s="472"/>
      <c r="H4" s="472"/>
      <c r="I4" s="472"/>
      <c r="J4" s="473"/>
      <c r="K4" s="474"/>
      <c r="L4" s="474"/>
      <c r="M4" s="474"/>
      <c r="N4" s="474"/>
      <c r="O4" s="474"/>
      <c r="P4" s="474"/>
      <c r="Q4" s="474"/>
      <c r="R4" s="474"/>
      <c r="S4" s="474"/>
      <c r="T4" s="474"/>
      <c r="U4" s="474"/>
      <c r="V4" s="475"/>
      <c r="W4" s="475"/>
      <c r="X4" s="475"/>
      <c r="Y4" s="475"/>
      <c r="Z4" s="475"/>
      <c r="AA4" s="475"/>
      <c r="AB4" s="475"/>
      <c r="AC4" s="475"/>
      <c r="AD4" s="475"/>
      <c r="AE4" s="475"/>
      <c r="AF4" s="475"/>
      <c r="AG4" s="475"/>
      <c r="AH4" s="475"/>
      <c r="AI4" s="475"/>
      <c r="AJ4" s="475"/>
      <c r="AK4" s="475"/>
      <c r="AL4" s="475"/>
      <c r="AM4" s="475"/>
      <c r="AN4" s="475"/>
      <c r="AO4" s="476"/>
      <c r="AP4" s="476"/>
      <c r="AQ4" s="476"/>
      <c r="AR4" s="476"/>
      <c r="AS4" s="476"/>
      <c r="AT4" s="476"/>
      <c r="AU4" s="476"/>
      <c r="AV4" s="476"/>
      <c r="AW4" s="476"/>
      <c r="AX4" s="476"/>
      <c r="AY4" s="476"/>
      <c r="AZ4" s="476"/>
      <c r="BA4" s="476"/>
      <c r="BB4" s="476"/>
      <c r="BC4" s="476"/>
      <c r="BD4" s="476"/>
      <c r="BE4" s="476"/>
      <c r="BF4" s="476"/>
      <c r="BG4" s="476"/>
      <c r="BH4" s="476"/>
      <c r="BI4" s="476"/>
      <c r="BJ4" s="476"/>
      <c r="BK4" s="476"/>
      <c r="BL4" s="476"/>
      <c r="BM4" s="476"/>
      <c r="BN4" s="476"/>
      <c r="BO4" s="476"/>
      <c r="BP4" s="476"/>
      <c r="BQ4" s="476"/>
      <c r="BR4" s="476"/>
      <c r="BS4" s="476"/>
      <c r="BT4" s="476"/>
      <c r="BU4" s="476"/>
      <c r="BV4" s="476"/>
      <c r="BW4" s="476"/>
      <c r="BX4" s="476"/>
      <c r="BY4" s="476"/>
      <c r="BZ4" s="476"/>
    </row>
    <row r="5" spans="1:78" ht="16.5" customHeight="1" x14ac:dyDescent="0.25">
      <c r="A5" s="477" t="s">
        <v>402</v>
      </c>
      <c r="B5" s="478" t="s">
        <v>403</v>
      </c>
      <c r="C5" s="479">
        <v>8313.9230856199993</v>
      </c>
      <c r="D5" s="479">
        <v>8554.6603705100006</v>
      </c>
      <c r="E5" s="479">
        <v>8543.5793921799996</v>
      </c>
      <c r="F5" s="479">
        <v>8747.1718602600013</v>
      </c>
      <c r="G5" s="479">
        <v>9556.2360567600008</v>
      </c>
      <c r="H5" s="479">
        <v>9176.9618582599996</v>
      </c>
      <c r="I5" s="479">
        <v>8577.4751113599996</v>
      </c>
      <c r="J5" s="479">
        <v>8964.9122942899994</v>
      </c>
      <c r="K5" s="479">
        <v>9137.7338806799999</v>
      </c>
      <c r="L5" s="479">
        <v>9189.04614253</v>
      </c>
      <c r="M5" s="479">
        <v>9229.6837182599993</v>
      </c>
      <c r="N5" s="479">
        <v>9525.0663255700001</v>
      </c>
      <c r="O5" s="479">
        <v>9056.9216292099991</v>
      </c>
      <c r="P5" s="479">
        <v>9259.0514912299986</v>
      </c>
      <c r="Q5" s="479">
        <v>9060.6338427999981</v>
      </c>
      <c r="R5" s="479">
        <v>9186.4692947099993</v>
      </c>
      <c r="S5" s="479">
        <v>9355.9525099800012</v>
      </c>
      <c r="T5" s="479">
        <v>9401.5499322600008</v>
      </c>
      <c r="U5" s="479">
        <v>9516.6736425700001</v>
      </c>
      <c r="V5" s="479">
        <v>10165.600383359999</v>
      </c>
      <c r="W5" s="479">
        <v>10486.8216237</v>
      </c>
      <c r="X5" s="479">
        <v>10793.925243599999</v>
      </c>
      <c r="Y5" s="479">
        <v>10846.49111531</v>
      </c>
      <c r="Z5" s="479">
        <v>10232.00808204</v>
      </c>
      <c r="AA5" s="479">
        <v>10884.95353631</v>
      </c>
      <c r="AB5" s="479">
        <v>10925.24783013</v>
      </c>
      <c r="AC5" s="479">
        <v>10499.39109904</v>
      </c>
      <c r="AD5" s="479">
        <v>10574.403858539999</v>
      </c>
      <c r="AE5" s="479">
        <v>10378.168711709999</v>
      </c>
      <c r="AF5" s="479">
        <v>10793.873166549998</v>
      </c>
      <c r="AG5" s="479">
        <v>10959.584142559999</v>
      </c>
      <c r="AH5" s="479">
        <v>10992.450605919999</v>
      </c>
      <c r="AI5" s="479">
        <v>11502.52074158</v>
      </c>
      <c r="AJ5" s="479">
        <v>11450.75111343</v>
      </c>
      <c r="AK5" s="479">
        <v>11408.30600506</v>
      </c>
      <c r="AL5" s="479">
        <v>11086.982508629999</v>
      </c>
      <c r="AM5" s="479">
        <v>11091.524256320001</v>
      </c>
      <c r="AN5" s="479">
        <v>10859.54273619</v>
      </c>
      <c r="AO5" s="480">
        <v>10927.48027301</v>
      </c>
      <c r="AP5" s="480">
        <v>10415.83919683</v>
      </c>
      <c r="AQ5" s="480">
        <v>10192.80816008</v>
      </c>
      <c r="AR5" s="480">
        <v>9361.1422593799998</v>
      </c>
      <c r="AS5" s="480">
        <v>9826.8400938100003</v>
      </c>
      <c r="AT5" s="480">
        <v>10073.589758530001</v>
      </c>
      <c r="AU5" s="480">
        <v>9806.8217559900004</v>
      </c>
      <c r="AV5" s="480">
        <v>9713.9569521400008</v>
      </c>
      <c r="AW5" s="480">
        <v>9407.1533895899993</v>
      </c>
      <c r="AX5" s="480">
        <v>9166.4078523200005</v>
      </c>
      <c r="AY5" s="480">
        <v>9423.9782169700011</v>
      </c>
      <c r="AZ5" s="480">
        <v>9673.3778150299986</v>
      </c>
      <c r="BA5" s="480">
        <v>9548.3284712299992</v>
      </c>
      <c r="BB5" s="480">
        <f>'[5]CB-1SR'!EX9</f>
        <v>9515.1678391399983</v>
      </c>
      <c r="BC5" s="480">
        <v>9438.9846605599996</v>
      </c>
      <c r="BD5" s="480">
        <v>9668.9516985400005</v>
      </c>
      <c r="BE5" s="480">
        <v>9628.0857852999998</v>
      </c>
      <c r="BF5" s="480">
        <v>9682.6052572400004</v>
      </c>
      <c r="BG5" s="480">
        <v>11894.207862830001</v>
      </c>
      <c r="BH5" s="480">
        <v>12810.569558089999</v>
      </c>
      <c r="BI5" s="480">
        <v>14072.53336646</v>
      </c>
      <c r="BJ5" s="480">
        <v>14252.727087489999</v>
      </c>
      <c r="BK5" s="480">
        <v>16386.981618220001</v>
      </c>
      <c r="BL5" s="480">
        <v>16165.21224103</v>
      </c>
      <c r="BM5" s="480">
        <v>17319.651827019999</v>
      </c>
      <c r="BN5" s="480">
        <v>17128.454241530002</v>
      </c>
      <c r="BO5" s="480">
        <v>16918.130501560001</v>
      </c>
      <c r="BP5" s="480">
        <v>16754.418344040001</v>
      </c>
      <c r="BQ5" s="480">
        <v>15887.87718121</v>
      </c>
      <c r="BR5" s="480">
        <v>16309.029206019999</v>
      </c>
      <c r="BS5" s="480">
        <v>16407.963294390003</v>
      </c>
      <c r="BT5" s="480">
        <v>16761.993539340001</v>
      </c>
      <c r="BU5" s="480">
        <v>15904.883853809999</v>
      </c>
      <c r="BV5" s="480">
        <v>15865.742060820001</v>
      </c>
      <c r="BW5" s="480">
        <v>16423.224682980002</v>
      </c>
      <c r="BX5" s="480">
        <v>18464.04998295</v>
      </c>
      <c r="BY5" s="480">
        <v>18301.903159670001</v>
      </c>
      <c r="BZ5" s="480">
        <v>18612.095889780001</v>
      </c>
    </row>
    <row r="6" spans="1:78" ht="16.5" customHeight="1" x14ac:dyDescent="0.25">
      <c r="A6" s="481"/>
      <c r="B6" s="482"/>
      <c r="C6" s="483"/>
      <c r="D6" s="483"/>
      <c r="E6" s="483"/>
      <c r="F6" s="483"/>
      <c r="G6" s="483"/>
      <c r="H6" s="4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483"/>
      <c r="AJ6" s="483"/>
      <c r="AK6" s="483"/>
      <c r="AL6" s="483"/>
      <c r="AM6" s="483"/>
      <c r="AN6" s="483"/>
      <c r="AO6" s="476"/>
      <c r="AP6" s="476"/>
      <c r="AQ6" s="476"/>
      <c r="AR6" s="476"/>
      <c r="AS6" s="476"/>
      <c r="AT6" s="476"/>
      <c r="AU6" s="476"/>
      <c r="AV6" s="476"/>
      <c r="AW6" s="476"/>
      <c r="AX6" s="476"/>
      <c r="AY6" s="476"/>
      <c r="AZ6" s="476"/>
      <c r="BA6" s="476"/>
      <c r="BB6" s="476"/>
      <c r="BC6" s="476"/>
      <c r="BD6" s="476"/>
      <c r="BE6" s="476"/>
      <c r="BF6" s="476"/>
      <c r="BG6" s="476"/>
      <c r="BH6" s="476"/>
      <c r="BI6" s="476"/>
      <c r="BJ6" s="476"/>
      <c r="BK6" s="476"/>
      <c r="BL6" s="476"/>
      <c r="BM6" s="476"/>
      <c r="BN6" s="476"/>
      <c r="BO6" s="476"/>
      <c r="BP6" s="476"/>
      <c r="BQ6" s="476"/>
      <c r="BR6" s="476"/>
      <c r="BS6" s="476"/>
      <c r="BT6" s="476"/>
      <c r="BU6" s="476"/>
      <c r="BV6" s="476"/>
      <c r="BW6" s="476"/>
      <c r="BX6" s="476"/>
      <c r="BY6" s="476"/>
      <c r="BZ6" s="476"/>
    </row>
    <row r="7" spans="1:78" ht="16.5" customHeight="1" x14ac:dyDescent="0.25">
      <c r="A7" s="477" t="s">
        <v>404</v>
      </c>
      <c r="B7" s="478" t="s">
        <v>405</v>
      </c>
      <c r="C7" s="479">
        <v>46479.690356609994</v>
      </c>
      <c r="D7" s="479">
        <v>47338.646243449999</v>
      </c>
      <c r="E7" s="479">
        <v>46874.403580339997</v>
      </c>
      <c r="F7" s="479">
        <v>47113.568935839998</v>
      </c>
      <c r="G7" s="479">
        <v>47970.326540830007</v>
      </c>
      <c r="H7" s="479">
        <v>47749.636055729999</v>
      </c>
      <c r="I7" s="479">
        <v>49042.936176709998</v>
      </c>
      <c r="J7" s="479">
        <v>49332.633441409991</v>
      </c>
      <c r="K7" s="479">
        <v>52450.741661199994</v>
      </c>
      <c r="L7" s="479">
        <v>45739.848496799998</v>
      </c>
      <c r="M7" s="479">
        <v>48100.089039729995</v>
      </c>
      <c r="N7" s="479">
        <v>50558.082051600002</v>
      </c>
      <c r="O7" s="479">
        <v>48153.005427600001</v>
      </c>
      <c r="P7" s="479">
        <v>47983.890925710002</v>
      </c>
      <c r="Q7" s="479">
        <v>50330.50895512999</v>
      </c>
      <c r="R7" s="479">
        <v>49796.249027239995</v>
      </c>
      <c r="S7" s="479">
        <v>48107.072336229998</v>
      </c>
      <c r="T7" s="479">
        <v>50721.095615480001</v>
      </c>
      <c r="U7" s="479">
        <v>49960.070493819992</v>
      </c>
      <c r="V7" s="479">
        <v>49543.422391970002</v>
      </c>
      <c r="W7" s="479">
        <v>47988.597888370001</v>
      </c>
      <c r="X7" s="479">
        <v>50117.61087366</v>
      </c>
      <c r="Y7" s="479">
        <v>46507.748853829995</v>
      </c>
      <c r="Z7" s="479">
        <v>49690.326225489996</v>
      </c>
      <c r="AA7" s="479">
        <v>48841.244741559989</v>
      </c>
      <c r="AB7" s="479">
        <v>48768.139258179996</v>
      </c>
      <c r="AC7" s="479">
        <v>48609.673783980004</v>
      </c>
      <c r="AD7" s="479">
        <v>48048.578924560003</v>
      </c>
      <c r="AE7" s="479">
        <v>47226.234658829999</v>
      </c>
      <c r="AF7" s="479">
        <v>52892.181369340004</v>
      </c>
      <c r="AG7" s="479">
        <v>51859.279100339991</v>
      </c>
      <c r="AH7" s="479">
        <v>52260.86865371</v>
      </c>
      <c r="AI7" s="479">
        <v>52486.355979999993</v>
      </c>
      <c r="AJ7" s="479">
        <v>48261.316332099996</v>
      </c>
      <c r="AK7" s="479">
        <v>50897.801944259998</v>
      </c>
      <c r="AL7" s="479">
        <v>52230.276910590008</v>
      </c>
      <c r="AM7" s="479">
        <v>54541.558988270008</v>
      </c>
      <c r="AN7" s="479">
        <v>54460.441544789996</v>
      </c>
      <c r="AO7" s="480">
        <v>57496.533880289993</v>
      </c>
      <c r="AP7" s="480">
        <v>56956.475671139997</v>
      </c>
      <c r="AQ7" s="480">
        <v>65309.752023239998</v>
      </c>
      <c r="AR7" s="480">
        <v>65865.506923050008</v>
      </c>
      <c r="AS7" s="480">
        <v>62442.457839729999</v>
      </c>
      <c r="AT7" s="480">
        <v>60731.30969142</v>
      </c>
      <c r="AU7" s="480">
        <v>62615.84372166</v>
      </c>
      <c r="AV7" s="480">
        <v>62128.569978330001</v>
      </c>
      <c r="AW7" s="480">
        <v>61212.090309649997</v>
      </c>
      <c r="AX7" s="480">
        <v>65671.99359541999</v>
      </c>
      <c r="AY7" s="480">
        <v>65001.572522259994</v>
      </c>
      <c r="AZ7" s="480">
        <v>70325.203387729998</v>
      </c>
      <c r="BA7" s="480">
        <v>72275.114166180007</v>
      </c>
      <c r="BB7" s="480">
        <f>BB8+BB9+BB10+BB11</f>
        <v>76699.570710229993</v>
      </c>
      <c r="BC7" s="480">
        <v>79049.383966680005</v>
      </c>
      <c r="BD7" s="480">
        <v>81250.858231420003</v>
      </c>
      <c r="BE7" s="480">
        <v>82778.097596120002</v>
      </c>
      <c r="BF7" s="480">
        <v>84787.815114509984</v>
      </c>
      <c r="BG7" s="480">
        <v>82891.982579819989</v>
      </c>
      <c r="BH7" s="480">
        <v>78762.170079570002</v>
      </c>
      <c r="BI7" s="480">
        <v>75612.590637820002</v>
      </c>
      <c r="BJ7" s="480">
        <v>77385.975843499997</v>
      </c>
      <c r="BK7" s="480">
        <v>72629.630849979992</v>
      </c>
      <c r="BL7" s="480">
        <v>62925.917202170014</v>
      </c>
      <c r="BM7" s="480">
        <v>58480.387652580008</v>
      </c>
      <c r="BN7" s="480">
        <v>44771.752081619998</v>
      </c>
      <c r="BO7" s="480">
        <v>42563.058551499998</v>
      </c>
      <c r="BP7" s="480">
        <v>38073.754578460001</v>
      </c>
      <c r="BQ7" s="480">
        <v>42262.772240890001</v>
      </c>
      <c r="BR7" s="480">
        <v>42864.375778319998</v>
      </c>
      <c r="BS7" s="480">
        <v>40193.047211420009</v>
      </c>
      <c r="BT7" s="480">
        <v>42993.967329619998</v>
      </c>
      <c r="BU7" s="480">
        <v>45744.060463390007</v>
      </c>
      <c r="BV7" s="480">
        <v>37567.587296919999</v>
      </c>
      <c r="BW7" s="480">
        <v>43972.961755199998</v>
      </c>
      <c r="BX7" s="480">
        <v>51730.241857550005</v>
      </c>
      <c r="BY7" s="480">
        <v>53072.297125359997</v>
      </c>
      <c r="BZ7" s="480">
        <v>50480.164341039999</v>
      </c>
    </row>
    <row r="8" spans="1:78" ht="16.5" customHeight="1" x14ac:dyDescent="0.25">
      <c r="A8" s="481" t="s">
        <v>406</v>
      </c>
      <c r="B8" s="482" t="s">
        <v>407</v>
      </c>
      <c r="C8" s="484">
        <v>3.3162413999999996</v>
      </c>
      <c r="D8" s="484">
        <v>3.44382162</v>
      </c>
      <c r="E8" s="484">
        <v>0.52834817000000001</v>
      </c>
      <c r="F8" s="484">
        <v>0.96362187999999993</v>
      </c>
      <c r="G8" s="484">
        <v>1.61711374</v>
      </c>
      <c r="H8" s="484">
        <v>1.58589907</v>
      </c>
      <c r="I8" s="484">
        <v>1.69840021</v>
      </c>
      <c r="J8" s="484">
        <v>2.0199524499999999</v>
      </c>
      <c r="K8" s="484">
        <v>2.4689764999999997</v>
      </c>
      <c r="L8" s="484">
        <v>2.6983453900000001</v>
      </c>
      <c r="M8" s="484">
        <v>2.8881806699999997</v>
      </c>
      <c r="N8" s="484">
        <v>3.0182872999999999</v>
      </c>
      <c r="O8" s="484">
        <v>4.36494933</v>
      </c>
      <c r="P8" s="484">
        <v>4.5159973499999992</v>
      </c>
      <c r="Q8" s="484">
        <v>4.5201716999999997</v>
      </c>
      <c r="R8" s="484">
        <v>4.6542414299999999</v>
      </c>
      <c r="S8" s="484">
        <v>4.8596830799999999</v>
      </c>
      <c r="T8" s="484">
        <v>2.1044306499999998</v>
      </c>
      <c r="U8" s="484">
        <v>2.3229332400000002</v>
      </c>
      <c r="V8" s="484">
        <v>1.10551946</v>
      </c>
      <c r="W8" s="484">
        <v>1.2081790400000001</v>
      </c>
      <c r="X8" s="484">
        <v>1.4917216399999997</v>
      </c>
      <c r="Y8" s="484">
        <v>7.7478409999999998E-2</v>
      </c>
      <c r="Z8" s="484">
        <v>0.20579432999999997</v>
      </c>
      <c r="AA8" s="484">
        <v>2.08527073</v>
      </c>
      <c r="AB8" s="484">
        <v>2.1227347000000001</v>
      </c>
      <c r="AC8" s="484">
        <v>0.16106642000000002</v>
      </c>
      <c r="AD8" s="484">
        <v>0.40776766999999997</v>
      </c>
      <c r="AE8" s="484">
        <v>0.53828650999999994</v>
      </c>
      <c r="AF8" s="484">
        <v>6.8709489999999998E-2</v>
      </c>
      <c r="AG8" s="484">
        <v>0.28507784000000003</v>
      </c>
      <c r="AH8" s="484">
        <v>0.38971388000000001</v>
      </c>
      <c r="AI8" s="484">
        <v>0.61654191999999997</v>
      </c>
      <c r="AJ8" s="484">
        <v>0.71829385999999995</v>
      </c>
      <c r="AK8" s="484">
        <v>0.82500887999999994</v>
      </c>
      <c r="AL8" s="484">
        <v>0.15974335999999997</v>
      </c>
      <c r="AM8" s="484">
        <v>3.2131500000000001E-3</v>
      </c>
      <c r="AN8" s="484">
        <v>0.21171297</v>
      </c>
      <c r="AO8" s="485">
        <v>0.53191798000000001</v>
      </c>
      <c r="AP8" s="485">
        <v>1.04820629</v>
      </c>
      <c r="AQ8" s="485">
        <v>0.79720856000000007</v>
      </c>
      <c r="AR8" s="485">
        <v>0.45030021999999997</v>
      </c>
      <c r="AS8" s="485">
        <v>1.6454917600000001</v>
      </c>
      <c r="AT8" s="485">
        <v>2.5353343500000003</v>
      </c>
      <c r="AU8" s="485">
        <v>1.83243321</v>
      </c>
      <c r="AV8" s="485">
        <v>3.2758696</v>
      </c>
      <c r="AW8" s="485">
        <v>0.55512423</v>
      </c>
      <c r="AX8" s="485">
        <v>1.47342814</v>
      </c>
      <c r="AY8" s="485">
        <v>3.9064475099999996</v>
      </c>
      <c r="AZ8" s="485">
        <v>4.9109224100000004</v>
      </c>
      <c r="BA8" s="485">
        <v>5.9536671800000001</v>
      </c>
      <c r="BB8" s="485">
        <f>'[5]CB-1SR'!EX14</f>
        <v>0.9437263199999999</v>
      </c>
      <c r="BC8" s="485">
        <v>1.9592846000000002</v>
      </c>
      <c r="BD8" s="485">
        <v>3.2790184999999998</v>
      </c>
      <c r="BE8" s="485">
        <v>1.0305465700000001</v>
      </c>
      <c r="BF8" s="485">
        <v>2.1129708599999999</v>
      </c>
      <c r="BG8" s="485">
        <v>0.99579791000000006</v>
      </c>
      <c r="BH8" s="485">
        <v>2.09559498</v>
      </c>
      <c r="BI8" s="485">
        <v>3.1292195699999996</v>
      </c>
      <c r="BJ8" s="485">
        <v>0.80075947999999997</v>
      </c>
      <c r="BK8" s="485">
        <v>3.9181357400000003</v>
      </c>
      <c r="BL8" s="485">
        <v>1.15771402</v>
      </c>
      <c r="BM8" s="485">
        <v>2.0793943700000002</v>
      </c>
      <c r="BN8" s="485">
        <v>4.09080391</v>
      </c>
      <c r="BO8" s="485">
        <v>5.0792759500000004</v>
      </c>
      <c r="BP8" s="485">
        <v>0.53215592</v>
      </c>
      <c r="BQ8" s="485">
        <v>1.6222477900000001</v>
      </c>
      <c r="BR8" s="485">
        <v>3.7986197900000001</v>
      </c>
      <c r="BS8" s="485">
        <v>0.56844960999999994</v>
      </c>
      <c r="BT8" s="485">
        <v>2.1422187099999999</v>
      </c>
      <c r="BU8" s="485">
        <v>3.5085658900000003</v>
      </c>
      <c r="BV8" s="485">
        <v>0.84997544999999997</v>
      </c>
      <c r="BW8" s="485">
        <v>5.5799382199999998</v>
      </c>
      <c r="BX8" s="485">
        <v>6.6585110700000003</v>
      </c>
      <c r="BY8" s="485">
        <v>8.1286054300000004</v>
      </c>
      <c r="BZ8" s="485">
        <v>2.8538536699999999</v>
      </c>
    </row>
    <row r="9" spans="1:78" ht="16.5" customHeight="1" x14ac:dyDescent="0.25">
      <c r="A9" s="481" t="s">
        <v>408</v>
      </c>
      <c r="B9" s="482" t="s">
        <v>409</v>
      </c>
      <c r="C9" s="484">
        <v>8132.1138869999995</v>
      </c>
      <c r="D9" s="484">
        <v>16165.038531259999</v>
      </c>
      <c r="E9" s="484">
        <v>16415.657714739998</v>
      </c>
      <c r="F9" s="484">
        <v>16282.483959679997</v>
      </c>
      <c r="G9" s="484">
        <v>16384.195707950003</v>
      </c>
      <c r="H9" s="484">
        <v>13563.80866162</v>
      </c>
      <c r="I9" s="484">
        <v>13263.44750547</v>
      </c>
      <c r="J9" s="484">
        <v>17475.175109269996</v>
      </c>
      <c r="K9" s="484">
        <v>20950.598344339996</v>
      </c>
      <c r="L9" s="484">
        <v>15807.355569879999</v>
      </c>
      <c r="M9" s="484">
        <v>14252.397320960001</v>
      </c>
      <c r="N9" s="484">
        <v>12194.92374333</v>
      </c>
      <c r="O9" s="484">
        <v>10752.475926719999</v>
      </c>
      <c r="P9" s="484">
        <v>10561.82350036</v>
      </c>
      <c r="Q9" s="484">
        <v>14281.521187839999</v>
      </c>
      <c r="R9" s="484">
        <v>10431.49251593</v>
      </c>
      <c r="S9" s="484">
        <v>6307.5945568500001</v>
      </c>
      <c r="T9" s="484">
        <v>11907.53680729</v>
      </c>
      <c r="U9" s="484">
        <v>11472.13786741</v>
      </c>
      <c r="V9" s="484">
        <v>13012.974477869999</v>
      </c>
      <c r="W9" s="484">
        <v>13957.589320569999</v>
      </c>
      <c r="X9" s="484">
        <v>15123.004838939998</v>
      </c>
      <c r="Y9" s="484">
        <v>16412.485419919998</v>
      </c>
      <c r="Z9" s="484">
        <v>19677.189963389999</v>
      </c>
      <c r="AA9" s="484">
        <v>18166.427285889997</v>
      </c>
      <c r="AB9" s="484">
        <v>18111.28020479</v>
      </c>
      <c r="AC9" s="484">
        <v>21015.324634590001</v>
      </c>
      <c r="AD9" s="484">
        <v>20102.940633890001</v>
      </c>
      <c r="AE9" s="484">
        <v>19875.265104490001</v>
      </c>
      <c r="AF9" s="484">
        <v>23742.215005490001</v>
      </c>
      <c r="AG9" s="484">
        <v>22304.135166609998</v>
      </c>
      <c r="AH9" s="484">
        <v>30492.67854257</v>
      </c>
      <c r="AI9" s="484">
        <v>32579.410856299997</v>
      </c>
      <c r="AJ9" s="484">
        <v>28249.655219799995</v>
      </c>
      <c r="AK9" s="484">
        <v>30932.623094929997</v>
      </c>
      <c r="AL9" s="484">
        <v>32390.31187293</v>
      </c>
      <c r="AM9" s="484">
        <v>34749.097609590011</v>
      </c>
      <c r="AN9" s="484">
        <v>35733.678906399997</v>
      </c>
      <c r="AO9" s="485">
        <v>36617.823103210001</v>
      </c>
      <c r="AP9" s="485">
        <v>36066.585837840001</v>
      </c>
      <c r="AQ9" s="485">
        <v>27945.119753409999</v>
      </c>
      <c r="AR9" s="485">
        <v>24850.079792949997</v>
      </c>
      <c r="AS9" s="485">
        <v>22944.954486690003</v>
      </c>
      <c r="AT9" s="485">
        <v>21854.622997580005</v>
      </c>
      <c r="AU9" s="485">
        <v>22909.898303969996</v>
      </c>
      <c r="AV9" s="485">
        <v>22624.069642890001</v>
      </c>
      <c r="AW9" s="485">
        <v>20028.013601069993</v>
      </c>
      <c r="AX9" s="485">
        <v>21748.553830939989</v>
      </c>
      <c r="AY9" s="485">
        <v>21483.132138889992</v>
      </c>
      <c r="AZ9" s="485">
        <v>22702.178274540005</v>
      </c>
      <c r="BA9" s="485">
        <v>24034.491288860005</v>
      </c>
      <c r="BB9" s="485">
        <f>'[5]CB-1SR'!EX17</f>
        <v>28635.434102369993</v>
      </c>
      <c r="BC9" s="485">
        <v>25048.548394419995</v>
      </c>
      <c r="BD9" s="485">
        <v>27113.099582539995</v>
      </c>
      <c r="BE9" s="485">
        <v>29028.218064130004</v>
      </c>
      <c r="BF9" s="485">
        <v>30285.358766379984</v>
      </c>
      <c r="BG9" s="485">
        <v>27084.338610829989</v>
      </c>
      <c r="BH9" s="485">
        <v>24302.270313610003</v>
      </c>
      <c r="BI9" s="485">
        <v>21740.981760110004</v>
      </c>
      <c r="BJ9" s="485">
        <v>34391.150536819987</v>
      </c>
      <c r="BK9" s="485">
        <v>33755.574954980002</v>
      </c>
      <c r="BL9" s="485">
        <v>34163.156522330013</v>
      </c>
      <c r="BM9" s="485">
        <v>28736.155734330005</v>
      </c>
      <c r="BN9" s="485">
        <v>24589.990091500003</v>
      </c>
      <c r="BO9" s="485">
        <v>31729.384710990002</v>
      </c>
      <c r="BP9" s="485">
        <v>33983.370749590002</v>
      </c>
      <c r="BQ9" s="485">
        <v>38243.675957359999</v>
      </c>
      <c r="BR9" s="485">
        <v>38967.190348329998</v>
      </c>
      <c r="BS9" s="485">
        <v>36352.212677100011</v>
      </c>
      <c r="BT9" s="485">
        <v>39021.144219899994</v>
      </c>
      <c r="BU9" s="485">
        <v>41590.668968020007</v>
      </c>
      <c r="BV9" s="485">
        <v>33597.301729699997</v>
      </c>
      <c r="BW9" s="485">
        <v>43654.056733619997</v>
      </c>
      <c r="BX9" s="485">
        <v>51279.254434360002</v>
      </c>
      <c r="BY9" s="485">
        <v>52465.045530859999</v>
      </c>
      <c r="BZ9" s="485">
        <v>49980.480649470002</v>
      </c>
    </row>
    <row r="10" spans="1:78" ht="16.5" customHeight="1" x14ac:dyDescent="0.25">
      <c r="A10" s="481" t="s">
        <v>410</v>
      </c>
      <c r="B10" s="482" t="s">
        <v>411</v>
      </c>
      <c r="C10" s="484">
        <v>38344.260228209998</v>
      </c>
      <c r="D10" s="484">
        <v>31170.163890569998</v>
      </c>
      <c r="E10" s="484">
        <v>30458.217517429999</v>
      </c>
      <c r="F10" s="484">
        <v>30830.121354279996</v>
      </c>
      <c r="G10" s="484">
        <v>31584.513719139999</v>
      </c>
      <c r="H10" s="484">
        <v>34184.241495039998</v>
      </c>
      <c r="I10" s="484">
        <v>35777.790271029997</v>
      </c>
      <c r="J10" s="484">
        <v>31855.438379689997</v>
      </c>
      <c r="K10" s="484">
        <v>31497.674340359998</v>
      </c>
      <c r="L10" s="484">
        <v>29929.794581529997</v>
      </c>
      <c r="M10" s="484">
        <v>33844.803538099994</v>
      </c>
      <c r="N10" s="484">
        <v>38360.14002097</v>
      </c>
      <c r="O10" s="484">
        <v>37396.164551549999</v>
      </c>
      <c r="P10" s="484">
        <v>37417.551427999999</v>
      </c>
      <c r="Q10" s="484">
        <v>36044.467595589995</v>
      </c>
      <c r="R10" s="484">
        <v>39360.102269879993</v>
      </c>
      <c r="S10" s="484">
        <v>41794.618096300001</v>
      </c>
      <c r="T10" s="484">
        <v>38811.454377540002</v>
      </c>
      <c r="U10" s="484">
        <v>38485.609693169994</v>
      </c>
      <c r="V10" s="484">
        <v>36529.34239464</v>
      </c>
      <c r="W10" s="484">
        <v>34029.800388759999</v>
      </c>
      <c r="X10" s="484">
        <v>34993.114313079997</v>
      </c>
      <c r="Y10" s="484">
        <v>30095.185955499997</v>
      </c>
      <c r="Z10" s="484">
        <v>30012.930467769998</v>
      </c>
      <c r="AA10" s="484">
        <v>30672.732184939996</v>
      </c>
      <c r="AB10" s="484">
        <v>30654.736318689997</v>
      </c>
      <c r="AC10" s="484">
        <v>27594.188082969999</v>
      </c>
      <c r="AD10" s="484">
        <v>27945.230522999998</v>
      </c>
      <c r="AE10" s="484">
        <v>27350.431267830001</v>
      </c>
      <c r="AF10" s="484">
        <v>29149.89765436</v>
      </c>
      <c r="AG10" s="484">
        <v>29554.858855889997</v>
      </c>
      <c r="AH10" s="484">
        <v>21767.800397259998</v>
      </c>
      <c r="AI10" s="484">
        <v>19906.328581779999</v>
      </c>
      <c r="AJ10" s="484">
        <v>20010.942818439999</v>
      </c>
      <c r="AK10" s="484">
        <v>19964.35384045</v>
      </c>
      <c r="AL10" s="484">
        <v>19839.805294300004</v>
      </c>
      <c r="AM10" s="484">
        <v>19792.458165529999</v>
      </c>
      <c r="AN10" s="484">
        <v>18726.550925420001</v>
      </c>
      <c r="AO10" s="485">
        <v>20878.178859099997</v>
      </c>
      <c r="AP10" s="485">
        <v>20888.841627010002</v>
      </c>
      <c r="AQ10" s="485">
        <v>37363.835061269994</v>
      </c>
      <c r="AR10" s="485">
        <v>41014.976829880005</v>
      </c>
      <c r="AS10" s="485">
        <v>39495.857861279997</v>
      </c>
      <c r="AT10" s="485">
        <v>38874.151359489995</v>
      </c>
      <c r="AU10" s="485">
        <v>39704.112984480002</v>
      </c>
      <c r="AV10" s="485">
        <v>39501.224465840001</v>
      </c>
      <c r="AW10" s="485">
        <v>41183.521584350005</v>
      </c>
      <c r="AX10" s="485">
        <v>43921.966336339996</v>
      </c>
      <c r="AY10" s="485">
        <v>43514.533935860003</v>
      </c>
      <c r="AZ10" s="485">
        <v>47618.114190779997</v>
      </c>
      <c r="BA10" s="485">
        <v>48234.669210139997</v>
      </c>
      <c r="BB10" s="485">
        <f>'[5]CB-1SR'!EX28</f>
        <v>48063.192881540002</v>
      </c>
      <c r="BC10" s="485">
        <v>53998.876287660001</v>
      </c>
      <c r="BD10" s="485">
        <v>54134.479630380003</v>
      </c>
      <c r="BE10" s="485">
        <v>53748.848985420002</v>
      </c>
      <c r="BF10" s="485">
        <v>54500.343377270001</v>
      </c>
      <c r="BG10" s="485">
        <v>55806.64817108</v>
      </c>
      <c r="BH10" s="485">
        <v>54457.804170980002</v>
      </c>
      <c r="BI10" s="485">
        <v>53868.479658140001</v>
      </c>
      <c r="BJ10" s="485">
        <v>42994.024547200002</v>
      </c>
      <c r="BK10" s="485">
        <v>38870.137759259997</v>
      </c>
      <c r="BL10" s="485">
        <v>28761.602965819999</v>
      </c>
      <c r="BM10" s="485">
        <v>29742.152523880002</v>
      </c>
      <c r="BN10" s="485">
        <v>20177.671186209998</v>
      </c>
      <c r="BO10" s="485">
        <v>10828.594564559999</v>
      </c>
      <c r="BP10" s="485">
        <v>4089.8516729499997</v>
      </c>
      <c r="BQ10" s="485">
        <v>4017.4740357400001</v>
      </c>
      <c r="BR10" s="485">
        <v>3893.3868102000001</v>
      </c>
      <c r="BS10" s="485">
        <v>3840.2660847100001</v>
      </c>
      <c r="BT10" s="485">
        <v>3970.6808910099999</v>
      </c>
      <c r="BU10" s="485">
        <v>4149.8829294799998</v>
      </c>
      <c r="BV10" s="485">
        <v>3969.43559177</v>
      </c>
      <c r="BW10" s="485">
        <v>313.32508336000001</v>
      </c>
      <c r="BX10" s="485">
        <v>444.32891211999998</v>
      </c>
      <c r="BY10" s="485">
        <v>599.1229890699999</v>
      </c>
      <c r="BZ10" s="485">
        <v>496.82983789999997</v>
      </c>
    </row>
    <row r="11" spans="1:78" ht="16.5" customHeight="1" x14ac:dyDescent="0.25">
      <c r="A11" s="481" t="s">
        <v>412</v>
      </c>
      <c r="B11" s="482" t="s">
        <v>413</v>
      </c>
      <c r="C11" s="484">
        <v>0</v>
      </c>
      <c r="D11" s="484">
        <v>0</v>
      </c>
      <c r="E11" s="484">
        <v>0</v>
      </c>
      <c r="F11" s="484">
        <v>0</v>
      </c>
      <c r="G11" s="484">
        <v>0</v>
      </c>
      <c r="H11" s="484">
        <v>0</v>
      </c>
      <c r="I11" s="484">
        <v>0</v>
      </c>
      <c r="J11" s="484">
        <v>0</v>
      </c>
      <c r="K11" s="484">
        <v>0</v>
      </c>
      <c r="L11" s="484">
        <v>0</v>
      </c>
      <c r="M11" s="484">
        <v>0</v>
      </c>
      <c r="N11" s="484">
        <v>0</v>
      </c>
      <c r="O11" s="484">
        <v>0</v>
      </c>
      <c r="P11" s="484">
        <v>0</v>
      </c>
      <c r="Q11" s="484">
        <v>0</v>
      </c>
      <c r="R11" s="484">
        <v>0</v>
      </c>
      <c r="S11" s="484">
        <v>0</v>
      </c>
      <c r="T11" s="484">
        <v>0</v>
      </c>
      <c r="U11" s="484">
        <v>0</v>
      </c>
      <c r="V11" s="484">
        <v>0</v>
      </c>
      <c r="W11" s="484">
        <v>0</v>
      </c>
      <c r="X11" s="484">
        <v>0</v>
      </c>
      <c r="Y11" s="484">
        <v>0</v>
      </c>
      <c r="Z11" s="484">
        <v>0</v>
      </c>
      <c r="AA11" s="484">
        <v>0</v>
      </c>
      <c r="AB11" s="484">
        <v>0</v>
      </c>
      <c r="AC11" s="484">
        <v>0</v>
      </c>
      <c r="AD11" s="484">
        <v>0</v>
      </c>
      <c r="AE11" s="484">
        <v>0</v>
      </c>
      <c r="AF11" s="484">
        <v>0</v>
      </c>
      <c r="AG11" s="484">
        <v>0</v>
      </c>
      <c r="AH11" s="484">
        <v>0</v>
      </c>
      <c r="AI11" s="484">
        <v>0</v>
      </c>
      <c r="AJ11" s="484">
        <v>0</v>
      </c>
      <c r="AK11" s="484">
        <v>0</v>
      </c>
      <c r="AL11" s="484">
        <v>0</v>
      </c>
      <c r="AM11" s="484">
        <v>0</v>
      </c>
      <c r="AN11" s="484">
        <v>0</v>
      </c>
      <c r="AO11" s="485">
        <v>0</v>
      </c>
      <c r="AP11" s="485">
        <v>0</v>
      </c>
      <c r="AQ11" s="485">
        <v>0</v>
      </c>
      <c r="AR11" s="485">
        <v>0</v>
      </c>
      <c r="AS11" s="485">
        <v>0</v>
      </c>
      <c r="AT11" s="485">
        <v>0</v>
      </c>
      <c r="AU11" s="485">
        <v>0</v>
      </c>
      <c r="AV11" s="485">
        <v>0</v>
      </c>
      <c r="AW11" s="485">
        <v>0</v>
      </c>
      <c r="AX11" s="485">
        <v>0</v>
      </c>
      <c r="AY11" s="485">
        <v>0</v>
      </c>
      <c r="AZ11" s="485">
        <v>0</v>
      </c>
      <c r="BA11" s="485">
        <v>0</v>
      </c>
      <c r="BB11" s="485">
        <v>0</v>
      </c>
      <c r="BC11" s="485">
        <v>0</v>
      </c>
      <c r="BD11" s="485">
        <v>0</v>
      </c>
      <c r="BE11" s="485">
        <v>0</v>
      </c>
      <c r="BF11" s="485">
        <v>0</v>
      </c>
      <c r="BG11" s="485">
        <v>0</v>
      </c>
      <c r="BH11" s="485">
        <v>0</v>
      </c>
      <c r="BI11" s="485">
        <v>0</v>
      </c>
      <c r="BJ11" s="485">
        <v>0</v>
      </c>
      <c r="BK11" s="485">
        <v>0</v>
      </c>
      <c r="BL11" s="485">
        <v>0</v>
      </c>
      <c r="BM11" s="485">
        <v>0</v>
      </c>
      <c r="BN11" s="485">
        <v>0</v>
      </c>
      <c r="BO11" s="485">
        <v>0</v>
      </c>
      <c r="BP11" s="485">
        <v>0</v>
      </c>
      <c r="BQ11" s="485">
        <v>0</v>
      </c>
      <c r="BR11" s="485">
        <v>0</v>
      </c>
      <c r="BS11" s="485">
        <v>0</v>
      </c>
      <c r="BT11" s="485">
        <v>0</v>
      </c>
      <c r="BU11" s="485">
        <v>0</v>
      </c>
      <c r="BV11" s="485">
        <v>0</v>
      </c>
      <c r="BW11" s="485">
        <v>0</v>
      </c>
      <c r="BX11" s="485">
        <v>0</v>
      </c>
      <c r="BY11" s="485">
        <v>0</v>
      </c>
      <c r="BZ11" s="485">
        <v>0</v>
      </c>
    </row>
    <row r="12" spans="1:78" ht="16.5" customHeight="1" x14ac:dyDescent="0.25">
      <c r="A12" s="481"/>
      <c r="B12" s="482"/>
      <c r="C12" s="483"/>
      <c r="D12" s="483"/>
      <c r="E12" s="483"/>
      <c r="F12" s="483"/>
      <c r="G12" s="483"/>
      <c r="H12" s="483"/>
      <c r="I12" s="483"/>
      <c r="J12" s="483"/>
      <c r="K12" s="483"/>
      <c r="L12" s="483"/>
      <c r="M12" s="483"/>
      <c r="N12" s="483"/>
      <c r="O12" s="483"/>
      <c r="P12" s="483"/>
      <c r="Q12" s="483"/>
      <c r="R12" s="483"/>
      <c r="S12" s="483"/>
      <c r="T12" s="483"/>
      <c r="U12" s="483"/>
      <c r="V12" s="483"/>
      <c r="W12" s="483"/>
      <c r="X12" s="483"/>
      <c r="Y12" s="483"/>
      <c r="Z12" s="483"/>
      <c r="AA12" s="483"/>
      <c r="AB12" s="483"/>
      <c r="AC12" s="483"/>
      <c r="AD12" s="483"/>
      <c r="AE12" s="483"/>
      <c r="AF12" s="483"/>
      <c r="AG12" s="483"/>
      <c r="AH12" s="483"/>
      <c r="AI12" s="483"/>
      <c r="AJ12" s="483"/>
      <c r="AK12" s="483"/>
      <c r="AL12" s="483"/>
      <c r="AM12" s="483"/>
      <c r="AN12" s="483"/>
      <c r="AO12" s="476"/>
      <c r="AP12" s="476"/>
      <c r="AQ12" s="476"/>
      <c r="AR12" s="476"/>
      <c r="AS12" s="476"/>
      <c r="AT12" s="476"/>
      <c r="AU12" s="476"/>
      <c r="AV12" s="476"/>
      <c r="AW12" s="476"/>
      <c r="AX12" s="476"/>
      <c r="AY12" s="476"/>
      <c r="AZ12" s="476"/>
      <c r="BA12" s="476"/>
      <c r="BB12" s="476"/>
      <c r="BC12" s="476"/>
      <c r="BD12" s="476"/>
      <c r="BE12" s="476"/>
      <c r="BF12" s="476"/>
      <c r="BG12" s="476"/>
      <c r="BH12" s="476"/>
      <c r="BI12" s="476"/>
      <c r="BJ12" s="476"/>
      <c r="BK12" s="476"/>
      <c r="BL12" s="476"/>
      <c r="BM12" s="476"/>
      <c r="BN12" s="476"/>
      <c r="BO12" s="476"/>
      <c r="BP12" s="476"/>
      <c r="BQ12" s="476"/>
      <c r="BR12" s="476"/>
      <c r="BS12" s="476"/>
      <c r="BT12" s="476"/>
      <c r="BU12" s="476"/>
      <c r="BV12" s="476"/>
      <c r="BW12" s="476"/>
      <c r="BX12" s="476"/>
      <c r="BY12" s="476"/>
      <c r="BZ12" s="476"/>
    </row>
    <row r="13" spans="1:78" ht="16.5" customHeight="1" x14ac:dyDescent="0.25">
      <c r="A13" s="477" t="s">
        <v>414</v>
      </c>
      <c r="B13" s="478" t="s">
        <v>415</v>
      </c>
      <c r="C13" s="479">
        <v>12072.22659412</v>
      </c>
      <c r="D13" s="479">
        <v>12310.380973459998</v>
      </c>
      <c r="E13" s="479">
        <v>12299.3892326</v>
      </c>
      <c r="F13" s="479">
        <v>12753.430159419999</v>
      </c>
      <c r="G13" s="479">
        <v>14169.02264089</v>
      </c>
      <c r="H13" s="479">
        <v>13795.39429459</v>
      </c>
      <c r="I13" s="479">
        <v>13439.258409259999</v>
      </c>
      <c r="J13" s="479">
        <v>13996.250062699999</v>
      </c>
      <c r="K13" s="479">
        <v>14106.46864476</v>
      </c>
      <c r="L13" s="479">
        <v>21466.012411629996</v>
      </c>
      <c r="M13" s="479">
        <v>22259.942895280001</v>
      </c>
      <c r="N13" s="479">
        <v>22989.724287000001</v>
      </c>
      <c r="O13" s="479">
        <v>22602.2319183</v>
      </c>
      <c r="P13" s="479">
        <v>22691.09387561</v>
      </c>
      <c r="Q13" s="479">
        <v>22352.028991380001</v>
      </c>
      <c r="R13" s="479">
        <v>20849.54136513</v>
      </c>
      <c r="S13" s="479">
        <v>25311.236187789997</v>
      </c>
      <c r="T13" s="479">
        <v>25904.122945640003</v>
      </c>
      <c r="U13" s="479">
        <v>25448.523120929996</v>
      </c>
      <c r="V13" s="479">
        <v>26103.861314179998</v>
      </c>
      <c r="W13" s="479">
        <v>26478.396701689999</v>
      </c>
      <c r="X13" s="479">
        <v>26989.708329679997</v>
      </c>
      <c r="Y13" s="479">
        <v>28710.847810829997</v>
      </c>
      <c r="Z13" s="479">
        <v>29272.863074449997</v>
      </c>
      <c r="AA13" s="479">
        <v>29774.367504059999</v>
      </c>
      <c r="AB13" s="479">
        <v>29994.585717139998</v>
      </c>
      <c r="AC13" s="479">
        <v>29716.363131129998</v>
      </c>
      <c r="AD13" s="479">
        <v>30191.575073689997</v>
      </c>
      <c r="AE13" s="479">
        <v>30291.892443910001</v>
      </c>
      <c r="AF13" s="479">
        <v>30655.36253658</v>
      </c>
      <c r="AG13" s="479">
        <v>32696.011781870002</v>
      </c>
      <c r="AH13" s="479">
        <v>31903.367670209998</v>
      </c>
      <c r="AI13" s="479">
        <v>31757.040021659996</v>
      </c>
      <c r="AJ13" s="479">
        <v>35107.437926109997</v>
      </c>
      <c r="AK13" s="479">
        <v>33233.225229119998</v>
      </c>
      <c r="AL13" s="479">
        <v>33263.001441159999</v>
      </c>
      <c r="AM13" s="479">
        <v>34490.790181199998</v>
      </c>
      <c r="AN13" s="479">
        <v>34491.697270019999</v>
      </c>
      <c r="AO13" s="480">
        <v>35028.633662579996</v>
      </c>
      <c r="AP13" s="480">
        <v>35143.509310879999</v>
      </c>
      <c r="AQ13" s="480">
        <v>35116.670259060003</v>
      </c>
      <c r="AR13" s="480">
        <v>34785.282280559994</v>
      </c>
      <c r="AS13" s="480">
        <v>34830.731261859997</v>
      </c>
      <c r="AT13" s="480">
        <v>34803.259640700002</v>
      </c>
      <c r="AU13" s="480">
        <v>34684.586074370003</v>
      </c>
      <c r="AV13" s="480">
        <v>34903.114191610002</v>
      </c>
      <c r="AW13" s="480">
        <v>35302.550363510003</v>
      </c>
      <c r="AX13" s="480">
        <v>35206.02114995</v>
      </c>
      <c r="AY13" s="480">
        <v>35120.570964209997</v>
      </c>
      <c r="AZ13" s="480">
        <v>35087.762766209999</v>
      </c>
      <c r="BA13" s="480">
        <v>35063.49077697</v>
      </c>
      <c r="BB13" s="480">
        <f>'[5]CB-1SR'!EX43</f>
        <v>35018.8841311</v>
      </c>
      <c r="BC13" s="480">
        <v>34763.121082159996</v>
      </c>
      <c r="BD13" s="480">
        <v>34924.906232589994</v>
      </c>
      <c r="BE13" s="480">
        <v>34696.392183399999</v>
      </c>
      <c r="BF13" s="480">
        <v>34629.470733150003</v>
      </c>
      <c r="BG13" s="480">
        <v>31574.77115457</v>
      </c>
      <c r="BH13" s="480">
        <v>33064.702984269999</v>
      </c>
      <c r="BI13" s="480">
        <v>32649.264819859996</v>
      </c>
      <c r="BJ13" s="480">
        <v>35127.371612870003</v>
      </c>
      <c r="BK13" s="480">
        <v>34889.035530839996</v>
      </c>
      <c r="BL13" s="480">
        <v>50644.848544829991</v>
      </c>
      <c r="BM13" s="480">
        <v>66797.338300970005</v>
      </c>
      <c r="BN13" s="480">
        <v>79005.39803411001</v>
      </c>
      <c r="BO13" s="480">
        <v>81936.357049509985</v>
      </c>
      <c r="BP13" s="480">
        <v>86952.937439709989</v>
      </c>
      <c r="BQ13" s="480">
        <v>86949.157375989991</v>
      </c>
      <c r="BR13" s="480">
        <v>86051.929120000001</v>
      </c>
      <c r="BS13" s="480">
        <v>90772.343108989997</v>
      </c>
      <c r="BT13" s="480">
        <v>91572.045293460003</v>
      </c>
      <c r="BU13" s="480">
        <v>91319.630561269994</v>
      </c>
      <c r="BV13" s="480">
        <v>100807.28968598002</v>
      </c>
      <c r="BW13" s="480">
        <v>94211.988522299987</v>
      </c>
      <c r="BX13" s="480">
        <v>87104.55853907</v>
      </c>
      <c r="BY13" s="480">
        <v>86993.135188810003</v>
      </c>
      <c r="BZ13" s="480">
        <v>88476.540857100001</v>
      </c>
    </row>
    <row r="14" spans="1:78" ht="16.5" customHeight="1" x14ac:dyDescent="0.25">
      <c r="A14" s="481"/>
      <c r="B14" s="482"/>
      <c r="C14" s="483"/>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476"/>
    </row>
    <row r="15" spans="1:78" ht="16.5" customHeight="1" x14ac:dyDescent="0.25">
      <c r="A15" s="477" t="s">
        <v>416</v>
      </c>
      <c r="B15" s="478" t="s">
        <v>200</v>
      </c>
      <c r="C15" s="479">
        <v>491.84622338999992</v>
      </c>
      <c r="D15" s="479">
        <v>524.90104052999993</v>
      </c>
      <c r="E15" s="479">
        <v>473.86928965999999</v>
      </c>
      <c r="F15" s="479">
        <v>502.70682980000004</v>
      </c>
      <c r="G15" s="479">
        <v>478.72747143999999</v>
      </c>
      <c r="H15" s="479">
        <v>513.68363216</v>
      </c>
      <c r="I15" s="479">
        <v>477.29557854999996</v>
      </c>
      <c r="J15" s="479">
        <v>507.48070460999998</v>
      </c>
      <c r="K15" s="479">
        <v>684.1661249199999</v>
      </c>
      <c r="L15" s="479">
        <v>747.12506561999999</v>
      </c>
      <c r="M15" s="479">
        <v>1143.4792162199999</v>
      </c>
      <c r="N15" s="479">
        <v>1120.76761362</v>
      </c>
      <c r="O15" s="479">
        <v>1123.4188966800002</v>
      </c>
      <c r="P15" s="479">
        <v>1122.3026721700001</v>
      </c>
      <c r="Q15" s="479">
        <v>339.41735683000002</v>
      </c>
      <c r="R15" s="479">
        <v>1831.8265738599998</v>
      </c>
      <c r="S15" s="479">
        <v>738.01858803999994</v>
      </c>
      <c r="T15" s="479">
        <v>319.08661459000001</v>
      </c>
      <c r="U15" s="479">
        <v>1894.1164255000001</v>
      </c>
      <c r="V15" s="479">
        <v>1174.0161133600002</v>
      </c>
      <c r="W15" s="479">
        <v>856.10078765999992</v>
      </c>
      <c r="X15" s="479">
        <v>1051.07743783</v>
      </c>
      <c r="Y15" s="479">
        <v>1204.4816335000003</v>
      </c>
      <c r="Z15" s="479">
        <v>1260.3841304100001</v>
      </c>
      <c r="AA15" s="479">
        <v>1230.5332219800002</v>
      </c>
      <c r="AB15" s="479">
        <v>1230.5164966699999</v>
      </c>
      <c r="AC15" s="479">
        <v>1215.4940869</v>
      </c>
      <c r="AD15" s="479">
        <v>1190.11493638</v>
      </c>
      <c r="AE15" s="479">
        <v>174.57985774000002</v>
      </c>
      <c r="AF15" s="479">
        <v>561.96719344000007</v>
      </c>
      <c r="AG15" s="479">
        <v>275.87252819999998</v>
      </c>
      <c r="AH15" s="479">
        <v>557.69373244000008</v>
      </c>
      <c r="AI15" s="479">
        <v>867.05270255000005</v>
      </c>
      <c r="AJ15" s="479">
        <v>1270.9848473699999</v>
      </c>
      <c r="AK15" s="479">
        <v>1435.0759070899996</v>
      </c>
      <c r="AL15" s="479">
        <v>1912.9682759799998</v>
      </c>
      <c r="AM15" s="479">
        <v>2240.3772425499997</v>
      </c>
      <c r="AN15" s="479">
        <v>2218.0704379499998</v>
      </c>
      <c r="AO15" s="480">
        <v>2186.4500008999998</v>
      </c>
      <c r="AP15" s="480">
        <v>2356.7966116800003</v>
      </c>
      <c r="AQ15" s="480">
        <v>1331.9935625799999</v>
      </c>
      <c r="AR15" s="480">
        <v>1592.3635513900001</v>
      </c>
      <c r="AS15" s="480">
        <v>1765.0824689000001</v>
      </c>
      <c r="AT15" s="480">
        <v>2035.90239615</v>
      </c>
      <c r="AU15" s="480">
        <v>3043.2619443799999</v>
      </c>
      <c r="AV15" s="480">
        <v>2549.1096988900003</v>
      </c>
      <c r="AW15" s="480">
        <v>2687.0578584899995</v>
      </c>
      <c r="AX15" s="480">
        <v>2678.9976269699996</v>
      </c>
      <c r="AY15" s="480">
        <v>3515.0071536999999</v>
      </c>
      <c r="AZ15" s="480">
        <v>3536.8521446999998</v>
      </c>
      <c r="BA15" s="480">
        <v>3530.2889172699993</v>
      </c>
      <c r="BB15" s="480">
        <f>'[5]CB-1SR'!EX69</f>
        <v>3532.1077040499999</v>
      </c>
      <c r="BC15" s="480">
        <v>2494.0585267800002</v>
      </c>
      <c r="BD15" s="480">
        <v>2404.2688256999995</v>
      </c>
      <c r="BE15" s="480">
        <v>1843.34392875</v>
      </c>
      <c r="BF15" s="480">
        <v>2127.4552850299997</v>
      </c>
      <c r="BG15" s="480">
        <v>2167.0183569299998</v>
      </c>
      <c r="BH15" s="480">
        <v>2155.1626769200002</v>
      </c>
      <c r="BI15" s="480">
        <v>2322.5259095099996</v>
      </c>
      <c r="BJ15" s="480">
        <v>2302.7540793499998</v>
      </c>
      <c r="BK15" s="480">
        <v>2287.40010093</v>
      </c>
      <c r="BL15" s="480">
        <v>2448.8803223999998</v>
      </c>
      <c r="BM15" s="480">
        <v>2454.0093813699996</v>
      </c>
      <c r="BN15" s="480">
        <v>2665.1367796700001</v>
      </c>
      <c r="BO15" s="480">
        <v>2072.2967368200002</v>
      </c>
      <c r="BP15" s="480">
        <v>5479.9487537899995</v>
      </c>
      <c r="BQ15" s="480">
        <v>5156.8468584199991</v>
      </c>
      <c r="BR15" s="480">
        <v>4773.1028237399996</v>
      </c>
      <c r="BS15" s="480">
        <v>4786.1066778499999</v>
      </c>
      <c r="BT15" s="480">
        <v>4655.0792346200005</v>
      </c>
      <c r="BU15" s="480">
        <v>4626.3818023900003</v>
      </c>
      <c r="BV15" s="480">
        <v>4568.5416659399998</v>
      </c>
      <c r="BW15" s="480">
        <v>4566.7053859300004</v>
      </c>
      <c r="BX15" s="480">
        <v>4565.9351240899996</v>
      </c>
      <c r="BY15" s="480">
        <v>4594.1558131900001</v>
      </c>
      <c r="BZ15" s="480">
        <v>4584.5097460400002</v>
      </c>
    </row>
    <row r="16" spans="1:78" ht="16.5" customHeight="1" x14ac:dyDescent="0.25">
      <c r="A16" s="481"/>
      <c r="B16" s="482"/>
      <c r="C16" s="483"/>
      <c r="D16" s="483"/>
      <c r="E16" s="483"/>
      <c r="F16" s="483"/>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c r="AE16" s="483"/>
      <c r="AF16" s="483"/>
      <c r="AG16" s="483"/>
      <c r="AH16" s="483"/>
      <c r="AI16" s="483"/>
      <c r="AJ16" s="483"/>
      <c r="AK16" s="483"/>
      <c r="AL16" s="483"/>
      <c r="AM16" s="483"/>
      <c r="AN16" s="483"/>
      <c r="AO16" s="476"/>
      <c r="AP16" s="476"/>
      <c r="AQ16" s="476"/>
      <c r="AR16" s="476"/>
      <c r="AS16" s="476"/>
      <c r="AT16" s="476"/>
      <c r="AU16" s="476"/>
      <c r="AV16" s="476"/>
      <c r="AW16" s="476"/>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6"/>
    </row>
    <row r="17" spans="1:78" ht="16.5" customHeight="1" x14ac:dyDescent="0.25">
      <c r="A17" s="477" t="s">
        <v>417</v>
      </c>
      <c r="B17" s="478" t="s">
        <v>418</v>
      </c>
      <c r="C17" s="479">
        <v>161.26920694999998</v>
      </c>
      <c r="D17" s="479">
        <v>166.87536215999998</v>
      </c>
      <c r="E17" s="479">
        <v>161.42028822999998</v>
      </c>
      <c r="F17" s="479">
        <v>160.23152331999998</v>
      </c>
      <c r="G17" s="479">
        <v>179.13171553999999</v>
      </c>
      <c r="H17" s="479">
        <v>174.67062755999999</v>
      </c>
      <c r="I17" s="479">
        <v>169.48025906000001</v>
      </c>
      <c r="J17" s="479">
        <v>176.93580440999997</v>
      </c>
      <c r="K17" s="479">
        <v>174.46881076</v>
      </c>
      <c r="L17" s="479">
        <v>177.56091634000001</v>
      </c>
      <c r="M17" s="479">
        <v>174.34058016</v>
      </c>
      <c r="N17" s="479">
        <v>327.91928007999996</v>
      </c>
      <c r="O17" s="479">
        <v>316.69406669</v>
      </c>
      <c r="P17" s="479">
        <v>296.98852712000001</v>
      </c>
      <c r="Q17" s="479">
        <v>235.19138181999998</v>
      </c>
      <c r="R17" s="479">
        <v>228.24569933999999</v>
      </c>
      <c r="S17" s="479">
        <v>158.11373581000001</v>
      </c>
      <c r="T17" s="479">
        <v>160.36309102999999</v>
      </c>
      <c r="U17" s="479">
        <v>156.48745005000001</v>
      </c>
      <c r="V17" s="479">
        <v>157.26738781</v>
      </c>
      <c r="W17" s="479">
        <v>163.49021656999997</v>
      </c>
      <c r="X17" s="479">
        <v>162.04376009000001</v>
      </c>
      <c r="Y17" s="479">
        <v>164.88998756999999</v>
      </c>
      <c r="Z17" s="479">
        <v>165.16484383</v>
      </c>
      <c r="AA17" s="479">
        <v>164.04060859999998</v>
      </c>
      <c r="AB17" s="479">
        <v>161.96498192999999</v>
      </c>
      <c r="AC17" s="479">
        <v>162.67566421000001</v>
      </c>
      <c r="AD17" s="479">
        <v>163.50994844999997</v>
      </c>
      <c r="AE17" s="479">
        <v>167.93374788</v>
      </c>
      <c r="AF17" s="479">
        <v>174.45067546999999</v>
      </c>
      <c r="AG17" s="479">
        <v>211.87972452</v>
      </c>
      <c r="AH17" s="479">
        <v>209.07097730999999</v>
      </c>
      <c r="AI17" s="479">
        <v>208.87521335</v>
      </c>
      <c r="AJ17" s="479">
        <v>212.53402743999999</v>
      </c>
      <c r="AK17" s="479">
        <v>210.95428206999998</v>
      </c>
      <c r="AL17" s="479">
        <v>209.43874825</v>
      </c>
      <c r="AM17" s="479">
        <v>208.60019591999998</v>
      </c>
      <c r="AN17" s="479">
        <v>211.45628828</v>
      </c>
      <c r="AO17" s="480">
        <v>213.75509184999999</v>
      </c>
      <c r="AP17" s="480">
        <v>212.55079352999999</v>
      </c>
      <c r="AQ17" s="480">
        <v>213.33963661999999</v>
      </c>
      <c r="AR17" s="480">
        <v>212.75046890000002</v>
      </c>
      <c r="AS17" s="480">
        <v>221.86549281000001</v>
      </c>
      <c r="AT17" s="480">
        <v>221.81932963</v>
      </c>
      <c r="AU17" s="480">
        <v>219.53045155999999</v>
      </c>
      <c r="AV17" s="480">
        <v>216.52573848</v>
      </c>
      <c r="AW17" s="480">
        <v>218.31653191000001</v>
      </c>
      <c r="AX17" s="480">
        <v>216.73786058000002</v>
      </c>
      <c r="AY17" s="480">
        <v>218.93019322000001</v>
      </c>
      <c r="AZ17" s="480">
        <v>218.11275381000002</v>
      </c>
      <c r="BA17" s="480">
        <v>218.10628134999999</v>
      </c>
      <c r="BB17" s="480">
        <f>'[5]CB-1SR'!EX109</f>
        <v>217.28219397000001</v>
      </c>
      <c r="BC17" s="480">
        <v>219.29112119999999</v>
      </c>
      <c r="BD17" s="480">
        <v>227.39741284000002</v>
      </c>
      <c r="BE17" s="480">
        <v>228.99984716999998</v>
      </c>
      <c r="BF17" s="480">
        <v>232.01957019</v>
      </c>
      <c r="BG17" s="480">
        <v>235.58074550000001</v>
      </c>
      <c r="BH17" s="480">
        <v>235.57472911000002</v>
      </c>
      <c r="BI17" s="480">
        <v>236.62680281000002</v>
      </c>
      <c r="BJ17" s="480">
        <v>238.56366877000002</v>
      </c>
      <c r="BK17" s="480">
        <v>245.42686543000002</v>
      </c>
      <c r="BL17" s="480">
        <v>250.04395</v>
      </c>
      <c r="BM17" s="480">
        <v>337.16357664999998</v>
      </c>
      <c r="BN17" s="480">
        <v>327.93011097999999</v>
      </c>
      <c r="BO17" s="480">
        <v>327.53284425999999</v>
      </c>
      <c r="BP17" s="480">
        <v>325.61210411000002</v>
      </c>
      <c r="BQ17" s="480">
        <v>424.87167019999998</v>
      </c>
      <c r="BR17" s="480">
        <v>421.67678138999997</v>
      </c>
      <c r="BS17" s="480">
        <v>426.37082745999999</v>
      </c>
      <c r="BT17" s="480">
        <v>430.32526571</v>
      </c>
      <c r="BU17" s="480">
        <v>434.56412392000004</v>
      </c>
      <c r="BV17" s="480">
        <v>430.70113750000002</v>
      </c>
      <c r="BW17" s="480">
        <v>432.14307244999998</v>
      </c>
      <c r="BX17" s="480">
        <v>429.13295411000001</v>
      </c>
      <c r="BY17" s="480">
        <v>424.72257717000002</v>
      </c>
      <c r="BZ17" s="480">
        <v>419.87843735000001</v>
      </c>
    </row>
    <row r="18" spans="1:78" ht="16.5" customHeight="1" x14ac:dyDescent="0.25">
      <c r="A18" s="481"/>
      <c r="B18" s="486"/>
      <c r="C18" s="483"/>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76"/>
      <c r="AP18" s="476"/>
      <c r="AQ18" s="476"/>
      <c r="AR18" s="476"/>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row>
    <row r="19" spans="1:78" ht="16.5" customHeight="1" x14ac:dyDescent="0.25">
      <c r="A19" s="477" t="s">
        <v>419</v>
      </c>
      <c r="B19" s="478" t="s">
        <v>420</v>
      </c>
      <c r="C19" s="479">
        <v>0</v>
      </c>
      <c r="D19" s="479">
        <v>0</v>
      </c>
      <c r="E19" s="479">
        <v>0</v>
      </c>
      <c r="F19" s="479">
        <v>0</v>
      </c>
      <c r="G19" s="479">
        <v>0</v>
      </c>
      <c r="H19" s="479">
        <v>0</v>
      </c>
      <c r="I19" s="479">
        <v>0</v>
      </c>
      <c r="J19" s="479">
        <v>0</v>
      </c>
      <c r="K19" s="479">
        <v>0</v>
      </c>
      <c r="L19" s="479">
        <v>0</v>
      </c>
      <c r="M19" s="479">
        <v>0</v>
      </c>
      <c r="N19" s="479">
        <v>0</v>
      </c>
      <c r="O19" s="479">
        <v>0</v>
      </c>
      <c r="P19" s="479">
        <v>0</v>
      </c>
      <c r="Q19" s="479">
        <v>0</v>
      </c>
      <c r="R19" s="479">
        <v>0</v>
      </c>
      <c r="S19" s="479">
        <v>0</v>
      </c>
      <c r="T19" s="479">
        <v>0</v>
      </c>
      <c r="U19" s="479">
        <v>0</v>
      </c>
      <c r="V19" s="479">
        <v>0</v>
      </c>
      <c r="W19" s="479">
        <v>0</v>
      </c>
      <c r="X19" s="479">
        <v>0</v>
      </c>
      <c r="Y19" s="479">
        <v>0</v>
      </c>
      <c r="Z19" s="479">
        <v>0</v>
      </c>
      <c r="AA19" s="479">
        <v>0</v>
      </c>
      <c r="AB19" s="479">
        <v>0</v>
      </c>
      <c r="AC19" s="479">
        <v>0</v>
      </c>
      <c r="AD19" s="479">
        <v>0</v>
      </c>
      <c r="AE19" s="479">
        <v>0</v>
      </c>
      <c r="AF19" s="479">
        <v>0</v>
      </c>
      <c r="AG19" s="479">
        <v>0</v>
      </c>
      <c r="AH19" s="479">
        <v>0</v>
      </c>
      <c r="AI19" s="479">
        <v>0</v>
      </c>
      <c r="AJ19" s="479">
        <v>0</v>
      </c>
      <c r="AK19" s="479">
        <v>0</v>
      </c>
      <c r="AL19" s="479">
        <v>0</v>
      </c>
      <c r="AM19" s="479">
        <v>0</v>
      </c>
      <c r="AN19" s="479">
        <v>0</v>
      </c>
      <c r="AO19" s="480">
        <v>0</v>
      </c>
      <c r="AP19" s="480">
        <v>0</v>
      </c>
      <c r="AQ19" s="480">
        <v>0</v>
      </c>
      <c r="AR19" s="480">
        <v>0</v>
      </c>
      <c r="AS19" s="480">
        <v>0</v>
      </c>
      <c r="AT19" s="480">
        <v>0</v>
      </c>
      <c r="AU19" s="480">
        <v>0</v>
      </c>
      <c r="AV19" s="480">
        <v>0</v>
      </c>
      <c r="AW19" s="480">
        <v>0</v>
      </c>
      <c r="AX19" s="480">
        <v>0</v>
      </c>
      <c r="AY19" s="480">
        <v>0</v>
      </c>
      <c r="AZ19" s="480">
        <v>0</v>
      </c>
      <c r="BA19" s="480">
        <v>0</v>
      </c>
      <c r="BB19" s="480">
        <f>'[5]CB-1SR'!EX129</f>
        <v>0</v>
      </c>
      <c r="BC19" s="480">
        <v>0</v>
      </c>
      <c r="BD19" s="480">
        <v>0</v>
      </c>
      <c r="BE19" s="480">
        <v>0</v>
      </c>
      <c r="BF19" s="480">
        <v>0</v>
      </c>
      <c r="BG19" s="480">
        <v>0</v>
      </c>
      <c r="BH19" s="480">
        <v>0</v>
      </c>
      <c r="BI19" s="480">
        <v>0</v>
      </c>
      <c r="BJ19" s="480">
        <v>0</v>
      </c>
      <c r="BK19" s="480">
        <v>0</v>
      </c>
      <c r="BL19" s="480">
        <v>0</v>
      </c>
      <c r="BM19" s="480">
        <v>0</v>
      </c>
      <c r="BN19" s="480">
        <v>0</v>
      </c>
      <c r="BO19" s="480">
        <v>0</v>
      </c>
      <c r="BP19" s="480">
        <v>0</v>
      </c>
      <c r="BQ19" s="480">
        <v>0</v>
      </c>
      <c r="BR19" s="480">
        <v>0</v>
      </c>
      <c r="BS19" s="480">
        <v>0</v>
      </c>
      <c r="BT19" s="480">
        <v>0</v>
      </c>
      <c r="BU19" s="480">
        <v>0</v>
      </c>
      <c r="BV19" s="480">
        <v>0</v>
      </c>
      <c r="BW19" s="480">
        <v>0</v>
      </c>
      <c r="BX19" s="480">
        <v>0</v>
      </c>
      <c r="BY19" s="480">
        <v>0</v>
      </c>
      <c r="BZ19" s="480">
        <v>0</v>
      </c>
    </row>
    <row r="20" spans="1:78" ht="16.5" customHeight="1" x14ac:dyDescent="0.25">
      <c r="A20" s="481"/>
      <c r="B20" s="482"/>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76"/>
      <c r="AP20" s="476"/>
      <c r="AQ20" s="476"/>
      <c r="AR20" s="476"/>
      <c r="AS20" s="476"/>
      <c r="AT20" s="476"/>
      <c r="AU20" s="476"/>
      <c r="AV20" s="476"/>
      <c r="AW20" s="476"/>
      <c r="AX20" s="476"/>
      <c r="AY20" s="476"/>
      <c r="AZ20" s="476"/>
      <c r="BA20" s="476"/>
      <c r="BB20" s="476"/>
      <c r="BC20" s="476"/>
      <c r="BD20" s="476"/>
      <c r="BE20" s="476"/>
      <c r="BF20" s="476"/>
      <c r="BG20" s="476"/>
      <c r="BH20" s="476"/>
      <c r="BI20" s="476"/>
      <c r="BJ20" s="476"/>
      <c r="BK20" s="476"/>
      <c r="BL20" s="476"/>
      <c r="BM20" s="476"/>
      <c r="BN20" s="476"/>
      <c r="BO20" s="476"/>
      <c r="BP20" s="476"/>
      <c r="BQ20" s="476"/>
      <c r="BR20" s="476"/>
      <c r="BS20" s="476"/>
      <c r="BT20" s="476"/>
      <c r="BU20" s="476"/>
      <c r="BV20" s="476"/>
      <c r="BW20" s="476"/>
      <c r="BX20" s="476"/>
      <c r="BY20" s="476"/>
      <c r="BZ20" s="476"/>
    </row>
    <row r="21" spans="1:78" ht="16.5" customHeight="1" x14ac:dyDescent="0.25">
      <c r="A21" s="477" t="s">
        <v>421</v>
      </c>
      <c r="B21" s="478" t="s">
        <v>422</v>
      </c>
      <c r="C21" s="479">
        <v>0</v>
      </c>
      <c r="D21" s="479">
        <v>0</v>
      </c>
      <c r="E21" s="479">
        <v>0</v>
      </c>
      <c r="F21" s="479">
        <v>0</v>
      </c>
      <c r="G21" s="479">
        <v>0</v>
      </c>
      <c r="H21" s="479">
        <v>0</v>
      </c>
      <c r="I21" s="479">
        <v>0</v>
      </c>
      <c r="J21" s="479">
        <v>0</v>
      </c>
      <c r="K21" s="479">
        <v>0</v>
      </c>
      <c r="L21" s="479">
        <v>0</v>
      </c>
      <c r="M21" s="479">
        <v>0</v>
      </c>
      <c r="N21" s="479">
        <v>0</v>
      </c>
      <c r="O21" s="479">
        <v>0</v>
      </c>
      <c r="P21" s="479">
        <v>0</v>
      </c>
      <c r="Q21" s="479">
        <v>0</v>
      </c>
      <c r="R21" s="479">
        <v>0</v>
      </c>
      <c r="S21" s="479">
        <v>0</v>
      </c>
      <c r="T21" s="479">
        <v>0</v>
      </c>
      <c r="U21" s="479">
        <v>0</v>
      </c>
      <c r="V21" s="479">
        <v>0</v>
      </c>
      <c r="W21" s="479">
        <v>0</v>
      </c>
      <c r="X21" s="479">
        <v>0</v>
      </c>
      <c r="Y21" s="479">
        <v>0</v>
      </c>
      <c r="Z21" s="479">
        <v>0</v>
      </c>
      <c r="AA21" s="479">
        <v>0</v>
      </c>
      <c r="AB21" s="479">
        <v>0</v>
      </c>
      <c r="AC21" s="479">
        <v>0</v>
      </c>
      <c r="AD21" s="479">
        <v>0</v>
      </c>
      <c r="AE21" s="479">
        <v>0</v>
      </c>
      <c r="AF21" s="479">
        <v>0</v>
      </c>
      <c r="AG21" s="479">
        <v>0</v>
      </c>
      <c r="AH21" s="479">
        <v>0</v>
      </c>
      <c r="AI21" s="479">
        <v>0</v>
      </c>
      <c r="AJ21" s="479">
        <v>0</v>
      </c>
      <c r="AK21" s="479">
        <v>0</v>
      </c>
      <c r="AL21" s="479">
        <v>0</v>
      </c>
      <c r="AM21" s="479">
        <v>0</v>
      </c>
      <c r="AN21" s="479">
        <v>0</v>
      </c>
      <c r="AO21" s="480">
        <v>0</v>
      </c>
      <c r="AP21" s="480">
        <v>0</v>
      </c>
      <c r="AQ21" s="480">
        <v>0</v>
      </c>
      <c r="AR21" s="480">
        <v>0</v>
      </c>
      <c r="AS21" s="480">
        <v>0</v>
      </c>
      <c r="AT21" s="480">
        <v>0</v>
      </c>
      <c r="AU21" s="480">
        <v>0</v>
      </c>
      <c r="AV21" s="480">
        <v>0</v>
      </c>
      <c r="AW21" s="480">
        <v>0</v>
      </c>
      <c r="AX21" s="480">
        <v>0</v>
      </c>
      <c r="AY21" s="480">
        <v>0</v>
      </c>
      <c r="AZ21" s="480">
        <v>0</v>
      </c>
      <c r="BA21" s="480">
        <v>0</v>
      </c>
      <c r="BB21" s="480">
        <f>'[5]CB-1SR'!EX139</f>
        <v>0</v>
      </c>
      <c r="BC21" s="480">
        <v>0</v>
      </c>
      <c r="BD21" s="480">
        <v>0</v>
      </c>
      <c r="BE21" s="480">
        <v>0</v>
      </c>
      <c r="BF21" s="480">
        <v>0</v>
      </c>
      <c r="BG21" s="480">
        <v>0</v>
      </c>
      <c r="BH21" s="480">
        <v>0</v>
      </c>
      <c r="BI21" s="480">
        <v>0</v>
      </c>
      <c r="BJ21" s="480">
        <v>0</v>
      </c>
      <c r="BK21" s="480">
        <v>0</v>
      </c>
      <c r="BL21" s="480">
        <v>0</v>
      </c>
      <c r="BM21" s="480">
        <v>0</v>
      </c>
      <c r="BN21" s="480">
        <v>0</v>
      </c>
      <c r="BO21" s="480">
        <v>0</v>
      </c>
      <c r="BP21" s="480">
        <v>0</v>
      </c>
      <c r="BQ21" s="480">
        <v>0</v>
      </c>
      <c r="BR21" s="480">
        <v>0</v>
      </c>
      <c r="BS21" s="480">
        <v>0</v>
      </c>
      <c r="BT21" s="480">
        <v>0</v>
      </c>
      <c r="BU21" s="480">
        <v>0</v>
      </c>
      <c r="BV21" s="480">
        <v>0</v>
      </c>
      <c r="BW21" s="480">
        <v>0</v>
      </c>
      <c r="BX21" s="480">
        <v>0</v>
      </c>
      <c r="BY21" s="480">
        <v>0</v>
      </c>
      <c r="BZ21" s="480">
        <v>0</v>
      </c>
    </row>
    <row r="22" spans="1:78" ht="16.5" customHeight="1" x14ac:dyDescent="0.25">
      <c r="A22" s="481"/>
      <c r="B22" s="482"/>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K22" s="483"/>
      <c r="AL22" s="483"/>
      <c r="AM22" s="483"/>
      <c r="AN22" s="483"/>
      <c r="AO22" s="476"/>
      <c r="AP22" s="476"/>
      <c r="AQ22" s="476"/>
      <c r="AR22" s="476"/>
      <c r="AS22" s="476"/>
      <c r="AT22" s="476"/>
      <c r="AU22" s="476"/>
      <c r="AV22" s="476"/>
      <c r="AW22" s="476"/>
      <c r="AX22" s="476"/>
      <c r="AY22" s="476"/>
      <c r="AZ22" s="476"/>
      <c r="BA22" s="476"/>
      <c r="BB22" s="476"/>
      <c r="BC22" s="476"/>
      <c r="BD22" s="476"/>
      <c r="BE22" s="476"/>
      <c r="BF22" s="476"/>
      <c r="BG22" s="476"/>
      <c r="BH22" s="476"/>
      <c r="BI22" s="476"/>
      <c r="BJ22" s="476"/>
      <c r="BK22" s="476"/>
      <c r="BL22" s="476"/>
      <c r="BM22" s="476"/>
      <c r="BN22" s="476"/>
      <c r="BO22" s="476"/>
      <c r="BP22" s="476"/>
      <c r="BQ22" s="476"/>
      <c r="BR22" s="476"/>
      <c r="BS22" s="476"/>
      <c r="BT22" s="476"/>
      <c r="BU22" s="476"/>
      <c r="BV22" s="476"/>
      <c r="BW22" s="476"/>
      <c r="BX22" s="476"/>
      <c r="BY22" s="476"/>
      <c r="BZ22" s="476"/>
    </row>
    <row r="23" spans="1:78" ht="16.5" customHeight="1" x14ac:dyDescent="0.25">
      <c r="A23" s="477" t="s">
        <v>423</v>
      </c>
      <c r="B23" s="478" t="s">
        <v>424</v>
      </c>
      <c r="C23" s="479">
        <v>100.87174853000002</v>
      </c>
      <c r="D23" s="479">
        <v>61.454897129999992</v>
      </c>
      <c r="E23" s="479">
        <v>161.37574275</v>
      </c>
      <c r="F23" s="479">
        <v>34.115845870000001</v>
      </c>
      <c r="G23" s="479">
        <v>104.31416644999999</v>
      </c>
      <c r="H23" s="479">
        <v>94.826760669999999</v>
      </c>
      <c r="I23" s="479">
        <v>117.08089912000001</v>
      </c>
      <c r="J23" s="479">
        <v>17.912021249999999</v>
      </c>
      <c r="K23" s="479">
        <v>223.52273242999996</v>
      </c>
      <c r="L23" s="479">
        <v>154.10795172999997</v>
      </c>
      <c r="M23" s="479">
        <v>155.91394252999999</v>
      </c>
      <c r="N23" s="479">
        <v>172.57112454999998</v>
      </c>
      <c r="O23" s="479">
        <v>415.07645757999995</v>
      </c>
      <c r="P23" s="479">
        <v>143.73269343999999</v>
      </c>
      <c r="Q23" s="479">
        <v>198.36355931999998</v>
      </c>
      <c r="R23" s="479">
        <v>270.89756561000002</v>
      </c>
      <c r="S23" s="479">
        <v>262.07020447999997</v>
      </c>
      <c r="T23" s="479">
        <v>89.969799440000003</v>
      </c>
      <c r="U23" s="479">
        <v>40.614643090000001</v>
      </c>
      <c r="V23" s="479">
        <v>102.21225756</v>
      </c>
      <c r="W23" s="479">
        <v>26.833478599999999</v>
      </c>
      <c r="X23" s="479">
        <v>108.75771674999999</v>
      </c>
      <c r="Y23" s="479">
        <v>127.08106000000001</v>
      </c>
      <c r="Z23" s="479">
        <v>81.813073779999996</v>
      </c>
      <c r="AA23" s="479">
        <v>181.16817865000002</v>
      </c>
      <c r="AB23" s="479">
        <v>152.61813896000001</v>
      </c>
      <c r="AC23" s="479">
        <v>208.72010127999999</v>
      </c>
      <c r="AD23" s="479">
        <v>190.56597326999997</v>
      </c>
      <c r="AE23" s="479">
        <v>276.53585465000003</v>
      </c>
      <c r="AF23" s="479">
        <v>58.611248670000002</v>
      </c>
      <c r="AG23" s="479">
        <v>151.15780359000001</v>
      </c>
      <c r="AH23" s="479">
        <v>73.411701520000008</v>
      </c>
      <c r="AI23" s="479">
        <v>111.50296273000001</v>
      </c>
      <c r="AJ23" s="479">
        <v>107.42566719000001</v>
      </c>
      <c r="AK23" s="479">
        <v>66.706140189999999</v>
      </c>
      <c r="AL23" s="479">
        <v>130.50753857999999</v>
      </c>
      <c r="AM23" s="479">
        <v>122.77166274</v>
      </c>
      <c r="AN23" s="479">
        <v>117.70602724</v>
      </c>
      <c r="AO23" s="480">
        <v>138.89641939000001</v>
      </c>
      <c r="AP23" s="480">
        <v>206.63082968000001</v>
      </c>
      <c r="AQ23" s="480">
        <v>116.23946946000001</v>
      </c>
      <c r="AR23" s="480">
        <v>239.12644954999999</v>
      </c>
      <c r="AS23" s="480">
        <v>178.50329379000001</v>
      </c>
      <c r="AT23" s="480">
        <v>302.47471422000001</v>
      </c>
      <c r="AU23" s="480">
        <v>180.52413272000001</v>
      </c>
      <c r="AV23" s="480">
        <v>201.58305669999999</v>
      </c>
      <c r="AW23" s="480">
        <v>225.20497719999995</v>
      </c>
      <c r="AX23" s="480">
        <v>334.10311827999999</v>
      </c>
      <c r="AY23" s="480">
        <v>252.25339766999997</v>
      </c>
      <c r="AZ23" s="480">
        <v>203.01427069000002</v>
      </c>
      <c r="BA23" s="480">
        <v>290.38413364999997</v>
      </c>
      <c r="BB23" s="480">
        <f>'[5]CB-1SR'!EX161</f>
        <v>155.35301681999999</v>
      </c>
      <c r="BC23" s="480">
        <v>155.59944632999998</v>
      </c>
      <c r="BD23" s="480">
        <v>264.22527162</v>
      </c>
      <c r="BE23" s="480">
        <v>155.22379669</v>
      </c>
      <c r="BF23" s="480">
        <v>148.18447637999998</v>
      </c>
      <c r="BG23" s="480">
        <v>156.14361699</v>
      </c>
      <c r="BH23" s="480">
        <v>185.25219944999998</v>
      </c>
      <c r="BI23" s="480">
        <v>210.96108674000001</v>
      </c>
      <c r="BJ23" s="480">
        <v>417.43839092999997</v>
      </c>
      <c r="BK23" s="480">
        <v>137.61474666000001</v>
      </c>
      <c r="BL23" s="480">
        <v>163.47300160999998</v>
      </c>
      <c r="BM23" s="480">
        <v>187.61035182000001</v>
      </c>
      <c r="BN23" s="480">
        <v>389.24553226999996</v>
      </c>
      <c r="BO23" s="480">
        <v>393.67770002999987</v>
      </c>
      <c r="BP23" s="480">
        <v>340.56190323999999</v>
      </c>
      <c r="BQ23" s="480">
        <v>171.22489893999997</v>
      </c>
      <c r="BR23" s="480">
        <v>230.27790598000001</v>
      </c>
      <c r="BS23" s="480">
        <v>297.59497189999996</v>
      </c>
      <c r="BT23" s="480">
        <v>215.58212819000002</v>
      </c>
      <c r="BU23" s="480">
        <v>226.54815564</v>
      </c>
      <c r="BV23" s="480">
        <v>297.47305231000007</v>
      </c>
      <c r="BW23" s="480">
        <v>184.30287417000002</v>
      </c>
      <c r="BX23" s="480">
        <v>215.11157694999997</v>
      </c>
      <c r="BY23" s="480">
        <v>188.38003639999997</v>
      </c>
      <c r="BZ23" s="480">
        <v>246.14235818</v>
      </c>
    </row>
    <row r="24" spans="1:78" ht="16.5" customHeight="1" x14ac:dyDescent="0.25">
      <c r="A24" s="481"/>
      <c r="B24" s="482"/>
      <c r="C24" s="483"/>
      <c r="D24" s="483"/>
      <c r="E24" s="483"/>
      <c r="F24" s="483"/>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K24" s="483"/>
      <c r="AL24" s="483"/>
      <c r="AM24" s="483"/>
      <c r="AN24" s="483"/>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476"/>
      <c r="BX24" s="476"/>
      <c r="BY24" s="476"/>
      <c r="BZ24" s="476"/>
    </row>
    <row r="25" spans="1:78" ht="16.5" customHeight="1" x14ac:dyDescent="0.25">
      <c r="A25" s="477" t="s">
        <v>425</v>
      </c>
      <c r="B25" s="478" t="s">
        <v>426</v>
      </c>
      <c r="C25" s="479">
        <v>1976.6657630399998</v>
      </c>
      <c r="D25" s="479">
        <v>1984.2185947199998</v>
      </c>
      <c r="E25" s="479">
        <v>1985.61688293</v>
      </c>
      <c r="F25" s="479">
        <v>1991.1752804099999</v>
      </c>
      <c r="G25" s="479">
        <v>1992.6125975</v>
      </c>
      <c r="H25" s="479">
        <v>1917.5217818799999</v>
      </c>
      <c r="I25" s="479">
        <v>1917.4961673199998</v>
      </c>
      <c r="J25" s="479">
        <v>1917.28120543</v>
      </c>
      <c r="K25" s="479">
        <v>1917.2325234799998</v>
      </c>
      <c r="L25" s="479">
        <v>1919.18921602</v>
      </c>
      <c r="M25" s="479">
        <v>1918.9397383599999</v>
      </c>
      <c r="N25" s="479">
        <v>1918.1092738299999</v>
      </c>
      <c r="O25" s="479">
        <v>1918.06444788</v>
      </c>
      <c r="P25" s="479">
        <v>1917.1917345799998</v>
      </c>
      <c r="Q25" s="479">
        <v>1919.72773794</v>
      </c>
      <c r="R25" s="479">
        <v>1919.4142326399999</v>
      </c>
      <c r="S25" s="479">
        <v>1921.2854840099999</v>
      </c>
      <c r="T25" s="479">
        <v>1996.35895349</v>
      </c>
      <c r="U25" s="479">
        <v>1865.7395783099998</v>
      </c>
      <c r="V25" s="479">
        <v>1865.7184242599999</v>
      </c>
      <c r="W25" s="479">
        <v>1868.6160445899998</v>
      </c>
      <c r="X25" s="479">
        <v>1868.3027242999999</v>
      </c>
      <c r="Y25" s="479">
        <v>1978.7657218599998</v>
      </c>
      <c r="Z25" s="479">
        <v>1978.4810529399999</v>
      </c>
      <c r="AA25" s="479">
        <v>1981.11967119</v>
      </c>
      <c r="AB25" s="479">
        <v>1982.9341981499999</v>
      </c>
      <c r="AC25" s="479">
        <v>1982.877802</v>
      </c>
      <c r="AD25" s="479">
        <v>1984.58480121</v>
      </c>
      <c r="AE25" s="479">
        <v>1989.52938365</v>
      </c>
      <c r="AF25" s="479">
        <v>1865.9288570599999</v>
      </c>
      <c r="AG25" s="479">
        <v>1866.5775801199998</v>
      </c>
      <c r="AH25" s="479">
        <v>1954.0414822299999</v>
      </c>
      <c r="AI25" s="479">
        <v>1954.1670820299998</v>
      </c>
      <c r="AJ25" s="479">
        <v>2087.27910208</v>
      </c>
      <c r="AK25" s="479">
        <v>2104.2370903299998</v>
      </c>
      <c r="AL25" s="479">
        <v>2097.3760829099997</v>
      </c>
      <c r="AM25" s="479">
        <v>2095.2486594500001</v>
      </c>
      <c r="AN25" s="479">
        <v>2099.2737472999997</v>
      </c>
      <c r="AO25" s="480">
        <v>2094.6208616899999</v>
      </c>
      <c r="AP25" s="480">
        <v>2113.9836782400002</v>
      </c>
      <c r="AQ25" s="480">
        <v>2109.5643318900002</v>
      </c>
      <c r="AR25" s="480">
        <v>1932.4942495500002</v>
      </c>
      <c r="AS25" s="480">
        <v>1928.8543674699999</v>
      </c>
      <c r="AT25" s="480">
        <v>1924.5813055199999</v>
      </c>
      <c r="AU25" s="480">
        <v>1920.6146878499999</v>
      </c>
      <c r="AV25" s="480">
        <v>1973.28626874</v>
      </c>
      <c r="AW25" s="480">
        <v>1968.6993700200001</v>
      </c>
      <c r="AX25" s="480">
        <v>1955.7937911900001</v>
      </c>
      <c r="AY25" s="480">
        <v>1945.17292094</v>
      </c>
      <c r="AZ25" s="480">
        <v>1944.5120906900002</v>
      </c>
      <c r="BA25" s="480">
        <v>1945.5817451</v>
      </c>
      <c r="BB25" s="480">
        <f>'[5]CB-1SR'!EX221</f>
        <v>1950.4050652599999</v>
      </c>
      <c r="BC25" s="480">
        <v>1949.0374773599999</v>
      </c>
      <c r="BD25" s="480">
        <v>1843.2044038199999</v>
      </c>
      <c r="BE25" s="480">
        <v>1843.0075791700001</v>
      </c>
      <c r="BF25" s="480">
        <v>1848.5415386399998</v>
      </c>
      <c r="BG25" s="480">
        <v>1845.9750228399998</v>
      </c>
      <c r="BH25" s="480">
        <v>1842.28236945</v>
      </c>
      <c r="BI25" s="480">
        <v>1838.3097861600002</v>
      </c>
      <c r="BJ25" s="480">
        <v>1838.6635965099999</v>
      </c>
      <c r="BK25" s="480">
        <v>1839.33735159</v>
      </c>
      <c r="BL25" s="480">
        <v>1838.2578648399999</v>
      </c>
      <c r="BM25" s="480">
        <v>1838.9161068199999</v>
      </c>
      <c r="BN25" s="480">
        <v>1871.76677184</v>
      </c>
      <c r="BO25" s="480">
        <v>1873.0080934099999</v>
      </c>
      <c r="BP25" s="480">
        <v>1758.59652525</v>
      </c>
      <c r="BQ25" s="480">
        <v>1765.1955663700001</v>
      </c>
      <c r="BR25" s="480">
        <v>1784.7091786400001</v>
      </c>
      <c r="BS25" s="480">
        <v>1793.1225634699997</v>
      </c>
      <c r="BT25" s="480">
        <v>1800.69674044</v>
      </c>
      <c r="BU25" s="480">
        <v>1812.9527837000001</v>
      </c>
      <c r="BV25" s="480">
        <v>1825.2216799400001</v>
      </c>
      <c r="BW25" s="480">
        <v>1837.8481110999999</v>
      </c>
      <c r="BX25" s="480">
        <v>1840.3200148699998</v>
      </c>
      <c r="BY25" s="480">
        <v>1841.4631023200002</v>
      </c>
      <c r="BZ25" s="480">
        <v>1842.8854513700001</v>
      </c>
    </row>
    <row r="26" spans="1:78" ht="16.5" customHeight="1" x14ac:dyDescent="0.25">
      <c r="A26" s="481"/>
      <c r="B26" s="482"/>
      <c r="C26" s="484"/>
      <c r="D26" s="484"/>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4"/>
      <c r="AO26" s="476"/>
      <c r="AP26" s="476"/>
      <c r="AQ26" s="476"/>
      <c r="AR26" s="476"/>
      <c r="AS26" s="476"/>
      <c r="AT26" s="476"/>
      <c r="AU26" s="476"/>
      <c r="AV26" s="476"/>
      <c r="AW26" s="476"/>
      <c r="AX26" s="476"/>
      <c r="AY26" s="476"/>
      <c r="AZ26" s="476"/>
      <c r="BA26" s="476"/>
      <c r="BB26" s="476"/>
      <c r="BC26" s="476"/>
      <c r="BD26" s="476"/>
      <c r="BE26" s="476"/>
      <c r="BF26" s="476"/>
      <c r="BG26" s="476"/>
      <c r="BH26" s="476"/>
      <c r="BI26" s="476"/>
      <c r="BJ26" s="476"/>
      <c r="BK26" s="476"/>
      <c r="BL26" s="476"/>
      <c r="BM26" s="476"/>
      <c r="BN26" s="476"/>
      <c r="BO26" s="476"/>
      <c r="BP26" s="476"/>
      <c r="BQ26" s="476"/>
      <c r="BR26" s="476"/>
      <c r="BS26" s="476"/>
      <c r="BT26" s="476"/>
      <c r="BU26" s="476"/>
      <c r="BV26" s="476"/>
      <c r="BW26" s="476"/>
      <c r="BX26" s="476"/>
      <c r="BY26" s="476"/>
      <c r="BZ26" s="476"/>
    </row>
    <row r="27" spans="1:78" ht="16.5" customHeight="1" x14ac:dyDescent="0.25">
      <c r="A27" s="477"/>
      <c r="B27" s="478" t="s">
        <v>427</v>
      </c>
      <c r="C27" s="479">
        <v>69596.492978260008</v>
      </c>
      <c r="D27" s="479">
        <v>70941.137481960002</v>
      </c>
      <c r="E27" s="479">
        <v>70499.654408689996</v>
      </c>
      <c r="F27" s="479">
        <v>71302.400434919982</v>
      </c>
      <c r="G27" s="479">
        <v>74450.371189410012</v>
      </c>
      <c r="H27" s="479">
        <v>73422.695010850002</v>
      </c>
      <c r="I27" s="479">
        <v>73741.022601379998</v>
      </c>
      <c r="J27" s="479">
        <v>74913.405534099991</v>
      </c>
      <c r="K27" s="479">
        <v>78694.334378229978</v>
      </c>
      <c r="L27" s="479">
        <v>79392.890200669979</v>
      </c>
      <c r="M27" s="479">
        <v>82982.389130539988</v>
      </c>
      <c r="N27" s="479">
        <v>86612.239956250007</v>
      </c>
      <c r="O27" s="479">
        <v>83585.412843940008</v>
      </c>
      <c r="P27" s="479">
        <v>83414.25191986002</v>
      </c>
      <c r="Q27" s="479">
        <v>84435.871825220005</v>
      </c>
      <c r="R27" s="479">
        <v>84082.643758529986</v>
      </c>
      <c r="S27" s="479">
        <v>85853.749046339988</v>
      </c>
      <c r="T27" s="479">
        <v>88592.54695193001</v>
      </c>
      <c r="U27" s="479">
        <v>88882.225354269991</v>
      </c>
      <c r="V27" s="479">
        <v>89112.098272500007</v>
      </c>
      <c r="W27" s="479">
        <v>87868.856741180018</v>
      </c>
      <c r="X27" s="479">
        <v>91091.426085909989</v>
      </c>
      <c r="Y27" s="479">
        <v>89540.306182900007</v>
      </c>
      <c r="Z27" s="479">
        <v>92681.040482939992</v>
      </c>
      <c r="AA27" s="479">
        <v>93057.427462349995</v>
      </c>
      <c r="AB27" s="479">
        <v>93216.006621159991</v>
      </c>
      <c r="AC27" s="479">
        <v>92395.195668540007</v>
      </c>
      <c r="AD27" s="479">
        <v>92343.3335161</v>
      </c>
      <c r="AE27" s="479">
        <v>90504.874658370012</v>
      </c>
      <c r="AF27" s="479">
        <v>97002.375047109992</v>
      </c>
      <c r="AG27" s="479">
        <v>98020.362661199993</v>
      </c>
      <c r="AH27" s="479">
        <v>97950.904823339995</v>
      </c>
      <c r="AI27" s="479">
        <v>98887.514703899986</v>
      </c>
      <c r="AJ27" s="479">
        <v>98497.72901571999</v>
      </c>
      <c r="AK27" s="479">
        <v>99356.306598119991</v>
      </c>
      <c r="AL27" s="479">
        <v>100930.55150610002</v>
      </c>
      <c r="AM27" s="479">
        <v>104790.87118644998</v>
      </c>
      <c r="AN27" s="479">
        <v>104458.18805176998</v>
      </c>
      <c r="AO27" s="480">
        <v>108086.37018971</v>
      </c>
      <c r="AP27" s="480">
        <v>107405.78609197997</v>
      </c>
      <c r="AQ27" s="480">
        <v>114390.36744292999</v>
      </c>
      <c r="AR27" s="480">
        <v>113988.66618238001</v>
      </c>
      <c r="AS27" s="480">
        <v>111194.33481837</v>
      </c>
      <c r="AT27" s="480">
        <v>110092.93683617002</v>
      </c>
      <c r="AU27" s="480">
        <v>112471.18276853002</v>
      </c>
      <c r="AV27" s="480">
        <v>111686.14588489001</v>
      </c>
      <c r="AW27" s="480">
        <v>111021.07280037001</v>
      </c>
      <c r="AX27" s="480">
        <v>115230.05499470999</v>
      </c>
      <c r="AY27" s="480">
        <v>115477.48536897</v>
      </c>
      <c r="AZ27" s="480">
        <v>120988.83522885997</v>
      </c>
      <c r="BA27" s="480">
        <v>122871.29449175001</v>
      </c>
      <c r="BB27" s="480">
        <f>BB5+BB7+BB13+BB15+BB17+BB19+BB21+BB23+BB25</f>
        <v>127088.77066056998</v>
      </c>
      <c r="BC27" s="480">
        <v>128069.47628107002</v>
      </c>
      <c r="BD27" s="480">
        <v>130583.81207653</v>
      </c>
      <c r="BE27" s="480">
        <v>131173.15071659998</v>
      </c>
      <c r="BF27" s="480">
        <v>133456.09197514001</v>
      </c>
      <c r="BG27" s="480">
        <v>130765.67933947999</v>
      </c>
      <c r="BH27" s="480">
        <v>129055.71459685999</v>
      </c>
      <c r="BI27" s="480">
        <v>126942.81240936001</v>
      </c>
      <c r="BJ27" s="480">
        <v>131563.49427942</v>
      </c>
      <c r="BK27" s="480">
        <v>128415.42706364999</v>
      </c>
      <c r="BL27" s="480">
        <v>134436.63312687998</v>
      </c>
      <c r="BM27" s="480">
        <v>147415.07719723001</v>
      </c>
      <c r="BN27" s="480">
        <v>146159.68355202</v>
      </c>
      <c r="BO27" s="480">
        <v>146084.06147708997</v>
      </c>
      <c r="BP27" s="480">
        <v>149685.82964860002</v>
      </c>
      <c r="BQ27" s="480">
        <v>152617.94579202001</v>
      </c>
      <c r="BR27" s="480">
        <v>152435.10079409002</v>
      </c>
      <c r="BS27" s="480">
        <v>154676.54865548003</v>
      </c>
      <c r="BT27" s="480">
        <v>158429.68953138002</v>
      </c>
      <c r="BU27" s="480">
        <v>160069.02174411996</v>
      </c>
      <c r="BV27" s="480">
        <v>161362.55657941001</v>
      </c>
      <c r="BW27" s="480">
        <v>161629.17440413</v>
      </c>
      <c r="BX27" s="480">
        <v>164349.35004959002</v>
      </c>
      <c r="BY27" s="480">
        <v>165416.05700292002</v>
      </c>
      <c r="BZ27" s="480">
        <v>164662.21708086002</v>
      </c>
    </row>
    <row r="28" spans="1:78" ht="16.5" customHeight="1" thickBot="1" x14ac:dyDescent="0.3">
      <c r="A28" s="487"/>
      <c r="B28" s="488"/>
      <c r="C28" s="489"/>
      <c r="D28" s="489"/>
      <c r="E28" s="489"/>
      <c r="F28" s="489"/>
      <c r="G28" s="489"/>
      <c r="H28" s="489"/>
      <c r="I28" s="489"/>
      <c r="J28" s="490"/>
      <c r="K28" s="491"/>
      <c r="L28" s="491"/>
      <c r="M28" s="491"/>
      <c r="N28" s="491"/>
      <c r="O28" s="491"/>
      <c r="P28" s="491"/>
      <c r="Q28" s="491"/>
      <c r="R28" s="491"/>
      <c r="S28" s="491"/>
      <c r="T28" s="491"/>
      <c r="U28" s="491"/>
      <c r="V28" s="492"/>
      <c r="W28" s="492"/>
      <c r="X28" s="492"/>
      <c r="Y28" s="492"/>
      <c r="Z28" s="492"/>
      <c r="AA28" s="492"/>
      <c r="AB28" s="492"/>
      <c r="AC28" s="492"/>
      <c r="AD28" s="492"/>
      <c r="AE28" s="492"/>
      <c r="AF28" s="492"/>
      <c r="AG28" s="492"/>
      <c r="AH28" s="492"/>
      <c r="AI28" s="492"/>
      <c r="AJ28" s="492"/>
      <c r="AK28" s="492"/>
      <c r="AL28" s="492"/>
      <c r="AM28" s="492"/>
      <c r="AN28" s="492"/>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row>
    <row r="29" spans="1:78" ht="16.5" customHeight="1" thickTop="1" x14ac:dyDescent="0.25">
      <c r="A29" s="494"/>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494"/>
      <c r="BH29" s="494"/>
      <c r="BI29" s="494"/>
      <c r="BJ29" s="494"/>
      <c r="BK29" s="494"/>
      <c r="BL29" s="494"/>
      <c r="BM29" s="494"/>
      <c r="BN29" s="494"/>
      <c r="BO29" s="494"/>
      <c r="BP29" s="494"/>
      <c r="BQ29" s="494"/>
      <c r="BR29" s="494"/>
      <c r="BS29" s="494"/>
      <c r="BT29" s="494"/>
      <c r="BU29" s="494"/>
      <c r="BV29" s="494"/>
      <c r="BW29" s="494"/>
      <c r="BX29" s="494"/>
      <c r="BY29" s="494"/>
      <c r="BZ29" s="494"/>
    </row>
    <row r="30" spans="1:78" ht="16.5" customHeight="1" x14ac:dyDescent="0.25">
      <c r="A30" s="494"/>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494"/>
      <c r="BH30" s="494"/>
      <c r="BI30" s="494"/>
      <c r="BJ30" s="494"/>
      <c r="BK30" s="494"/>
      <c r="BL30" s="494"/>
      <c r="BM30" s="494"/>
      <c r="BN30" s="494"/>
      <c r="BO30" s="494"/>
      <c r="BP30" s="494"/>
      <c r="BQ30" s="494"/>
      <c r="BR30" s="494"/>
      <c r="BS30" s="494"/>
      <c r="BT30" s="494"/>
      <c r="BU30" s="494"/>
      <c r="BV30" s="494"/>
      <c r="BW30" s="494"/>
      <c r="BX30" s="494"/>
      <c r="BY30" s="494"/>
      <c r="BZ30" s="494"/>
    </row>
    <row r="31" spans="1:78" ht="16.5" customHeight="1" x14ac:dyDescent="0.25">
      <c r="A31" s="494"/>
      <c r="B31" s="4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494"/>
      <c r="BH31" s="494"/>
      <c r="BI31" s="494"/>
      <c r="BJ31" s="494"/>
      <c r="BK31" s="494"/>
      <c r="BL31" s="494"/>
      <c r="BM31" s="494"/>
      <c r="BN31" s="494"/>
      <c r="BO31" s="494"/>
      <c r="BP31" s="494"/>
      <c r="BQ31" s="494"/>
      <c r="BR31" s="494"/>
      <c r="BS31" s="494"/>
      <c r="BT31" s="494"/>
      <c r="BU31" s="494"/>
      <c r="BV31" s="494"/>
      <c r="BW31" s="494"/>
      <c r="BX31" s="494"/>
      <c r="BY31" s="494"/>
      <c r="BZ31" s="494"/>
    </row>
    <row r="32" spans="1:78" ht="16.5" customHeight="1" thickBot="1" x14ac:dyDescent="0.3">
      <c r="A32" s="494"/>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494"/>
      <c r="BH32" s="494"/>
      <c r="BI32" s="494"/>
      <c r="BJ32" s="494"/>
      <c r="BK32" s="494"/>
      <c r="BL32" s="494"/>
      <c r="BM32" s="494"/>
      <c r="BN32" s="494"/>
      <c r="BO32" s="494"/>
      <c r="BP32" s="494"/>
      <c r="BQ32" s="494"/>
      <c r="BR32" s="494"/>
      <c r="BS32" s="494"/>
      <c r="BT32" s="494"/>
      <c r="BU32" s="494"/>
      <c r="BV32" s="494"/>
      <c r="BW32" s="494"/>
      <c r="BX32" s="494"/>
      <c r="BY32" s="494"/>
      <c r="BZ32" s="494"/>
    </row>
    <row r="33" spans="1:78" ht="24.75" customHeight="1" thickTop="1" thickBot="1" x14ac:dyDescent="0.3">
      <c r="A33" s="463" t="s">
        <v>400</v>
      </c>
      <c r="B33" s="464" t="s">
        <v>428</v>
      </c>
      <c r="C33" s="495">
        <f>C3</f>
        <v>40179</v>
      </c>
      <c r="D33" s="495">
        <f>D3</f>
        <v>40211</v>
      </c>
      <c r="E33" s="495">
        <f t="shared" ref="E33:AO33" si="0">E3</f>
        <v>40239</v>
      </c>
      <c r="F33" s="495">
        <f t="shared" si="0"/>
        <v>40270</v>
      </c>
      <c r="G33" s="495">
        <f t="shared" si="0"/>
        <v>40300</v>
      </c>
      <c r="H33" s="495">
        <f t="shared" si="0"/>
        <v>40331</v>
      </c>
      <c r="I33" s="495">
        <f t="shared" si="0"/>
        <v>40361</v>
      </c>
      <c r="J33" s="496">
        <f t="shared" si="0"/>
        <v>40392</v>
      </c>
      <c r="K33" s="497">
        <f t="shared" si="0"/>
        <v>40423</v>
      </c>
      <c r="L33" s="497">
        <f t="shared" si="0"/>
        <v>40453</v>
      </c>
      <c r="M33" s="497">
        <f t="shared" si="0"/>
        <v>40484</v>
      </c>
      <c r="N33" s="497">
        <f t="shared" si="0"/>
        <v>40514</v>
      </c>
      <c r="O33" s="497">
        <f t="shared" si="0"/>
        <v>40545</v>
      </c>
      <c r="P33" s="497">
        <f t="shared" si="0"/>
        <v>40576</v>
      </c>
      <c r="Q33" s="497">
        <f t="shared" si="0"/>
        <v>40604</v>
      </c>
      <c r="R33" s="497">
        <f t="shared" si="0"/>
        <v>40635</v>
      </c>
      <c r="S33" s="497">
        <f t="shared" si="0"/>
        <v>40665</v>
      </c>
      <c r="T33" s="497">
        <f t="shared" si="0"/>
        <v>40696</v>
      </c>
      <c r="U33" s="497">
        <f t="shared" si="0"/>
        <v>40726</v>
      </c>
      <c r="V33" s="498">
        <f t="shared" si="0"/>
        <v>40757</v>
      </c>
      <c r="W33" s="498">
        <f t="shared" si="0"/>
        <v>40788</v>
      </c>
      <c r="X33" s="498">
        <f t="shared" si="0"/>
        <v>40818</v>
      </c>
      <c r="Y33" s="498">
        <f t="shared" si="0"/>
        <v>40849</v>
      </c>
      <c r="Z33" s="498">
        <f t="shared" si="0"/>
        <v>40879</v>
      </c>
      <c r="AA33" s="498">
        <f t="shared" si="0"/>
        <v>40910</v>
      </c>
      <c r="AB33" s="498">
        <f t="shared" si="0"/>
        <v>40941</v>
      </c>
      <c r="AC33" s="498">
        <f t="shared" si="0"/>
        <v>40970</v>
      </c>
      <c r="AD33" s="498">
        <f t="shared" si="0"/>
        <v>41001</v>
      </c>
      <c r="AE33" s="498">
        <f t="shared" si="0"/>
        <v>41031</v>
      </c>
      <c r="AF33" s="498">
        <f t="shared" si="0"/>
        <v>41062</v>
      </c>
      <c r="AG33" s="498">
        <f t="shared" si="0"/>
        <v>41092</v>
      </c>
      <c r="AH33" s="498">
        <f t="shared" si="0"/>
        <v>41123</v>
      </c>
      <c r="AI33" s="498">
        <f t="shared" si="0"/>
        <v>41154</v>
      </c>
      <c r="AJ33" s="498">
        <f t="shared" si="0"/>
        <v>41184</v>
      </c>
      <c r="AK33" s="498">
        <f t="shared" si="0"/>
        <v>41215</v>
      </c>
      <c r="AL33" s="498">
        <f t="shared" si="0"/>
        <v>41245</v>
      </c>
      <c r="AM33" s="498">
        <f t="shared" si="0"/>
        <v>41276</v>
      </c>
      <c r="AN33" s="498">
        <f t="shared" si="0"/>
        <v>41307</v>
      </c>
      <c r="AO33" s="499">
        <f t="shared" si="0"/>
        <v>41335</v>
      </c>
      <c r="AP33" s="469">
        <f>AP3</f>
        <v>41366</v>
      </c>
      <c r="AQ33" s="469">
        <f>AQ3</f>
        <v>41396</v>
      </c>
      <c r="AR33" s="469">
        <f>AR3</f>
        <v>41427</v>
      </c>
      <c r="AS33" s="469">
        <f>AS3</f>
        <v>41457</v>
      </c>
      <c r="AT33" s="469">
        <f>AT3</f>
        <v>41488</v>
      </c>
      <c r="AU33" s="469">
        <v>41519</v>
      </c>
      <c r="AV33" s="469">
        <f>AV3</f>
        <v>41549</v>
      </c>
      <c r="AW33" s="469">
        <v>41580</v>
      </c>
      <c r="AX33" s="469">
        <v>41610</v>
      </c>
      <c r="AY33" s="469">
        <v>41641</v>
      </c>
      <c r="AZ33" s="469">
        <v>41672</v>
      </c>
      <c r="BA33" s="469">
        <v>41700</v>
      </c>
      <c r="BB33" s="469">
        <v>41731</v>
      </c>
      <c r="BC33" s="469">
        <v>41761</v>
      </c>
      <c r="BD33" s="469">
        <f>BD3</f>
        <v>41791</v>
      </c>
      <c r="BE33" s="469">
        <v>41822</v>
      </c>
      <c r="BF33" s="469">
        <f>BF3</f>
        <v>41853</v>
      </c>
      <c r="BG33" s="469">
        <f>BG3</f>
        <v>41884</v>
      </c>
      <c r="BH33" s="469">
        <v>41914</v>
      </c>
      <c r="BI33" s="469">
        <v>41945</v>
      </c>
      <c r="BJ33" s="469">
        <v>41975</v>
      </c>
      <c r="BK33" s="469">
        <v>42006</v>
      </c>
      <c r="BL33" s="469">
        <v>42037</v>
      </c>
      <c r="BM33" s="469">
        <v>42065</v>
      </c>
      <c r="BN33" s="469">
        <v>42096</v>
      </c>
      <c r="BO33" s="469">
        <v>42126</v>
      </c>
      <c r="BP33" s="469">
        <v>42157</v>
      </c>
      <c r="BQ33" s="469">
        <v>42187</v>
      </c>
      <c r="BR33" s="469">
        <v>42218</v>
      </c>
      <c r="BS33" s="469">
        <v>42249</v>
      </c>
      <c r="BT33" s="469">
        <v>42279</v>
      </c>
      <c r="BU33" s="469">
        <v>42310</v>
      </c>
      <c r="BV33" s="469">
        <v>42340</v>
      </c>
      <c r="BW33" s="469">
        <v>42371</v>
      </c>
      <c r="BX33" s="469">
        <v>42402</v>
      </c>
      <c r="BY33" s="469">
        <v>42431</v>
      </c>
      <c r="BZ33" s="469">
        <v>42462</v>
      </c>
    </row>
    <row r="34" spans="1:78" ht="16.5" customHeight="1" thickTop="1" x14ac:dyDescent="0.25">
      <c r="A34" s="481"/>
      <c r="B34" s="500"/>
      <c r="C34" s="484"/>
      <c r="D34" s="484"/>
      <c r="E34" s="484"/>
      <c r="F34" s="484"/>
      <c r="G34" s="484"/>
      <c r="H34" s="484"/>
      <c r="I34" s="484"/>
      <c r="J34" s="501"/>
      <c r="K34" s="502"/>
      <c r="L34" s="502"/>
      <c r="M34" s="502"/>
      <c r="N34" s="502"/>
      <c r="O34" s="502"/>
      <c r="P34" s="502"/>
      <c r="Q34" s="502"/>
      <c r="R34" s="502"/>
      <c r="S34" s="502"/>
      <c r="T34" s="502"/>
      <c r="U34" s="502"/>
      <c r="V34" s="503"/>
      <c r="W34" s="503"/>
      <c r="X34" s="503"/>
      <c r="Y34" s="503"/>
      <c r="Z34" s="503"/>
      <c r="AA34" s="503"/>
      <c r="AB34" s="503"/>
      <c r="AC34" s="503"/>
      <c r="AD34" s="503"/>
      <c r="AE34" s="503"/>
      <c r="AF34" s="503"/>
      <c r="AG34" s="503"/>
      <c r="AH34" s="503"/>
      <c r="AI34" s="503"/>
      <c r="AJ34" s="503"/>
      <c r="AK34" s="503"/>
      <c r="AL34" s="503"/>
      <c r="AM34" s="503"/>
      <c r="AN34" s="503"/>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476"/>
      <c r="BN34" s="476"/>
      <c r="BO34" s="476"/>
      <c r="BP34" s="476"/>
      <c r="BQ34" s="476"/>
      <c r="BR34" s="476"/>
      <c r="BS34" s="476"/>
      <c r="BT34" s="476"/>
      <c r="BU34" s="476"/>
      <c r="BV34" s="476"/>
      <c r="BW34" s="476"/>
      <c r="BX34" s="476"/>
      <c r="BY34" s="476"/>
      <c r="BZ34" s="476"/>
    </row>
    <row r="35" spans="1:78" ht="16.5" customHeight="1" x14ac:dyDescent="0.25">
      <c r="A35" s="477" t="s">
        <v>429</v>
      </c>
      <c r="B35" s="478" t="s">
        <v>430</v>
      </c>
      <c r="C35" s="479">
        <v>18952.441887060002</v>
      </c>
      <c r="D35" s="479">
        <v>18641.061393979999</v>
      </c>
      <c r="E35" s="479">
        <v>18743.303560849996</v>
      </c>
      <c r="F35" s="479">
        <v>18751.685785169997</v>
      </c>
      <c r="G35" s="479">
        <v>18911.351549290001</v>
      </c>
      <c r="H35" s="479">
        <v>18649.461355769999</v>
      </c>
      <c r="I35" s="479">
        <v>18959.472219740001</v>
      </c>
      <c r="J35" s="479">
        <v>19099.734956819997</v>
      </c>
      <c r="K35" s="479">
        <v>19096.175257759998</v>
      </c>
      <c r="L35" s="479">
        <v>19126.732547099997</v>
      </c>
      <c r="M35" s="479">
        <v>19515.158774399999</v>
      </c>
      <c r="N35" s="479">
        <v>22591.76147184</v>
      </c>
      <c r="O35" s="479">
        <v>21236.65837347</v>
      </c>
      <c r="P35" s="479">
        <v>20538.891013150002</v>
      </c>
      <c r="Q35" s="479">
        <v>20556.85096652</v>
      </c>
      <c r="R35" s="479">
        <v>20352.834272419997</v>
      </c>
      <c r="S35" s="479">
        <v>20595.249062759998</v>
      </c>
      <c r="T35" s="479">
        <v>20453.797603709998</v>
      </c>
      <c r="U35" s="479">
        <v>20905.664051119998</v>
      </c>
      <c r="V35" s="479">
        <v>21645.42161148</v>
      </c>
      <c r="W35" s="479">
        <v>21156.80149025</v>
      </c>
      <c r="X35" s="479">
        <v>21838.137164569998</v>
      </c>
      <c r="Y35" s="479">
        <v>21414.945182689997</v>
      </c>
      <c r="Z35" s="479">
        <v>24469.755843179999</v>
      </c>
      <c r="AA35" s="479">
        <v>22588.058014799997</v>
      </c>
      <c r="AB35" s="479">
        <v>22171.260158819998</v>
      </c>
      <c r="AC35" s="479">
        <v>21862.04674324</v>
      </c>
      <c r="AD35" s="479">
        <v>21939.357956429998</v>
      </c>
      <c r="AE35" s="479">
        <v>22081.98990434</v>
      </c>
      <c r="AF35" s="479">
        <v>21745.491674569999</v>
      </c>
      <c r="AG35" s="479">
        <v>22149.626996290001</v>
      </c>
      <c r="AH35" s="479">
        <v>22572.425488049998</v>
      </c>
      <c r="AI35" s="479">
        <v>22452.776109720002</v>
      </c>
      <c r="AJ35" s="479">
        <v>23032.897365330002</v>
      </c>
      <c r="AK35" s="479">
        <v>23216.152670249998</v>
      </c>
      <c r="AL35" s="479">
        <v>26961.314001819999</v>
      </c>
      <c r="AM35" s="479">
        <v>25163.105337090001</v>
      </c>
      <c r="AN35" s="479">
        <v>24498.755108590001</v>
      </c>
      <c r="AO35" s="480">
        <v>24955.023412139999</v>
      </c>
      <c r="AP35" s="480">
        <v>24919.571457469996</v>
      </c>
      <c r="AQ35" s="480">
        <v>24588.03063723</v>
      </c>
      <c r="AR35" s="480">
        <v>24405.038596909999</v>
      </c>
      <c r="AS35" s="480">
        <v>25220.77754155</v>
      </c>
      <c r="AT35" s="480">
        <v>25317.262526309998</v>
      </c>
      <c r="AU35" s="480">
        <v>24906.271864289996</v>
      </c>
      <c r="AV35" s="480">
        <v>25514.94680301</v>
      </c>
      <c r="AW35" s="480">
        <v>25355.99961635</v>
      </c>
      <c r="AX35" s="480">
        <v>30127.65067585</v>
      </c>
      <c r="AY35" s="480">
        <v>27335.793403099997</v>
      </c>
      <c r="AZ35" s="480">
        <v>26937.436175199997</v>
      </c>
      <c r="BA35" s="480">
        <v>26769.000060089998</v>
      </c>
      <c r="BB35" s="480">
        <v>26721.178490309998</v>
      </c>
      <c r="BC35" s="480">
        <v>26022.338344529999</v>
      </c>
      <c r="BD35" s="480">
        <v>26344.899356469996</v>
      </c>
      <c r="BE35" s="480">
        <v>27338.762973989997</v>
      </c>
      <c r="BF35" s="480">
        <v>26980.232630539998</v>
      </c>
      <c r="BG35" s="480">
        <v>26570.910404800001</v>
      </c>
      <c r="BH35" s="480">
        <v>26596.024344789996</v>
      </c>
      <c r="BI35" s="480">
        <v>27231.957308459998</v>
      </c>
      <c r="BJ35" s="480">
        <v>32530.922907949996</v>
      </c>
      <c r="BK35" s="480">
        <v>28693.542673849999</v>
      </c>
      <c r="BL35" s="480">
        <v>28537.310704579999</v>
      </c>
      <c r="BM35" s="480">
        <v>28235.79267477</v>
      </c>
      <c r="BN35" s="480">
        <v>28891.639225089999</v>
      </c>
      <c r="BO35" s="480">
        <v>28381.598166739997</v>
      </c>
      <c r="BP35" s="480">
        <v>28401.159025539997</v>
      </c>
      <c r="BQ35" s="480">
        <v>29084.588811319998</v>
      </c>
      <c r="BR35" s="480">
        <v>28788.739345999998</v>
      </c>
      <c r="BS35" s="480">
        <v>28816.358797509998</v>
      </c>
      <c r="BT35" s="480">
        <v>29134.156574879999</v>
      </c>
      <c r="BU35" s="480">
        <v>29138.429183199998</v>
      </c>
      <c r="BV35" s="480">
        <v>33337.37905756</v>
      </c>
      <c r="BW35" s="480">
        <v>31171.009461819998</v>
      </c>
      <c r="BX35" s="480">
        <v>30647.284968779997</v>
      </c>
      <c r="BY35" s="480">
        <v>30743.296292809999</v>
      </c>
      <c r="BZ35" s="480">
        <v>30447.59312302</v>
      </c>
    </row>
    <row r="36" spans="1:78" ht="16.5" customHeight="1" x14ac:dyDescent="0.25">
      <c r="A36" s="481"/>
      <c r="B36" s="482"/>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c r="AG36" s="483"/>
      <c r="AH36" s="483"/>
      <c r="AI36" s="483"/>
      <c r="AJ36" s="483"/>
      <c r="AK36" s="483"/>
      <c r="AL36" s="483"/>
      <c r="AM36" s="483"/>
      <c r="AN36" s="483"/>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76"/>
      <c r="BM36" s="476"/>
      <c r="BN36" s="476"/>
      <c r="BO36" s="476"/>
      <c r="BP36" s="476"/>
      <c r="BQ36" s="476"/>
      <c r="BR36" s="476"/>
      <c r="BS36" s="476"/>
      <c r="BT36" s="476"/>
      <c r="BU36" s="476"/>
      <c r="BV36" s="476"/>
      <c r="BW36" s="476"/>
      <c r="BX36" s="476"/>
      <c r="BY36" s="476"/>
      <c r="BZ36" s="476"/>
    </row>
    <row r="37" spans="1:78" ht="16.5" customHeight="1" x14ac:dyDescent="0.25">
      <c r="A37" s="477" t="s">
        <v>431</v>
      </c>
      <c r="B37" s="478" t="s">
        <v>432</v>
      </c>
      <c r="C37" s="479">
        <v>173.77583848999998</v>
      </c>
      <c r="D37" s="479">
        <v>102.15030181408299</v>
      </c>
      <c r="E37" s="479">
        <v>107.57548442879599</v>
      </c>
      <c r="F37" s="479">
        <v>96.970545829999992</v>
      </c>
      <c r="G37" s="479">
        <v>92.457328589252</v>
      </c>
      <c r="H37" s="479">
        <v>440.817523815794</v>
      </c>
      <c r="I37" s="479">
        <v>144.695107660503</v>
      </c>
      <c r="J37" s="479">
        <v>139.61848140775101</v>
      </c>
      <c r="K37" s="479">
        <v>267.13934071788196</v>
      </c>
      <c r="L37" s="479">
        <v>140.39613334605099</v>
      </c>
      <c r="M37" s="479">
        <v>147.65538167153198</v>
      </c>
      <c r="N37" s="479">
        <v>156.18358312016798</v>
      </c>
      <c r="O37" s="479">
        <v>141.37216390342701</v>
      </c>
      <c r="P37" s="479">
        <v>165.14521648076197</v>
      </c>
      <c r="Q37" s="479">
        <v>156.283154672509</v>
      </c>
      <c r="R37" s="479">
        <v>170.538513680878</v>
      </c>
      <c r="S37" s="479">
        <v>118.92258400263799</v>
      </c>
      <c r="T37" s="479">
        <v>227.06391243610898</v>
      </c>
      <c r="U37" s="479">
        <v>147.606747109975</v>
      </c>
      <c r="V37" s="479">
        <v>145.05270454831998</v>
      </c>
      <c r="W37" s="479">
        <v>178.60699340812801</v>
      </c>
      <c r="X37" s="479">
        <v>228.86708454979401</v>
      </c>
      <c r="Y37" s="479">
        <v>145.94768976260698</v>
      </c>
      <c r="Z37" s="479">
        <v>144.74181716741302</v>
      </c>
      <c r="AA37" s="479">
        <v>134.190323829216</v>
      </c>
      <c r="AB37" s="479">
        <v>122.79770026911299</v>
      </c>
      <c r="AC37" s="479">
        <v>128.30850091761698</v>
      </c>
      <c r="AD37" s="479">
        <v>125.31778668365899</v>
      </c>
      <c r="AE37" s="479">
        <v>104.85266671033099</v>
      </c>
      <c r="AF37" s="479">
        <v>188.10748455776599</v>
      </c>
      <c r="AG37" s="479">
        <v>198.07162782</v>
      </c>
      <c r="AH37" s="479">
        <v>71.810326250000003</v>
      </c>
      <c r="AI37" s="479">
        <v>223.63965296000001</v>
      </c>
      <c r="AJ37" s="479">
        <v>238.61876867999996</v>
      </c>
      <c r="AK37" s="479">
        <v>151.47403553999999</v>
      </c>
      <c r="AL37" s="479">
        <v>146.47737080000002</v>
      </c>
      <c r="AM37" s="479">
        <v>69.348740169999985</v>
      </c>
      <c r="AN37" s="479">
        <v>65.960218440000006</v>
      </c>
      <c r="AO37" s="480">
        <v>64.97840020999999</v>
      </c>
      <c r="AP37" s="480">
        <v>65.584209119999997</v>
      </c>
      <c r="AQ37" s="480">
        <v>68.513367979999998</v>
      </c>
      <c r="AR37" s="480">
        <v>311.48284962999998</v>
      </c>
      <c r="AS37" s="480">
        <v>90.367219909999989</v>
      </c>
      <c r="AT37" s="480">
        <v>88.740492129999993</v>
      </c>
      <c r="AU37" s="480">
        <v>165.29868494999999</v>
      </c>
      <c r="AV37" s="480">
        <v>96.820067709999989</v>
      </c>
      <c r="AW37" s="480">
        <v>176.07912083000002</v>
      </c>
      <c r="AX37" s="480">
        <v>327.56298057999999</v>
      </c>
      <c r="AY37" s="480">
        <v>68.868365640000007</v>
      </c>
      <c r="AZ37" s="480">
        <v>92.072264139999987</v>
      </c>
      <c r="BA37" s="480">
        <v>87.70549441</v>
      </c>
      <c r="BB37" s="480">
        <v>85.291687549999992</v>
      </c>
      <c r="BC37" s="480">
        <v>79.022807060000005</v>
      </c>
      <c r="BD37" s="480">
        <v>286.60368328999999</v>
      </c>
      <c r="BE37" s="480">
        <v>117.17449668</v>
      </c>
      <c r="BF37" s="480">
        <v>93.580257980000013</v>
      </c>
      <c r="BG37" s="480">
        <v>174.95850214999999</v>
      </c>
      <c r="BH37" s="480">
        <v>198.19834580999998</v>
      </c>
      <c r="BI37" s="480">
        <v>116.58136098999999</v>
      </c>
      <c r="BJ37" s="480">
        <v>132.96940228</v>
      </c>
      <c r="BK37" s="480">
        <v>90.140118959999995</v>
      </c>
      <c r="BL37" s="480">
        <v>98.214010599999995</v>
      </c>
      <c r="BM37" s="480">
        <v>287.49325514999998</v>
      </c>
      <c r="BN37" s="480">
        <v>106.17286981999999</v>
      </c>
      <c r="BO37" s="480">
        <v>119.60855578000002</v>
      </c>
      <c r="BP37" s="480">
        <v>205.71154525</v>
      </c>
      <c r="BQ37" s="480">
        <v>303.37492168</v>
      </c>
      <c r="BR37" s="480">
        <v>973.68625691</v>
      </c>
      <c r="BS37" s="480">
        <v>160.70164977000002</v>
      </c>
      <c r="BT37" s="480">
        <v>111.26486164000001</v>
      </c>
      <c r="BU37" s="480">
        <v>94.175746759999996</v>
      </c>
      <c r="BV37" s="480">
        <v>269.32090277000003</v>
      </c>
      <c r="BW37" s="480">
        <v>87.858485169999994</v>
      </c>
      <c r="BX37" s="480">
        <v>94.195966089999999</v>
      </c>
      <c r="BY37" s="480">
        <v>94.053120899999996</v>
      </c>
      <c r="BZ37" s="480">
        <v>161.28891437999999</v>
      </c>
    </row>
    <row r="38" spans="1:78" ht="16.5" customHeight="1" x14ac:dyDescent="0.25">
      <c r="A38" s="481" t="s">
        <v>433</v>
      </c>
      <c r="B38" s="482" t="s">
        <v>434</v>
      </c>
      <c r="C38" s="484">
        <v>22.587345850000002</v>
      </c>
      <c r="D38" s="484">
        <v>24.744540514082999</v>
      </c>
      <c r="E38" s="484">
        <v>23.849837548796</v>
      </c>
      <c r="F38" s="484">
        <v>18.228978470000001</v>
      </c>
      <c r="G38" s="484">
        <v>18.263779599251997</v>
      </c>
      <c r="H38" s="484">
        <v>20.765367005793998</v>
      </c>
      <c r="I38" s="484">
        <v>19.718758210502997</v>
      </c>
      <c r="J38" s="484">
        <v>24.796664857751008</v>
      </c>
      <c r="K38" s="484">
        <v>24.287037047881995</v>
      </c>
      <c r="L38" s="484">
        <v>19.542466706051002</v>
      </c>
      <c r="M38" s="484">
        <v>21.999239441531991</v>
      </c>
      <c r="N38" s="484">
        <v>24.493795200167998</v>
      </c>
      <c r="O38" s="484">
        <v>14.350253283427008</v>
      </c>
      <c r="P38" s="484">
        <v>12.139555840761995</v>
      </c>
      <c r="Q38" s="484">
        <v>11.978865682509007</v>
      </c>
      <c r="R38" s="484">
        <v>10.738506780878001</v>
      </c>
      <c r="S38" s="484">
        <v>11.205565562638004</v>
      </c>
      <c r="T38" s="484">
        <v>10.587319066109</v>
      </c>
      <c r="U38" s="484">
        <v>14.109763349974992</v>
      </c>
      <c r="V38" s="484">
        <v>13.63773414832</v>
      </c>
      <c r="W38" s="484">
        <v>15.698556618128009</v>
      </c>
      <c r="X38" s="484">
        <v>14.606797769794008</v>
      </c>
      <c r="Y38" s="484">
        <v>15.119194412606996</v>
      </c>
      <c r="Z38" s="484">
        <v>16.387315327413003</v>
      </c>
      <c r="AA38" s="484">
        <v>19.396711529215999</v>
      </c>
      <c r="AB38" s="484">
        <v>15.694678129113001</v>
      </c>
      <c r="AC38" s="484">
        <v>15.629992317616994</v>
      </c>
      <c r="AD38" s="484">
        <v>8.5982636536590107</v>
      </c>
      <c r="AE38" s="484">
        <v>8.3524888203310006</v>
      </c>
      <c r="AF38" s="484">
        <v>10.438192297765998</v>
      </c>
      <c r="AG38" s="484">
        <v>8.942154580000004</v>
      </c>
      <c r="AH38" s="484">
        <v>12.123119959999997</v>
      </c>
      <c r="AI38" s="484">
        <v>9.9914872199999998</v>
      </c>
      <c r="AJ38" s="484">
        <v>10.633213389999991</v>
      </c>
      <c r="AK38" s="484">
        <v>15.135496139999999</v>
      </c>
      <c r="AL38" s="484">
        <v>12.26796014</v>
      </c>
      <c r="AM38" s="484">
        <v>9.4486492399999911</v>
      </c>
      <c r="AN38" s="484">
        <v>8.5116829600000106</v>
      </c>
      <c r="AO38" s="485">
        <v>8.9783699599999913</v>
      </c>
      <c r="AP38" s="485">
        <v>9.1002109599999983</v>
      </c>
      <c r="AQ38" s="485">
        <v>9.4573140000000002</v>
      </c>
      <c r="AR38" s="485">
        <v>12.949643999999999</v>
      </c>
      <c r="AS38" s="485">
        <v>15.529333999999999</v>
      </c>
      <c r="AT38" s="485">
        <v>12.122377</v>
      </c>
      <c r="AU38" s="485">
        <v>10.837873999999999</v>
      </c>
      <c r="AV38" s="485">
        <v>12.407376999999999</v>
      </c>
      <c r="AW38" s="485">
        <v>13.756131</v>
      </c>
      <c r="AX38" s="485">
        <v>11.081707</v>
      </c>
      <c r="AY38" s="485">
        <v>12.787836</v>
      </c>
      <c r="AZ38" s="485">
        <v>19.284112</v>
      </c>
      <c r="BA38" s="485">
        <v>20.909382000000001</v>
      </c>
      <c r="BB38" s="485">
        <v>20.245926999999998</v>
      </c>
      <c r="BC38" s="485">
        <v>20.801047000000001</v>
      </c>
      <c r="BD38" s="485">
        <v>22.928493</v>
      </c>
      <c r="BE38" s="485">
        <v>21.38899</v>
      </c>
      <c r="BF38" s="485">
        <v>21.812104999999999</v>
      </c>
      <c r="BG38" s="485">
        <v>22.688719000000003</v>
      </c>
      <c r="BH38" s="485">
        <v>23.482017999999997</v>
      </c>
      <c r="BI38" s="485">
        <v>24.858671999999999</v>
      </c>
      <c r="BJ38" s="485">
        <v>27.873531999999997</v>
      </c>
      <c r="BK38" s="485">
        <v>27.794181999999999</v>
      </c>
      <c r="BL38" s="485">
        <v>27.968121999999997</v>
      </c>
      <c r="BM38" s="485">
        <v>28.234946000000001</v>
      </c>
      <c r="BN38" s="485">
        <v>27.068202000000003</v>
      </c>
      <c r="BO38" s="485">
        <v>28.037162000000002</v>
      </c>
      <c r="BP38" s="485">
        <v>21.76407</v>
      </c>
      <c r="BQ38" s="485">
        <v>21.726244000000001</v>
      </c>
      <c r="BR38" s="485">
        <v>23.647455000000001</v>
      </c>
      <c r="BS38" s="485">
        <v>27.880478</v>
      </c>
      <c r="BT38" s="485">
        <v>28.179905999999999</v>
      </c>
      <c r="BU38" s="485">
        <v>27.275673999999999</v>
      </c>
      <c r="BV38" s="485">
        <v>25.929378</v>
      </c>
      <c r="BW38" s="485">
        <v>24.763244</v>
      </c>
      <c r="BX38" s="485">
        <v>18.885643000000002</v>
      </c>
      <c r="BY38" s="485">
        <v>20.920655999999997</v>
      </c>
      <c r="BZ38" s="485">
        <v>20.846422999999998</v>
      </c>
    </row>
    <row r="39" spans="1:78" ht="16.5" customHeight="1" x14ac:dyDescent="0.25">
      <c r="A39" s="481" t="s">
        <v>435</v>
      </c>
      <c r="B39" s="482" t="s">
        <v>436</v>
      </c>
      <c r="C39" s="484">
        <v>0</v>
      </c>
      <c r="D39" s="484">
        <v>0</v>
      </c>
      <c r="E39" s="484">
        <v>0</v>
      </c>
      <c r="F39" s="484">
        <v>0</v>
      </c>
      <c r="G39" s="484">
        <v>0</v>
      </c>
      <c r="H39" s="484">
        <v>0</v>
      </c>
      <c r="I39" s="484">
        <v>0</v>
      </c>
      <c r="J39" s="484">
        <v>0</v>
      </c>
      <c r="K39" s="484">
        <v>0</v>
      </c>
      <c r="L39" s="484">
        <v>0</v>
      </c>
      <c r="M39" s="484">
        <v>0</v>
      </c>
      <c r="N39" s="484">
        <v>0</v>
      </c>
      <c r="O39" s="484">
        <v>0</v>
      </c>
      <c r="P39" s="484">
        <v>0</v>
      </c>
      <c r="Q39" s="484">
        <v>0</v>
      </c>
      <c r="R39" s="484">
        <v>0</v>
      </c>
      <c r="S39" s="484">
        <v>0</v>
      </c>
      <c r="T39" s="484">
        <v>0</v>
      </c>
      <c r="U39" s="484">
        <v>0</v>
      </c>
      <c r="V39" s="484">
        <v>0</v>
      </c>
      <c r="W39" s="484">
        <v>0</v>
      </c>
      <c r="X39" s="484">
        <v>0</v>
      </c>
      <c r="Y39" s="484">
        <v>0</v>
      </c>
      <c r="Z39" s="484">
        <v>0</v>
      </c>
      <c r="AA39" s="484">
        <v>0</v>
      </c>
      <c r="AB39" s="484">
        <v>0</v>
      </c>
      <c r="AC39" s="484">
        <v>0</v>
      </c>
      <c r="AD39" s="484">
        <v>0</v>
      </c>
      <c r="AE39" s="484">
        <v>0</v>
      </c>
      <c r="AF39" s="484">
        <v>0</v>
      </c>
      <c r="AG39" s="484">
        <v>0</v>
      </c>
      <c r="AH39" s="484">
        <v>0</v>
      </c>
      <c r="AI39" s="484">
        <v>0</v>
      </c>
      <c r="AJ39" s="484">
        <v>0</v>
      </c>
      <c r="AK39" s="484">
        <v>0</v>
      </c>
      <c r="AL39" s="484">
        <v>0</v>
      </c>
      <c r="AM39" s="484">
        <v>0</v>
      </c>
      <c r="AN39" s="484">
        <v>0</v>
      </c>
      <c r="AO39" s="485">
        <v>0</v>
      </c>
      <c r="AP39" s="485">
        <v>0</v>
      </c>
      <c r="AQ39" s="485">
        <v>0</v>
      </c>
      <c r="AR39" s="485">
        <v>0</v>
      </c>
      <c r="AS39" s="485">
        <v>0</v>
      </c>
      <c r="AT39" s="485">
        <v>0</v>
      </c>
      <c r="AU39" s="485">
        <v>0</v>
      </c>
      <c r="AV39" s="485">
        <v>0</v>
      </c>
      <c r="AW39" s="485">
        <v>0</v>
      </c>
      <c r="AX39" s="485">
        <v>0</v>
      </c>
      <c r="AY39" s="485">
        <v>0</v>
      </c>
      <c r="AZ39" s="485">
        <v>0</v>
      </c>
      <c r="BA39" s="485">
        <v>0</v>
      </c>
      <c r="BB39" s="485">
        <v>0</v>
      </c>
      <c r="BC39" s="485">
        <v>0</v>
      </c>
      <c r="BD39" s="485">
        <v>0</v>
      </c>
      <c r="BE39" s="485">
        <v>0</v>
      </c>
      <c r="BF39" s="485">
        <v>0</v>
      </c>
      <c r="BG39" s="485">
        <v>0</v>
      </c>
      <c r="BH39" s="485">
        <v>0</v>
      </c>
      <c r="BI39" s="485">
        <v>0</v>
      </c>
      <c r="BJ39" s="485">
        <v>0</v>
      </c>
      <c r="BK39" s="485">
        <v>0</v>
      </c>
      <c r="BL39" s="485">
        <v>0</v>
      </c>
      <c r="BM39" s="485">
        <v>0</v>
      </c>
      <c r="BN39" s="485">
        <v>0</v>
      </c>
      <c r="BO39" s="485">
        <v>0</v>
      </c>
      <c r="BP39" s="485">
        <v>0</v>
      </c>
      <c r="BQ39" s="485">
        <v>0</v>
      </c>
      <c r="BR39" s="485">
        <v>0</v>
      </c>
      <c r="BS39" s="485">
        <v>0</v>
      </c>
      <c r="BT39" s="485">
        <v>0</v>
      </c>
      <c r="BU39" s="485">
        <v>0</v>
      </c>
      <c r="BV39" s="485">
        <v>0</v>
      </c>
      <c r="BW39" s="485">
        <v>0</v>
      </c>
      <c r="BX39" s="485">
        <v>0</v>
      </c>
      <c r="BY39" s="485">
        <v>0</v>
      </c>
      <c r="BZ39" s="485">
        <v>0</v>
      </c>
    </row>
    <row r="40" spans="1:78" ht="16.5" customHeight="1" x14ac:dyDescent="0.25">
      <c r="A40" s="481" t="s">
        <v>437</v>
      </c>
      <c r="B40" s="482" t="s">
        <v>438</v>
      </c>
      <c r="C40" s="484">
        <v>151.18849263999999</v>
      </c>
      <c r="D40" s="484">
        <v>77.405761299999995</v>
      </c>
      <c r="E40" s="484">
        <v>83.725646879999985</v>
      </c>
      <c r="F40" s="484">
        <v>78.741567359999991</v>
      </c>
      <c r="G40" s="484">
        <v>74.193548989999996</v>
      </c>
      <c r="H40" s="484">
        <v>420.05215680999999</v>
      </c>
      <c r="I40" s="484">
        <v>124.97634945</v>
      </c>
      <c r="J40" s="484">
        <v>114.82181654999999</v>
      </c>
      <c r="K40" s="484">
        <v>242.85230366999997</v>
      </c>
      <c r="L40" s="484">
        <v>120.85366664</v>
      </c>
      <c r="M40" s="484">
        <v>125.65614223</v>
      </c>
      <c r="N40" s="484">
        <v>131.68978791999999</v>
      </c>
      <c r="O40" s="484">
        <v>127.02191062</v>
      </c>
      <c r="P40" s="484">
        <v>153.00566063999997</v>
      </c>
      <c r="Q40" s="484">
        <v>144.30428899</v>
      </c>
      <c r="R40" s="484">
        <v>159.8000069</v>
      </c>
      <c r="S40" s="484">
        <v>107.71701843999999</v>
      </c>
      <c r="T40" s="484">
        <v>216.47659336999999</v>
      </c>
      <c r="U40" s="484">
        <v>133.49698376000001</v>
      </c>
      <c r="V40" s="484">
        <v>131.41497039999999</v>
      </c>
      <c r="W40" s="484">
        <v>162.90843679</v>
      </c>
      <c r="X40" s="484">
        <v>214.26028678</v>
      </c>
      <c r="Y40" s="484">
        <v>130.82849535</v>
      </c>
      <c r="Z40" s="484">
        <v>128.35450184000001</v>
      </c>
      <c r="AA40" s="484">
        <v>114.79361229999999</v>
      </c>
      <c r="AB40" s="484">
        <v>107.10302213999999</v>
      </c>
      <c r="AC40" s="484">
        <v>112.67850859999999</v>
      </c>
      <c r="AD40" s="484">
        <v>116.71952302999999</v>
      </c>
      <c r="AE40" s="484">
        <v>96.500177889999989</v>
      </c>
      <c r="AF40" s="484">
        <v>177.66929225999999</v>
      </c>
      <c r="AG40" s="484">
        <v>189.12947324000001</v>
      </c>
      <c r="AH40" s="484">
        <v>59.687206289999999</v>
      </c>
      <c r="AI40" s="484">
        <v>213.64816574</v>
      </c>
      <c r="AJ40" s="484">
        <v>227.98555528999998</v>
      </c>
      <c r="AK40" s="484">
        <v>136.3385394</v>
      </c>
      <c r="AL40" s="484">
        <v>134.20941066</v>
      </c>
      <c r="AM40" s="484">
        <v>59.900090929999998</v>
      </c>
      <c r="AN40" s="484">
        <v>57.448535479999997</v>
      </c>
      <c r="AO40" s="485">
        <v>56.000030250000002</v>
      </c>
      <c r="AP40" s="485">
        <v>56.483998159999999</v>
      </c>
      <c r="AQ40" s="485">
        <v>59.056053979999994</v>
      </c>
      <c r="AR40" s="485">
        <v>298.53320563</v>
      </c>
      <c r="AS40" s="485">
        <v>74.837885909999997</v>
      </c>
      <c r="AT40" s="485">
        <v>76.618115129999993</v>
      </c>
      <c r="AU40" s="485">
        <v>154.46081095</v>
      </c>
      <c r="AV40" s="485">
        <v>84.412690709999993</v>
      </c>
      <c r="AW40" s="485">
        <v>162.32298983000001</v>
      </c>
      <c r="AX40" s="485">
        <v>316.48127357999999</v>
      </c>
      <c r="AY40" s="485">
        <v>56.080529640000002</v>
      </c>
      <c r="AZ40" s="485">
        <v>72.788152139999994</v>
      </c>
      <c r="BA40" s="485">
        <v>66.796112409999992</v>
      </c>
      <c r="BB40" s="485">
        <v>65.045760549999997</v>
      </c>
      <c r="BC40" s="485">
        <v>58.221760060000001</v>
      </c>
      <c r="BD40" s="485">
        <v>263.67519028999999</v>
      </c>
      <c r="BE40" s="485">
        <v>95.785506680000012</v>
      </c>
      <c r="BF40" s="485">
        <v>71.768152980000011</v>
      </c>
      <c r="BG40" s="485">
        <v>152.26978314999999</v>
      </c>
      <c r="BH40" s="485">
        <v>174.71632781</v>
      </c>
      <c r="BI40" s="485">
        <v>91.722688989999995</v>
      </c>
      <c r="BJ40" s="485">
        <v>105.09587028</v>
      </c>
      <c r="BK40" s="485">
        <v>62.345936960000003</v>
      </c>
      <c r="BL40" s="485">
        <v>70.245888600000001</v>
      </c>
      <c r="BM40" s="485">
        <v>259.25830915</v>
      </c>
      <c r="BN40" s="485">
        <v>79.104667819999989</v>
      </c>
      <c r="BO40" s="485">
        <v>91.571393780000008</v>
      </c>
      <c r="BP40" s="485">
        <v>183.94747525</v>
      </c>
      <c r="BQ40" s="485">
        <v>281.64867767999999</v>
      </c>
      <c r="BR40" s="485">
        <v>950.03880190999996</v>
      </c>
      <c r="BS40" s="485">
        <v>132.82117177000001</v>
      </c>
      <c r="BT40" s="485">
        <v>83.084955640000004</v>
      </c>
      <c r="BU40" s="485">
        <v>66.90007276</v>
      </c>
      <c r="BV40" s="485">
        <v>243.39152477000002</v>
      </c>
      <c r="BW40" s="485">
        <v>63.095241170000001</v>
      </c>
      <c r="BX40" s="485">
        <v>75.310323089999997</v>
      </c>
      <c r="BY40" s="485">
        <v>73.132464900000002</v>
      </c>
      <c r="BZ40" s="485">
        <v>140.44249138000001</v>
      </c>
    </row>
    <row r="41" spans="1:78" ht="16.5" customHeight="1" x14ac:dyDescent="0.25">
      <c r="A41" s="481"/>
      <c r="B41" s="482"/>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476"/>
      <c r="BL41" s="476"/>
      <c r="BM41" s="476"/>
      <c r="BN41" s="476"/>
      <c r="BO41" s="476"/>
      <c r="BP41" s="476"/>
      <c r="BQ41" s="476"/>
      <c r="BR41" s="476"/>
      <c r="BS41" s="476"/>
      <c r="BT41" s="476"/>
      <c r="BU41" s="476"/>
      <c r="BV41" s="476"/>
      <c r="BW41" s="476"/>
      <c r="BX41" s="476"/>
      <c r="BY41" s="476"/>
      <c r="BZ41" s="476"/>
    </row>
    <row r="42" spans="1:78" ht="16.5" customHeight="1" x14ac:dyDescent="0.25">
      <c r="A42" s="477" t="s">
        <v>439</v>
      </c>
      <c r="B42" s="478" t="s">
        <v>440</v>
      </c>
      <c r="C42" s="479">
        <v>29966.975270430004</v>
      </c>
      <c r="D42" s="479">
        <v>31254.647347658003</v>
      </c>
      <c r="E42" s="479">
        <v>30372.563617634001</v>
      </c>
      <c r="F42" s="479">
        <v>30963.920489230004</v>
      </c>
      <c r="G42" s="479">
        <v>30613.226018459998</v>
      </c>
      <c r="H42" s="479">
        <v>33128.330575418004</v>
      </c>
      <c r="I42" s="479">
        <v>33789.267421356002</v>
      </c>
      <c r="J42" s="479">
        <v>33020.689187719807</v>
      </c>
      <c r="K42" s="479">
        <v>30534.132591883994</v>
      </c>
      <c r="L42" s="479">
        <v>31544.458324931002</v>
      </c>
      <c r="M42" s="479">
        <v>34977.812640402</v>
      </c>
      <c r="N42" s="479">
        <v>35949.448974421</v>
      </c>
      <c r="O42" s="479">
        <v>35192.75877875572</v>
      </c>
      <c r="P42" s="479">
        <v>34541.421341773646</v>
      </c>
      <c r="Q42" s="479">
        <v>36939.507580827478</v>
      </c>
      <c r="R42" s="479">
        <v>36646.860198302456</v>
      </c>
      <c r="S42" s="479">
        <v>36053.616068564763</v>
      </c>
      <c r="T42" s="479">
        <v>36084.724062089997</v>
      </c>
      <c r="U42" s="479">
        <v>36239.179683970557</v>
      </c>
      <c r="V42" s="479">
        <v>35220.694716186779</v>
      </c>
      <c r="W42" s="479">
        <v>35968.445858579995</v>
      </c>
      <c r="X42" s="479">
        <v>36491.476768018532</v>
      </c>
      <c r="Y42" s="479">
        <v>36444.609430624776</v>
      </c>
      <c r="Z42" s="479">
        <v>38789.824571191995</v>
      </c>
      <c r="AA42" s="479">
        <v>38832.313905730829</v>
      </c>
      <c r="AB42" s="479">
        <v>39201.650866966433</v>
      </c>
      <c r="AC42" s="479">
        <v>39598.520794407035</v>
      </c>
      <c r="AD42" s="479">
        <v>39343.312606860163</v>
      </c>
      <c r="AE42" s="479">
        <v>39252.326794396096</v>
      </c>
      <c r="AF42" s="479">
        <v>42619.680820155401</v>
      </c>
      <c r="AG42" s="479">
        <v>42577.058093508051</v>
      </c>
      <c r="AH42" s="479">
        <v>43504.518758566446</v>
      </c>
      <c r="AI42" s="479">
        <v>43201.277614377948</v>
      </c>
      <c r="AJ42" s="479">
        <v>42159.302407638199</v>
      </c>
      <c r="AK42" s="479">
        <v>42910.437745755764</v>
      </c>
      <c r="AL42" s="479">
        <v>40614.66020448348</v>
      </c>
      <c r="AM42" s="479">
        <v>42825.937377875787</v>
      </c>
      <c r="AN42" s="479">
        <v>43964.981252033365</v>
      </c>
      <c r="AO42" s="480">
        <v>42932.13565626496</v>
      </c>
      <c r="AP42" s="480">
        <v>40830.506188844367</v>
      </c>
      <c r="AQ42" s="480">
        <v>47274.165556918102</v>
      </c>
      <c r="AR42" s="480">
        <v>48436.776476322426</v>
      </c>
      <c r="AS42" s="480">
        <v>44985.178309535302</v>
      </c>
      <c r="AT42" s="480">
        <v>41348.617100414427</v>
      </c>
      <c r="AU42" s="480">
        <v>44235.655758825626</v>
      </c>
      <c r="AV42" s="480">
        <v>43755.652114609475</v>
      </c>
      <c r="AW42" s="480">
        <v>44181.708255133148</v>
      </c>
      <c r="AX42" s="480">
        <v>45777.675150546376</v>
      </c>
      <c r="AY42" s="480">
        <v>47958.153422024698</v>
      </c>
      <c r="AZ42" s="480">
        <v>52887.297649936125</v>
      </c>
      <c r="BA42" s="480">
        <v>52134.949325764224</v>
      </c>
      <c r="BB42" s="480">
        <v>56217.050935438325</v>
      </c>
      <c r="BC42" s="480">
        <v>55100.478066376672</v>
      </c>
      <c r="BD42" s="480">
        <v>56440.796463404222</v>
      </c>
      <c r="BE42" s="480">
        <v>58292.819903318996</v>
      </c>
      <c r="BF42" s="480">
        <v>62112.201600465844</v>
      </c>
      <c r="BG42" s="480">
        <v>63458.390614410375</v>
      </c>
      <c r="BH42" s="480">
        <v>62322.811491108325</v>
      </c>
      <c r="BI42" s="480">
        <v>56410.697808099874</v>
      </c>
      <c r="BJ42" s="480">
        <v>55987.2849719515</v>
      </c>
      <c r="BK42" s="480">
        <v>59825.179798573226</v>
      </c>
      <c r="BL42" s="480">
        <v>65161.407995931448</v>
      </c>
      <c r="BM42" s="480">
        <v>71010.513358596872</v>
      </c>
      <c r="BN42" s="480">
        <v>70912.953684895256</v>
      </c>
      <c r="BO42" s="480">
        <v>68932.392346479101</v>
      </c>
      <c r="BP42" s="480">
        <v>68217.023590271958</v>
      </c>
      <c r="BQ42" s="480">
        <v>69100.952125154843</v>
      </c>
      <c r="BR42" s="480">
        <v>66000.244530413009</v>
      </c>
      <c r="BS42" s="480">
        <v>68660.186618714753</v>
      </c>
      <c r="BT42" s="480">
        <v>71708.192215308474</v>
      </c>
      <c r="BU42" s="480">
        <v>74485.847071344557</v>
      </c>
      <c r="BV42" s="480">
        <v>72494.120712716802</v>
      </c>
      <c r="BW42" s="480">
        <v>73387.265660208053</v>
      </c>
      <c r="BX42" s="480">
        <v>74779.201230639548</v>
      </c>
      <c r="BY42" s="480">
        <v>73618.696646692566</v>
      </c>
      <c r="BZ42" s="480">
        <v>74155.979837397506</v>
      </c>
    </row>
    <row r="43" spans="1:78" ht="16.5" customHeight="1" x14ac:dyDescent="0.25">
      <c r="A43" s="481" t="s">
        <v>441</v>
      </c>
      <c r="B43" s="482" t="s">
        <v>434</v>
      </c>
      <c r="C43" s="484">
        <v>29905.948359430004</v>
      </c>
      <c r="D43" s="484">
        <v>31193.630936658003</v>
      </c>
      <c r="E43" s="484">
        <v>27311.545206634</v>
      </c>
      <c r="F43" s="484">
        <v>29202.901078230003</v>
      </c>
      <c r="G43" s="484">
        <v>30552.205607459997</v>
      </c>
      <c r="H43" s="484">
        <v>31067.309164418002</v>
      </c>
      <c r="I43" s="484">
        <v>33728.246010356001</v>
      </c>
      <c r="J43" s="484">
        <v>32959.665776719805</v>
      </c>
      <c r="K43" s="484">
        <v>30473.108180883995</v>
      </c>
      <c r="L43" s="484">
        <v>31483.433913931003</v>
      </c>
      <c r="M43" s="484">
        <v>34916.786229402001</v>
      </c>
      <c r="N43" s="484">
        <v>35888.421563420998</v>
      </c>
      <c r="O43" s="484">
        <v>35131.730367755721</v>
      </c>
      <c r="P43" s="484">
        <v>34480.391930773643</v>
      </c>
      <c r="Q43" s="484">
        <v>36878.477169827478</v>
      </c>
      <c r="R43" s="484">
        <v>36585.829787302457</v>
      </c>
      <c r="S43" s="484">
        <v>35982.459657564759</v>
      </c>
      <c r="T43" s="484">
        <v>36017.19423909</v>
      </c>
      <c r="U43" s="484">
        <v>36171.64986097056</v>
      </c>
      <c r="V43" s="484">
        <v>35153.164893186782</v>
      </c>
      <c r="W43" s="484">
        <v>35900.916035579998</v>
      </c>
      <c r="X43" s="484">
        <v>36423.946945018535</v>
      </c>
      <c r="Y43" s="484">
        <v>36377.079607624779</v>
      </c>
      <c r="Z43" s="484">
        <v>38722.294748191998</v>
      </c>
      <c r="AA43" s="484">
        <v>38764.784082730832</v>
      </c>
      <c r="AB43" s="484">
        <v>39134.121043966436</v>
      </c>
      <c r="AC43" s="484">
        <v>39530.990971407038</v>
      </c>
      <c r="AD43" s="484">
        <v>39275.779788860164</v>
      </c>
      <c r="AE43" s="484">
        <v>39184.793976396097</v>
      </c>
      <c r="AF43" s="484">
        <v>42552.138171155399</v>
      </c>
      <c r="AG43" s="484">
        <v>42506.010275508052</v>
      </c>
      <c r="AH43" s="484">
        <v>43433.470940566447</v>
      </c>
      <c r="AI43" s="484">
        <v>43130.22012637795</v>
      </c>
      <c r="AJ43" s="484">
        <v>42088.247914638203</v>
      </c>
      <c r="AK43" s="484">
        <v>42839.383252755768</v>
      </c>
      <c r="AL43" s="484">
        <v>40543.605711483484</v>
      </c>
      <c r="AM43" s="484">
        <v>42754.882884875791</v>
      </c>
      <c r="AN43" s="484">
        <v>43897.441759033369</v>
      </c>
      <c r="AO43" s="485">
        <v>42864.596163264956</v>
      </c>
      <c r="AP43" s="485">
        <v>40762.96669584437</v>
      </c>
      <c r="AQ43" s="485">
        <v>47206.626063918106</v>
      </c>
      <c r="AR43" s="485">
        <v>48369.236983322422</v>
      </c>
      <c r="AS43" s="485">
        <v>44917.638816535298</v>
      </c>
      <c r="AT43" s="485">
        <v>41281.077607414431</v>
      </c>
      <c r="AU43" s="485">
        <v>44168.116265825622</v>
      </c>
      <c r="AV43" s="485">
        <v>43688.112621609478</v>
      </c>
      <c r="AW43" s="485">
        <v>44114.168762133151</v>
      </c>
      <c r="AX43" s="485">
        <v>45710.135657546372</v>
      </c>
      <c r="AY43" s="485">
        <v>47890.613929024701</v>
      </c>
      <c r="AZ43" s="485">
        <v>52715.362689936119</v>
      </c>
      <c r="BA43" s="485">
        <v>51963.014365764218</v>
      </c>
      <c r="BB43" s="485">
        <v>56048.243475438321</v>
      </c>
      <c r="BC43" s="485">
        <v>54931.670606376669</v>
      </c>
      <c r="BD43" s="485">
        <v>56271.989003404218</v>
      </c>
      <c r="BE43" s="485">
        <v>58124.012443318992</v>
      </c>
      <c r="BF43" s="485">
        <v>61943.39414046584</v>
      </c>
      <c r="BG43" s="485">
        <v>63289.583154410371</v>
      </c>
      <c r="BH43" s="485">
        <v>62154.004031108321</v>
      </c>
      <c r="BI43" s="485">
        <v>56241.890348099871</v>
      </c>
      <c r="BJ43" s="485">
        <v>55818.477511951496</v>
      </c>
      <c r="BK43" s="485">
        <v>59094.987338573228</v>
      </c>
      <c r="BL43" s="485">
        <v>63683.215535931449</v>
      </c>
      <c r="BM43" s="485">
        <v>68422.250898596874</v>
      </c>
      <c r="BN43" s="485">
        <v>68324.691224895258</v>
      </c>
      <c r="BO43" s="485">
        <v>64352.684886479095</v>
      </c>
      <c r="BP43" s="485">
        <v>62659.31613027196</v>
      </c>
      <c r="BQ43" s="485">
        <v>63293.244665154845</v>
      </c>
      <c r="BR43" s="485">
        <v>59949.981070413007</v>
      </c>
      <c r="BS43" s="485">
        <v>62006.423158714751</v>
      </c>
      <c r="BT43" s="485">
        <v>64354.428755308472</v>
      </c>
      <c r="BU43" s="485">
        <v>67032.083611344569</v>
      </c>
      <c r="BV43" s="485">
        <v>65040.3572527168</v>
      </c>
      <c r="BW43" s="485">
        <v>65457.187200208049</v>
      </c>
      <c r="BX43" s="485">
        <v>66468.772770639553</v>
      </c>
      <c r="BY43" s="485">
        <v>65458.33818669257</v>
      </c>
      <c r="BZ43" s="485">
        <v>65995.621377397518</v>
      </c>
    </row>
    <row r="44" spans="1:78" ht="16.5" customHeight="1" x14ac:dyDescent="0.25">
      <c r="A44" s="481" t="s">
        <v>442</v>
      </c>
      <c r="B44" s="482" t="s">
        <v>436</v>
      </c>
      <c r="C44" s="484">
        <v>61.026910999999927</v>
      </c>
      <c r="D44" s="484">
        <v>61.016411000000062</v>
      </c>
      <c r="E44" s="484">
        <v>61.018411000000015</v>
      </c>
      <c r="F44" s="484">
        <v>61.019411000000218</v>
      </c>
      <c r="G44" s="484">
        <v>61.020410999999967</v>
      </c>
      <c r="H44" s="484">
        <v>61.021410999999716</v>
      </c>
      <c r="I44" s="484">
        <v>61.021411000000171</v>
      </c>
      <c r="J44" s="484">
        <v>61.023411000000124</v>
      </c>
      <c r="K44" s="484">
        <v>61.024410999999873</v>
      </c>
      <c r="L44" s="484">
        <v>61.024410999999873</v>
      </c>
      <c r="M44" s="484">
        <v>61.026410999999825</v>
      </c>
      <c r="N44" s="484">
        <v>61.027411000000029</v>
      </c>
      <c r="O44" s="484">
        <v>61.028410999999778</v>
      </c>
      <c r="P44" s="484">
        <v>61.029410999999982</v>
      </c>
      <c r="Q44" s="484">
        <v>61.030411000000186</v>
      </c>
      <c r="R44" s="484">
        <v>61.030411000000186</v>
      </c>
      <c r="S44" s="484">
        <v>71.156410999999935</v>
      </c>
      <c r="T44" s="484">
        <v>67.529822999999851</v>
      </c>
      <c r="U44" s="484">
        <v>67.529822999999851</v>
      </c>
      <c r="V44" s="484">
        <v>67.529822999999851</v>
      </c>
      <c r="W44" s="484">
        <v>67.529822999999851</v>
      </c>
      <c r="X44" s="484">
        <v>67.529822999999851</v>
      </c>
      <c r="Y44" s="484">
        <v>67.529822999999851</v>
      </c>
      <c r="Z44" s="484">
        <v>67.529822999999851</v>
      </c>
      <c r="AA44" s="484">
        <v>67.529822999999851</v>
      </c>
      <c r="AB44" s="484">
        <v>67.529822999999851</v>
      </c>
      <c r="AC44" s="484">
        <v>67.529822999999851</v>
      </c>
      <c r="AD44" s="484">
        <v>67.532818000000134</v>
      </c>
      <c r="AE44" s="484">
        <v>67.532818000000134</v>
      </c>
      <c r="AF44" s="484">
        <v>67.542648999999983</v>
      </c>
      <c r="AG44" s="484">
        <v>67.532818000000006</v>
      </c>
      <c r="AH44" s="484">
        <v>67.532818000000006</v>
      </c>
      <c r="AI44" s="484">
        <v>67.542487999999921</v>
      </c>
      <c r="AJ44" s="484">
        <v>67.539493000000093</v>
      </c>
      <c r="AK44" s="484">
        <v>67.539493000000093</v>
      </c>
      <c r="AL44" s="484">
        <v>67.539493000000093</v>
      </c>
      <c r="AM44" s="484">
        <v>67.539493000000093</v>
      </c>
      <c r="AN44" s="484">
        <v>67.53949300000022</v>
      </c>
      <c r="AO44" s="485">
        <v>67.53949300000022</v>
      </c>
      <c r="AP44" s="485">
        <v>67.539492999999766</v>
      </c>
      <c r="AQ44" s="485">
        <v>67.539492999999766</v>
      </c>
      <c r="AR44" s="485">
        <v>67.53949300000022</v>
      </c>
      <c r="AS44" s="485">
        <v>67.53949300000022</v>
      </c>
      <c r="AT44" s="485">
        <v>67.53949300000022</v>
      </c>
      <c r="AU44" s="485">
        <v>67.53949300000022</v>
      </c>
      <c r="AV44" s="485">
        <v>67.539492999999766</v>
      </c>
      <c r="AW44" s="485">
        <v>67.539492999999766</v>
      </c>
      <c r="AX44" s="485">
        <v>67.53949300000022</v>
      </c>
      <c r="AY44" s="485">
        <v>67.53949300000022</v>
      </c>
      <c r="AZ44" s="485">
        <v>64.790993000000043</v>
      </c>
      <c r="BA44" s="485">
        <v>64.790993000000043</v>
      </c>
      <c r="BB44" s="485">
        <v>58.063492999999994</v>
      </c>
      <c r="BC44" s="485">
        <v>58.063492999999994</v>
      </c>
      <c r="BD44" s="485">
        <v>58.063492999999994</v>
      </c>
      <c r="BE44" s="485">
        <v>58.063492999999994</v>
      </c>
      <c r="BF44" s="485">
        <v>58.063492999999994</v>
      </c>
      <c r="BG44" s="485">
        <v>58.063492999999994</v>
      </c>
      <c r="BH44" s="485">
        <v>58.063492999999994</v>
      </c>
      <c r="BI44" s="485">
        <v>58.063492999999994</v>
      </c>
      <c r="BJ44" s="485">
        <v>58.063492999999994</v>
      </c>
      <c r="BK44" s="485">
        <v>58.063493000000221</v>
      </c>
      <c r="BL44" s="485">
        <v>58.063492999999653</v>
      </c>
      <c r="BM44" s="485">
        <v>58.063493000000562</v>
      </c>
      <c r="BN44" s="485">
        <v>58.063492999999653</v>
      </c>
      <c r="BO44" s="485">
        <v>58.063492999998743</v>
      </c>
      <c r="BP44" s="485">
        <v>58.063492999998743</v>
      </c>
      <c r="BQ44" s="485">
        <v>58.063492999998743</v>
      </c>
      <c r="BR44" s="485">
        <v>58.063492999998743</v>
      </c>
      <c r="BS44" s="485">
        <v>58.063493000000562</v>
      </c>
      <c r="BT44" s="485">
        <v>58.063492999998743</v>
      </c>
      <c r="BU44" s="485">
        <v>58.063492999998743</v>
      </c>
      <c r="BV44" s="485">
        <v>58.063492999998743</v>
      </c>
      <c r="BW44" s="485">
        <v>58.063492999998743</v>
      </c>
      <c r="BX44" s="485">
        <v>58.063492999999653</v>
      </c>
      <c r="BY44" s="485">
        <v>58.063492999999653</v>
      </c>
      <c r="BZ44" s="485">
        <v>58.063492999999653</v>
      </c>
    </row>
    <row r="45" spans="1:78" ht="16.5" customHeight="1" x14ac:dyDescent="0.25">
      <c r="A45" s="481" t="s">
        <v>443</v>
      </c>
      <c r="B45" s="482" t="s">
        <v>438</v>
      </c>
      <c r="C45" s="484">
        <v>0</v>
      </c>
      <c r="D45" s="484">
        <v>0</v>
      </c>
      <c r="E45" s="484">
        <v>3000</v>
      </c>
      <c r="F45" s="484">
        <v>1700</v>
      </c>
      <c r="G45" s="484">
        <v>0</v>
      </c>
      <c r="H45" s="484">
        <v>2000</v>
      </c>
      <c r="I45" s="484">
        <v>0</v>
      </c>
      <c r="J45" s="484">
        <v>0</v>
      </c>
      <c r="K45" s="484">
        <v>0</v>
      </c>
      <c r="L45" s="484">
        <v>0</v>
      </c>
      <c r="M45" s="484">
        <v>0</v>
      </c>
      <c r="N45" s="484">
        <v>0</v>
      </c>
      <c r="O45" s="484">
        <v>0</v>
      </c>
      <c r="P45" s="484">
        <v>0</v>
      </c>
      <c r="Q45" s="484">
        <v>0</v>
      </c>
      <c r="R45" s="484">
        <v>0</v>
      </c>
      <c r="S45" s="484">
        <v>0</v>
      </c>
      <c r="T45" s="484">
        <v>0</v>
      </c>
      <c r="U45" s="484">
        <v>0</v>
      </c>
      <c r="V45" s="484">
        <v>0</v>
      </c>
      <c r="W45" s="484">
        <v>0</v>
      </c>
      <c r="X45" s="484">
        <v>0</v>
      </c>
      <c r="Y45" s="484">
        <v>0</v>
      </c>
      <c r="Z45" s="484">
        <v>0</v>
      </c>
      <c r="AA45" s="484">
        <v>0</v>
      </c>
      <c r="AB45" s="484">
        <v>0</v>
      </c>
      <c r="AC45" s="484">
        <v>0</v>
      </c>
      <c r="AD45" s="484">
        <v>0</v>
      </c>
      <c r="AE45" s="484">
        <v>0</v>
      </c>
      <c r="AF45" s="484">
        <v>0</v>
      </c>
      <c r="AG45" s="484">
        <v>3.5150000000000001</v>
      </c>
      <c r="AH45" s="484">
        <v>3.5150000000000001</v>
      </c>
      <c r="AI45" s="484">
        <v>3.5150000000000001</v>
      </c>
      <c r="AJ45" s="484">
        <v>3.5150000000000001</v>
      </c>
      <c r="AK45" s="484">
        <v>3.5150000000000001</v>
      </c>
      <c r="AL45" s="484">
        <v>3.5150000000000001</v>
      </c>
      <c r="AM45" s="484">
        <v>3.5150000000000001</v>
      </c>
      <c r="AN45" s="484">
        <v>0</v>
      </c>
      <c r="AO45" s="485">
        <v>0</v>
      </c>
      <c r="AP45" s="485">
        <v>0</v>
      </c>
      <c r="AQ45" s="485">
        <v>0</v>
      </c>
      <c r="AR45" s="485">
        <v>0</v>
      </c>
      <c r="AS45" s="485">
        <v>0</v>
      </c>
      <c r="AT45" s="485">
        <v>0</v>
      </c>
      <c r="AU45" s="485">
        <v>0</v>
      </c>
      <c r="AV45" s="485">
        <v>0</v>
      </c>
      <c r="AW45" s="485">
        <v>0</v>
      </c>
      <c r="AX45" s="485">
        <v>0</v>
      </c>
      <c r="AY45" s="485">
        <v>0</v>
      </c>
      <c r="AZ45" s="485">
        <v>107.143967</v>
      </c>
      <c r="BA45" s="485">
        <v>107.143967</v>
      </c>
      <c r="BB45" s="485">
        <v>110.743967</v>
      </c>
      <c r="BC45" s="485">
        <v>110.743967</v>
      </c>
      <c r="BD45" s="485">
        <v>110.743967</v>
      </c>
      <c r="BE45" s="485">
        <v>110.743967</v>
      </c>
      <c r="BF45" s="485">
        <v>110.743967</v>
      </c>
      <c r="BG45" s="485">
        <v>110.743967</v>
      </c>
      <c r="BH45" s="485">
        <v>110.743967</v>
      </c>
      <c r="BI45" s="485">
        <v>110.743967</v>
      </c>
      <c r="BJ45" s="485">
        <v>110.743967</v>
      </c>
      <c r="BK45" s="485">
        <v>672.12896699999999</v>
      </c>
      <c r="BL45" s="485">
        <v>1420.1289670000001</v>
      </c>
      <c r="BM45" s="485">
        <v>2530.1989669999998</v>
      </c>
      <c r="BN45" s="485">
        <v>2530.1989669999998</v>
      </c>
      <c r="BO45" s="485">
        <v>4521.643967</v>
      </c>
      <c r="BP45" s="485">
        <v>5499.643967</v>
      </c>
      <c r="BQ45" s="485">
        <v>5749.643967</v>
      </c>
      <c r="BR45" s="485">
        <v>5992.1999669999996</v>
      </c>
      <c r="BS45" s="485">
        <v>6595.6999669999996</v>
      </c>
      <c r="BT45" s="485">
        <v>7295.6999669999996</v>
      </c>
      <c r="BU45" s="485">
        <v>7395.6999669999996</v>
      </c>
      <c r="BV45" s="485">
        <v>7395.6999669999996</v>
      </c>
      <c r="BW45" s="485">
        <v>7872.0149670000001</v>
      </c>
      <c r="BX45" s="485">
        <v>8252.3649669999995</v>
      </c>
      <c r="BY45" s="485">
        <v>8102.2949669999998</v>
      </c>
      <c r="BZ45" s="485">
        <v>8102.2949669999998</v>
      </c>
    </row>
    <row r="46" spans="1:78" ht="16.5" customHeight="1" x14ac:dyDescent="0.25">
      <c r="A46" s="481"/>
      <c r="B46" s="482"/>
      <c r="C46" s="483"/>
      <c r="D46" s="483"/>
      <c r="E46" s="483"/>
      <c r="F46" s="483"/>
      <c r="G46" s="483"/>
      <c r="H46" s="483"/>
      <c r="I46" s="483"/>
      <c r="J46" s="483"/>
      <c r="K46" s="483"/>
      <c r="L46" s="48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K46" s="483"/>
      <c r="AL46" s="483"/>
      <c r="AM46" s="483"/>
      <c r="AN46" s="483"/>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row>
    <row r="47" spans="1:78" ht="16.5" customHeight="1" x14ac:dyDescent="0.25">
      <c r="A47" s="477" t="s">
        <v>444</v>
      </c>
      <c r="B47" s="478" t="s">
        <v>445</v>
      </c>
      <c r="C47" s="479">
        <v>0</v>
      </c>
      <c r="D47" s="479">
        <v>0</v>
      </c>
      <c r="E47" s="479">
        <v>0</v>
      </c>
      <c r="F47" s="479">
        <v>0</v>
      </c>
      <c r="G47" s="479">
        <v>0</v>
      </c>
      <c r="H47" s="479">
        <v>0</v>
      </c>
      <c r="I47" s="479">
        <v>0</v>
      </c>
      <c r="J47" s="479">
        <v>303.74899999999991</v>
      </c>
      <c r="K47" s="479">
        <v>502.16046600000004</v>
      </c>
      <c r="L47" s="479">
        <v>502.16046600000004</v>
      </c>
      <c r="M47" s="479">
        <v>502.16046600000004</v>
      </c>
      <c r="N47" s="479">
        <v>477.37821600000007</v>
      </c>
      <c r="O47" s="479">
        <v>522.35433200000011</v>
      </c>
      <c r="P47" s="479">
        <v>563.02008699999988</v>
      </c>
      <c r="Q47" s="479">
        <v>709.01456599999983</v>
      </c>
      <c r="R47" s="479">
        <v>760.30179399999975</v>
      </c>
      <c r="S47" s="479">
        <v>957.91281299999991</v>
      </c>
      <c r="T47" s="479">
        <v>1111.7664229999998</v>
      </c>
      <c r="U47" s="479">
        <v>1421.1139969999999</v>
      </c>
      <c r="V47" s="479">
        <v>1345.9546740000001</v>
      </c>
      <c r="W47" s="479">
        <v>1097.4000299999998</v>
      </c>
      <c r="X47" s="479">
        <v>1147.5015679999997</v>
      </c>
      <c r="Y47" s="479">
        <v>1074.3758809999999</v>
      </c>
      <c r="Z47" s="479">
        <v>973.89911399999983</v>
      </c>
      <c r="AA47" s="479">
        <v>987.01167250000026</v>
      </c>
      <c r="AB47" s="479">
        <v>987.61469880999994</v>
      </c>
      <c r="AC47" s="479">
        <v>987.90412218000029</v>
      </c>
      <c r="AD47" s="479">
        <v>964.24856999999986</v>
      </c>
      <c r="AE47" s="479">
        <v>815.01807333999989</v>
      </c>
      <c r="AF47" s="479">
        <v>829.00589168999988</v>
      </c>
      <c r="AG47" s="479">
        <v>879.56600669000034</v>
      </c>
      <c r="AH47" s="479">
        <v>783.56822769379312</v>
      </c>
      <c r="AI47" s="479">
        <v>728.4015081</v>
      </c>
      <c r="AJ47" s="479">
        <v>626.68072635999999</v>
      </c>
      <c r="AK47" s="479">
        <v>702.04092421000007</v>
      </c>
      <c r="AL47" s="479">
        <v>860.31270639999991</v>
      </c>
      <c r="AM47" s="479">
        <v>1136.02626151</v>
      </c>
      <c r="AN47" s="479">
        <v>1214.9587380400001</v>
      </c>
      <c r="AO47" s="480">
        <v>2300.1123070199992</v>
      </c>
      <c r="AP47" s="480">
        <v>2583.8162419999999</v>
      </c>
      <c r="AQ47" s="480">
        <v>2828.7816888536649</v>
      </c>
      <c r="AR47" s="480">
        <v>2783.8348632041857</v>
      </c>
      <c r="AS47" s="480">
        <v>2614.354993311681</v>
      </c>
      <c r="AT47" s="480">
        <v>2994.8673294889336</v>
      </c>
      <c r="AU47" s="480">
        <v>2660.8722954435084</v>
      </c>
      <c r="AV47" s="480">
        <v>2610.2756306442334</v>
      </c>
      <c r="AW47" s="480">
        <v>2571.964406937097</v>
      </c>
      <c r="AX47" s="480">
        <v>1818.6549297441982</v>
      </c>
      <c r="AY47" s="480">
        <v>1566.6874621341976</v>
      </c>
      <c r="AZ47" s="480">
        <v>1518.7520036264834</v>
      </c>
      <c r="BA47" s="480">
        <v>1626.8607322698992</v>
      </c>
      <c r="BB47" s="480">
        <v>1542.129128801779</v>
      </c>
      <c r="BC47" s="480">
        <v>1945.7750698424302</v>
      </c>
      <c r="BD47" s="480">
        <v>1906.2233462202012</v>
      </c>
      <c r="BE47" s="480">
        <v>1931.966328434846</v>
      </c>
      <c r="BF47" s="480">
        <v>1845.619172527418</v>
      </c>
      <c r="BG47" s="480">
        <v>1813.8576627535981</v>
      </c>
      <c r="BH47" s="480">
        <v>1809.8412517385532</v>
      </c>
      <c r="BI47" s="480">
        <v>1933.8905259506596</v>
      </c>
      <c r="BJ47" s="480">
        <v>1977.8356894148478</v>
      </c>
      <c r="BK47" s="480">
        <v>3104.4042453554771</v>
      </c>
      <c r="BL47" s="480">
        <v>3130.5526144907531</v>
      </c>
      <c r="BM47" s="480">
        <v>3028.5484233272427</v>
      </c>
      <c r="BN47" s="480">
        <v>2193.1226852449554</v>
      </c>
      <c r="BO47" s="480">
        <v>2056.4769072711374</v>
      </c>
      <c r="BP47" s="480">
        <v>1994.7740961039547</v>
      </c>
      <c r="BQ47" s="480">
        <v>2292.4223185635105</v>
      </c>
      <c r="BR47" s="480">
        <v>2822.8377000452147</v>
      </c>
      <c r="BS47" s="480">
        <v>2768.742620551197</v>
      </c>
      <c r="BT47" s="480">
        <v>2615.7408358037405</v>
      </c>
      <c r="BU47" s="480">
        <v>2820.2200533702671</v>
      </c>
      <c r="BV47" s="480">
        <v>3023.7572276985466</v>
      </c>
      <c r="BW47" s="480">
        <v>2943.8292142852647</v>
      </c>
      <c r="BX47" s="480">
        <v>3494.0050491976053</v>
      </c>
      <c r="BY47" s="480">
        <v>3737.6449013561714</v>
      </c>
      <c r="BZ47" s="480">
        <v>3818.8879124726454</v>
      </c>
    </row>
    <row r="48" spans="1:78" ht="16.5" customHeight="1" x14ac:dyDescent="0.25">
      <c r="A48" s="481"/>
      <c r="B48" s="482"/>
      <c r="C48" s="483"/>
      <c r="D48" s="483"/>
      <c r="E48" s="483"/>
      <c r="F48" s="483"/>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row>
    <row r="49" spans="1:78" ht="16.5" customHeight="1" x14ac:dyDescent="0.25">
      <c r="A49" s="477" t="s">
        <v>446</v>
      </c>
      <c r="B49" s="478" t="s">
        <v>447</v>
      </c>
      <c r="C49" s="479">
        <v>0.97697899999999993</v>
      </c>
      <c r="D49" s="479">
        <v>0.97697899999999993</v>
      </c>
      <c r="E49" s="479">
        <v>0.97697899999999993</v>
      </c>
      <c r="F49" s="479">
        <v>0.97697899999999993</v>
      </c>
      <c r="G49" s="479">
        <v>700.304979</v>
      </c>
      <c r="H49" s="479">
        <v>0.97697899999999993</v>
      </c>
      <c r="I49" s="479">
        <v>0.97697899999999993</v>
      </c>
      <c r="J49" s="479">
        <v>1949.5115290000001</v>
      </c>
      <c r="K49" s="479">
        <v>6727.3778899999998</v>
      </c>
      <c r="L49" s="479">
        <v>6727.3778899999998</v>
      </c>
      <c r="M49" s="479">
        <v>6727.3778899999998</v>
      </c>
      <c r="N49" s="479">
        <v>5101.1285029999999</v>
      </c>
      <c r="O49" s="479">
        <v>5899.3738249999997</v>
      </c>
      <c r="P49" s="479">
        <v>7178.258124</v>
      </c>
      <c r="Q49" s="479">
        <v>6962.9102419999999</v>
      </c>
      <c r="R49" s="479">
        <v>7176.5287470000003</v>
      </c>
      <c r="S49" s="479">
        <v>8050.2318850000011</v>
      </c>
      <c r="T49" s="479">
        <v>9350.0623379999997</v>
      </c>
      <c r="U49" s="479">
        <v>10061.164205000001</v>
      </c>
      <c r="V49" s="479">
        <v>9783.8574340000014</v>
      </c>
      <c r="W49" s="479">
        <v>8884.4224610000001</v>
      </c>
      <c r="X49" s="479">
        <v>8906.7630180000015</v>
      </c>
      <c r="Y49" s="479">
        <v>8989.1163437203486</v>
      </c>
      <c r="Z49" s="479">
        <v>7621.8026020000007</v>
      </c>
      <c r="AA49" s="479">
        <v>8098.1933754899992</v>
      </c>
      <c r="AB49" s="479">
        <v>8103.3600904899986</v>
      </c>
      <c r="AC49" s="479">
        <v>7987.70630239</v>
      </c>
      <c r="AD49" s="479">
        <v>7666.8660758100004</v>
      </c>
      <c r="AE49" s="479">
        <v>7059.1474340511413</v>
      </c>
      <c r="AF49" s="479">
        <v>6924.8333079799986</v>
      </c>
      <c r="AG49" s="479">
        <v>6810.575498449999</v>
      </c>
      <c r="AH49" s="479">
        <v>5899.4714549999999</v>
      </c>
      <c r="AI49" s="479">
        <v>5548.3711433400003</v>
      </c>
      <c r="AJ49" s="479">
        <v>5151.53506191</v>
      </c>
      <c r="AK49" s="479">
        <v>5432.9948068099993</v>
      </c>
      <c r="AL49" s="479">
        <v>5650.9292838000001</v>
      </c>
      <c r="AM49" s="479">
        <v>8292.3251740800006</v>
      </c>
      <c r="AN49" s="479">
        <v>8229.7347259200014</v>
      </c>
      <c r="AO49" s="480">
        <v>10911.038199100001</v>
      </c>
      <c r="AP49" s="480">
        <v>12400.236332000002</v>
      </c>
      <c r="AQ49" s="480">
        <v>14397.987373506336</v>
      </c>
      <c r="AR49" s="480">
        <v>15073.430049965815</v>
      </c>
      <c r="AS49" s="480">
        <v>14639.647727208319</v>
      </c>
      <c r="AT49" s="480">
        <v>16841.729297471069</v>
      </c>
      <c r="AU49" s="480">
        <v>16527.854840426491</v>
      </c>
      <c r="AV49" s="480">
        <v>16256.050535835768</v>
      </c>
      <c r="AW49" s="480">
        <v>16006.596918962901</v>
      </c>
      <c r="AX49" s="480">
        <v>14816.341808295803</v>
      </c>
      <c r="AY49" s="480">
        <v>15805.867442425804</v>
      </c>
      <c r="AZ49" s="480">
        <v>16853.601829623516</v>
      </c>
      <c r="BA49" s="480">
        <v>19037.1664735501</v>
      </c>
      <c r="BB49" s="480">
        <v>19558.669342488218</v>
      </c>
      <c r="BC49" s="480">
        <v>21690.958455277567</v>
      </c>
      <c r="BD49" s="480">
        <v>21769.819955249801</v>
      </c>
      <c r="BE49" s="480">
        <v>20515.969835745153</v>
      </c>
      <c r="BF49" s="480">
        <v>18707.384725992579</v>
      </c>
      <c r="BG49" s="480">
        <v>17194.662906816404</v>
      </c>
      <c r="BH49" s="480">
        <v>17534.395552451446</v>
      </c>
      <c r="BI49" s="480">
        <v>21430.804232799339</v>
      </c>
      <c r="BJ49" s="480">
        <v>21819.989235755154</v>
      </c>
      <c r="BK49" s="480">
        <v>18820.833436914523</v>
      </c>
      <c r="BL49" s="480">
        <v>17561.064038939247</v>
      </c>
      <c r="BM49" s="480">
        <v>16093.248044462756</v>
      </c>
      <c r="BN49" s="480">
        <v>16303.566108505043</v>
      </c>
      <c r="BO49" s="480">
        <v>20072.59277831886</v>
      </c>
      <c r="BP49" s="480">
        <v>24761.408888216043</v>
      </c>
      <c r="BQ49" s="480">
        <v>26468.822463576485</v>
      </c>
      <c r="BR49" s="480">
        <v>29083.29511164478</v>
      </c>
      <c r="BS49" s="480">
        <v>28252.173220278808</v>
      </c>
      <c r="BT49" s="480">
        <v>27482.686239086255</v>
      </c>
      <c r="BU49" s="480">
        <v>26705.459534849728</v>
      </c>
      <c r="BV49" s="480">
        <v>26211.022620811455</v>
      </c>
      <c r="BW49" s="480">
        <v>27696.718761614735</v>
      </c>
      <c r="BX49" s="480">
        <v>28651.598215942391</v>
      </c>
      <c r="BY49" s="480">
        <v>30398.692709023828</v>
      </c>
      <c r="BZ49" s="480">
        <v>30329.007969927352</v>
      </c>
    </row>
    <row r="50" spans="1:78" ht="16.5" customHeight="1" x14ac:dyDescent="0.25">
      <c r="A50" s="481"/>
      <c r="B50" s="482"/>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c r="BY50" s="476"/>
      <c r="BZ50" s="476"/>
    </row>
    <row r="51" spans="1:78" ht="16.5" customHeight="1" x14ac:dyDescent="0.25">
      <c r="A51" s="477" t="s">
        <v>448</v>
      </c>
      <c r="B51" s="478" t="s">
        <v>200</v>
      </c>
      <c r="C51" s="479">
        <v>0</v>
      </c>
      <c r="D51" s="479">
        <v>0</v>
      </c>
      <c r="E51" s="479">
        <v>0</v>
      </c>
      <c r="F51" s="479">
        <v>0</v>
      </c>
      <c r="G51" s="479">
        <v>0</v>
      </c>
      <c r="H51" s="479">
        <v>0</v>
      </c>
      <c r="I51" s="479">
        <v>0</v>
      </c>
      <c r="J51" s="479">
        <v>0</v>
      </c>
      <c r="K51" s="479">
        <v>0</v>
      </c>
      <c r="L51" s="479">
        <v>0</v>
      </c>
      <c r="M51" s="479">
        <v>0</v>
      </c>
      <c r="N51" s="479">
        <v>0</v>
      </c>
      <c r="O51" s="479">
        <v>0</v>
      </c>
      <c r="P51" s="479">
        <v>0</v>
      </c>
      <c r="Q51" s="479">
        <v>0</v>
      </c>
      <c r="R51" s="479">
        <v>0</v>
      </c>
      <c r="S51" s="479">
        <v>0</v>
      </c>
      <c r="T51" s="479">
        <v>0</v>
      </c>
      <c r="U51" s="479">
        <v>0</v>
      </c>
      <c r="V51" s="479">
        <v>0</v>
      </c>
      <c r="W51" s="479">
        <v>0</v>
      </c>
      <c r="X51" s="479">
        <v>0</v>
      </c>
      <c r="Y51" s="479">
        <v>0</v>
      </c>
      <c r="Z51" s="479">
        <v>0</v>
      </c>
      <c r="AA51" s="479">
        <v>0</v>
      </c>
      <c r="AB51" s="479">
        <v>0</v>
      </c>
      <c r="AC51" s="479">
        <v>0</v>
      </c>
      <c r="AD51" s="479">
        <v>0</v>
      </c>
      <c r="AE51" s="479">
        <v>0</v>
      </c>
      <c r="AF51" s="479">
        <v>0</v>
      </c>
      <c r="AG51" s="479">
        <v>0</v>
      </c>
      <c r="AH51" s="479">
        <v>0</v>
      </c>
      <c r="AI51" s="479">
        <v>0</v>
      </c>
      <c r="AJ51" s="479">
        <v>0</v>
      </c>
      <c r="AK51" s="479">
        <v>0</v>
      </c>
      <c r="AL51" s="479">
        <v>0</v>
      </c>
      <c r="AM51" s="479">
        <v>0</v>
      </c>
      <c r="AN51" s="479">
        <v>0</v>
      </c>
      <c r="AO51" s="480">
        <v>0</v>
      </c>
      <c r="AP51" s="480">
        <v>0</v>
      </c>
      <c r="AQ51" s="480">
        <v>0</v>
      </c>
      <c r="AR51" s="480">
        <v>0</v>
      </c>
      <c r="AS51" s="480">
        <v>0</v>
      </c>
      <c r="AT51" s="480">
        <v>0</v>
      </c>
      <c r="AU51" s="480">
        <v>0</v>
      </c>
      <c r="AV51" s="480">
        <v>0</v>
      </c>
      <c r="AW51" s="480">
        <v>0</v>
      </c>
      <c r="AX51" s="480">
        <v>0</v>
      </c>
      <c r="AY51" s="480">
        <v>900</v>
      </c>
      <c r="AZ51" s="480">
        <v>0</v>
      </c>
      <c r="BA51" s="480">
        <v>0</v>
      </c>
      <c r="BB51" s="480">
        <v>0</v>
      </c>
      <c r="BC51" s="480">
        <v>0</v>
      </c>
      <c r="BD51" s="480">
        <v>0</v>
      </c>
      <c r="BE51" s="480">
        <v>0</v>
      </c>
      <c r="BF51" s="480">
        <v>0</v>
      </c>
      <c r="BG51" s="480">
        <v>0</v>
      </c>
      <c r="BH51" s="480">
        <v>0</v>
      </c>
      <c r="BI51" s="480">
        <v>0</v>
      </c>
      <c r="BJ51" s="480">
        <v>0</v>
      </c>
      <c r="BK51" s="480">
        <v>0</v>
      </c>
      <c r="BL51" s="480">
        <v>0</v>
      </c>
      <c r="BM51" s="480">
        <v>0</v>
      </c>
      <c r="BN51" s="480">
        <v>0</v>
      </c>
      <c r="BO51" s="480">
        <v>0</v>
      </c>
      <c r="BP51" s="480">
        <v>0</v>
      </c>
      <c r="BQ51" s="480">
        <v>0</v>
      </c>
      <c r="BR51" s="480">
        <v>0</v>
      </c>
      <c r="BS51" s="480">
        <v>0</v>
      </c>
      <c r="BT51" s="480">
        <v>0</v>
      </c>
      <c r="BU51" s="480">
        <v>0</v>
      </c>
      <c r="BV51" s="480">
        <v>0</v>
      </c>
      <c r="BW51" s="480">
        <v>0</v>
      </c>
      <c r="BX51" s="480">
        <v>0</v>
      </c>
      <c r="BY51" s="480">
        <v>0</v>
      </c>
      <c r="BZ51" s="480">
        <v>0</v>
      </c>
    </row>
    <row r="52" spans="1:78" ht="16.5" customHeight="1" x14ac:dyDescent="0.25">
      <c r="A52" s="481"/>
      <c r="B52" s="504"/>
      <c r="C52" s="483"/>
      <c r="D52" s="483"/>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3"/>
      <c r="AN52" s="483"/>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476"/>
      <c r="BO52" s="476"/>
      <c r="BP52" s="476"/>
      <c r="BQ52" s="476"/>
      <c r="BR52" s="476"/>
      <c r="BS52" s="476"/>
      <c r="BT52" s="476"/>
      <c r="BU52" s="476"/>
      <c r="BV52" s="476"/>
      <c r="BW52" s="476"/>
      <c r="BX52" s="476"/>
      <c r="BY52" s="476"/>
      <c r="BZ52" s="476"/>
    </row>
    <row r="53" spans="1:78" ht="16.5" customHeight="1" x14ac:dyDescent="0.25">
      <c r="A53" s="477" t="s">
        <v>449</v>
      </c>
      <c r="B53" s="478" t="s">
        <v>420</v>
      </c>
      <c r="C53" s="479">
        <v>0</v>
      </c>
      <c r="D53" s="479">
        <v>0</v>
      </c>
      <c r="E53" s="479">
        <v>0</v>
      </c>
      <c r="F53" s="479">
        <v>0</v>
      </c>
      <c r="G53" s="479">
        <v>0</v>
      </c>
      <c r="H53" s="479">
        <v>0</v>
      </c>
      <c r="I53" s="479">
        <v>0</v>
      </c>
      <c r="J53" s="479">
        <v>0</v>
      </c>
      <c r="K53" s="479">
        <v>0</v>
      </c>
      <c r="L53" s="479">
        <v>0</v>
      </c>
      <c r="M53" s="479">
        <v>0</v>
      </c>
      <c r="N53" s="479">
        <v>0</v>
      </c>
      <c r="O53" s="479">
        <v>0</v>
      </c>
      <c r="P53" s="479">
        <v>0</v>
      </c>
      <c r="Q53" s="479">
        <v>0</v>
      </c>
      <c r="R53" s="479">
        <v>0</v>
      </c>
      <c r="S53" s="479">
        <v>0</v>
      </c>
      <c r="T53" s="479">
        <v>0</v>
      </c>
      <c r="U53" s="479">
        <v>0</v>
      </c>
      <c r="V53" s="479">
        <v>0</v>
      </c>
      <c r="W53" s="479">
        <v>0</v>
      </c>
      <c r="X53" s="479">
        <v>0</v>
      </c>
      <c r="Y53" s="479">
        <v>0</v>
      </c>
      <c r="Z53" s="479">
        <v>0</v>
      </c>
      <c r="AA53" s="479">
        <v>0</v>
      </c>
      <c r="AB53" s="479">
        <v>0</v>
      </c>
      <c r="AC53" s="479">
        <v>0</v>
      </c>
      <c r="AD53" s="479">
        <v>0</v>
      </c>
      <c r="AE53" s="479">
        <v>0</v>
      </c>
      <c r="AF53" s="479">
        <v>0</v>
      </c>
      <c r="AG53" s="479">
        <v>0</v>
      </c>
      <c r="AH53" s="479">
        <v>0</v>
      </c>
      <c r="AI53" s="479">
        <v>0</v>
      </c>
      <c r="AJ53" s="479">
        <v>0</v>
      </c>
      <c r="AK53" s="479">
        <v>0</v>
      </c>
      <c r="AL53" s="479">
        <v>0</v>
      </c>
      <c r="AM53" s="479">
        <v>0</v>
      </c>
      <c r="AN53" s="479">
        <v>0</v>
      </c>
      <c r="AO53" s="480">
        <v>0</v>
      </c>
      <c r="AP53" s="480">
        <v>0</v>
      </c>
      <c r="AQ53" s="480">
        <v>0</v>
      </c>
      <c r="AR53" s="480">
        <v>0</v>
      </c>
      <c r="AS53" s="480">
        <v>0</v>
      </c>
      <c r="AT53" s="480">
        <v>0</v>
      </c>
      <c r="AU53" s="480">
        <v>0</v>
      </c>
      <c r="AV53" s="480">
        <v>0</v>
      </c>
      <c r="AW53" s="480">
        <v>0</v>
      </c>
      <c r="AX53" s="480">
        <v>0</v>
      </c>
      <c r="AY53" s="480">
        <v>0</v>
      </c>
      <c r="AZ53" s="480">
        <v>0</v>
      </c>
      <c r="BA53" s="480">
        <v>0</v>
      </c>
      <c r="BB53" s="480">
        <v>0</v>
      </c>
      <c r="BC53" s="480">
        <v>0</v>
      </c>
      <c r="BD53" s="480">
        <v>0</v>
      </c>
      <c r="BE53" s="480">
        <v>0</v>
      </c>
      <c r="BF53" s="480">
        <v>0</v>
      </c>
      <c r="BG53" s="480">
        <v>0</v>
      </c>
      <c r="BH53" s="480">
        <v>0</v>
      </c>
      <c r="BI53" s="480">
        <v>0</v>
      </c>
      <c r="BJ53" s="480">
        <v>0</v>
      </c>
      <c r="BK53" s="480">
        <v>0</v>
      </c>
      <c r="BL53" s="480">
        <v>0</v>
      </c>
      <c r="BM53" s="480">
        <v>0</v>
      </c>
      <c r="BN53" s="480">
        <v>0</v>
      </c>
      <c r="BO53" s="480">
        <v>0</v>
      </c>
      <c r="BP53" s="480">
        <v>0</v>
      </c>
      <c r="BQ53" s="480">
        <v>0</v>
      </c>
      <c r="BR53" s="480">
        <v>0</v>
      </c>
      <c r="BS53" s="480">
        <v>0</v>
      </c>
      <c r="BT53" s="480">
        <v>0</v>
      </c>
      <c r="BU53" s="480">
        <v>0</v>
      </c>
      <c r="BV53" s="480">
        <v>0</v>
      </c>
      <c r="BW53" s="480">
        <v>0</v>
      </c>
      <c r="BX53" s="480">
        <v>0</v>
      </c>
      <c r="BY53" s="480">
        <v>0</v>
      </c>
      <c r="BZ53" s="480">
        <v>0</v>
      </c>
    </row>
    <row r="54" spans="1:78" ht="16.5" customHeight="1" x14ac:dyDescent="0.25">
      <c r="A54" s="481"/>
      <c r="B54" s="482"/>
      <c r="C54" s="483"/>
      <c r="D54" s="483"/>
      <c r="E54" s="483"/>
      <c r="F54" s="483"/>
      <c r="G54" s="483"/>
      <c r="H54" s="483"/>
      <c r="I54" s="483"/>
      <c r="J54" s="483"/>
      <c r="K54" s="483"/>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83"/>
      <c r="AK54" s="483"/>
      <c r="AL54" s="483"/>
      <c r="AM54" s="483"/>
      <c r="AN54" s="483"/>
      <c r="AO54" s="476"/>
      <c r="AP54" s="476"/>
      <c r="AQ54" s="476"/>
      <c r="AR54" s="476"/>
      <c r="AS54" s="476"/>
      <c r="AT54" s="476"/>
      <c r="AU54" s="476"/>
      <c r="AV54" s="476"/>
      <c r="AW54" s="476"/>
      <c r="AX54" s="476"/>
      <c r="AY54" s="476"/>
      <c r="AZ54" s="476"/>
      <c r="BA54" s="476"/>
      <c r="BB54" s="476"/>
      <c r="BC54" s="476"/>
      <c r="BD54" s="476"/>
      <c r="BE54" s="476"/>
      <c r="BF54" s="476"/>
      <c r="BG54" s="476"/>
      <c r="BH54" s="476"/>
      <c r="BI54" s="476"/>
      <c r="BJ54" s="476"/>
      <c r="BK54" s="476"/>
      <c r="BL54" s="476"/>
      <c r="BM54" s="476"/>
      <c r="BN54" s="476"/>
      <c r="BO54" s="476"/>
      <c r="BP54" s="476"/>
      <c r="BQ54" s="476"/>
      <c r="BR54" s="476"/>
      <c r="BS54" s="476"/>
      <c r="BT54" s="476"/>
      <c r="BU54" s="476"/>
      <c r="BV54" s="476"/>
      <c r="BW54" s="476"/>
      <c r="BX54" s="476"/>
      <c r="BY54" s="476"/>
      <c r="BZ54" s="476"/>
    </row>
    <row r="55" spans="1:78" ht="16.5" customHeight="1" x14ac:dyDescent="0.25">
      <c r="A55" s="477" t="s">
        <v>450</v>
      </c>
      <c r="B55" s="478" t="s">
        <v>422</v>
      </c>
      <c r="C55" s="479">
        <v>0</v>
      </c>
      <c r="D55" s="479">
        <v>0</v>
      </c>
      <c r="E55" s="479">
        <v>0</v>
      </c>
      <c r="F55" s="479">
        <v>0</v>
      </c>
      <c r="G55" s="479">
        <v>0</v>
      </c>
      <c r="H55" s="479">
        <v>0</v>
      </c>
      <c r="I55" s="479">
        <v>0</v>
      </c>
      <c r="J55" s="479">
        <v>0</v>
      </c>
      <c r="K55" s="479">
        <v>0</v>
      </c>
      <c r="L55" s="479">
        <v>0</v>
      </c>
      <c r="M55" s="479">
        <v>0</v>
      </c>
      <c r="N55" s="479">
        <v>0</v>
      </c>
      <c r="O55" s="479">
        <v>0</v>
      </c>
      <c r="P55" s="479">
        <v>0</v>
      </c>
      <c r="Q55" s="479">
        <v>0</v>
      </c>
      <c r="R55" s="479">
        <v>0</v>
      </c>
      <c r="S55" s="479">
        <v>0</v>
      </c>
      <c r="T55" s="479">
        <v>0</v>
      </c>
      <c r="U55" s="479">
        <v>0</v>
      </c>
      <c r="V55" s="479">
        <v>0</v>
      </c>
      <c r="W55" s="479">
        <v>0</v>
      </c>
      <c r="X55" s="479">
        <v>0</v>
      </c>
      <c r="Y55" s="479">
        <v>0</v>
      </c>
      <c r="Z55" s="479">
        <v>0</v>
      </c>
      <c r="AA55" s="479">
        <v>0</v>
      </c>
      <c r="AB55" s="479">
        <v>0</v>
      </c>
      <c r="AC55" s="479">
        <v>0</v>
      </c>
      <c r="AD55" s="479">
        <v>0</v>
      </c>
      <c r="AE55" s="479">
        <v>0</v>
      </c>
      <c r="AF55" s="479">
        <v>0</v>
      </c>
      <c r="AG55" s="479">
        <v>0</v>
      </c>
      <c r="AH55" s="479">
        <v>0</v>
      </c>
      <c r="AI55" s="479">
        <v>0</v>
      </c>
      <c r="AJ55" s="479">
        <v>0</v>
      </c>
      <c r="AK55" s="479">
        <v>0</v>
      </c>
      <c r="AL55" s="479">
        <v>0</v>
      </c>
      <c r="AM55" s="479">
        <v>0</v>
      </c>
      <c r="AN55" s="479">
        <v>0</v>
      </c>
      <c r="AO55" s="480">
        <v>0</v>
      </c>
      <c r="AP55" s="480">
        <v>0</v>
      </c>
      <c r="AQ55" s="480">
        <v>0</v>
      </c>
      <c r="AR55" s="480">
        <v>0</v>
      </c>
      <c r="AS55" s="480">
        <v>0</v>
      </c>
      <c r="AT55" s="480">
        <v>0</v>
      </c>
      <c r="AU55" s="480">
        <v>0</v>
      </c>
      <c r="AV55" s="480">
        <v>0</v>
      </c>
      <c r="AW55" s="480">
        <v>0</v>
      </c>
      <c r="AX55" s="480">
        <v>0</v>
      </c>
      <c r="AY55" s="480">
        <v>0</v>
      </c>
      <c r="AZ55" s="480">
        <v>0</v>
      </c>
      <c r="BA55" s="480">
        <v>0</v>
      </c>
      <c r="BB55" s="480">
        <v>0</v>
      </c>
      <c r="BC55" s="480">
        <v>0</v>
      </c>
      <c r="BD55" s="480">
        <v>0</v>
      </c>
      <c r="BE55" s="480">
        <v>0</v>
      </c>
      <c r="BF55" s="480">
        <v>0</v>
      </c>
      <c r="BG55" s="480">
        <v>0</v>
      </c>
      <c r="BH55" s="480">
        <v>0</v>
      </c>
      <c r="BI55" s="480">
        <v>0</v>
      </c>
      <c r="BJ55" s="480">
        <v>0</v>
      </c>
      <c r="BK55" s="480">
        <v>0</v>
      </c>
      <c r="BL55" s="480">
        <v>0</v>
      </c>
      <c r="BM55" s="480">
        <v>0</v>
      </c>
      <c r="BN55" s="480">
        <v>0</v>
      </c>
      <c r="BO55" s="480">
        <v>0</v>
      </c>
      <c r="BP55" s="480">
        <v>0</v>
      </c>
      <c r="BQ55" s="480">
        <v>0</v>
      </c>
      <c r="BR55" s="480">
        <v>0</v>
      </c>
      <c r="BS55" s="480">
        <v>0</v>
      </c>
      <c r="BT55" s="480">
        <v>0</v>
      </c>
      <c r="BU55" s="480">
        <v>0</v>
      </c>
      <c r="BV55" s="480">
        <v>0</v>
      </c>
      <c r="BW55" s="480">
        <v>0</v>
      </c>
      <c r="BX55" s="480">
        <v>0</v>
      </c>
      <c r="BY55" s="480">
        <v>0</v>
      </c>
      <c r="BZ55" s="480">
        <v>0</v>
      </c>
    </row>
    <row r="56" spans="1:78" ht="16.5" customHeight="1" x14ac:dyDescent="0.25">
      <c r="A56" s="481"/>
      <c r="B56" s="482"/>
      <c r="C56" s="483"/>
      <c r="D56" s="483"/>
      <c r="E56" s="483"/>
      <c r="F56" s="483"/>
      <c r="G56" s="483"/>
      <c r="H56" s="483"/>
      <c r="I56" s="483"/>
      <c r="J56" s="483"/>
      <c r="K56" s="483"/>
      <c r="L56" s="48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483"/>
      <c r="AK56" s="483"/>
      <c r="AL56" s="483"/>
      <c r="AM56" s="483"/>
      <c r="AN56" s="483"/>
      <c r="AO56" s="476"/>
      <c r="AP56" s="476"/>
      <c r="AQ56" s="476"/>
      <c r="AR56" s="476"/>
      <c r="AS56" s="476"/>
      <c r="AT56" s="476"/>
      <c r="AU56" s="476"/>
      <c r="AV56" s="476"/>
      <c r="AW56" s="476"/>
      <c r="AX56" s="476"/>
      <c r="AY56" s="476"/>
      <c r="AZ56" s="476"/>
      <c r="BA56" s="476"/>
      <c r="BB56" s="476"/>
      <c r="BC56" s="476"/>
      <c r="BD56" s="476"/>
      <c r="BE56" s="476"/>
      <c r="BF56" s="476"/>
      <c r="BG56" s="476"/>
      <c r="BH56" s="476"/>
      <c r="BI56" s="476"/>
      <c r="BJ56" s="476"/>
      <c r="BK56" s="476"/>
      <c r="BL56" s="476"/>
      <c r="BM56" s="476"/>
      <c r="BN56" s="476"/>
      <c r="BO56" s="476"/>
      <c r="BP56" s="476"/>
      <c r="BQ56" s="476"/>
      <c r="BR56" s="476"/>
      <c r="BS56" s="476"/>
      <c r="BT56" s="476"/>
      <c r="BU56" s="476"/>
      <c r="BV56" s="476"/>
      <c r="BW56" s="476"/>
      <c r="BX56" s="476"/>
      <c r="BY56" s="476"/>
      <c r="BZ56" s="476"/>
    </row>
    <row r="57" spans="1:78" ht="16.5" customHeight="1" x14ac:dyDescent="0.25">
      <c r="A57" s="477" t="s">
        <v>451</v>
      </c>
      <c r="B57" s="478" t="s">
        <v>452</v>
      </c>
      <c r="C57" s="479">
        <v>538.21283592999998</v>
      </c>
      <c r="D57" s="479">
        <v>486.14490092999995</v>
      </c>
      <c r="E57" s="479">
        <v>618.69126218000008</v>
      </c>
      <c r="F57" s="479">
        <v>512.37668000999997</v>
      </c>
      <c r="G57" s="479">
        <v>590.64657192999994</v>
      </c>
      <c r="H57" s="479">
        <v>929.23720615000002</v>
      </c>
      <c r="I57" s="479">
        <v>2338.0420034099998</v>
      </c>
      <c r="J57" s="479">
        <v>927.75824321999994</v>
      </c>
      <c r="K57" s="479">
        <v>1072.1266438399998</v>
      </c>
      <c r="L57" s="479">
        <v>1049.9736225899999</v>
      </c>
      <c r="M57" s="479">
        <v>921.2037224899999</v>
      </c>
      <c r="N57" s="479">
        <v>975.29421922999995</v>
      </c>
      <c r="O57" s="479">
        <v>1179.0680737399998</v>
      </c>
      <c r="P57" s="479">
        <v>845.18880186000001</v>
      </c>
      <c r="Q57" s="479">
        <v>867.82027834999997</v>
      </c>
      <c r="R57" s="479">
        <v>1070.84335545</v>
      </c>
      <c r="S57" s="479">
        <v>1155.9288818900002</v>
      </c>
      <c r="T57" s="479">
        <v>1215.97244467</v>
      </c>
      <c r="U57" s="479">
        <v>1354.25470415</v>
      </c>
      <c r="V57" s="479">
        <v>1353.74939073</v>
      </c>
      <c r="W57" s="479">
        <v>978.95630284999993</v>
      </c>
      <c r="X57" s="479">
        <v>1123.9420090399999</v>
      </c>
      <c r="Y57" s="479">
        <v>1187.4279252400001</v>
      </c>
      <c r="Z57" s="479">
        <v>1138.04615612</v>
      </c>
      <c r="AA57" s="479">
        <v>1126.1566596799998</v>
      </c>
      <c r="AB57" s="479">
        <v>1034.2038716699999</v>
      </c>
      <c r="AC57" s="479">
        <v>1047.56163956</v>
      </c>
      <c r="AD57" s="479">
        <v>1100.7612842200001</v>
      </c>
      <c r="AE57" s="479">
        <v>1237.1838996199999</v>
      </c>
      <c r="AF57" s="479">
        <v>911.68682326999988</v>
      </c>
      <c r="AG57" s="479">
        <v>1625.31888514</v>
      </c>
      <c r="AH57" s="479">
        <v>1549.26650855</v>
      </c>
      <c r="AI57" s="479">
        <v>1568.3670513499999</v>
      </c>
      <c r="AJ57" s="479">
        <v>1263.2788130399999</v>
      </c>
      <c r="AK57" s="479">
        <v>1250.9957634699999</v>
      </c>
      <c r="AL57" s="479">
        <v>1312.9801299100004</v>
      </c>
      <c r="AM57" s="479">
        <v>1373.2369780400002</v>
      </c>
      <c r="AN57" s="479">
        <v>1294.51844523</v>
      </c>
      <c r="AO57" s="480">
        <v>1309.22184118</v>
      </c>
      <c r="AP57" s="480">
        <v>1381.3287188100001</v>
      </c>
      <c r="AQ57" s="480">
        <v>1284.6913234800343</v>
      </c>
      <c r="AR57" s="480">
        <v>1128.0638976000148</v>
      </c>
      <c r="AS57" s="480">
        <v>1389.1377747299755</v>
      </c>
      <c r="AT57" s="480">
        <v>1621.9914351249708</v>
      </c>
      <c r="AU57" s="480">
        <v>1429.9281341417975</v>
      </c>
      <c r="AV57" s="480">
        <v>1350.8092643812051</v>
      </c>
      <c r="AW57" s="480">
        <v>1363.481055648788</v>
      </c>
      <c r="AX57" s="480">
        <v>1481.0242033974096</v>
      </c>
      <c r="AY57" s="480">
        <v>1369.1390704724565</v>
      </c>
      <c r="AZ57" s="480">
        <v>1211.890613675366</v>
      </c>
      <c r="BA57" s="480">
        <v>1287.3444427282561</v>
      </c>
      <c r="BB57" s="480">
        <v>1167.436104729722</v>
      </c>
      <c r="BC57" s="480">
        <v>1144.7062325860024</v>
      </c>
      <c r="BD57" s="480">
        <v>1185.1920070913661</v>
      </c>
      <c r="BE57" s="480">
        <v>1296.546781784871</v>
      </c>
      <c r="BF57" s="480">
        <v>1254.3451458262853</v>
      </c>
      <c r="BG57" s="480">
        <v>1264.0378001964027</v>
      </c>
      <c r="BH57" s="480">
        <v>1616.3914386308027</v>
      </c>
      <c r="BI57" s="480">
        <v>1627.2223627918927</v>
      </c>
      <c r="BJ57" s="480">
        <v>1842.6271117917099</v>
      </c>
      <c r="BK57" s="480">
        <v>1628.6121597820661</v>
      </c>
      <c r="BL57" s="480">
        <v>1622.6072468596196</v>
      </c>
      <c r="BM57" s="480">
        <v>1753.2287598542005</v>
      </c>
      <c r="BN57" s="480">
        <v>1650.7368296397069</v>
      </c>
      <c r="BO57" s="480">
        <v>1651.2165607760658</v>
      </c>
      <c r="BP57" s="480">
        <v>1634.1071258180323</v>
      </c>
      <c r="BQ57" s="480">
        <v>1607.1944808551614</v>
      </c>
      <c r="BR57" s="480">
        <v>1683.5871585070154</v>
      </c>
      <c r="BS57" s="480">
        <v>1737.6267725551986</v>
      </c>
      <c r="BT57" s="480">
        <v>1787.4163761315695</v>
      </c>
      <c r="BU57" s="480">
        <v>1726.2648159954565</v>
      </c>
      <c r="BV57" s="480">
        <v>1696.2638843331699</v>
      </c>
      <c r="BW57" s="480">
        <v>1654.1694700219739</v>
      </c>
      <c r="BX57" s="480">
        <v>1645.8527529404216</v>
      </c>
      <c r="BY57" s="480">
        <v>1734.638064467526</v>
      </c>
      <c r="BZ57" s="480">
        <v>1658.682799772517</v>
      </c>
    </row>
    <row r="58" spans="1:78" ht="16.5" customHeight="1" x14ac:dyDescent="0.25">
      <c r="A58" s="481"/>
      <c r="B58" s="482"/>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76"/>
      <c r="AP58" s="476"/>
      <c r="AQ58" s="476"/>
      <c r="AR58" s="476"/>
      <c r="AS58" s="476"/>
      <c r="AT58" s="476"/>
      <c r="AU58" s="476"/>
      <c r="AV58" s="476"/>
      <c r="AW58" s="476"/>
      <c r="AX58" s="476"/>
      <c r="AY58" s="476"/>
      <c r="AZ58" s="476"/>
      <c r="BA58" s="476"/>
      <c r="BB58" s="476"/>
      <c r="BC58" s="476"/>
      <c r="BD58" s="476"/>
      <c r="BE58" s="476"/>
      <c r="BF58" s="476"/>
      <c r="BG58" s="476"/>
      <c r="BH58" s="476"/>
      <c r="BI58" s="476"/>
      <c r="BJ58" s="476"/>
      <c r="BK58" s="476"/>
      <c r="BL58" s="476"/>
      <c r="BM58" s="476"/>
      <c r="BN58" s="476"/>
      <c r="BO58" s="476"/>
      <c r="BP58" s="476"/>
      <c r="BQ58" s="476"/>
      <c r="BR58" s="476"/>
      <c r="BS58" s="476"/>
      <c r="BT58" s="476"/>
      <c r="BU58" s="476"/>
      <c r="BV58" s="476"/>
      <c r="BW58" s="476"/>
      <c r="BX58" s="476"/>
      <c r="BY58" s="476"/>
      <c r="BZ58" s="476"/>
    </row>
    <row r="59" spans="1:78" ht="16.5" customHeight="1" x14ac:dyDescent="0.25">
      <c r="A59" s="477" t="s">
        <v>453</v>
      </c>
      <c r="B59" s="478" t="s">
        <v>418</v>
      </c>
      <c r="C59" s="479">
        <v>19964.110167409999</v>
      </c>
      <c r="D59" s="479">
        <v>20456.15655851</v>
      </c>
      <c r="E59" s="479">
        <v>20656.54350453</v>
      </c>
      <c r="F59" s="479">
        <v>20976.469956159999</v>
      </c>
      <c r="G59" s="479">
        <v>23542.384742170001</v>
      </c>
      <c r="H59" s="479">
        <v>20273.87106505</v>
      </c>
      <c r="I59" s="479">
        <v>18508.569286829999</v>
      </c>
      <c r="J59" s="479">
        <v>19472.344551769998</v>
      </c>
      <c r="K59" s="479">
        <v>20495.222189169999</v>
      </c>
      <c r="L59" s="479">
        <v>20301.791217229998</v>
      </c>
      <c r="M59" s="479">
        <v>20191.020255150001</v>
      </c>
      <c r="N59" s="479">
        <v>21361.044988709997</v>
      </c>
      <c r="O59" s="479">
        <v>19413.827296809999</v>
      </c>
      <c r="P59" s="479">
        <v>19582.327154340001</v>
      </c>
      <c r="Q59" s="479">
        <v>18243.485036359998</v>
      </c>
      <c r="R59" s="479">
        <v>17904.736877859999</v>
      </c>
      <c r="S59" s="479">
        <v>18921.887750959999</v>
      </c>
      <c r="T59" s="479">
        <v>20149.1601701</v>
      </c>
      <c r="U59" s="479">
        <v>18753.241767789998</v>
      </c>
      <c r="V59" s="479">
        <v>19617.36774234</v>
      </c>
      <c r="W59" s="479">
        <v>19604.223607199998</v>
      </c>
      <c r="X59" s="479">
        <v>21354.738473539997</v>
      </c>
      <c r="Y59" s="479">
        <v>20283.88373102</v>
      </c>
      <c r="Z59" s="479">
        <v>19542.970377909998</v>
      </c>
      <c r="AA59" s="479">
        <v>21291.50351029</v>
      </c>
      <c r="AB59" s="479">
        <v>21595.119234289999</v>
      </c>
      <c r="AC59" s="479">
        <v>20783.147565799998</v>
      </c>
      <c r="AD59" s="479">
        <v>21203.46923585</v>
      </c>
      <c r="AE59" s="479">
        <v>19954.35588607</v>
      </c>
      <c r="AF59" s="479">
        <v>23783.569044779997</v>
      </c>
      <c r="AG59" s="479">
        <v>23780.145553330003</v>
      </c>
      <c r="AH59" s="479">
        <v>23569.844059790001</v>
      </c>
      <c r="AI59" s="479">
        <v>25164.681625080102</v>
      </c>
      <c r="AJ59" s="479">
        <v>26025.415872760001</v>
      </c>
      <c r="AK59" s="479">
        <v>25692.210255179998</v>
      </c>
      <c r="AL59" s="479">
        <v>25383.877467489987</v>
      </c>
      <c r="AM59" s="479">
        <v>25930.891317520014</v>
      </c>
      <c r="AN59" s="479">
        <v>25189.279282339961</v>
      </c>
      <c r="AO59" s="480">
        <v>25613.860504809993</v>
      </c>
      <c r="AP59" s="480">
        <v>25224.743159949947</v>
      </c>
      <c r="AQ59" s="480">
        <v>23948.197494770015</v>
      </c>
      <c r="AR59" s="480">
        <v>21850.039449129999</v>
      </c>
      <c r="AS59" s="480">
        <v>22254.871252340021</v>
      </c>
      <c r="AT59" s="480">
        <v>21879.72865525998</v>
      </c>
      <c r="AU59" s="480">
        <v>22545.301191179984</v>
      </c>
      <c r="AV59" s="480">
        <v>22101.591468449988</v>
      </c>
      <c r="AW59" s="480">
        <v>21365.243426009973</v>
      </c>
      <c r="AX59" s="480">
        <v>20881.14524601998</v>
      </c>
      <c r="AY59" s="480">
        <v>20472.976203240014</v>
      </c>
      <c r="AZ59" s="480">
        <v>21487.784692900019</v>
      </c>
      <c r="BA59" s="480">
        <v>21928.267963229922</v>
      </c>
      <c r="BB59" s="480">
        <v>21797.014970980046</v>
      </c>
      <c r="BC59" s="480">
        <v>22086.19730513003</v>
      </c>
      <c r="BD59" s="480">
        <v>22650.277264699977</v>
      </c>
      <c r="BE59" s="480">
        <v>21679.910396959978</v>
      </c>
      <c r="BF59" s="480">
        <v>22462.728441649982</v>
      </c>
      <c r="BG59" s="480">
        <v>20288.861448660031</v>
      </c>
      <c r="BH59" s="480">
        <v>18978.052171999949</v>
      </c>
      <c r="BI59" s="480">
        <v>18191.658810679994</v>
      </c>
      <c r="BJ59" s="480">
        <v>17271.864959959996</v>
      </c>
      <c r="BK59" s="480">
        <v>16252.714630709965</v>
      </c>
      <c r="BL59" s="480">
        <v>18325.476515089984</v>
      </c>
      <c r="BM59" s="480">
        <v>27006.25268139</v>
      </c>
      <c r="BN59" s="480">
        <v>26101.492148820111</v>
      </c>
      <c r="BO59" s="480">
        <v>24870.176161724856</v>
      </c>
      <c r="BP59" s="480">
        <v>24471.645377400018</v>
      </c>
      <c r="BQ59" s="480">
        <v>23760.59067086998</v>
      </c>
      <c r="BR59" s="480">
        <v>23082.71069057002</v>
      </c>
      <c r="BS59" s="480">
        <v>24280.758976100049</v>
      </c>
      <c r="BT59" s="480">
        <v>25590.232428529933</v>
      </c>
      <c r="BU59" s="480">
        <v>25098.625338600003</v>
      </c>
      <c r="BV59" s="480">
        <v>24330.692173520045</v>
      </c>
      <c r="BW59" s="480">
        <v>24688.323351009974</v>
      </c>
      <c r="BX59" s="480">
        <v>25037.211866000027</v>
      </c>
      <c r="BY59" s="480">
        <v>25089.035267669948</v>
      </c>
      <c r="BZ59" s="480">
        <v>24090.776523889981</v>
      </c>
    </row>
    <row r="60" spans="1:78" ht="16.5" customHeight="1" x14ac:dyDescent="0.25">
      <c r="A60" s="481"/>
      <c r="B60" s="482"/>
      <c r="C60" s="484"/>
      <c r="D60" s="484"/>
      <c r="E60" s="484"/>
      <c r="F60" s="484"/>
      <c r="G60" s="484"/>
      <c r="H60" s="484"/>
      <c r="I60" s="484"/>
      <c r="J60" s="484"/>
      <c r="K60" s="484"/>
      <c r="L60" s="484"/>
      <c r="M60" s="484"/>
      <c r="N60" s="484"/>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c r="AL60" s="484"/>
      <c r="AM60" s="484"/>
      <c r="AN60" s="484"/>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76"/>
      <c r="BM60" s="476"/>
      <c r="BN60" s="476"/>
      <c r="BO60" s="476"/>
      <c r="BP60" s="476"/>
      <c r="BQ60" s="476"/>
      <c r="BR60" s="476"/>
      <c r="BS60" s="476"/>
      <c r="BT60" s="476"/>
      <c r="BU60" s="476"/>
      <c r="BV60" s="476"/>
      <c r="BW60" s="476"/>
      <c r="BX60" s="476"/>
      <c r="BY60" s="476"/>
      <c r="BZ60" s="476"/>
    </row>
    <row r="61" spans="1:78" ht="16.5" customHeight="1" x14ac:dyDescent="0.25">
      <c r="A61" s="477"/>
      <c r="B61" s="478" t="s">
        <v>454</v>
      </c>
      <c r="C61" s="479">
        <v>69596.492978319991</v>
      </c>
      <c r="D61" s="479">
        <v>70941.137481892089</v>
      </c>
      <c r="E61" s="479">
        <v>70499.654408622795</v>
      </c>
      <c r="F61" s="479">
        <v>71302.400435399992</v>
      </c>
      <c r="G61" s="479">
        <v>74450.371189439247</v>
      </c>
      <c r="H61" s="479">
        <v>73422.694705203787</v>
      </c>
      <c r="I61" s="479">
        <v>73741.023017996515</v>
      </c>
      <c r="J61" s="479">
        <v>74913.405949937558</v>
      </c>
      <c r="K61" s="479">
        <v>78694.334379371867</v>
      </c>
      <c r="L61" s="479">
        <v>79392.890201197049</v>
      </c>
      <c r="M61" s="479">
        <v>82982.38913011353</v>
      </c>
      <c r="N61" s="479">
        <v>86612.239956321166</v>
      </c>
      <c r="O61" s="479">
        <v>83585.412843679136</v>
      </c>
      <c r="P61" s="479">
        <v>83414.251738604406</v>
      </c>
      <c r="Q61" s="479">
        <v>84435.871824729984</v>
      </c>
      <c r="R61" s="479">
        <v>84082.643758713326</v>
      </c>
      <c r="S61" s="479">
        <v>85853.7490461774</v>
      </c>
      <c r="T61" s="479">
        <v>88592.546954006102</v>
      </c>
      <c r="U61" s="479">
        <v>88882.225156140514</v>
      </c>
      <c r="V61" s="479">
        <v>89112.098273285083</v>
      </c>
      <c r="W61" s="479">
        <v>87868.85674328811</v>
      </c>
      <c r="X61" s="479">
        <v>91091.426085718325</v>
      </c>
      <c r="Y61" s="479">
        <v>89540.306184057728</v>
      </c>
      <c r="Z61" s="479">
        <v>92681.040481569406</v>
      </c>
      <c r="AA61" s="479">
        <v>93057.427462320033</v>
      </c>
      <c r="AB61" s="479">
        <v>93216.006621315551</v>
      </c>
      <c r="AC61" s="479">
        <v>92395.195668494649</v>
      </c>
      <c r="AD61" s="479">
        <v>92343.333515853825</v>
      </c>
      <c r="AE61" s="479">
        <v>90504.874658527566</v>
      </c>
      <c r="AF61" s="479">
        <v>97002.375047003166</v>
      </c>
      <c r="AG61" s="479">
        <v>98020.36266122805</v>
      </c>
      <c r="AH61" s="479">
        <v>97950.904823900244</v>
      </c>
      <c r="AI61" s="479">
        <v>98887.514704928049</v>
      </c>
      <c r="AJ61" s="479">
        <v>98497.729015718214</v>
      </c>
      <c r="AK61" s="479">
        <v>99356.306201215775</v>
      </c>
      <c r="AL61" s="479">
        <v>100930.55116470347</v>
      </c>
      <c r="AM61" s="479">
        <v>104790.8711862858</v>
      </c>
      <c r="AN61" s="479">
        <v>104458.18777059334</v>
      </c>
      <c r="AO61" s="480">
        <v>108086.37032072496</v>
      </c>
      <c r="AP61" s="480">
        <v>107405.78630819431</v>
      </c>
      <c r="AQ61" s="480">
        <v>114390.36744273815</v>
      </c>
      <c r="AR61" s="480">
        <v>113988.66618276245</v>
      </c>
      <c r="AS61" s="480">
        <v>111194.3348185853</v>
      </c>
      <c r="AT61" s="480">
        <v>110092.93683619938</v>
      </c>
      <c r="AU61" s="480">
        <v>112471.1827692574</v>
      </c>
      <c r="AV61" s="480">
        <v>111686.14588464067</v>
      </c>
      <c r="AW61" s="480">
        <v>111021.07279987191</v>
      </c>
      <c r="AX61" s="480">
        <v>115230.05499443377</v>
      </c>
      <c r="AY61" s="480">
        <v>115477.48536903718</v>
      </c>
      <c r="AZ61" s="480">
        <v>120988.83522910152</v>
      </c>
      <c r="BA61" s="480">
        <v>122871.29449204239</v>
      </c>
      <c r="BB61" s="480">
        <v>127088.77066029809</v>
      </c>
      <c r="BC61" s="480">
        <v>128069.4762808027</v>
      </c>
      <c r="BD61" s="480">
        <v>130583.81207642556</v>
      </c>
      <c r="BE61" s="480">
        <v>131173.15071691383</v>
      </c>
      <c r="BF61" s="480">
        <v>133456.09197498212</v>
      </c>
      <c r="BG61" s="480">
        <v>130765.6793397868</v>
      </c>
      <c r="BH61" s="480">
        <v>129055.71459652908</v>
      </c>
      <c r="BI61" s="480">
        <v>126942.81240977174</v>
      </c>
      <c r="BJ61" s="480">
        <v>131563.49427910321</v>
      </c>
      <c r="BK61" s="480">
        <v>128415.42706414525</v>
      </c>
      <c r="BL61" s="480">
        <v>134436.63312649104</v>
      </c>
      <c r="BM61" s="480">
        <v>147415.07719755106</v>
      </c>
      <c r="BN61" s="480">
        <v>146159.68355201508</v>
      </c>
      <c r="BO61" s="480">
        <v>146084.06147709003</v>
      </c>
      <c r="BP61" s="480">
        <v>149685.82964859999</v>
      </c>
      <c r="BQ61" s="480">
        <v>152617.94579201998</v>
      </c>
      <c r="BR61" s="480">
        <v>152435.10079409002</v>
      </c>
      <c r="BS61" s="480">
        <v>154676.54865548</v>
      </c>
      <c r="BT61" s="480">
        <v>158429.68953137996</v>
      </c>
      <c r="BU61" s="480">
        <v>160069.02174412005</v>
      </c>
      <c r="BV61" s="480">
        <v>161362.55657941001</v>
      </c>
      <c r="BW61" s="480">
        <v>161629.17440413</v>
      </c>
      <c r="BX61" s="480">
        <v>164349.35004958996</v>
      </c>
      <c r="BY61" s="480">
        <v>165416.05700292002</v>
      </c>
      <c r="BZ61" s="480">
        <v>164662.21708085999</v>
      </c>
    </row>
    <row r="62" spans="1:78" ht="16.5" customHeight="1" thickBot="1" x14ac:dyDescent="0.3">
      <c r="A62" s="505"/>
      <c r="B62" s="506"/>
      <c r="C62" s="507"/>
      <c r="D62" s="507"/>
      <c r="E62" s="507"/>
      <c r="F62" s="507"/>
      <c r="G62" s="507"/>
      <c r="H62" s="507"/>
      <c r="I62" s="507"/>
      <c r="J62" s="508"/>
      <c r="K62" s="509"/>
      <c r="L62" s="509"/>
      <c r="M62" s="509"/>
      <c r="N62" s="509"/>
      <c r="O62" s="509"/>
      <c r="P62" s="509"/>
      <c r="Q62" s="509"/>
      <c r="R62" s="509"/>
      <c r="S62" s="509"/>
      <c r="T62" s="509"/>
      <c r="U62" s="509"/>
      <c r="V62" s="510"/>
      <c r="W62" s="510"/>
      <c r="X62" s="510"/>
      <c r="Y62" s="510"/>
      <c r="Z62" s="510"/>
      <c r="AA62" s="510"/>
      <c r="AB62" s="510"/>
      <c r="AC62" s="510"/>
      <c r="AD62" s="510"/>
      <c r="AE62" s="510"/>
      <c r="AF62" s="510"/>
      <c r="AG62" s="510"/>
      <c r="AH62" s="510"/>
      <c r="AI62" s="510"/>
      <c r="AJ62" s="510"/>
      <c r="AK62" s="510"/>
      <c r="AL62" s="510"/>
      <c r="AM62" s="510"/>
      <c r="AN62" s="510"/>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row>
    <row r="63" spans="1:78" ht="17.25" customHeight="1" thickTop="1" x14ac:dyDescent="0.25">
      <c r="A63" s="259" t="s">
        <v>455</v>
      </c>
      <c r="B63" s="431"/>
    </row>
    <row r="64" spans="1:78" ht="14.25" customHeight="1" x14ac:dyDescent="0.25">
      <c r="A64" s="512" t="s">
        <v>456</v>
      </c>
      <c r="B64" s="513"/>
    </row>
    <row r="65" spans="1:78" ht="14.25" customHeight="1" x14ac:dyDescent="0.25">
      <c r="A65" s="514" t="s">
        <v>457</v>
      </c>
      <c r="B65" s="513"/>
    </row>
    <row r="66" spans="1:78" ht="14.25" customHeight="1" x14ac:dyDescent="0.25">
      <c r="A66" s="259" t="s">
        <v>239</v>
      </c>
      <c r="B66" s="431"/>
    </row>
    <row r="67" spans="1:78" ht="13.5" customHeight="1" x14ac:dyDescent="0.25">
      <c r="A67" s="259" t="s">
        <v>179</v>
      </c>
      <c r="B67" s="431"/>
    </row>
    <row r="68" spans="1:78" x14ac:dyDescent="0.25">
      <c r="A68" s="515"/>
    </row>
    <row r="70" spans="1:78" ht="15.75" x14ac:dyDescent="0.25">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c r="AM70" s="494"/>
      <c r="AN70" s="494"/>
      <c r="AO70" s="494"/>
      <c r="AP70" s="494"/>
      <c r="AQ70" s="494"/>
      <c r="AR70" s="494"/>
      <c r="AS70" s="494"/>
      <c r="AT70" s="494"/>
      <c r="AU70" s="494"/>
      <c r="AV70" s="494"/>
      <c r="AW70" s="494"/>
      <c r="AX70" s="494"/>
      <c r="AY70" s="494"/>
      <c r="AZ70" s="494"/>
      <c r="BA70" s="494"/>
      <c r="BB70" s="494"/>
      <c r="BC70" s="494"/>
      <c r="BD70" s="494"/>
      <c r="BE70" s="494"/>
      <c r="BF70" s="494"/>
      <c r="BG70" s="494"/>
      <c r="BH70" s="494"/>
      <c r="BI70" s="494"/>
      <c r="BJ70" s="494"/>
      <c r="BK70" s="494"/>
      <c r="BL70" s="494"/>
      <c r="BM70" s="494"/>
      <c r="BN70" s="494"/>
      <c r="BO70" s="494"/>
      <c r="BP70" s="494"/>
      <c r="BQ70" s="494"/>
      <c r="BR70" s="494"/>
      <c r="BS70" s="494"/>
      <c r="BT70" s="494"/>
      <c r="BU70" s="494"/>
      <c r="BV70" s="494"/>
      <c r="BW70" s="494"/>
      <c r="BX70" s="494"/>
      <c r="BY70" s="494"/>
      <c r="BZ70" s="494"/>
    </row>
    <row r="71" spans="1:78" ht="15.75" x14ac:dyDescent="0.25">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c r="AM71" s="494"/>
      <c r="AN71" s="494"/>
      <c r="AO71" s="494"/>
      <c r="AP71" s="494"/>
      <c r="AQ71" s="494"/>
      <c r="AR71" s="494"/>
      <c r="AS71" s="494"/>
      <c r="AT71" s="494"/>
      <c r="AU71" s="494"/>
      <c r="AV71" s="494"/>
      <c r="AW71" s="494"/>
      <c r="AX71" s="494"/>
      <c r="AY71" s="494"/>
      <c r="AZ71" s="494"/>
      <c r="BA71" s="494"/>
      <c r="BB71" s="494"/>
      <c r="BC71" s="494"/>
      <c r="BD71" s="494"/>
      <c r="BE71" s="494"/>
      <c r="BF71" s="494"/>
      <c r="BG71" s="494"/>
      <c r="BH71" s="494"/>
      <c r="BI71" s="494"/>
      <c r="BJ71" s="494"/>
      <c r="BK71" s="494"/>
      <c r="BL71" s="494"/>
      <c r="BM71" s="494"/>
      <c r="BN71" s="494"/>
      <c r="BO71" s="494"/>
      <c r="BP71" s="494"/>
      <c r="BQ71" s="494"/>
      <c r="BR71" s="494"/>
      <c r="BS71" s="494"/>
      <c r="BT71" s="494"/>
      <c r="BU71" s="494"/>
      <c r="BV71" s="494"/>
      <c r="BW71" s="494"/>
      <c r="BX71" s="494"/>
      <c r="BY71" s="494"/>
      <c r="BZ71" s="494"/>
    </row>
    <row r="72" spans="1:78" ht="15.75" x14ac:dyDescent="0.25">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c r="AP72" s="494"/>
      <c r="AQ72" s="494"/>
      <c r="AR72" s="494"/>
      <c r="AS72" s="494"/>
      <c r="AT72" s="494"/>
      <c r="AU72" s="494"/>
      <c r="AV72" s="494"/>
      <c r="AW72" s="494"/>
      <c r="AX72" s="494"/>
      <c r="AY72" s="494"/>
      <c r="AZ72" s="494"/>
      <c r="BA72" s="494"/>
      <c r="BB72" s="494"/>
      <c r="BC72" s="494"/>
      <c r="BD72" s="494"/>
      <c r="BE72" s="494"/>
      <c r="BF72" s="494"/>
      <c r="BG72" s="494"/>
      <c r="BH72" s="494"/>
      <c r="BI72" s="494"/>
      <c r="BJ72" s="494"/>
      <c r="BK72" s="494"/>
      <c r="BL72" s="494"/>
      <c r="BM72" s="494"/>
      <c r="BN72" s="494"/>
      <c r="BO72" s="494"/>
      <c r="BP72" s="494"/>
      <c r="BQ72" s="494"/>
      <c r="BR72" s="494"/>
      <c r="BS72" s="494"/>
      <c r="BT72" s="494"/>
      <c r="BU72" s="494"/>
      <c r="BV72" s="494"/>
      <c r="BW72" s="494"/>
      <c r="BX72" s="494"/>
      <c r="BY72" s="494"/>
      <c r="BZ72" s="494"/>
    </row>
    <row r="73" spans="1:78" ht="15.75" x14ac:dyDescent="0.25">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c r="AO73" s="494"/>
      <c r="AP73" s="494"/>
      <c r="AQ73" s="494"/>
      <c r="AR73" s="494"/>
      <c r="AS73" s="494"/>
      <c r="AT73" s="494"/>
      <c r="AU73" s="494"/>
      <c r="AV73" s="494"/>
      <c r="AW73" s="494"/>
      <c r="AX73" s="494"/>
      <c r="AY73" s="494"/>
      <c r="AZ73" s="494"/>
      <c r="BA73" s="494"/>
      <c r="BB73" s="494"/>
      <c r="BC73" s="494"/>
      <c r="BD73" s="494"/>
      <c r="BE73" s="494"/>
      <c r="BF73" s="494"/>
      <c r="BG73" s="494"/>
      <c r="BH73" s="494"/>
      <c r="BI73" s="494"/>
      <c r="BJ73" s="494"/>
      <c r="BK73" s="494"/>
      <c r="BL73" s="494"/>
      <c r="BM73" s="494"/>
      <c r="BN73" s="494"/>
      <c r="BO73" s="494"/>
      <c r="BP73" s="494"/>
      <c r="BQ73" s="494"/>
      <c r="BR73" s="494"/>
      <c r="BS73" s="494"/>
      <c r="BT73" s="494"/>
      <c r="BU73" s="494"/>
      <c r="BV73" s="494"/>
      <c r="BW73" s="494"/>
      <c r="BX73" s="494"/>
      <c r="BY73" s="494"/>
      <c r="BZ73" s="494"/>
    </row>
  </sheetData>
  <printOptions horizontalCentered="1" verticalCentered="1"/>
  <pageMargins left="0" right="0" top="0.511811023622047" bottom="0" header="0" footer="0"/>
  <pageSetup paperSize="9" scale="5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EC68"/>
  <sheetViews>
    <sheetView zoomScaleNormal="100" workbookViewId="0">
      <pane xSplit="105" ySplit="4" topLeftCell="DU26" activePane="bottomRight" state="frozen"/>
      <selection pane="topRight" activeCell="DB1" sqref="DB1"/>
      <selection pane="bottomLeft" activeCell="A5" sqref="A5"/>
      <selection pane="bottomRight" activeCell="A67" sqref="A1:EC67"/>
    </sheetView>
  </sheetViews>
  <sheetFormatPr defaultRowHeight="15" x14ac:dyDescent="0.25"/>
  <cols>
    <col min="1" max="1" width="5.85546875" style="518" customWidth="1"/>
    <col min="2" max="2" width="57.140625" style="518" customWidth="1"/>
    <col min="3" max="43" width="9.140625" style="518" hidden="1" customWidth="1"/>
    <col min="44" max="44" width="9" style="518" hidden="1" customWidth="1"/>
    <col min="45" max="51" width="9.140625" style="518" hidden="1" customWidth="1"/>
    <col min="52" max="56" width="9" style="518" hidden="1" customWidth="1"/>
    <col min="57" max="61" width="8.85546875" style="518" hidden="1" customWidth="1"/>
    <col min="62" max="95" width="10.7109375" style="518" hidden="1" customWidth="1"/>
    <col min="96" max="96" width="11.85546875" style="518" hidden="1" customWidth="1"/>
    <col min="97" max="120" width="13.28515625" style="518" hidden="1" customWidth="1"/>
    <col min="121" max="133" width="13.28515625" style="518" customWidth="1"/>
    <col min="134" max="276" width="9.140625" style="518"/>
    <col min="277" max="277" width="5.85546875" style="518" customWidth="1"/>
    <col min="278" max="278" width="55.42578125" style="518" bestFit="1" customWidth="1"/>
    <col min="279" max="371" width="0" style="518" hidden="1" customWidth="1"/>
    <col min="372" max="382" width="10.7109375" style="518" customWidth="1"/>
    <col min="383" max="383" width="10.85546875" style="518" customWidth="1"/>
    <col min="384" max="384" width="10.7109375" style="518" bestFit="1" customWidth="1"/>
    <col min="385" max="532" width="9.140625" style="518"/>
    <col min="533" max="533" width="5.85546875" style="518" customWidth="1"/>
    <col min="534" max="534" width="55.42578125" style="518" bestFit="1" customWidth="1"/>
    <col min="535" max="627" width="0" style="518" hidden="1" customWidth="1"/>
    <col min="628" max="638" width="10.7109375" style="518" customWidth="1"/>
    <col min="639" max="639" width="10.85546875" style="518" customWidth="1"/>
    <col min="640" max="640" width="10.7109375" style="518" bestFit="1" customWidth="1"/>
    <col min="641" max="788" width="9.140625" style="518"/>
    <col min="789" max="789" width="5.85546875" style="518" customWidth="1"/>
    <col min="790" max="790" width="55.42578125" style="518" bestFit="1" customWidth="1"/>
    <col min="791" max="883" width="0" style="518" hidden="1" customWidth="1"/>
    <col min="884" max="894" width="10.7109375" style="518" customWidth="1"/>
    <col min="895" max="895" width="10.85546875" style="518" customWidth="1"/>
    <col min="896" max="896" width="10.7109375" style="518" bestFit="1" customWidth="1"/>
    <col min="897" max="1044" width="9.140625" style="518"/>
    <col min="1045" max="1045" width="5.85546875" style="518" customWidth="1"/>
    <col min="1046" max="1046" width="55.42578125" style="518" bestFit="1" customWidth="1"/>
    <col min="1047" max="1139" width="0" style="518" hidden="1" customWidth="1"/>
    <col min="1140" max="1150" width="10.7109375" style="518" customWidth="1"/>
    <col min="1151" max="1151" width="10.85546875" style="518" customWidth="1"/>
    <col min="1152" max="1152" width="10.7109375" style="518" bestFit="1" customWidth="1"/>
    <col min="1153" max="1300" width="9.140625" style="518"/>
    <col min="1301" max="1301" width="5.85546875" style="518" customWidth="1"/>
    <col min="1302" max="1302" width="55.42578125" style="518" bestFit="1" customWidth="1"/>
    <col min="1303" max="1395" width="0" style="518" hidden="1" customWidth="1"/>
    <col min="1396" max="1406" width="10.7109375" style="518" customWidth="1"/>
    <col min="1407" max="1407" width="10.85546875" style="518" customWidth="1"/>
    <col min="1408" max="1408" width="10.7109375" style="518" bestFit="1" customWidth="1"/>
    <col min="1409" max="1556" width="9.140625" style="518"/>
    <col min="1557" max="1557" width="5.85546875" style="518" customWidth="1"/>
    <col min="1558" max="1558" width="55.42578125" style="518" bestFit="1" customWidth="1"/>
    <col min="1559" max="1651" width="0" style="518" hidden="1" customWidth="1"/>
    <col min="1652" max="1662" width="10.7109375" style="518" customWidth="1"/>
    <col min="1663" max="1663" width="10.85546875" style="518" customWidth="1"/>
    <col min="1664" max="1664" width="10.7109375" style="518" bestFit="1" customWidth="1"/>
    <col min="1665" max="1812" width="9.140625" style="518"/>
    <col min="1813" max="1813" width="5.85546875" style="518" customWidth="1"/>
    <col min="1814" max="1814" width="55.42578125" style="518" bestFit="1" customWidth="1"/>
    <col min="1815" max="1907" width="0" style="518" hidden="1" customWidth="1"/>
    <col min="1908" max="1918" width="10.7109375" style="518" customWidth="1"/>
    <col min="1919" max="1919" width="10.85546875" style="518" customWidth="1"/>
    <col min="1920" max="1920" width="10.7109375" style="518" bestFit="1" customWidth="1"/>
    <col min="1921" max="2068" width="9.140625" style="518"/>
    <col min="2069" max="2069" width="5.85546875" style="518" customWidth="1"/>
    <col min="2070" max="2070" width="55.42578125" style="518" bestFit="1" customWidth="1"/>
    <col min="2071" max="2163" width="0" style="518" hidden="1" customWidth="1"/>
    <col min="2164" max="2174" width="10.7109375" style="518" customWidth="1"/>
    <col min="2175" max="2175" width="10.85546875" style="518" customWidth="1"/>
    <col min="2176" max="2176" width="10.7109375" style="518" bestFit="1" customWidth="1"/>
    <col min="2177" max="2324" width="9.140625" style="518"/>
    <col min="2325" max="2325" width="5.85546875" style="518" customWidth="1"/>
    <col min="2326" max="2326" width="55.42578125" style="518" bestFit="1" customWidth="1"/>
    <col min="2327" max="2419" width="0" style="518" hidden="1" customWidth="1"/>
    <col min="2420" max="2430" width="10.7109375" style="518" customWidth="1"/>
    <col min="2431" max="2431" width="10.85546875" style="518" customWidth="1"/>
    <col min="2432" max="2432" width="10.7109375" style="518" bestFit="1" customWidth="1"/>
    <col min="2433" max="2580" width="9.140625" style="518"/>
    <col min="2581" max="2581" width="5.85546875" style="518" customWidth="1"/>
    <col min="2582" max="2582" width="55.42578125" style="518" bestFit="1" customWidth="1"/>
    <col min="2583" max="2675" width="0" style="518" hidden="1" customWidth="1"/>
    <col min="2676" max="2686" width="10.7109375" style="518" customWidth="1"/>
    <col min="2687" max="2687" width="10.85546875" style="518" customWidth="1"/>
    <col min="2688" max="2688" width="10.7109375" style="518" bestFit="1" customWidth="1"/>
    <col min="2689" max="2836" width="9.140625" style="518"/>
    <col min="2837" max="2837" width="5.85546875" style="518" customWidth="1"/>
    <col min="2838" max="2838" width="55.42578125" style="518" bestFit="1" customWidth="1"/>
    <col min="2839" max="2931" width="0" style="518" hidden="1" customWidth="1"/>
    <col min="2932" max="2942" width="10.7109375" style="518" customWidth="1"/>
    <col min="2943" max="2943" width="10.85546875" style="518" customWidth="1"/>
    <col min="2944" max="2944" width="10.7109375" style="518" bestFit="1" customWidth="1"/>
    <col min="2945" max="3092" width="9.140625" style="518"/>
    <col min="3093" max="3093" width="5.85546875" style="518" customWidth="1"/>
    <col min="3094" max="3094" width="55.42578125" style="518" bestFit="1" customWidth="1"/>
    <col min="3095" max="3187" width="0" style="518" hidden="1" customWidth="1"/>
    <col min="3188" max="3198" width="10.7109375" style="518" customWidth="1"/>
    <col min="3199" max="3199" width="10.85546875" style="518" customWidth="1"/>
    <col min="3200" max="3200" width="10.7109375" style="518" bestFit="1" customWidth="1"/>
    <col min="3201" max="3348" width="9.140625" style="518"/>
    <col min="3349" max="3349" width="5.85546875" style="518" customWidth="1"/>
    <col min="3350" max="3350" width="55.42578125" style="518" bestFit="1" customWidth="1"/>
    <col min="3351" max="3443" width="0" style="518" hidden="1" customWidth="1"/>
    <col min="3444" max="3454" width="10.7109375" style="518" customWidth="1"/>
    <col min="3455" max="3455" width="10.85546875" style="518" customWidth="1"/>
    <col min="3456" max="3456" width="10.7109375" style="518" bestFit="1" customWidth="1"/>
    <col min="3457" max="3604" width="9.140625" style="518"/>
    <col min="3605" max="3605" width="5.85546875" style="518" customWidth="1"/>
    <col min="3606" max="3606" width="55.42578125" style="518" bestFit="1" customWidth="1"/>
    <col min="3607" max="3699" width="0" style="518" hidden="1" customWidth="1"/>
    <col min="3700" max="3710" width="10.7109375" style="518" customWidth="1"/>
    <col min="3711" max="3711" width="10.85546875" style="518" customWidth="1"/>
    <col min="3712" max="3712" width="10.7109375" style="518" bestFit="1" customWidth="1"/>
    <col min="3713" max="3860" width="9.140625" style="518"/>
    <col min="3861" max="3861" width="5.85546875" style="518" customWidth="1"/>
    <col min="3862" max="3862" width="55.42578125" style="518" bestFit="1" customWidth="1"/>
    <col min="3863" max="3955" width="0" style="518" hidden="1" customWidth="1"/>
    <col min="3956" max="3966" width="10.7109375" style="518" customWidth="1"/>
    <col min="3967" max="3967" width="10.85546875" style="518" customWidth="1"/>
    <col min="3968" max="3968" width="10.7109375" style="518" bestFit="1" customWidth="1"/>
    <col min="3969" max="4116" width="9.140625" style="518"/>
    <col min="4117" max="4117" width="5.85546875" style="518" customWidth="1"/>
    <col min="4118" max="4118" width="55.42578125" style="518" bestFit="1" customWidth="1"/>
    <col min="4119" max="4211" width="0" style="518" hidden="1" customWidth="1"/>
    <col min="4212" max="4222" width="10.7109375" style="518" customWidth="1"/>
    <col min="4223" max="4223" width="10.85546875" style="518" customWidth="1"/>
    <col min="4224" max="4224" width="10.7109375" style="518" bestFit="1" customWidth="1"/>
    <col min="4225" max="4372" width="9.140625" style="518"/>
    <col min="4373" max="4373" width="5.85546875" style="518" customWidth="1"/>
    <col min="4374" max="4374" width="55.42578125" style="518" bestFit="1" customWidth="1"/>
    <col min="4375" max="4467" width="0" style="518" hidden="1" customWidth="1"/>
    <col min="4468" max="4478" width="10.7109375" style="518" customWidth="1"/>
    <col min="4479" max="4479" width="10.85546875" style="518" customWidth="1"/>
    <col min="4480" max="4480" width="10.7109375" style="518" bestFit="1" customWidth="1"/>
    <col min="4481" max="4628" width="9.140625" style="518"/>
    <col min="4629" max="4629" width="5.85546875" style="518" customWidth="1"/>
    <col min="4630" max="4630" width="55.42578125" style="518" bestFit="1" customWidth="1"/>
    <col min="4631" max="4723" width="0" style="518" hidden="1" customWidth="1"/>
    <col min="4724" max="4734" width="10.7109375" style="518" customWidth="1"/>
    <col min="4735" max="4735" width="10.85546875" style="518" customWidth="1"/>
    <col min="4736" max="4736" width="10.7109375" style="518" bestFit="1" customWidth="1"/>
    <col min="4737" max="4884" width="9.140625" style="518"/>
    <col min="4885" max="4885" width="5.85546875" style="518" customWidth="1"/>
    <col min="4886" max="4886" width="55.42578125" style="518" bestFit="1" customWidth="1"/>
    <col min="4887" max="4979" width="0" style="518" hidden="1" customWidth="1"/>
    <col min="4980" max="4990" width="10.7109375" style="518" customWidth="1"/>
    <col min="4991" max="4991" width="10.85546875" style="518" customWidth="1"/>
    <col min="4992" max="4992" width="10.7109375" style="518" bestFit="1" customWidth="1"/>
    <col min="4993" max="5140" width="9.140625" style="518"/>
    <col min="5141" max="5141" width="5.85546875" style="518" customWidth="1"/>
    <col min="5142" max="5142" width="55.42578125" style="518" bestFit="1" customWidth="1"/>
    <col min="5143" max="5235" width="0" style="518" hidden="1" customWidth="1"/>
    <col min="5236" max="5246" width="10.7109375" style="518" customWidth="1"/>
    <col min="5247" max="5247" width="10.85546875" style="518" customWidth="1"/>
    <col min="5248" max="5248" width="10.7109375" style="518" bestFit="1" customWidth="1"/>
    <col min="5249" max="5396" width="9.140625" style="518"/>
    <col min="5397" max="5397" width="5.85546875" style="518" customWidth="1"/>
    <col min="5398" max="5398" width="55.42578125" style="518" bestFit="1" customWidth="1"/>
    <col min="5399" max="5491" width="0" style="518" hidden="1" customWidth="1"/>
    <col min="5492" max="5502" width="10.7109375" style="518" customWidth="1"/>
    <col min="5503" max="5503" width="10.85546875" style="518" customWidth="1"/>
    <col min="5504" max="5504" width="10.7109375" style="518" bestFit="1" customWidth="1"/>
    <col min="5505" max="5652" width="9.140625" style="518"/>
    <col min="5653" max="5653" width="5.85546875" style="518" customWidth="1"/>
    <col min="5654" max="5654" width="55.42578125" style="518" bestFit="1" customWidth="1"/>
    <col min="5655" max="5747" width="0" style="518" hidden="1" customWidth="1"/>
    <col min="5748" max="5758" width="10.7109375" style="518" customWidth="1"/>
    <col min="5759" max="5759" width="10.85546875" style="518" customWidth="1"/>
    <col min="5760" max="5760" width="10.7109375" style="518" bestFit="1" customWidth="1"/>
    <col min="5761" max="5908" width="9.140625" style="518"/>
    <col min="5909" max="5909" width="5.85546875" style="518" customWidth="1"/>
    <col min="5910" max="5910" width="55.42578125" style="518" bestFit="1" customWidth="1"/>
    <col min="5911" max="6003" width="0" style="518" hidden="1" customWidth="1"/>
    <col min="6004" max="6014" width="10.7109375" style="518" customWidth="1"/>
    <col min="6015" max="6015" width="10.85546875" style="518" customWidth="1"/>
    <col min="6016" max="6016" width="10.7109375" style="518" bestFit="1" customWidth="1"/>
    <col min="6017" max="6164" width="9.140625" style="518"/>
    <col min="6165" max="6165" width="5.85546875" style="518" customWidth="1"/>
    <col min="6166" max="6166" width="55.42578125" style="518" bestFit="1" customWidth="1"/>
    <col min="6167" max="6259" width="0" style="518" hidden="1" customWidth="1"/>
    <col min="6260" max="6270" width="10.7109375" style="518" customWidth="1"/>
    <col min="6271" max="6271" width="10.85546875" style="518" customWidth="1"/>
    <col min="6272" max="6272" width="10.7109375" style="518" bestFit="1" customWidth="1"/>
    <col min="6273" max="6420" width="9.140625" style="518"/>
    <col min="6421" max="6421" width="5.85546875" style="518" customWidth="1"/>
    <col min="6422" max="6422" width="55.42578125" style="518" bestFit="1" customWidth="1"/>
    <col min="6423" max="6515" width="0" style="518" hidden="1" customWidth="1"/>
    <col min="6516" max="6526" width="10.7109375" style="518" customWidth="1"/>
    <col min="6527" max="6527" width="10.85546875" style="518" customWidth="1"/>
    <col min="6528" max="6528" width="10.7109375" style="518" bestFit="1" customWidth="1"/>
    <col min="6529" max="6676" width="9.140625" style="518"/>
    <col min="6677" max="6677" width="5.85546875" style="518" customWidth="1"/>
    <col min="6678" max="6678" width="55.42578125" style="518" bestFit="1" customWidth="1"/>
    <col min="6679" max="6771" width="0" style="518" hidden="1" customWidth="1"/>
    <col min="6772" max="6782" width="10.7109375" style="518" customWidth="1"/>
    <col min="6783" max="6783" width="10.85546875" style="518" customWidth="1"/>
    <col min="6784" max="6784" width="10.7109375" style="518" bestFit="1" customWidth="1"/>
    <col min="6785" max="6932" width="9.140625" style="518"/>
    <col min="6933" max="6933" width="5.85546875" style="518" customWidth="1"/>
    <col min="6934" max="6934" width="55.42578125" style="518" bestFit="1" customWidth="1"/>
    <col min="6935" max="7027" width="0" style="518" hidden="1" customWidth="1"/>
    <col min="7028" max="7038" width="10.7109375" style="518" customWidth="1"/>
    <col min="7039" max="7039" width="10.85546875" style="518" customWidth="1"/>
    <col min="7040" max="7040" width="10.7109375" style="518" bestFit="1" customWidth="1"/>
    <col min="7041" max="7188" width="9.140625" style="518"/>
    <col min="7189" max="7189" width="5.85546875" style="518" customWidth="1"/>
    <col min="7190" max="7190" width="55.42578125" style="518" bestFit="1" customWidth="1"/>
    <col min="7191" max="7283" width="0" style="518" hidden="1" customWidth="1"/>
    <col min="7284" max="7294" width="10.7109375" style="518" customWidth="1"/>
    <col min="7295" max="7295" width="10.85546875" style="518" customWidth="1"/>
    <col min="7296" max="7296" width="10.7109375" style="518" bestFit="1" customWidth="1"/>
    <col min="7297" max="7444" width="9.140625" style="518"/>
    <col min="7445" max="7445" width="5.85546875" style="518" customWidth="1"/>
    <col min="7446" max="7446" width="55.42578125" style="518" bestFit="1" customWidth="1"/>
    <col min="7447" max="7539" width="0" style="518" hidden="1" customWidth="1"/>
    <col min="7540" max="7550" width="10.7109375" style="518" customWidth="1"/>
    <col min="7551" max="7551" width="10.85546875" style="518" customWidth="1"/>
    <col min="7552" max="7552" width="10.7109375" style="518" bestFit="1" customWidth="1"/>
    <col min="7553" max="7700" width="9.140625" style="518"/>
    <col min="7701" max="7701" width="5.85546875" style="518" customWidth="1"/>
    <col min="7702" max="7702" width="55.42578125" style="518" bestFit="1" customWidth="1"/>
    <col min="7703" max="7795" width="0" style="518" hidden="1" customWidth="1"/>
    <col min="7796" max="7806" width="10.7109375" style="518" customWidth="1"/>
    <col min="7807" max="7807" width="10.85546875" style="518" customWidth="1"/>
    <col min="7808" max="7808" width="10.7109375" style="518" bestFit="1" customWidth="1"/>
    <col min="7809" max="7956" width="9.140625" style="518"/>
    <col min="7957" max="7957" width="5.85546875" style="518" customWidth="1"/>
    <col min="7958" max="7958" width="55.42578125" style="518" bestFit="1" customWidth="1"/>
    <col min="7959" max="8051" width="0" style="518" hidden="1" customWidth="1"/>
    <col min="8052" max="8062" width="10.7109375" style="518" customWidth="1"/>
    <col min="8063" max="8063" width="10.85546875" style="518" customWidth="1"/>
    <col min="8064" max="8064" width="10.7109375" style="518" bestFit="1" customWidth="1"/>
    <col min="8065" max="8212" width="9.140625" style="518"/>
    <col min="8213" max="8213" width="5.85546875" style="518" customWidth="1"/>
    <col min="8214" max="8214" width="55.42578125" style="518" bestFit="1" customWidth="1"/>
    <col min="8215" max="8307" width="0" style="518" hidden="1" customWidth="1"/>
    <col min="8308" max="8318" width="10.7109375" style="518" customWidth="1"/>
    <col min="8319" max="8319" width="10.85546875" style="518" customWidth="1"/>
    <col min="8320" max="8320" width="10.7109375" style="518" bestFit="1" customWidth="1"/>
    <col min="8321" max="8468" width="9.140625" style="518"/>
    <col min="8469" max="8469" width="5.85546875" style="518" customWidth="1"/>
    <col min="8470" max="8470" width="55.42578125" style="518" bestFit="1" customWidth="1"/>
    <col min="8471" max="8563" width="0" style="518" hidden="1" customWidth="1"/>
    <col min="8564" max="8574" width="10.7109375" style="518" customWidth="1"/>
    <col min="8575" max="8575" width="10.85546875" style="518" customWidth="1"/>
    <col min="8576" max="8576" width="10.7109375" style="518" bestFit="1" customWidth="1"/>
    <col min="8577" max="8724" width="9.140625" style="518"/>
    <col min="8725" max="8725" width="5.85546875" style="518" customWidth="1"/>
    <col min="8726" max="8726" width="55.42578125" style="518" bestFit="1" customWidth="1"/>
    <col min="8727" max="8819" width="0" style="518" hidden="1" customWidth="1"/>
    <col min="8820" max="8830" width="10.7109375" style="518" customWidth="1"/>
    <col min="8831" max="8831" width="10.85546875" style="518" customWidth="1"/>
    <col min="8832" max="8832" width="10.7109375" style="518" bestFit="1" customWidth="1"/>
    <col min="8833" max="8980" width="9.140625" style="518"/>
    <col min="8981" max="8981" width="5.85546875" style="518" customWidth="1"/>
    <col min="8982" max="8982" width="55.42578125" style="518" bestFit="1" customWidth="1"/>
    <col min="8983" max="9075" width="0" style="518" hidden="1" customWidth="1"/>
    <col min="9076" max="9086" width="10.7109375" style="518" customWidth="1"/>
    <col min="9087" max="9087" width="10.85546875" style="518" customWidth="1"/>
    <col min="9088" max="9088" width="10.7109375" style="518" bestFit="1" customWidth="1"/>
    <col min="9089" max="9236" width="9.140625" style="518"/>
    <col min="9237" max="9237" width="5.85546875" style="518" customWidth="1"/>
    <col min="9238" max="9238" width="55.42578125" style="518" bestFit="1" customWidth="1"/>
    <col min="9239" max="9331" width="0" style="518" hidden="1" customWidth="1"/>
    <col min="9332" max="9342" width="10.7109375" style="518" customWidth="1"/>
    <col min="9343" max="9343" width="10.85546875" style="518" customWidth="1"/>
    <col min="9344" max="9344" width="10.7109375" style="518" bestFit="1" customWidth="1"/>
    <col min="9345" max="9492" width="9.140625" style="518"/>
    <col min="9493" max="9493" width="5.85546875" style="518" customWidth="1"/>
    <col min="9494" max="9494" width="55.42578125" style="518" bestFit="1" customWidth="1"/>
    <col min="9495" max="9587" width="0" style="518" hidden="1" customWidth="1"/>
    <col min="9588" max="9598" width="10.7109375" style="518" customWidth="1"/>
    <col min="9599" max="9599" width="10.85546875" style="518" customWidth="1"/>
    <col min="9600" max="9600" width="10.7109375" style="518" bestFit="1" customWidth="1"/>
    <col min="9601" max="9748" width="9.140625" style="518"/>
    <col min="9749" max="9749" width="5.85546875" style="518" customWidth="1"/>
    <col min="9750" max="9750" width="55.42578125" style="518" bestFit="1" customWidth="1"/>
    <col min="9751" max="9843" width="0" style="518" hidden="1" customWidth="1"/>
    <col min="9844" max="9854" width="10.7109375" style="518" customWidth="1"/>
    <col min="9855" max="9855" width="10.85546875" style="518" customWidth="1"/>
    <col min="9856" max="9856" width="10.7109375" style="518" bestFit="1" customWidth="1"/>
    <col min="9857" max="10004" width="9.140625" style="518"/>
    <col min="10005" max="10005" width="5.85546875" style="518" customWidth="1"/>
    <col min="10006" max="10006" width="55.42578125" style="518" bestFit="1" customWidth="1"/>
    <col min="10007" max="10099" width="0" style="518" hidden="1" customWidth="1"/>
    <col min="10100" max="10110" width="10.7109375" style="518" customWidth="1"/>
    <col min="10111" max="10111" width="10.85546875" style="518" customWidth="1"/>
    <col min="10112" max="10112" width="10.7109375" style="518" bestFit="1" customWidth="1"/>
    <col min="10113" max="10260" width="9.140625" style="518"/>
    <col min="10261" max="10261" width="5.85546875" style="518" customWidth="1"/>
    <col min="10262" max="10262" width="55.42578125" style="518" bestFit="1" customWidth="1"/>
    <col min="10263" max="10355" width="0" style="518" hidden="1" customWidth="1"/>
    <col min="10356" max="10366" width="10.7109375" style="518" customWidth="1"/>
    <col min="10367" max="10367" width="10.85546875" style="518" customWidth="1"/>
    <col min="10368" max="10368" width="10.7109375" style="518" bestFit="1" customWidth="1"/>
    <col min="10369" max="10516" width="9.140625" style="518"/>
    <col min="10517" max="10517" width="5.85546875" style="518" customWidth="1"/>
    <col min="10518" max="10518" width="55.42578125" style="518" bestFit="1" customWidth="1"/>
    <col min="10519" max="10611" width="0" style="518" hidden="1" customWidth="1"/>
    <col min="10612" max="10622" width="10.7109375" style="518" customWidth="1"/>
    <col min="10623" max="10623" width="10.85546875" style="518" customWidth="1"/>
    <col min="10624" max="10624" width="10.7109375" style="518" bestFit="1" customWidth="1"/>
    <col min="10625" max="10772" width="9.140625" style="518"/>
    <col min="10773" max="10773" width="5.85546875" style="518" customWidth="1"/>
    <col min="10774" max="10774" width="55.42578125" style="518" bestFit="1" customWidth="1"/>
    <col min="10775" max="10867" width="0" style="518" hidden="1" customWidth="1"/>
    <col min="10868" max="10878" width="10.7109375" style="518" customWidth="1"/>
    <col min="10879" max="10879" width="10.85546875" style="518" customWidth="1"/>
    <col min="10880" max="10880" width="10.7109375" style="518" bestFit="1" customWidth="1"/>
    <col min="10881" max="11028" width="9.140625" style="518"/>
    <col min="11029" max="11029" width="5.85546875" style="518" customWidth="1"/>
    <col min="11030" max="11030" width="55.42578125" style="518" bestFit="1" customWidth="1"/>
    <col min="11031" max="11123" width="0" style="518" hidden="1" customWidth="1"/>
    <col min="11124" max="11134" width="10.7109375" style="518" customWidth="1"/>
    <col min="11135" max="11135" width="10.85546875" style="518" customWidth="1"/>
    <col min="11136" max="11136" width="10.7109375" style="518" bestFit="1" customWidth="1"/>
    <col min="11137" max="11284" width="9.140625" style="518"/>
    <col min="11285" max="11285" width="5.85546875" style="518" customWidth="1"/>
    <col min="11286" max="11286" width="55.42578125" style="518" bestFit="1" customWidth="1"/>
    <col min="11287" max="11379" width="0" style="518" hidden="1" customWidth="1"/>
    <col min="11380" max="11390" width="10.7109375" style="518" customWidth="1"/>
    <col min="11391" max="11391" width="10.85546875" style="518" customWidth="1"/>
    <col min="11392" max="11392" width="10.7109375" style="518" bestFit="1" customWidth="1"/>
    <col min="11393" max="11540" width="9.140625" style="518"/>
    <col min="11541" max="11541" width="5.85546875" style="518" customWidth="1"/>
    <col min="11542" max="11542" width="55.42578125" style="518" bestFit="1" customWidth="1"/>
    <col min="11543" max="11635" width="0" style="518" hidden="1" customWidth="1"/>
    <col min="11636" max="11646" width="10.7109375" style="518" customWidth="1"/>
    <col min="11647" max="11647" width="10.85546875" style="518" customWidth="1"/>
    <col min="11648" max="11648" width="10.7109375" style="518" bestFit="1" customWidth="1"/>
    <col min="11649" max="11796" width="9.140625" style="518"/>
    <col min="11797" max="11797" width="5.85546875" style="518" customWidth="1"/>
    <col min="11798" max="11798" width="55.42578125" style="518" bestFit="1" customWidth="1"/>
    <col min="11799" max="11891" width="0" style="518" hidden="1" customWidth="1"/>
    <col min="11892" max="11902" width="10.7109375" style="518" customWidth="1"/>
    <col min="11903" max="11903" width="10.85546875" style="518" customWidth="1"/>
    <col min="11904" max="11904" width="10.7109375" style="518" bestFit="1" customWidth="1"/>
    <col min="11905" max="12052" width="9.140625" style="518"/>
    <col min="12053" max="12053" width="5.85546875" style="518" customWidth="1"/>
    <col min="12054" max="12054" width="55.42578125" style="518" bestFit="1" customWidth="1"/>
    <col min="12055" max="12147" width="0" style="518" hidden="1" customWidth="1"/>
    <col min="12148" max="12158" width="10.7109375" style="518" customWidth="1"/>
    <col min="12159" max="12159" width="10.85546875" style="518" customWidth="1"/>
    <col min="12160" max="12160" width="10.7109375" style="518" bestFit="1" customWidth="1"/>
    <col min="12161" max="12308" width="9.140625" style="518"/>
    <col min="12309" max="12309" width="5.85546875" style="518" customWidth="1"/>
    <col min="12310" max="12310" width="55.42578125" style="518" bestFit="1" customWidth="1"/>
    <col min="12311" max="12403" width="0" style="518" hidden="1" customWidth="1"/>
    <col min="12404" max="12414" width="10.7109375" style="518" customWidth="1"/>
    <col min="12415" max="12415" width="10.85546875" style="518" customWidth="1"/>
    <col min="12416" max="12416" width="10.7109375" style="518" bestFit="1" customWidth="1"/>
    <col min="12417" max="12564" width="9.140625" style="518"/>
    <col min="12565" max="12565" width="5.85546875" style="518" customWidth="1"/>
    <col min="12566" max="12566" width="55.42578125" style="518" bestFit="1" customWidth="1"/>
    <col min="12567" max="12659" width="0" style="518" hidden="1" customWidth="1"/>
    <col min="12660" max="12670" width="10.7109375" style="518" customWidth="1"/>
    <col min="12671" max="12671" width="10.85546875" style="518" customWidth="1"/>
    <col min="12672" max="12672" width="10.7109375" style="518" bestFit="1" customWidth="1"/>
    <col min="12673" max="12820" width="9.140625" style="518"/>
    <col min="12821" max="12821" width="5.85546875" style="518" customWidth="1"/>
    <col min="12822" max="12822" width="55.42578125" style="518" bestFit="1" customWidth="1"/>
    <col min="12823" max="12915" width="0" style="518" hidden="1" customWidth="1"/>
    <col min="12916" max="12926" width="10.7109375" style="518" customWidth="1"/>
    <col min="12927" max="12927" width="10.85546875" style="518" customWidth="1"/>
    <col min="12928" max="12928" width="10.7109375" style="518" bestFit="1" customWidth="1"/>
    <col min="12929" max="13076" width="9.140625" style="518"/>
    <col min="13077" max="13077" width="5.85546875" style="518" customWidth="1"/>
    <col min="13078" max="13078" width="55.42578125" style="518" bestFit="1" customWidth="1"/>
    <col min="13079" max="13171" width="0" style="518" hidden="1" customWidth="1"/>
    <col min="13172" max="13182" width="10.7109375" style="518" customWidth="1"/>
    <col min="13183" max="13183" width="10.85546875" style="518" customWidth="1"/>
    <col min="13184" max="13184" width="10.7109375" style="518" bestFit="1" customWidth="1"/>
    <col min="13185" max="13332" width="9.140625" style="518"/>
    <col min="13333" max="13333" width="5.85546875" style="518" customWidth="1"/>
    <col min="13334" max="13334" width="55.42578125" style="518" bestFit="1" customWidth="1"/>
    <col min="13335" max="13427" width="0" style="518" hidden="1" customWidth="1"/>
    <col min="13428" max="13438" width="10.7109375" style="518" customWidth="1"/>
    <col min="13439" max="13439" width="10.85546875" style="518" customWidth="1"/>
    <col min="13440" max="13440" width="10.7109375" style="518" bestFit="1" customWidth="1"/>
    <col min="13441" max="13588" width="9.140625" style="518"/>
    <col min="13589" max="13589" width="5.85546875" style="518" customWidth="1"/>
    <col min="13590" max="13590" width="55.42578125" style="518" bestFit="1" customWidth="1"/>
    <col min="13591" max="13683" width="0" style="518" hidden="1" customWidth="1"/>
    <col min="13684" max="13694" width="10.7109375" style="518" customWidth="1"/>
    <col min="13695" max="13695" width="10.85546875" style="518" customWidth="1"/>
    <col min="13696" max="13696" width="10.7109375" style="518" bestFit="1" customWidth="1"/>
    <col min="13697" max="13844" width="9.140625" style="518"/>
    <col min="13845" max="13845" width="5.85546875" style="518" customWidth="1"/>
    <col min="13846" max="13846" width="55.42578125" style="518" bestFit="1" customWidth="1"/>
    <col min="13847" max="13939" width="0" style="518" hidden="1" customWidth="1"/>
    <col min="13940" max="13950" width="10.7109375" style="518" customWidth="1"/>
    <col min="13951" max="13951" width="10.85546875" style="518" customWidth="1"/>
    <col min="13952" max="13952" width="10.7109375" style="518" bestFit="1" customWidth="1"/>
    <col min="13953" max="14100" width="9.140625" style="518"/>
    <col min="14101" max="14101" width="5.85546875" style="518" customWidth="1"/>
    <col min="14102" max="14102" width="55.42578125" style="518" bestFit="1" customWidth="1"/>
    <col min="14103" max="14195" width="0" style="518" hidden="1" customWidth="1"/>
    <col min="14196" max="14206" width="10.7109375" style="518" customWidth="1"/>
    <col min="14207" max="14207" width="10.85546875" style="518" customWidth="1"/>
    <col min="14208" max="14208" width="10.7109375" style="518" bestFit="1" customWidth="1"/>
    <col min="14209" max="14356" width="9.140625" style="518"/>
    <col min="14357" max="14357" width="5.85546875" style="518" customWidth="1"/>
    <col min="14358" max="14358" width="55.42578125" style="518" bestFit="1" customWidth="1"/>
    <col min="14359" max="14451" width="0" style="518" hidden="1" customWidth="1"/>
    <col min="14452" max="14462" width="10.7109375" style="518" customWidth="1"/>
    <col min="14463" max="14463" width="10.85546875" style="518" customWidth="1"/>
    <col min="14464" max="14464" width="10.7109375" style="518" bestFit="1" customWidth="1"/>
    <col min="14465" max="14612" width="9.140625" style="518"/>
    <col min="14613" max="14613" width="5.85546875" style="518" customWidth="1"/>
    <col min="14614" max="14614" width="55.42578125" style="518" bestFit="1" customWidth="1"/>
    <col min="14615" max="14707" width="0" style="518" hidden="1" customWidth="1"/>
    <col min="14708" max="14718" width="10.7109375" style="518" customWidth="1"/>
    <col min="14719" max="14719" width="10.85546875" style="518" customWidth="1"/>
    <col min="14720" max="14720" width="10.7109375" style="518" bestFit="1" customWidth="1"/>
    <col min="14721" max="14868" width="9.140625" style="518"/>
    <col min="14869" max="14869" width="5.85546875" style="518" customWidth="1"/>
    <col min="14870" max="14870" width="55.42578125" style="518" bestFit="1" customWidth="1"/>
    <col min="14871" max="14963" width="0" style="518" hidden="1" customWidth="1"/>
    <col min="14964" max="14974" width="10.7109375" style="518" customWidth="1"/>
    <col min="14975" max="14975" width="10.85546875" style="518" customWidth="1"/>
    <col min="14976" max="14976" width="10.7109375" style="518" bestFit="1" customWidth="1"/>
    <col min="14977" max="15124" width="9.140625" style="518"/>
    <col min="15125" max="15125" width="5.85546875" style="518" customWidth="1"/>
    <col min="15126" max="15126" width="55.42578125" style="518" bestFit="1" customWidth="1"/>
    <col min="15127" max="15219" width="0" style="518" hidden="1" customWidth="1"/>
    <col min="15220" max="15230" width="10.7109375" style="518" customWidth="1"/>
    <col min="15231" max="15231" width="10.85546875" style="518" customWidth="1"/>
    <col min="15232" max="15232" width="10.7109375" style="518" bestFit="1" customWidth="1"/>
    <col min="15233" max="15380" width="9.140625" style="518"/>
    <col min="15381" max="15381" width="5.85546875" style="518" customWidth="1"/>
    <col min="15382" max="15382" width="55.42578125" style="518" bestFit="1" customWidth="1"/>
    <col min="15383" max="15475" width="0" style="518" hidden="1" customWidth="1"/>
    <col min="15476" max="15486" width="10.7109375" style="518" customWidth="1"/>
    <col min="15487" max="15487" width="10.85546875" style="518" customWidth="1"/>
    <col min="15488" max="15488" width="10.7109375" style="518" bestFit="1" customWidth="1"/>
    <col min="15489" max="15636" width="9.140625" style="518"/>
    <col min="15637" max="15637" width="5.85546875" style="518" customWidth="1"/>
    <col min="15638" max="15638" width="55.42578125" style="518" bestFit="1" customWidth="1"/>
    <col min="15639" max="15731" width="0" style="518" hidden="1" customWidth="1"/>
    <col min="15732" max="15742" width="10.7109375" style="518" customWidth="1"/>
    <col min="15743" max="15743" width="10.85546875" style="518" customWidth="1"/>
    <col min="15744" max="15744" width="10.7109375" style="518" bestFit="1" customWidth="1"/>
    <col min="15745" max="15892" width="9.140625" style="518"/>
    <col min="15893" max="15893" width="5.85546875" style="518" customWidth="1"/>
    <col min="15894" max="15894" width="55.42578125" style="518" bestFit="1" customWidth="1"/>
    <col min="15895" max="15987" width="0" style="518" hidden="1" customWidth="1"/>
    <col min="15988" max="15998" width="10.7109375" style="518" customWidth="1"/>
    <col min="15999" max="15999" width="10.85546875" style="518" customWidth="1"/>
    <col min="16000" max="16000" width="10.7109375" style="518" bestFit="1" customWidth="1"/>
    <col min="16001" max="16148" width="9.140625" style="518"/>
    <col min="16149" max="16149" width="5.85546875" style="518" customWidth="1"/>
    <col min="16150" max="16150" width="55.42578125" style="518" bestFit="1" customWidth="1"/>
    <col min="16151" max="16243" width="0" style="518" hidden="1" customWidth="1"/>
    <col min="16244" max="16254" width="10.7109375" style="518" customWidth="1"/>
    <col min="16255" max="16255" width="10.85546875" style="518" customWidth="1"/>
    <col min="16256" max="16256" width="10.7109375" style="518" bestFit="1" customWidth="1"/>
    <col min="16257" max="16384" width="9.140625" style="518"/>
  </cols>
  <sheetData>
    <row r="1" spans="1:133" ht="18.75" x14ac:dyDescent="0.3">
      <c r="A1" s="458" t="s">
        <v>458</v>
      </c>
      <c r="B1" s="516"/>
      <c r="C1" s="517"/>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row>
    <row r="2" spans="1:133" hidden="1" x14ac:dyDescent="0.25">
      <c r="A2" s="519"/>
      <c r="B2" s="520"/>
      <c r="C2" s="521"/>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row>
    <row r="3" spans="1:133" ht="15.75" thickBot="1" x14ac:dyDescent="0.3">
      <c r="A3" s="461"/>
      <c r="B3" s="461"/>
      <c r="C3" s="172"/>
      <c r="D3" s="172"/>
      <c r="E3" s="172"/>
      <c r="F3" s="172"/>
      <c r="G3" s="172"/>
      <c r="H3" s="172"/>
      <c r="I3" s="172"/>
      <c r="J3" s="172"/>
      <c r="K3" s="172"/>
      <c r="L3" s="172"/>
      <c r="M3" s="172"/>
      <c r="N3" s="172"/>
      <c r="O3" s="172"/>
      <c r="P3" s="172"/>
      <c r="Q3" s="172"/>
      <c r="R3" s="172"/>
      <c r="S3" s="172"/>
      <c r="T3" s="172"/>
      <c r="U3" s="260"/>
      <c r="V3" s="172"/>
      <c r="W3" s="172"/>
      <c r="X3" s="172"/>
      <c r="Y3" s="172"/>
      <c r="Z3" s="172"/>
      <c r="AA3" s="172"/>
      <c r="AB3" s="172"/>
      <c r="AC3" s="172"/>
      <c r="AE3" s="260"/>
      <c r="AH3" s="3224"/>
      <c r="AI3" s="3224"/>
      <c r="AM3" s="3224"/>
      <c r="AN3" s="3224"/>
      <c r="AO3" s="3224"/>
      <c r="AP3" s="3224"/>
      <c r="AZ3" s="3224"/>
      <c r="BA3" s="3224"/>
      <c r="BB3" s="3224"/>
      <c r="BC3" s="3224"/>
      <c r="BI3" s="3224"/>
      <c r="BJ3" s="3224"/>
      <c r="BK3" s="522"/>
      <c r="BL3" s="522"/>
      <c r="BO3" s="3224"/>
      <c r="BP3" s="3224"/>
      <c r="BV3" s="523"/>
      <c r="BW3" s="523"/>
      <c r="BX3" s="397"/>
      <c r="BY3" s="397"/>
      <c r="BZ3" s="397"/>
      <c r="CA3" s="397"/>
      <c r="CB3" s="397"/>
      <c r="CC3" s="397"/>
      <c r="CD3" s="397"/>
      <c r="CE3" s="397"/>
      <c r="CF3" s="397"/>
      <c r="CG3" s="397"/>
      <c r="CH3" s="397"/>
      <c r="CI3" s="397"/>
      <c r="CJ3" s="397"/>
      <c r="CK3" s="397"/>
      <c r="CL3" s="397"/>
      <c r="CM3" s="397"/>
      <c r="CN3" s="397"/>
      <c r="CO3" s="397"/>
      <c r="CP3" s="397"/>
      <c r="CQ3" s="397"/>
      <c r="CR3" s="397"/>
      <c r="CS3" s="397"/>
      <c r="CT3" s="397"/>
      <c r="CU3" s="397"/>
      <c r="CV3" s="397"/>
      <c r="CW3" s="397"/>
      <c r="CZ3" s="397"/>
      <c r="DA3" s="397"/>
      <c r="DE3" s="524"/>
      <c r="DF3" s="524"/>
      <c r="DG3" s="524"/>
      <c r="DH3" s="524"/>
      <c r="DI3" s="524"/>
      <c r="DJ3" s="524"/>
      <c r="DK3" s="524"/>
      <c r="DL3" s="524"/>
      <c r="DM3" s="524"/>
      <c r="DN3" s="524"/>
      <c r="DO3" s="524"/>
      <c r="DP3" s="524"/>
      <c r="DQ3" s="524"/>
      <c r="DR3" s="524"/>
      <c r="DS3" s="524"/>
      <c r="DT3" s="524"/>
      <c r="DU3" s="524"/>
      <c r="DV3" s="524"/>
      <c r="DW3" s="524"/>
      <c r="DX3" s="524"/>
      <c r="DY3" s="524"/>
      <c r="DZ3" s="524"/>
      <c r="EA3" s="524"/>
      <c r="EB3" s="524"/>
      <c r="EC3" s="524" t="s">
        <v>73</v>
      </c>
    </row>
    <row r="4" spans="1:133" ht="24" customHeight="1" thickTop="1" thickBot="1" x14ac:dyDescent="0.3">
      <c r="A4" s="463" t="s">
        <v>400</v>
      </c>
      <c r="B4" s="464" t="s">
        <v>401</v>
      </c>
      <c r="C4" s="467">
        <v>38504</v>
      </c>
      <c r="D4" s="467">
        <v>38534</v>
      </c>
      <c r="E4" s="467">
        <v>38565</v>
      </c>
      <c r="F4" s="525">
        <v>38596</v>
      </c>
      <c r="G4" s="467">
        <v>38626</v>
      </c>
      <c r="H4" s="526">
        <v>38657</v>
      </c>
      <c r="I4" s="467">
        <v>38687</v>
      </c>
      <c r="J4" s="467">
        <v>38718</v>
      </c>
      <c r="K4" s="467">
        <v>38749</v>
      </c>
      <c r="L4" s="467">
        <v>38777</v>
      </c>
      <c r="M4" s="525">
        <v>38808</v>
      </c>
      <c r="N4" s="467">
        <v>38838</v>
      </c>
      <c r="O4" s="467">
        <v>38869</v>
      </c>
      <c r="P4" s="467">
        <v>38899</v>
      </c>
      <c r="Q4" s="467">
        <v>38930</v>
      </c>
      <c r="R4" s="467">
        <v>38961</v>
      </c>
      <c r="S4" s="467">
        <v>38991</v>
      </c>
      <c r="T4" s="467">
        <v>39022</v>
      </c>
      <c r="U4" s="467">
        <v>39052</v>
      </c>
      <c r="V4" s="467">
        <v>39083</v>
      </c>
      <c r="W4" s="467">
        <v>39114</v>
      </c>
      <c r="X4" s="467">
        <v>39142</v>
      </c>
      <c r="Y4" s="467">
        <v>39173</v>
      </c>
      <c r="Z4" s="467">
        <v>39203</v>
      </c>
      <c r="AA4" s="467">
        <v>39234</v>
      </c>
      <c r="AB4" s="525">
        <v>39264</v>
      </c>
      <c r="AC4" s="467">
        <v>39295</v>
      </c>
      <c r="AD4" s="467">
        <v>39326</v>
      </c>
      <c r="AE4" s="467">
        <v>39356</v>
      </c>
      <c r="AF4" s="467">
        <v>39387</v>
      </c>
      <c r="AG4" s="467">
        <v>39417</v>
      </c>
      <c r="AH4" s="467">
        <v>39448</v>
      </c>
      <c r="AI4" s="467">
        <v>39479</v>
      </c>
      <c r="AJ4" s="467">
        <v>39508</v>
      </c>
      <c r="AK4" s="467">
        <v>39539</v>
      </c>
      <c r="AL4" s="467">
        <v>39569</v>
      </c>
      <c r="AM4" s="467">
        <v>39600</v>
      </c>
      <c r="AN4" s="467">
        <v>39630</v>
      </c>
      <c r="AO4" s="467">
        <v>39661</v>
      </c>
      <c r="AP4" s="467">
        <v>39692</v>
      </c>
      <c r="AQ4" s="467">
        <v>39722</v>
      </c>
      <c r="AR4" s="467">
        <v>39753</v>
      </c>
      <c r="AS4" s="467">
        <v>39783</v>
      </c>
      <c r="AT4" s="467">
        <v>39814</v>
      </c>
      <c r="AU4" s="467">
        <v>39845</v>
      </c>
      <c r="AV4" s="467">
        <v>39881</v>
      </c>
      <c r="AW4" s="467">
        <v>39904</v>
      </c>
      <c r="AX4" s="467">
        <v>39934</v>
      </c>
      <c r="AY4" s="467">
        <v>39965</v>
      </c>
      <c r="AZ4" s="467">
        <v>39995</v>
      </c>
      <c r="BA4" s="467">
        <v>40026</v>
      </c>
      <c r="BB4" s="467">
        <v>40057</v>
      </c>
      <c r="BC4" s="467">
        <v>40087</v>
      </c>
      <c r="BD4" s="467">
        <v>40118</v>
      </c>
      <c r="BE4" s="467">
        <v>40148</v>
      </c>
      <c r="BF4" s="467">
        <v>40179</v>
      </c>
      <c r="BG4" s="467">
        <v>40210</v>
      </c>
      <c r="BH4" s="467">
        <v>40238</v>
      </c>
      <c r="BI4" s="467">
        <v>40269</v>
      </c>
      <c r="BJ4" s="467">
        <v>40299</v>
      </c>
      <c r="BK4" s="467">
        <v>40330</v>
      </c>
      <c r="BL4" s="467">
        <v>40360</v>
      </c>
      <c r="BM4" s="467">
        <v>40391</v>
      </c>
      <c r="BN4" s="467">
        <v>40422</v>
      </c>
      <c r="BO4" s="467">
        <v>40452</v>
      </c>
      <c r="BP4" s="467">
        <v>40483</v>
      </c>
      <c r="BQ4" s="467">
        <v>40513</v>
      </c>
      <c r="BR4" s="467">
        <v>40544</v>
      </c>
      <c r="BS4" s="467">
        <v>40575</v>
      </c>
      <c r="BT4" s="467">
        <v>40603</v>
      </c>
      <c r="BU4" s="467">
        <v>40634</v>
      </c>
      <c r="BV4" s="467">
        <v>40664</v>
      </c>
      <c r="BW4" s="467">
        <v>40695</v>
      </c>
      <c r="BX4" s="467">
        <v>40725</v>
      </c>
      <c r="BY4" s="467">
        <v>40756</v>
      </c>
      <c r="BZ4" s="467">
        <v>40787</v>
      </c>
      <c r="CA4" s="467">
        <v>40817</v>
      </c>
      <c r="CB4" s="467">
        <v>40848</v>
      </c>
      <c r="CC4" s="467">
        <v>40878</v>
      </c>
      <c r="CD4" s="467">
        <v>40909</v>
      </c>
      <c r="CE4" s="467">
        <v>40940</v>
      </c>
      <c r="CF4" s="467">
        <v>40969</v>
      </c>
      <c r="CG4" s="467">
        <v>41000</v>
      </c>
      <c r="CH4" s="467">
        <v>41030</v>
      </c>
      <c r="CI4" s="467">
        <v>41061</v>
      </c>
      <c r="CJ4" s="467">
        <v>41091</v>
      </c>
      <c r="CK4" s="467">
        <v>41122</v>
      </c>
      <c r="CL4" s="467">
        <v>41153</v>
      </c>
      <c r="CM4" s="467">
        <v>41183</v>
      </c>
      <c r="CN4" s="467">
        <v>41214</v>
      </c>
      <c r="CO4" s="467">
        <v>41244</v>
      </c>
      <c r="CP4" s="467">
        <v>41275</v>
      </c>
      <c r="CQ4" s="467">
        <v>41306</v>
      </c>
      <c r="CR4" s="467">
        <v>41334</v>
      </c>
      <c r="CS4" s="467">
        <v>41365</v>
      </c>
      <c r="CT4" s="467">
        <v>41395</v>
      </c>
      <c r="CU4" s="467">
        <v>41426</v>
      </c>
      <c r="CV4" s="467">
        <v>41456</v>
      </c>
      <c r="CW4" s="467">
        <v>41487</v>
      </c>
      <c r="CX4" s="467">
        <v>41518</v>
      </c>
      <c r="CY4" s="467">
        <v>41548</v>
      </c>
      <c r="CZ4" s="467">
        <v>41579</v>
      </c>
      <c r="DA4" s="467">
        <v>41609</v>
      </c>
      <c r="DB4" s="526">
        <v>41640</v>
      </c>
      <c r="DC4" s="465">
        <v>41671</v>
      </c>
      <c r="DD4" s="465">
        <v>41699</v>
      </c>
      <c r="DE4" s="465">
        <v>41730</v>
      </c>
      <c r="DF4" s="465">
        <v>41760</v>
      </c>
      <c r="DG4" s="465">
        <v>41791</v>
      </c>
      <c r="DH4" s="465">
        <v>41821</v>
      </c>
      <c r="DI4" s="465">
        <v>41852</v>
      </c>
      <c r="DJ4" s="465">
        <v>41883</v>
      </c>
      <c r="DK4" s="465">
        <v>41913</v>
      </c>
      <c r="DL4" s="465">
        <v>41944</v>
      </c>
      <c r="DM4" s="465">
        <v>41974</v>
      </c>
      <c r="DN4" s="465">
        <v>42005</v>
      </c>
      <c r="DO4" s="465">
        <v>42036</v>
      </c>
      <c r="DP4" s="465">
        <v>42064</v>
      </c>
      <c r="DQ4" s="465">
        <v>42095</v>
      </c>
      <c r="DR4" s="465">
        <v>42125</v>
      </c>
      <c r="DS4" s="465">
        <v>42156</v>
      </c>
      <c r="DT4" s="465">
        <v>42186</v>
      </c>
      <c r="DU4" s="465">
        <v>42217</v>
      </c>
      <c r="DV4" s="465">
        <v>42248</v>
      </c>
      <c r="DW4" s="465">
        <v>42278</v>
      </c>
      <c r="DX4" s="465">
        <v>42309</v>
      </c>
      <c r="DY4" s="465">
        <v>42339</v>
      </c>
      <c r="DZ4" s="465">
        <v>42370</v>
      </c>
      <c r="EA4" s="465">
        <v>42401</v>
      </c>
      <c r="EB4" s="465">
        <v>42430</v>
      </c>
      <c r="EC4" s="465">
        <v>42461</v>
      </c>
    </row>
    <row r="5" spans="1:133" ht="18" customHeight="1" thickTop="1" x14ac:dyDescent="0.25">
      <c r="A5" s="470"/>
      <c r="B5" s="471"/>
      <c r="C5" s="527"/>
      <c r="D5" s="527"/>
      <c r="E5" s="527"/>
      <c r="F5" s="528"/>
      <c r="G5" s="527"/>
      <c r="H5" s="529"/>
      <c r="I5" s="527"/>
      <c r="J5" s="527"/>
      <c r="K5" s="527"/>
      <c r="L5" s="527"/>
      <c r="M5" s="528"/>
      <c r="N5" s="527"/>
      <c r="O5" s="527"/>
      <c r="P5" s="527"/>
      <c r="Q5" s="527"/>
      <c r="R5" s="527"/>
      <c r="S5" s="527"/>
      <c r="T5" s="527"/>
      <c r="U5" s="527"/>
      <c r="V5" s="527"/>
      <c r="W5" s="527"/>
      <c r="X5" s="527"/>
      <c r="Y5" s="527"/>
      <c r="Z5" s="527"/>
      <c r="AA5" s="527"/>
      <c r="AB5" s="528"/>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30"/>
      <c r="BC5" s="530"/>
      <c r="BD5" s="530"/>
      <c r="BE5" s="530"/>
      <c r="BF5" s="530"/>
      <c r="BG5" s="530"/>
      <c r="BH5" s="530"/>
      <c r="BI5" s="530"/>
      <c r="BJ5" s="530"/>
      <c r="BK5" s="530"/>
      <c r="BL5" s="530"/>
      <c r="BM5" s="530"/>
      <c r="BN5" s="530"/>
      <c r="BO5" s="530"/>
      <c r="BP5" s="530"/>
      <c r="BQ5" s="530"/>
      <c r="BR5" s="530"/>
      <c r="BS5" s="530"/>
      <c r="BT5" s="530"/>
      <c r="BU5" s="530"/>
      <c r="BV5" s="530"/>
      <c r="BW5" s="530"/>
      <c r="BX5" s="530"/>
      <c r="BY5" s="530"/>
      <c r="BZ5" s="530"/>
      <c r="CA5" s="530"/>
      <c r="CB5" s="530"/>
      <c r="CC5" s="530"/>
      <c r="CD5" s="530"/>
      <c r="CE5" s="530"/>
      <c r="CF5" s="530"/>
      <c r="CG5" s="530"/>
      <c r="CH5" s="530"/>
      <c r="CI5" s="530"/>
      <c r="CJ5" s="530"/>
      <c r="CK5" s="530"/>
      <c r="CL5" s="530"/>
      <c r="CM5" s="530"/>
      <c r="CN5" s="530"/>
      <c r="CO5" s="530"/>
      <c r="CP5" s="530"/>
      <c r="CQ5" s="530"/>
      <c r="CR5" s="530"/>
      <c r="CS5" s="530"/>
      <c r="CT5" s="530"/>
      <c r="CU5" s="530"/>
      <c r="CV5" s="530"/>
      <c r="CW5" s="530"/>
      <c r="CX5" s="530"/>
      <c r="CY5" s="530"/>
      <c r="CZ5" s="530"/>
      <c r="DA5" s="530"/>
      <c r="DB5" s="531"/>
      <c r="DC5" s="530"/>
      <c r="DD5" s="532"/>
      <c r="DE5" s="532"/>
      <c r="DF5" s="532"/>
      <c r="DG5" s="532"/>
      <c r="DH5" s="532"/>
      <c r="DI5" s="532"/>
      <c r="DJ5" s="532"/>
      <c r="DK5" s="532"/>
      <c r="DL5" s="532"/>
      <c r="DM5" s="532"/>
      <c r="DN5" s="532"/>
      <c r="DO5" s="532"/>
      <c r="DP5" s="532"/>
      <c r="DQ5" s="532"/>
      <c r="DR5" s="532"/>
      <c r="DS5" s="532"/>
      <c r="DT5" s="532"/>
      <c r="DU5" s="532"/>
      <c r="DV5" s="532"/>
      <c r="DW5" s="532"/>
      <c r="DX5" s="532"/>
      <c r="DY5" s="532"/>
      <c r="DZ5" s="532"/>
      <c r="EA5" s="532"/>
      <c r="EB5" s="532"/>
      <c r="EC5" s="532"/>
    </row>
    <row r="6" spans="1:133" ht="18" customHeight="1" x14ac:dyDescent="0.25">
      <c r="A6" s="477" t="s">
        <v>402</v>
      </c>
      <c r="B6" s="478" t="s">
        <v>403</v>
      </c>
      <c r="C6" s="533">
        <v>0</v>
      </c>
      <c r="D6" s="533">
        <v>0</v>
      </c>
      <c r="E6" s="533">
        <v>0</v>
      </c>
      <c r="F6" s="534">
        <v>0</v>
      </c>
      <c r="G6" s="533">
        <v>0</v>
      </c>
      <c r="H6" s="535">
        <v>0</v>
      </c>
      <c r="I6" s="533">
        <v>0</v>
      </c>
      <c r="J6" s="533">
        <v>0</v>
      </c>
      <c r="K6" s="533">
        <v>0</v>
      </c>
      <c r="L6" s="533">
        <v>0</v>
      </c>
      <c r="M6" s="534">
        <v>0</v>
      </c>
      <c r="N6" s="533">
        <v>0</v>
      </c>
      <c r="O6" s="533">
        <v>0</v>
      </c>
      <c r="P6" s="533">
        <v>0</v>
      </c>
      <c r="Q6" s="533">
        <v>0</v>
      </c>
      <c r="R6" s="533">
        <v>0</v>
      </c>
      <c r="S6" s="533">
        <v>0</v>
      </c>
      <c r="T6" s="533">
        <v>0</v>
      </c>
      <c r="U6" s="533">
        <v>0</v>
      </c>
      <c r="V6" s="533">
        <v>0</v>
      </c>
      <c r="W6" s="533">
        <v>0</v>
      </c>
      <c r="X6" s="533">
        <v>0</v>
      </c>
      <c r="Y6" s="533">
        <v>0</v>
      </c>
      <c r="Z6" s="533">
        <v>0</v>
      </c>
      <c r="AA6" s="533">
        <v>0</v>
      </c>
      <c r="AB6" s="534">
        <v>0</v>
      </c>
      <c r="AC6" s="533">
        <v>0</v>
      </c>
      <c r="AD6" s="533">
        <v>0</v>
      </c>
      <c r="AE6" s="533">
        <v>0</v>
      </c>
      <c r="AF6" s="533">
        <v>0</v>
      </c>
      <c r="AG6" s="533">
        <v>0</v>
      </c>
      <c r="AH6" s="533">
        <v>0</v>
      </c>
      <c r="AI6" s="533">
        <v>0</v>
      </c>
      <c r="AJ6" s="533">
        <v>0</v>
      </c>
      <c r="AK6" s="533">
        <v>0</v>
      </c>
      <c r="AL6" s="533">
        <v>0</v>
      </c>
      <c r="AM6" s="533">
        <v>0</v>
      </c>
      <c r="AN6" s="533">
        <v>0</v>
      </c>
      <c r="AO6" s="533">
        <v>0</v>
      </c>
      <c r="AP6" s="533">
        <v>0</v>
      </c>
      <c r="AQ6" s="533">
        <v>0</v>
      </c>
      <c r="AR6" s="533">
        <v>0</v>
      </c>
      <c r="AS6" s="533">
        <v>0</v>
      </c>
      <c r="AT6" s="533">
        <v>0</v>
      </c>
      <c r="AU6" s="533">
        <v>0</v>
      </c>
      <c r="AV6" s="533">
        <v>0</v>
      </c>
      <c r="AW6" s="533">
        <v>0</v>
      </c>
      <c r="AX6" s="533">
        <v>0</v>
      </c>
      <c r="AY6" s="533">
        <v>0</v>
      </c>
      <c r="AZ6" s="533">
        <v>0</v>
      </c>
      <c r="BA6" s="533">
        <v>0</v>
      </c>
      <c r="BB6" s="533">
        <v>0</v>
      </c>
      <c r="BC6" s="533">
        <v>0</v>
      </c>
      <c r="BD6" s="533">
        <v>0</v>
      </c>
      <c r="BE6" s="533">
        <v>0</v>
      </c>
      <c r="BF6" s="533">
        <v>0</v>
      </c>
      <c r="BG6" s="533">
        <v>0</v>
      </c>
      <c r="BH6" s="533">
        <v>0</v>
      </c>
      <c r="BI6" s="533">
        <v>0</v>
      </c>
      <c r="BJ6" s="533">
        <v>0</v>
      </c>
      <c r="BK6" s="533">
        <v>0</v>
      </c>
      <c r="BL6" s="533">
        <v>0</v>
      </c>
      <c r="BM6" s="533">
        <v>0</v>
      </c>
      <c r="BN6" s="533">
        <v>0</v>
      </c>
      <c r="BO6" s="533">
        <v>0</v>
      </c>
      <c r="BP6" s="533">
        <v>0</v>
      </c>
      <c r="BQ6" s="533">
        <v>0</v>
      </c>
      <c r="BR6" s="533">
        <v>0</v>
      </c>
      <c r="BS6" s="533">
        <v>0</v>
      </c>
      <c r="BT6" s="533">
        <v>0</v>
      </c>
      <c r="BU6" s="533">
        <v>0</v>
      </c>
      <c r="BV6" s="533">
        <v>0</v>
      </c>
      <c r="BW6" s="533">
        <v>0</v>
      </c>
      <c r="BX6" s="533">
        <v>0</v>
      </c>
      <c r="BY6" s="533">
        <v>0</v>
      </c>
      <c r="BZ6" s="533">
        <v>0</v>
      </c>
      <c r="CA6" s="533">
        <v>0</v>
      </c>
      <c r="CB6" s="533">
        <v>0</v>
      </c>
      <c r="CC6" s="533">
        <v>0</v>
      </c>
      <c r="CD6" s="533">
        <v>0</v>
      </c>
      <c r="CE6" s="533">
        <v>0</v>
      </c>
      <c r="CF6" s="533">
        <v>0</v>
      </c>
      <c r="CG6" s="533">
        <v>0</v>
      </c>
      <c r="CH6" s="533">
        <v>0</v>
      </c>
      <c r="CI6" s="533">
        <v>0</v>
      </c>
      <c r="CJ6" s="533">
        <v>0</v>
      </c>
      <c r="CK6" s="533">
        <v>0</v>
      </c>
      <c r="CL6" s="533">
        <v>0</v>
      </c>
      <c r="CM6" s="533">
        <v>0</v>
      </c>
      <c r="CN6" s="533">
        <v>0</v>
      </c>
      <c r="CO6" s="533">
        <v>0</v>
      </c>
      <c r="CP6" s="533">
        <v>0</v>
      </c>
      <c r="CQ6" s="533">
        <v>0</v>
      </c>
      <c r="CR6" s="533">
        <v>0</v>
      </c>
      <c r="CS6" s="533">
        <v>0</v>
      </c>
      <c r="CT6" s="533">
        <v>0</v>
      </c>
      <c r="CU6" s="533">
        <v>0</v>
      </c>
      <c r="CV6" s="533">
        <v>0</v>
      </c>
      <c r="CW6" s="533">
        <v>0</v>
      </c>
      <c r="CX6" s="533">
        <v>0</v>
      </c>
      <c r="CY6" s="533">
        <v>0</v>
      </c>
      <c r="CZ6" s="533">
        <v>0</v>
      </c>
      <c r="DA6" s="533">
        <v>0</v>
      </c>
      <c r="DB6" s="536">
        <v>0</v>
      </c>
      <c r="DC6" s="533">
        <v>0</v>
      </c>
      <c r="DD6" s="479">
        <v>0</v>
      </c>
      <c r="DE6" s="479">
        <v>0</v>
      </c>
      <c r="DF6" s="479">
        <v>0</v>
      </c>
      <c r="DG6" s="479">
        <v>0</v>
      </c>
      <c r="DH6" s="479">
        <v>0</v>
      </c>
      <c r="DI6" s="479">
        <v>0</v>
      </c>
      <c r="DJ6" s="479">
        <v>0</v>
      </c>
      <c r="DK6" s="479">
        <v>0</v>
      </c>
      <c r="DL6" s="479">
        <v>0</v>
      </c>
      <c r="DM6" s="479">
        <v>0</v>
      </c>
      <c r="DN6" s="479">
        <v>0</v>
      </c>
      <c r="DO6" s="479">
        <v>0</v>
      </c>
      <c r="DP6" s="479">
        <v>0</v>
      </c>
      <c r="DQ6" s="479">
        <v>0</v>
      </c>
      <c r="DR6" s="479">
        <v>0</v>
      </c>
      <c r="DS6" s="479">
        <v>0</v>
      </c>
      <c r="DT6" s="479">
        <v>0</v>
      </c>
      <c r="DU6" s="479">
        <v>0</v>
      </c>
      <c r="DV6" s="479">
        <v>0</v>
      </c>
      <c r="DW6" s="479">
        <v>0</v>
      </c>
      <c r="DX6" s="479">
        <v>0</v>
      </c>
      <c r="DY6" s="479">
        <v>0</v>
      </c>
      <c r="DZ6" s="479">
        <v>0</v>
      </c>
      <c r="EA6" s="479">
        <v>0</v>
      </c>
      <c r="EB6" s="479">
        <v>0</v>
      </c>
      <c r="EC6" s="479">
        <v>0</v>
      </c>
    </row>
    <row r="7" spans="1:133" ht="18" customHeight="1" x14ac:dyDescent="0.25">
      <c r="A7" s="481"/>
      <c r="B7" s="482"/>
      <c r="C7" s="537"/>
      <c r="D7" s="537"/>
      <c r="E7" s="537"/>
      <c r="F7" s="538"/>
      <c r="G7" s="537"/>
      <c r="H7" s="539"/>
      <c r="I7" s="537"/>
      <c r="J7" s="537"/>
      <c r="K7" s="537"/>
      <c r="L7" s="537"/>
      <c r="M7" s="538"/>
      <c r="N7" s="537"/>
      <c r="O7" s="537"/>
      <c r="P7" s="537"/>
      <c r="Q7" s="537"/>
      <c r="R7" s="537"/>
      <c r="S7" s="537"/>
      <c r="T7" s="537"/>
      <c r="U7" s="537"/>
      <c r="V7" s="537"/>
      <c r="W7" s="537"/>
      <c r="X7" s="537"/>
      <c r="Y7" s="537"/>
      <c r="Z7" s="537"/>
      <c r="AA7" s="537"/>
      <c r="AB7" s="538"/>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40"/>
      <c r="DC7" s="537"/>
      <c r="DD7" s="483"/>
      <c r="DE7" s="483"/>
      <c r="DF7" s="483"/>
      <c r="DG7" s="483"/>
      <c r="DH7" s="483"/>
      <c r="DI7" s="483"/>
      <c r="DJ7" s="483"/>
      <c r="DK7" s="483"/>
      <c r="DL7" s="483"/>
      <c r="DM7" s="483"/>
      <c r="DN7" s="483"/>
      <c r="DO7" s="483"/>
      <c r="DP7" s="483"/>
      <c r="DQ7" s="483"/>
      <c r="DR7" s="483"/>
      <c r="DS7" s="483"/>
      <c r="DT7" s="483"/>
      <c r="DU7" s="483"/>
      <c r="DV7" s="483"/>
      <c r="DW7" s="483"/>
      <c r="DX7" s="483"/>
      <c r="DY7" s="483"/>
      <c r="DZ7" s="483"/>
      <c r="EA7" s="483"/>
      <c r="EB7" s="483"/>
      <c r="EC7" s="483"/>
    </row>
    <row r="8" spans="1:133" ht="18" customHeight="1" x14ac:dyDescent="0.25">
      <c r="A8" s="477" t="s">
        <v>404</v>
      </c>
      <c r="B8" s="478" t="s">
        <v>405</v>
      </c>
      <c r="C8" s="533">
        <v>136178.43999452301</v>
      </c>
      <c r="D8" s="533">
        <v>116230.03408391667</v>
      </c>
      <c r="E8" s="533">
        <v>130132.37196290678</v>
      </c>
      <c r="F8" s="534">
        <v>139521.98715559201</v>
      </c>
      <c r="G8" s="533">
        <v>139367.33836026196</v>
      </c>
      <c r="H8" s="535">
        <v>157762.66453401314</v>
      </c>
      <c r="I8" s="533">
        <v>143451.05274890381</v>
      </c>
      <c r="J8" s="533">
        <v>148155.25278240716</v>
      </c>
      <c r="K8" s="533">
        <v>177797.85328286284</v>
      </c>
      <c r="L8" s="533">
        <v>183467.7645240183</v>
      </c>
      <c r="M8" s="534">
        <v>169663.0647888302</v>
      </c>
      <c r="N8" s="533">
        <v>195799.69742275891</v>
      </c>
      <c r="O8" s="533">
        <v>187507.06538600696</v>
      </c>
      <c r="P8" s="533">
        <v>199013.7328134976</v>
      </c>
      <c r="Q8" s="533">
        <v>205198.34475756431</v>
      </c>
      <c r="R8" s="533">
        <v>230350.69407867076</v>
      </c>
      <c r="S8" s="533">
        <v>233076.84816871831</v>
      </c>
      <c r="T8" s="533">
        <v>250966.8914985405</v>
      </c>
      <c r="U8" s="533">
        <v>276375.87292437919</v>
      </c>
      <c r="V8" s="533">
        <v>243155.21555671969</v>
      </c>
      <c r="W8" s="533">
        <v>240416.3637943858</v>
      </c>
      <c r="X8" s="533">
        <v>239185.99880830882</v>
      </c>
      <c r="Y8" s="533">
        <v>228709.43412511045</v>
      </c>
      <c r="Z8" s="533">
        <v>227011.69903462991</v>
      </c>
      <c r="AA8" s="533">
        <v>234098.59419943648</v>
      </c>
      <c r="AB8" s="534">
        <v>260109.87297384226</v>
      </c>
      <c r="AC8" s="533">
        <v>272734.00079297763</v>
      </c>
      <c r="AD8" s="533">
        <v>276341.08277825976</v>
      </c>
      <c r="AE8" s="533">
        <v>264167.83444763487</v>
      </c>
      <c r="AF8" s="533">
        <v>295025.7933259884</v>
      </c>
      <c r="AG8" s="533">
        <v>276984.07760893798</v>
      </c>
      <c r="AH8" s="533">
        <v>293130.94655232655</v>
      </c>
      <c r="AI8" s="533">
        <v>268554.87057226081</v>
      </c>
      <c r="AJ8" s="533">
        <v>259006.22230780192</v>
      </c>
      <c r="AK8" s="533">
        <v>236645.51199449706</v>
      </c>
      <c r="AL8" s="533">
        <v>243650.5208996307</v>
      </c>
      <c r="AM8" s="533">
        <v>255585.31891297194</v>
      </c>
      <c r="AN8" s="533">
        <v>279887.81503659399</v>
      </c>
      <c r="AO8" s="533">
        <v>257411.54356240056</v>
      </c>
      <c r="AP8" s="533">
        <v>235388.51431186678</v>
      </c>
      <c r="AQ8" s="533">
        <v>242599.32134361344</v>
      </c>
      <c r="AR8" s="533">
        <v>242909.14039155218</v>
      </c>
      <c r="AS8" s="533">
        <v>222126.34724996117</v>
      </c>
      <c r="AT8" s="533">
        <v>244276.71415654916</v>
      </c>
      <c r="AU8" s="533">
        <v>251635.90433816437</v>
      </c>
      <c r="AV8" s="533">
        <v>257142.14499298923</v>
      </c>
      <c r="AW8" s="533">
        <v>246223.51353805588</v>
      </c>
      <c r="AX8" s="533">
        <v>242231.97659319796</v>
      </c>
      <c r="AY8" s="533">
        <v>233918.13117396811</v>
      </c>
      <c r="AZ8" s="533">
        <v>216309.13123138339</v>
      </c>
      <c r="BA8" s="533">
        <v>206554.12635361252</v>
      </c>
      <c r="BB8" s="533">
        <v>214871.6219141389</v>
      </c>
      <c r="BC8" s="533">
        <v>223527.69391904242</v>
      </c>
      <c r="BD8" s="533">
        <v>218840.07105076354</v>
      </c>
      <c r="BE8" s="533">
        <v>236285.32378748566</v>
      </c>
      <c r="BF8" s="533">
        <v>246330.23434637161</v>
      </c>
      <c r="BG8" s="533">
        <v>239911.35103890789</v>
      </c>
      <c r="BH8" s="533">
        <v>251110.30049444461</v>
      </c>
      <c r="BI8" s="533">
        <v>233179.76966713739</v>
      </c>
      <c r="BJ8" s="533">
        <v>265891.45698459179</v>
      </c>
      <c r="BK8" s="533">
        <v>251091.27311556888</v>
      </c>
      <c r="BL8" s="533">
        <v>206610.44095982582</v>
      </c>
      <c r="BM8" s="533">
        <v>234315.70890849963</v>
      </c>
      <c r="BN8" s="533">
        <v>237730.71370376952</v>
      </c>
      <c r="BO8" s="533">
        <v>244526.9694849565</v>
      </c>
      <c r="BP8" s="533">
        <v>251433.09264393171</v>
      </c>
      <c r="BQ8" s="533">
        <v>248371.92779843963</v>
      </c>
      <c r="BR8" s="533">
        <v>249037.7096510827</v>
      </c>
      <c r="BS8" s="533">
        <v>249966.23457969213</v>
      </c>
      <c r="BT8" s="533">
        <v>209095.88711222709</v>
      </c>
      <c r="BU8" s="533">
        <v>245681.91932774591</v>
      </c>
      <c r="BV8" s="533">
        <v>204668.14780793706</v>
      </c>
      <c r="BW8" s="533">
        <v>235655.57660381799</v>
      </c>
      <c r="BX8" s="533">
        <v>210901.19464144739</v>
      </c>
      <c r="BY8" s="533">
        <v>197483.72443542042</v>
      </c>
      <c r="BZ8" s="533">
        <v>209697.98557407345</v>
      </c>
      <c r="CA8" s="533">
        <v>210427.60377609509</v>
      </c>
      <c r="CB8" s="533">
        <v>257384.77811784571</v>
      </c>
      <c r="CC8" s="533">
        <v>207166.58874576859</v>
      </c>
      <c r="CD8" s="533">
        <v>167566.96571080218</v>
      </c>
      <c r="CE8" s="533">
        <v>188761.54489262865</v>
      </c>
      <c r="CF8" s="533">
        <v>237917.17436641685</v>
      </c>
      <c r="CG8" s="533">
        <v>235637.24590558562</v>
      </c>
      <c r="CH8" s="533">
        <v>243001.46460930759</v>
      </c>
      <c r="CI8" s="533">
        <v>184322.05402565229</v>
      </c>
      <c r="CJ8" s="533">
        <v>226817.20269414515</v>
      </c>
      <c r="CK8" s="533">
        <v>196214.34019245527</v>
      </c>
      <c r="CL8" s="533">
        <v>205966.0335260616</v>
      </c>
      <c r="CM8" s="533">
        <v>214191.04639274476</v>
      </c>
      <c r="CN8" s="533">
        <v>214750.81469717098</v>
      </c>
      <c r="CO8" s="533">
        <v>238219.25371931389</v>
      </c>
      <c r="CP8" s="533">
        <v>252737.0724059433</v>
      </c>
      <c r="CQ8" s="533">
        <v>206447.59290120611</v>
      </c>
      <c r="CR8" s="533">
        <v>244517.21015118383</v>
      </c>
      <c r="CS8" s="533">
        <v>247465.85431716559</v>
      </c>
      <c r="CT8" s="533">
        <v>270782.79846521025</v>
      </c>
      <c r="CU8" s="533">
        <v>250902.03883934926</v>
      </c>
      <c r="CV8" s="533">
        <v>269445.49592200166</v>
      </c>
      <c r="CW8" s="533">
        <v>242742.17159747274</v>
      </c>
      <c r="CX8" s="533">
        <v>239745.49042027007</v>
      </c>
      <c r="CY8" s="533">
        <v>234926.05418041517</v>
      </c>
      <c r="CZ8" s="533">
        <v>242721.10131536936</v>
      </c>
      <c r="DA8" s="533">
        <v>290584.88886338269</v>
      </c>
      <c r="DB8" s="536">
        <v>258532.7906612095</v>
      </c>
      <c r="DC8" s="533">
        <v>268814.4350144621</v>
      </c>
      <c r="DD8" s="479">
        <v>285706.13734245277</v>
      </c>
      <c r="DE8" s="479">
        <v>272951.72499069362</v>
      </c>
      <c r="DF8" s="479">
        <v>242969.68492250441</v>
      </c>
      <c r="DG8" s="479">
        <v>236050.20186665712</v>
      </c>
      <c r="DH8" s="479">
        <v>257737.82243300517</v>
      </c>
      <c r="DI8" s="479">
        <v>262496.00318591669</v>
      </c>
      <c r="DJ8" s="479">
        <v>289195.25407391018</v>
      </c>
      <c r="DK8" s="479">
        <v>335244.44140372943</v>
      </c>
      <c r="DL8" s="479">
        <v>295887.05619782652</v>
      </c>
      <c r="DM8" s="479">
        <v>315595.85531323199</v>
      </c>
      <c r="DN8" s="479">
        <v>338188.46949475585</v>
      </c>
      <c r="DO8" s="479">
        <v>331380.512153321</v>
      </c>
      <c r="DP8" s="479">
        <v>377501.53602262237</v>
      </c>
      <c r="DQ8" s="479">
        <v>394177.68814548431</v>
      </c>
      <c r="DR8" s="479">
        <v>348902.27270686242</v>
      </c>
      <c r="DS8" s="479">
        <v>336992.56356861792</v>
      </c>
      <c r="DT8" s="479">
        <v>339309.86803061556</v>
      </c>
      <c r="DU8" s="479">
        <v>316066.89604870824</v>
      </c>
      <c r="DV8" s="479">
        <v>322475.19234866311</v>
      </c>
      <c r="DW8" s="479">
        <v>349653.48330574221</v>
      </c>
      <c r="DX8" s="479">
        <v>341526.73513839778</v>
      </c>
      <c r="DY8" s="479">
        <v>367632.98607355938</v>
      </c>
      <c r="DZ8" s="479">
        <v>390698.45735466084</v>
      </c>
      <c r="EA8" s="479">
        <v>400804.96087585425</v>
      </c>
      <c r="EB8" s="479">
        <v>363820.06286303781</v>
      </c>
      <c r="EC8" s="479">
        <v>384443.66476665728</v>
      </c>
    </row>
    <row r="9" spans="1:133" ht="18" customHeight="1" x14ac:dyDescent="0.25">
      <c r="A9" s="481" t="s">
        <v>406</v>
      </c>
      <c r="B9" s="482" t="s">
        <v>256</v>
      </c>
      <c r="C9" s="502">
        <v>2411.5080739245864</v>
      </c>
      <c r="D9" s="502">
        <v>2374.2704695120633</v>
      </c>
      <c r="E9" s="502">
        <v>2689.4286805223851</v>
      </c>
      <c r="F9" s="541">
        <v>2609.3305751896678</v>
      </c>
      <c r="G9" s="502">
        <v>2829.9908421619598</v>
      </c>
      <c r="H9" s="542">
        <v>3422.3627835995226</v>
      </c>
      <c r="I9" s="502">
        <v>3857.0544986418649</v>
      </c>
      <c r="J9" s="502">
        <v>2834.672189555828</v>
      </c>
      <c r="K9" s="502">
        <v>2471.2032170934831</v>
      </c>
      <c r="L9" s="502">
        <v>2242.8746434496229</v>
      </c>
      <c r="M9" s="541">
        <v>2325.7475869641262</v>
      </c>
      <c r="N9" s="502">
        <v>2201.1372161125737</v>
      </c>
      <c r="O9" s="502">
        <v>2000.4248363982758</v>
      </c>
      <c r="P9" s="502">
        <v>2248.1926656085639</v>
      </c>
      <c r="Q9" s="502">
        <v>2611.2474925302877</v>
      </c>
      <c r="R9" s="502">
        <v>2145.4001480244069</v>
      </c>
      <c r="S9" s="502">
        <v>2471.1521219531987</v>
      </c>
      <c r="T9" s="502">
        <v>2775.6725251363996</v>
      </c>
      <c r="U9" s="502">
        <v>3733.3959026907896</v>
      </c>
      <c r="V9" s="502">
        <v>2768.3246351410908</v>
      </c>
      <c r="W9" s="502">
        <v>2662.1335959648309</v>
      </c>
      <c r="X9" s="502">
        <v>2443.8508128417689</v>
      </c>
      <c r="Y9" s="502">
        <v>2448.3523229018556</v>
      </c>
      <c r="Z9" s="502">
        <v>2350.0757424319381</v>
      </c>
      <c r="AA9" s="502">
        <v>2179.8350122071138</v>
      </c>
      <c r="AB9" s="541">
        <v>2430.911087485094</v>
      </c>
      <c r="AC9" s="502">
        <v>2272.8653160495328</v>
      </c>
      <c r="AD9" s="502">
        <v>2236.8598920954041</v>
      </c>
      <c r="AE9" s="502">
        <v>2654.1271336085929</v>
      </c>
      <c r="AF9" s="502">
        <v>2637.0378675246689</v>
      </c>
      <c r="AG9" s="502">
        <v>4080.4407354679688</v>
      </c>
      <c r="AH9" s="502">
        <v>3184.1021022115565</v>
      </c>
      <c r="AI9" s="502">
        <v>2678.2470005154933</v>
      </c>
      <c r="AJ9" s="502">
        <v>2471.0397739160198</v>
      </c>
      <c r="AK9" s="502">
        <v>2611.3709323426338</v>
      </c>
      <c r="AL9" s="502">
        <v>2543.4467479521204</v>
      </c>
      <c r="AM9" s="502">
        <v>2419.4218642864121</v>
      </c>
      <c r="AN9" s="502">
        <v>2828.5732531700705</v>
      </c>
      <c r="AO9" s="502">
        <v>2635.5941385999749</v>
      </c>
      <c r="AP9" s="502">
        <v>2433.0508271385793</v>
      </c>
      <c r="AQ9" s="502">
        <v>2727.1367521419652</v>
      </c>
      <c r="AR9" s="502">
        <v>2735.8121807136531</v>
      </c>
      <c r="AS9" s="502">
        <v>4915.9890583607203</v>
      </c>
      <c r="AT9" s="502">
        <v>3156.0812645841052</v>
      </c>
      <c r="AU9" s="502">
        <v>2931.6981214160155</v>
      </c>
      <c r="AV9" s="502">
        <v>2635.3750150856335</v>
      </c>
      <c r="AW9" s="502">
        <v>2802.4667992532422</v>
      </c>
      <c r="AX9" s="502">
        <v>2500.8052513529528</v>
      </c>
      <c r="AY9" s="502">
        <v>2639.1395872433595</v>
      </c>
      <c r="AZ9" s="502">
        <v>2762.4244680578418</v>
      </c>
      <c r="BA9" s="502">
        <v>2763.1871916836071</v>
      </c>
      <c r="BB9" s="502">
        <v>2587.5747578782689</v>
      </c>
      <c r="BC9" s="502">
        <v>2615.9736950549827</v>
      </c>
      <c r="BD9" s="502">
        <v>2905.9479754705753</v>
      </c>
      <c r="BE9" s="502">
        <v>4540.4009026838485</v>
      </c>
      <c r="BF9" s="502">
        <v>3193.4770430194899</v>
      </c>
      <c r="BG9" s="502">
        <v>3013.6093341912247</v>
      </c>
      <c r="BH9" s="502">
        <v>3330.9740599154284</v>
      </c>
      <c r="BI9" s="502">
        <v>3034.4051382918592</v>
      </c>
      <c r="BJ9" s="502">
        <v>3057.9910606992457</v>
      </c>
      <c r="BK9" s="502">
        <v>3044.2690983029765</v>
      </c>
      <c r="BL9" s="502">
        <v>2922.3970337241335</v>
      </c>
      <c r="BM9" s="502">
        <v>3203.9671479032882</v>
      </c>
      <c r="BN9" s="502">
        <v>3270.4690305055519</v>
      </c>
      <c r="BO9" s="502">
        <v>3170.4250638812568</v>
      </c>
      <c r="BP9" s="502">
        <v>3235.2780204776659</v>
      </c>
      <c r="BQ9" s="502">
        <v>4205.9198756393207</v>
      </c>
      <c r="BR9" s="502">
        <v>3861.1149867947979</v>
      </c>
      <c r="BS9" s="502">
        <v>3247.8468417434906</v>
      </c>
      <c r="BT9" s="502">
        <v>3401.457315797285</v>
      </c>
      <c r="BU9" s="502">
        <v>3143.0336881032258</v>
      </c>
      <c r="BV9" s="502">
        <v>3347.6792710326076</v>
      </c>
      <c r="BW9" s="502">
        <v>3195.4686562305333</v>
      </c>
      <c r="BX9" s="502">
        <v>3270.5200782956481</v>
      </c>
      <c r="BY9" s="502">
        <v>3722.8116416959419</v>
      </c>
      <c r="BZ9" s="502">
        <v>3522.4362761507259</v>
      </c>
      <c r="CA9" s="502">
        <v>3952.2740490782348</v>
      </c>
      <c r="CB9" s="502">
        <v>3989.8715547605752</v>
      </c>
      <c r="CC9" s="502">
        <v>4740.2541348085651</v>
      </c>
      <c r="CD9" s="502">
        <v>3775.5713950513682</v>
      </c>
      <c r="CE9" s="502">
        <v>3639.9467417759838</v>
      </c>
      <c r="CF9" s="502">
        <v>3311.4361768832928</v>
      </c>
      <c r="CG9" s="502">
        <v>3394.0250294460238</v>
      </c>
      <c r="CH9" s="502">
        <v>3668.905479245519</v>
      </c>
      <c r="CI9" s="502">
        <v>3070.8687497072065</v>
      </c>
      <c r="CJ9" s="502">
        <v>3325.0385551201116</v>
      </c>
      <c r="CK9" s="502">
        <v>3591.2501800222963</v>
      </c>
      <c r="CL9" s="502">
        <v>3575.2710323313904</v>
      </c>
      <c r="CM9" s="502">
        <v>4228.1544489717844</v>
      </c>
      <c r="CN9" s="502">
        <v>3979.8004943419373</v>
      </c>
      <c r="CO9" s="502">
        <v>5631.2046430665814</v>
      </c>
      <c r="CP9" s="502">
        <v>4740.5413379273359</v>
      </c>
      <c r="CQ9" s="502">
        <v>4117.169277216608</v>
      </c>
      <c r="CR9" s="502">
        <v>4350.2830175349127</v>
      </c>
      <c r="CS9" s="502">
        <v>4595.5736209331744</v>
      </c>
      <c r="CT9" s="502">
        <v>4328.48083655542</v>
      </c>
      <c r="CU9" s="502">
        <v>4265.2787515115488</v>
      </c>
      <c r="CV9" s="502">
        <v>4924.9564298555197</v>
      </c>
      <c r="CW9" s="502">
        <v>4657.8419114214403</v>
      </c>
      <c r="CX9" s="502">
        <v>4653.6821646892813</v>
      </c>
      <c r="CY9" s="502">
        <v>5258.6775262798319</v>
      </c>
      <c r="CZ9" s="502">
        <v>5000.8422295872233</v>
      </c>
      <c r="DA9" s="502">
        <v>7541.1297477780081</v>
      </c>
      <c r="DB9" s="543">
        <v>5696.6861018466498</v>
      </c>
      <c r="DC9" s="502">
        <v>5342.9772100147902</v>
      </c>
      <c r="DD9" s="484">
        <v>5082.5744356377782</v>
      </c>
      <c r="DE9" s="484">
        <v>5534.5428225165551</v>
      </c>
      <c r="DF9" s="484">
        <v>4746.6565046213336</v>
      </c>
      <c r="DG9" s="484">
        <v>5116.0131775995214</v>
      </c>
      <c r="DH9" s="484">
        <v>5683.0228153632033</v>
      </c>
      <c r="DI9" s="484">
        <v>5273.0900524908002</v>
      </c>
      <c r="DJ9" s="484">
        <v>5125.9676858581461</v>
      </c>
      <c r="DK9" s="484">
        <v>4865.0798025394242</v>
      </c>
      <c r="DL9" s="484">
        <v>5198.890955817642</v>
      </c>
      <c r="DM9" s="484">
        <v>7837.5746487442948</v>
      </c>
      <c r="DN9" s="484">
        <v>5086.5721653655328</v>
      </c>
      <c r="DO9" s="484">
        <v>5053.8487829730348</v>
      </c>
      <c r="DP9" s="484">
        <v>5054.5801841706088</v>
      </c>
      <c r="DQ9" s="484">
        <v>5379.3081092375642</v>
      </c>
      <c r="DR9" s="484">
        <v>4599.7201895170774</v>
      </c>
      <c r="DS9" s="484">
        <v>4833.9303135237033</v>
      </c>
      <c r="DT9" s="484">
        <v>4950.7916989490132</v>
      </c>
      <c r="DU9" s="484">
        <v>4459.103063109801</v>
      </c>
      <c r="DV9" s="484">
        <v>4886.0362954374013</v>
      </c>
      <c r="DW9" s="484">
        <v>4722.4478274572666</v>
      </c>
      <c r="DX9" s="484">
        <v>4614.4004923019756</v>
      </c>
      <c r="DY9" s="484">
        <v>6438.9424066916354</v>
      </c>
      <c r="DZ9" s="484">
        <v>5186.4291960353639</v>
      </c>
      <c r="EA9" s="484">
        <v>4561.3787380037893</v>
      </c>
      <c r="EB9" s="484">
        <v>4923.5875449737123</v>
      </c>
      <c r="EC9" s="484">
        <v>4582.0728816730443</v>
      </c>
    </row>
    <row r="10" spans="1:133" ht="18" customHeight="1" x14ac:dyDescent="0.25">
      <c r="A10" s="481" t="s">
        <v>408</v>
      </c>
      <c r="B10" s="482" t="s">
        <v>459</v>
      </c>
      <c r="C10" s="502">
        <v>19372.497178089121</v>
      </c>
      <c r="D10" s="502">
        <v>21811.45304293888</v>
      </c>
      <c r="E10" s="502">
        <v>20140.064850267598</v>
      </c>
      <c r="F10" s="541">
        <v>22500.198349040598</v>
      </c>
      <c r="G10" s="502">
        <v>21091.447033129349</v>
      </c>
      <c r="H10" s="542">
        <v>33863.571290211439</v>
      </c>
      <c r="I10" s="502">
        <v>16950.46396142547</v>
      </c>
      <c r="J10" s="502">
        <v>24828.484319455329</v>
      </c>
      <c r="K10" s="502">
        <v>20520.348330811332</v>
      </c>
      <c r="L10" s="502">
        <v>21788.716617751496</v>
      </c>
      <c r="M10" s="541">
        <v>21136.533940462206</v>
      </c>
      <c r="N10" s="502">
        <v>21881.029047653123</v>
      </c>
      <c r="O10" s="502">
        <v>29961.791713402781</v>
      </c>
      <c r="P10" s="502">
        <v>72762.31758220683</v>
      </c>
      <c r="Q10" s="502">
        <v>19813.471024808143</v>
      </c>
      <c r="R10" s="502">
        <v>24781.925601504456</v>
      </c>
      <c r="S10" s="502">
        <v>23970.775045566035</v>
      </c>
      <c r="T10" s="502">
        <v>79364.872045984797</v>
      </c>
      <c r="U10" s="502">
        <v>90373.548526471655</v>
      </c>
      <c r="V10" s="502">
        <v>85467.674202021604</v>
      </c>
      <c r="W10" s="502">
        <v>85963.10252231441</v>
      </c>
      <c r="X10" s="502">
        <v>87001.712854412603</v>
      </c>
      <c r="Y10" s="502">
        <v>73024.245739335296</v>
      </c>
      <c r="Z10" s="502">
        <v>74868.258054711288</v>
      </c>
      <c r="AA10" s="502">
        <v>85554.140486566248</v>
      </c>
      <c r="AB10" s="541">
        <v>95310.67266924381</v>
      </c>
      <c r="AC10" s="502">
        <v>99393.637243461111</v>
      </c>
      <c r="AD10" s="502">
        <v>106461.49659481132</v>
      </c>
      <c r="AE10" s="502">
        <v>104985.64466603976</v>
      </c>
      <c r="AF10" s="502">
        <v>128165.25093603706</v>
      </c>
      <c r="AG10" s="502">
        <v>118998.08743565575</v>
      </c>
      <c r="AH10" s="502">
        <v>115973.95053092935</v>
      </c>
      <c r="AI10" s="502">
        <v>121881.17877102098</v>
      </c>
      <c r="AJ10" s="502">
        <v>115071.06459612236</v>
      </c>
      <c r="AK10" s="502">
        <v>103068.83960736473</v>
      </c>
      <c r="AL10" s="502">
        <v>115070.62113672115</v>
      </c>
      <c r="AM10" s="502">
        <v>116133.69736549529</v>
      </c>
      <c r="AN10" s="502">
        <v>124154.22723424113</v>
      </c>
      <c r="AO10" s="502">
        <v>122454.82181064108</v>
      </c>
      <c r="AP10" s="502">
        <v>102430.08047653887</v>
      </c>
      <c r="AQ10" s="502">
        <v>105500.37623858193</v>
      </c>
      <c r="AR10" s="502">
        <v>111256.13827532271</v>
      </c>
      <c r="AS10" s="502">
        <v>93611.401633474787</v>
      </c>
      <c r="AT10" s="502">
        <v>109013.44494751716</v>
      </c>
      <c r="AU10" s="502">
        <v>116223.12000862884</v>
      </c>
      <c r="AV10" s="502">
        <v>121059.02344704936</v>
      </c>
      <c r="AW10" s="502">
        <v>115228.04676245789</v>
      </c>
      <c r="AX10" s="502">
        <v>128385.0851598944</v>
      </c>
      <c r="AY10" s="502">
        <v>116008.65179457638</v>
      </c>
      <c r="AZ10" s="502">
        <v>112596.29078310099</v>
      </c>
      <c r="BA10" s="502">
        <v>92141.03188137633</v>
      </c>
      <c r="BB10" s="502">
        <v>111171.92101952963</v>
      </c>
      <c r="BC10" s="502">
        <v>126452.85822182799</v>
      </c>
      <c r="BD10" s="502">
        <v>117627.13513352763</v>
      </c>
      <c r="BE10" s="502">
        <v>131861.36605195337</v>
      </c>
      <c r="BF10" s="502">
        <v>84638.301057638717</v>
      </c>
      <c r="BG10" s="502">
        <v>111324.48024282596</v>
      </c>
      <c r="BH10" s="502">
        <v>116309.43157712731</v>
      </c>
      <c r="BI10" s="502">
        <v>123528.10856784337</v>
      </c>
      <c r="BJ10" s="502">
        <v>129109.5650927508</v>
      </c>
      <c r="BK10" s="502">
        <v>118853.8001190136</v>
      </c>
      <c r="BL10" s="502">
        <v>106418.78767673639</v>
      </c>
      <c r="BM10" s="502">
        <v>111174.67117188471</v>
      </c>
      <c r="BN10" s="502">
        <v>125694.95124885418</v>
      </c>
      <c r="BO10" s="502">
        <v>120080.24828405512</v>
      </c>
      <c r="BP10" s="502">
        <v>140257.65722166409</v>
      </c>
      <c r="BQ10" s="502">
        <v>130678.39432055525</v>
      </c>
      <c r="BR10" s="502">
        <v>112871.51547570368</v>
      </c>
      <c r="BS10" s="502">
        <v>126582.20599317455</v>
      </c>
      <c r="BT10" s="502">
        <v>105608.86744171046</v>
      </c>
      <c r="BU10" s="502">
        <v>99480.647649199571</v>
      </c>
      <c r="BV10" s="502">
        <v>94612.881897526109</v>
      </c>
      <c r="BW10" s="502">
        <v>111227.37928747242</v>
      </c>
      <c r="BX10" s="502">
        <v>95601.870036061155</v>
      </c>
      <c r="BY10" s="502">
        <v>96979.441764803458</v>
      </c>
      <c r="BZ10" s="502">
        <v>94022.876384923948</v>
      </c>
      <c r="CA10" s="502">
        <v>75984.590253608243</v>
      </c>
      <c r="CB10" s="502">
        <v>88303.756366307178</v>
      </c>
      <c r="CC10" s="502">
        <v>80666.989539758899</v>
      </c>
      <c r="CD10" s="502">
        <v>74904.430257042593</v>
      </c>
      <c r="CE10" s="502">
        <v>96230.596931217719</v>
      </c>
      <c r="CF10" s="502">
        <v>152820.72861303377</v>
      </c>
      <c r="CG10" s="502">
        <v>138913.21934683764</v>
      </c>
      <c r="CH10" s="502">
        <v>160088.27656827722</v>
      </c>
      <c r="CI10" s="502">
        <v>101587.37974218235</v>
      </c>
      <c r="CJ10" s="502">
        <v>141205.43091802069</v>
      </c>
      <c r="CK10" s="502">
        <v>100357.13402877848</v>
      </c>
      <c r="CL10" s="502">
        <v>113904.00472743899</v>
      </c>
      <c r="CM10" s="502">
        <v>122004.62938306242</v>
      </c>
      <c r="CN10" s="502">
        <v>123236.02790771764</v>
      </c>
      <c r="CO10" s="502">
        <v>142045.80793896987</v>
      </c>
      <c r="CP10" s="502">
        <v>150699.32882133598</v>
      </c>
      <c r="CQ10" s="502">
        <v>103299.29378094574</v>
      </c>
      <c r="CR10" s="502">
        <v>121203.6343163019</v>
      </c>
      <c r="CS10" s="502">
        <v>125864.31109058317</v>
      </c>
      <c r="CT10" s="502">
        <v>138876.43120396076</v>
      </c>
      <c r="CU10" s="502">
        <v>130521.48745361326</v>
      </c>
      <c r="CV10" s="502">
        <v>130921.21079618514</v>
      </c>
      <c r="CW10" s="502">
        <v>125529.51688840915</v>
      </c>
      <c r="CX10" s="502">
        <v>125287.93493414717</v>
      </c>
      <c r="CY10" s="502">
        <v>124316.86160103552</v>
      </c>
      <c r="CZ10" s="502">
        <v>139009.63917346575</v>
      </c>
      <c r="DA10" s="502">
        <v>167737.88234618085</v>
      </c>
      <c r="DB10" s="543">
        <v>129846.3850754505</v>
      </c>
      <c r="DC10" s="502">
        <v>126437.55507817506</v>
      </c>
      <c r="DD10" s="484">
        <v>130889.365528255</v>
      </c>
      <c r="DE10" s="484">
        <v>138172.23158810395</v>
      </c>
      <c r="DF10" s="484">
        <v>113329.40477299481</v>
      </c>
      <c r="DG10" s="484">
        <v>116568.44757469567</v>
      </c>
      <c r="DH10" s="484">
        <v>142342.73141195992</v>
      </c>
      <c r="DI10" s="484">
        <v>138598.42789742717</v>
      </c>
      <c r="DJ10" s="484">
        <v>154106.64685385866</v>
      </c>
      <c r="DK10" s="484">
        <v>201451.11418156669</v>
      </c>
      <c r="DL10" s="484">
        <v>185183.87815653649</v>
      </c>
      <c r="DM10" s="484">
        <v>206233.5784419968</v>
      </c>
      <c r="DN10" s="484">
        <v>222409.48751441398</v>
      </c>
      <c r="DO10" s="484">
        <v>208759.98297655224</v>
      </c>
      <c r="DP10" s="484">
        <v>250959.52571014588</v>
      </c>
      <c r="DQ10" s="484">
        <v>238558.29390946688</v>
      </c>
      <c r="DR10" s="484">
        <v>209408.28189275225</v>
      </c>
      <c r="DS10" s="484">
        <v>186186.05511814312</v>
      </c>
      <c r="DT10" s="484">
        <v>210630.3081384486</v>
      </c>
      <c r="DU10" s="484">
        <v>181828.24739331254</v>
      </c>
      <c r="DV10" s="484">
        <v>181238.31852252217</v>
      </c>
      <c r="DW10" s="484">
        <v>183086.09635993847</v>
      </c>
      <c r="DX10" s="484">
        <v>188894.15060057904</v>
      </c>
      <c r="DY10" s="484">
        <v>201888.18310004377</v>
      </c>
      <c r="DZ10" s="484">
        <v>197009.69014154829</v>
      </c>
      <c r="EA10" s="484">
        <v>188237.1896677457</v>
      </c>
      <c r="EB10" s="484">
        <v>171072.17853277794</v>
      </c>
      <c r="EC10" s="484">
        <v>178043.27457520776</v>
      </c>
    </row>
    <row r="11" spans="1:133" ht="18" customHeight="1" x14ac:dyDescent="0.25">
      <c r="A11" s="481" t="s">
        <v>410</v>
      </c>
      <c r="B11" s="482" t="s">
        <v>460</v>
      </c>
      <c r="C11" s="502">
        <v>70.920454319999934</v>
      </c>
      <c r="D11" s="502">
        <v>360.85227277419995</v>
      </c>
      <c r="E11" s="502">
        <v>575.23873825420014</v>
      </c>
      <c r="F11" s="541">
        <v>246.11876686240001</v>
      </c>
      <c r="G11" s="502">
        <v>218.11239322679995</v>
      </c>
      <c r="H11" s="542">
        <v>835.80947388940001</v>
      </c>
      <c r="I11" s="502">
        <v>763.9751539163999</v>
      </c>
      <c r="J11" s="502">
        <v>1359.5783642255999</v>
      </c>
      <c r="K11" s="502">
        <v>705.37565373860014</v>
      </c>
      <c r="L11" s="502">
        <v>411.56452298479996</v>
      </c>
      <c r="M11" s="541">
        <v>620.27342922080004</v>
      </c>
      <c r="N11" s="502">
        <v>360.01000025300004</v>
      </c>
      <c r="O11" s="502">
        <v>104.19486440619993</v>
      </c>
      <c r="P11" s="502">
        <v>335.37000679859995</v>
      </c>
      <c r="Q11" s="502">
        <v>65.502828061600027</v>
      </c>
      <c r="R11" s="502">
        <v>72.012554168299999</v>
      </c>
      <c r="S11" s="502">
        <v>61.778148959799928</v>
      </c>
      <c r="T11" s="502">
        <v>95.56619359200009</v>
      </c>
      <c r="U11" s="502">
        <v>98.153958074999935</v>
      </c>
      <c r="V11" s="502">
        <v>151.68436484839989</v>
      </c>
      <c r="W11" s="502">
        <v>138.59943383369992</v>
      </c>
      <c r="X11" s="502">
        <v>78.566557189999941</v>
      </c>
      <c r="Y11" s="502">
        <v>66.169113649999971</v>
      </c>
      <c r="Z11" s="502">
        <v>63.810968990000006</v>
      </c>
      <c r="AA11" s="502">
        <v>77.894420040000085</v>
      </c>
      <c r="AB11" s="541">
        <v>55.28352579999995</v>
      </c>
      <c r="AC11" s="502">
        <v>84.578675290000078</v>
      </c>
      <c r="AD11" s="502">
        <v>53.702130899999979</v>
      </c>
      <c r="AE11" s="502">
        <v>54.629029289999963</v>
      </c>
      <c r="AF11" s="502">
        <v>31.799534870000006</v>
      </c>
      <c r="AG11" s="502">
        <v>33.147472899999855</v>
      </c>
      <c r="AH11" s="502">
        <v>33.617811150000094</v>
      </c>
      <c r="AI11" s="502">
        <v>28.310095590000035</v>
      </c>
      <c r="AJ11" s="502">
        <v>28.007880570000051</v>
      </c>
      <c r="AK11" s="502">
        <v>30.128625680000066</v>
      </c>
      <c r="AL11" s="502">
        <v>80.019914529999738</v>
      </c>
      <c r="AM11" s="502">
        <v>68.183187889999985</v>
      </c>
      <c r="AN11" s="502">
        <v>98.778285340000039</v>
      </c>
      <c r="AO11" s="502">
        <v>77.690181239999887</v>
      </c>
      <c r="AP11" s="502">
        <v>94.587463599999907</v>
      </c>
      <c r="AQ11" s="502">
        <v>107.04570761999989</v>
      </c>
      <c r="AR11" s="502">
        <v>101.31739917999982</v>
      </c>
      <c r="AS11" s="502">
        <v>97.130994959999796</v>
      </c>
      <c r="AT11" s="502">
        <v>96.348543409999849</v>
      </c>
      <c r="AU11" s="502">
        <v>131.95658680999995</v>
      </c>
      <c r="AV11" s="502">
        <v>239.06982174000001</v>
      </c>
      <c r="AW11" s="502">
        <v>316.99842974000023</v>
      </c>
      <c r="AX11" s="502">
        <v>391.93407399000023</v>
      </c>
      <c r="AY11" s="502">
        <v>313.37631256999993</v>
      </c>
      <c r="AZ11" s="502">
        <v>430.17006928000023</v>
      </c>
      <c r="BA11" s="502">
        <v>415.23923310999987</v>
      </c>
      <c r="BB11" s="502">
        <v>271.22492728999998</v>
      </c>
      <c r="BC11" s="502">
        <v>381.38800407000019</v>
      </c>
      <c r="BD11" s="502">
        <v>341.2010708900001</v>
      </c>
      <c r="BE11" s="502">
        <v>557.14549523000005</v>
      </c>
      <c r="BF11" s="502">
        <v>421.33078375000002</v>
      </c>
      <c r="BG11" s="502">
        <v>507.93813001000046</v>
      </c>
      <c r="BH11" s="502">
        <v>692.28925011000013</v>
      </c>
      <c r="BI11" s="502">
        <v>424.70352194999981</v>
      </c>
      <c r="BJ11" s="502">
        <v>482.5556980799999</v>
      </c>
      <c r="BK11" s="502">
        <v>863.6718329399996</v>
      </c>
      <c r="BL11" s="502">
        <v>641.06922653000026</v>
      </c>
      <c r="BM11" s="502">
        <v>601.57831634000013</v>
      </c>
      <c r="BN11" s="502">
        <v>569.73809253999991</v>
      </c>
      <c r="BO11" s="502">
        <v>910.43725463000055</v>
      </c>
      <c r="BP11" s="502">
        <v>547.17586496000024</v>
      </c>
      <c r="BQ11" s="502">
        <v>495.22329861000014</v>
      </c>
      <c r="BR11" s="502">
        <v>583.4981277400002</v>
      </c>
      <c r="BS11" s="502">
        <v>569.72189308000031</v>
      </c>
      <c r="BT11" s="502">
        <v>668.82277629999999</v>
      </c>
      <c r="BU11" s="502">
        <v>1078.9575788999998</v>
      </c>
      <c r="BV11" s="502">
        <v>965.06436724999958</v>
      </c>
      <c r="BW11" s="502">
        <v>316.563514</v>
      </c>
      <c r="BX11" s="502">
        <v>747.3139162599997</v>
      </c>
      <c r="BY11" s="502">
        <v>457.11329188000013</v>
      </c>
      <c r="BZ11" s="502">
        <v>450.92952379999969</v>
      </c>
      <c r="CA11" s="502">
        <v>449.15714103000067</v>
      </c>
      <c r="CB11" s="502">
        <v>465.92530578999998</v>
      </c>
      <c r="CC11" s="502">
        <v>544.45027290000007</v>
      </c>
      <c r="CD11" s="502">
        <v>496.84693280999994</v>
      </c>
      <c r="CE11" s="502">
        <v>440.59300530000019</v>
      </c>
      <c r="CF11" s="502">
        <v>428.37721201000073</v>
      </c>
      <c r="CG11" s="502">
        <v>470.43509617999985</v>
      </c>
      <c r="CH11" s="502">
        <v>468.40562928999947</v>
      </c>
      <c r="CI11" s="502">
        <v>846.99559690000058</v>
      </c>
      <c r="CJ11" s="502">
        <v>551.03779815000007</v>
      </c>
      <c r="CK11" s="502">
        <v>522.49862458999917</v>
      </c>
      <c r="CL11" s="502">
        <v>550.27020068999957</v>
      </c>
      <c r="CM11" s="502">
        <v>521.57993880000015</v>
      </c>
      <c r="CN11" s="502">
        <v>503.31552029000187</v>
      </c>
      <c r="CO11" s="502">
        <v>474.16894263000012</v>
      </c>
      <c r="CP11" s="502">
        <v>444.25430463000009</v>
      </c>
      <c r="CQ11" s="502">
        <v>437.27444015999936</v>
      </c>
      <c r="CR11" s="502">
        <v>495.43944164249973</v>
      </c>
      <c r="CS11" s="502">
        <v>492.46616275000002</v>
      </c>
      <c r="CT11" s="502">
        <v>512.05535365999981</v>
      </c>
      <c r="CU11" s="502">
        <v>525.59625028999903</v>
      </c>
      <c r="CV11" s="502">
        <v>636.50294570000028</v>
      </c>
      <c r="CW11" s="502">
        <v>531.06777960999966</v>
      </c>
      <c r="CX11" s="502">
        <v>586.81111527000041</v>
      </c>
      <c r="CY11" s="502">
        <v>657.67253418999962</v>
      </c>
      <c r="CZ11" s="502">
        <v>589.27336230000117</v>
      </c>
      <c r="DA11" s="502">
        <v>515.06294638999941</v>
      </c>
      <c r="DB11" s="543">
        <v>552.18107610000038</v>
      </c>
      <c r="DC11" s="502">
        <v>517.36964908000084</v>
      </c>
      <c r="DD11" s="484">
        <v>538.15694584000016</v>
      </c>
      <c r="DE11" s="484">
        <v>665.4054015800009</v>
      </c>
      <c r="DF11" s="484">
        <v>643.64173960000039</v>
      </c>
      <c r="DG11" s="484">
        <v>760.17521486000044</v>
      </c>
      <c r="DH11" s="484">
        <v>781.40613690000157</v>
      </c>
      <c r="DI11" s="484">
        <v>648.01487551000025</v>
      </c>
      <c r="DJ11" s="484">
        <v>659.25742778999995</v>
      </c>
      <c r="DK11" s="484">
        <v>426.32865156000094</v>
      </c>
      <c r="DL11" s="484">
        <v>393.18551452999895</v>
      </c>
      <c r="DM11" s="484">
        <v>257.57290196000002</v>
      </c>
      <c r="DN11" s="484">
        <v>90.264012689999277</v>
      </c>
      <c r="DO11" s="484">
        <v>429.60701761000001</v>
      </c>
      <c r="DP11" s="484">
        <v>458.47945472999959</v>
      </c>
      <c r="DQ11" s="484">
        <v>510.36277902999893</v>
      </c>
      <c r="DR11" s="484">
        <v>513.06052730000022</v>
      </c>
      <c r="DS11" s="484">
        <v>537.83896939999886</v>
      </c>
      <c r="DT11" s="484">
        <v>529.04466301999844</v>
      </c>
      <c r="DU11" s="484">
        <v>781.28570226000045</v>
      </c>
      <c r="DV11" s="484">
        <v>798.98383235000017</v>
      </c>
      <c r="DW11" s="484">
        <v>802.17052043000081</v>
      </c>
      <c r="DX11" s="484">
        <v>853.41580533999945</v>
      </c>
      <c r="DY11" s="484">
        <v>887.7608411399998</v>
      </c>
      <c r="DZ11" s="484">
        <v>1074.39443353</v>
      </c>
      <c r="EA11" s="484">
        <v>1269.1203251200006</v>
      </c>
      <c r="EB11" s="484">
        <v>1067.1410411100001</v>
      </c>
      <c r="EC11" s="484">
        <v>1071.3206721700005</v>
      </c>
    </row>
    <row r="12" spans="1:133" ht="18" customHeight="1" x14ac:dyDescent="0.25">
      <c r="A12" s="481" t="s">
        <v>412</v>
      </c>
      <c r="B12" s="482" t="s">
        <v>461</v>
      </c>
      <c r="C12" s="502">
        <v>114323.5142881893</v>
      </c>
      <c r="D12" s="502">
        <v>91683.458298691534</v>
      </c>
      <c r="E12" s="502">
        <v>106727.6396938626</v>
      </c>
      <c r="F12" s="541">
        <v>114166.33946449935</v>
      </c>
      <c r="G12" s="502">
        <v>115227.78809174386</v>
      </c>
      <c r="H12" s="542">
        <v>119640.92098631279</v>
      </c>
      <c r="I12" s="502">
        <v>121879.55913492008</v>
      </c>
      <c r="J12" s="502">
        <v>119132.5179091704</v>
      </c>
      <c r="K12" s="502">
        <v>154100.92608121943</v>
      </c>
      <c r="L12" s="502">
        <v>159024.60873983239</v>
      </c>
      <c r="M12" s="541">
        <v>145580.50983218307</v>
      </c>
      <c r="N12" s="502">
        <v>171357.52115874022</v>
      </c>
      <c r="O12" s="502">
        <v>155440.65397179971</v>
      </c>
      <c r="P12" s="502">
        <v>123667.85255888358</v>
      </c>
      <c r="Q12" s="502">
        <v>182708.12341216428</v>
      </c>
      <c r="R12" s="502">
        <v>203351.35577497361</v>
      </c>
      <c r="S12" s="502">
        <v>206573.14285223928</v>
      </c>
      <c r="T12" s="502">
        <v>168730.7807338273</v>
      </c>
      <c r="U12" s="502">
        <v>182170.77453714173</v>
      </c>
      <c r="V12" s="502">
        <v>154767.53235470859</v>
      </c>
      <c r="W12" s="502">
        <v>151652.52824227285</v>
      </c>
      <c r="X12" s="502">
        <v>149661.86858386445</v>
      </c>
      <c r="Y12" s="502">
        <v>153170.66694922329</v>
      </c>
      <c r="Z12" s="502">
        <v>149729.55426849669</v>
      </c>
      <c r="AA12" s="502">
        <v>146286.72428062311</v>
      </c>
      <c r="AB12" s="541">
        <v>162313.00569131336</v>
      </c>
      <c r="AC12" s="502">
        <v>170982.919558177</v>
      </c>
      <c r="AD12" s="502">
        <v>167589.02416045303</v>
      </c>
      <c r="AE12" s="502">
        <v>156473.43361869655</v>
      </c>
      <c r="AF12" s="502">
        <v>164191.70498755667</v>
      </c>
      <c r="AG12" s="502">
        <v>153872.40196491426</v>
      </c>
      <c r="AH12" s="502">
        <v>173939.27610803567</v>
      </c>
      <c r="AI12" s="502">
        <v>143967.13470513438</v>
      </c>
      <c r="AJ12" s="502">
        <v>141436.11005719352</v>
      </c>
      <c r="AK12" s="502">
        <v>130935.17282910971</v>
      </c>
      <c r="AL12" s="502">
        <v>125956.43310042743</v>
      </c>
      <c r="AM12" s="502">
        <v>136964.01649530025</v>
      </c>
      <c r="AN12" s="502">
        <v>152806.23626384279</v>
      </c>
      <c r="AO12" s="502">
        <v>132243.4374319195</v>
      </c>
      <c r="AP12" s="502">
        <v>130430.79554458933</v>
      </c>
      <c r="AQ12" s="502">
        <v>134264.76264526957</v>
      </c>
      <c r="AR12" s="502">
        <v>128815.87253633582</v>
      </c>
      <c r="AS12" s="502">
        <v>123501.82556316566</v>
      </c>
      <c r="AT12" s="502">
        <v>132010.8394010379</v>
      </c>
      <c r="AU12" s="502">
        <v>132349.12962130949</v>
      </c>
      <c r="AV12" s="502">
        <v>133208.67670911422</v>
      </c>
      <c r="AW12" s="502">
        <v>127876.00154660475</v>
      </c>
      <c r="AX12" s="502">
        <v>110954.1521079606</v>
      </c>
      <c r="AY12" s="502">
        <v>114956.96347957836</v>
      </c>
      <c r="AZ12" s="502">
        <v>100520.24591094456</v>
      </c>
      <c r="BA12" s="502">
        <v>111234.66804744258</v>
      </c>
      <c r="BB12" s="502">
        <v>100840.901209441</v>
      </c>
      <c r="BC12" s="502">
        <v>94077.473998089437</v>
      </c>
      <c r="BD12" s="502">
        <v>97965.786870875338</v>
      </c>
      <c r="BE12" s="502">
        <v>99326.41133761844</v>
      </c>
      <c r="BF12" s="502">
        <v>158077.12546196338</v>
      </c>
      <c r="BG12" s="502">
        <v>125065.3233318807</v>
      </c>
      <c r="BH12" s="502">
        <v>130777.60560729186</v>
      </c>
      <c r="BI12" s="502">
        <v>106192.55243905216</v>
      </c>
      <c r="BJ12" s="502">
        <v>133241.34513306178</v>
      </c>
      <c r="BK12" s="502">
        <v>128329.53206531231</v>
      </c>
      <c r="BL12" s="502">
        <v>96628.187022835307</v>
      </c>
      <c r="BM12" s="502">
        <v>119335.49227237162</v>
      </c>
      <c r="BN12" s="502">
        <v>108195.55533186978</v>
      </c>
      <c r="BO12" s="502">
        <v>120365.85888239012</v>
      </c>
      <c r="BP12" s="502">
        <v>107392.98153682993</v>
      </c>
      <c r="BQ12" s="502">
        <v>112992.39030363502</v>
      </c>
      <c r="BR12" s="502">
        <v>131721.58106084421</v>
      </c>
      <c r="BS12" s="502">
        <v>119566.45985169409</v>
      </c>
      <c r="BT12" s="502">
        <v>99416.739578419336</v>
      </c>
      <c r="BU12" s="502">
        <v>141979.28041154312</v>
      </c>
      <c r="BV12" s="502">
        <v>105742.52227212832</v>
      </c>
      <c r="BW12" s="502">
        <v>120916.16514611505</v>
      </c>
      <c r="BX12" s="502">
        <v>111281.4906108306</v>
      </c>
      <c r="BY12" s="502">
        <v>96324.357737041006</v>
      </c>
      <c r="BZ12" s="502">
        <v>111701.74338919876</v>
      </c>
      <c r="CA12" s="502">
        <v>130041.58233237863</v>
      </c>
      <c r="CB12" s="502">
        <v>164625.22489098794</v>
      </c>
      <c r="CC12" s="502">
        <v>121214.89479830113</v>
      </c>
      <c r="CD12" s="502">
        <v>88390.117125898221</v>
      </c>
      <c r="CE12" s="502">
        <v>88450.408214334937</v>
      </c>
      <c r="CF12" s="502">
        <v>81356.632364489778</v>
      </c>
      <c r="CG12" s="502">
        <v>92859.566433121945</v>
      </c>
      <c r="CH12" s="502">
        <v>78775.876932494823</v>
      </c>
      <c r="CI12" s="502">
        <v>78816.809936862745</v>
      </c>
      <c r="CJ12" s="502">
        <v>81735.695422854333</v>
      </c>
      <c r="CK12" s="502">
        <v>91743.457359064501</v>
      </c>
      <c r="CL12" s="502">
        <v>87936.487565601215</v>
      </c>
      <c r="CM12" s="502">
        <v>87436.682621910542</v>
      </c>
      <c r="CN12" s="502">
        <v>87031.67077482141</v>
      </c>
      <c r="CO12" s="502">
        <v>90068.072194647422</v>
      </c>
      <c r="CP12" s="502">
        <v>96852.947942049985</v>
      </c>
      <c r="CQ12" s="502">
        <v>98593.855402883753</v>
      </c>
      <c r="CR12" s="502">
        <v>118467.85337570451</v>
      </c>
      <c r="CS12" s="502">
        <v>116513.50344289924</v>
      </c>
      <c r="CT12" s="502">
        <v>127065.83107103407</v>
      </c>
      <c r="CU12" s="502">
        <v>115589.67638393448</v>
      </c>
      <c r="CV12" s="502">
        <v>132962.82575026096</v>
      </c>
      <c r="CW12" s="502">
        <v>112023.74501803216</v>
      </c>
      <c r="CX12" s="502">
        <v>109217.06220616364</v>
      </c>
      <c r="CY12" s="502">
        <v>104692.84251890982</v>
      </c>
      <c r="CZ12" s="502">
        <v>98121.346550016358</v>
      </c>
      <c r="DA12" s="502">
        <v>114790.81382303382</v>
      </c>
      <c r="DB12" s="543">
        <v>122437.53840781232</v>
      </c>
      <c r="DC12" s="502">
        <v>136516.53307719223</v>
      </c>
      <c r="DD12" s="484">
        <v>149196.04043271998</v>
      </c>
      <c r="DE12" s="484">
        <v>128579.54517849312</v>
      </c>
      <c r="DF12" s="484">
        <v>124249.98190528827</v>
      </c>
      <c r="DG12" s="484">
        <v>113605.56589950193</v>
      </c>
      <c r="DH12" s="484">
        <v>108930.66206878205</v>
      </c>
      <c r="DI12" s="484">
        <v>117976.47036048873</v>
      </c>
      <c r="DJ12" s="484">
        <v>129303.38210640337</v>
      </c>
      <c r="DK12" s="484">
        <v>128501.9187680633</v>
      </c>
      <c r="DL12" s="484">
        <v>105111.10157094237</v>
      </c>
      <c r="DM12" s="484">
        <v>101267.12932053092</v>
      </c>
      <c r="DN12" s="484">
        <v>110602.14580228635</v>
      </c>
      <c r="DO12" s="484">
        <v>117137.07337618574</v>
      </c>
      <c r="DP12" s="484">
        <v>121028.95067357592</v>
      </c>
      <c r="DQ12" s="484">
        <v>149729.72334774988</v>
      </c>
      <c r="DR12" s="484">
        <v>134381.21009729311</v>
      </c>
      <c r="DS12" s="484">
        <v>145434.73916755107</v>
      </c>
      <c r="DT12" s="484">
        <v>123199.72353019794</v>
      </c>
      <c r="DU12" s="484">
        <v>128998.25989002592</v>
      </c>
      <c r="DV12" s="484">
        <v>135551.85369835357</v>
      </c>
      <c r="DW12" s="484">
        <v>161042.76859791647</v>
      </c>
      <c r="DX12" s="484">
        <v>147164.76824017678</v>
      </c>
      <c r="DY12" s="484">
        <v>158418.09972568398</v>
      </c>
      <c r="DZ12" s="484">
        <v>187427.94358354717</v>
      </c>
      <c r="EA12" s="484">
        <v>206737.27214498474</v>
      </c>
      <c r="EB12" s="484">
        <v>186757.15574417613</v>
      </c>
      <c r="EC12" s="484">
        <v>200746.99663760647</v>
      </c>
    </row>
    <row r="13" spans="1:133" ht="18" customHeight="1" x14ac:dyDescent="0.25">
      <c r="A13" s="481"/>
      <c r="B13" s="482"/>
      <c r="C13" s="537"/>
      <c r="D13" s="537"/>
      <c r="E13" s="537"/>
      <c r="F13" s="538"/>
      <c r="G13" s="537"/>
      <c r="H13" s="539"/>
      <c r="I13" s="537"/>
      <c r="J13" s="537"/>
      <c r="K13" s="537"/>
      <c r="L13" s="537"/>
      <c r="M13" s="538"/>
      <c r="N13" s="537"/>
      <c r="O13" s="537"/>
      <c r="P13" s="537"/>
      <c r="Q13" s="537"/>
      <c r="R13" s="537"/>
      <c r="S13" s="537"/>
      <c r="T13" s="537"/>
      <c r="U13" s="537"/>
      <c r="V13" s="537"/>
      <c r="W13" s="537"/>
      <c r="X13" s="537"/>
      <c r="Y13" s="537"/>
      <c r="Z13" s="537"/>
      <c r="AA13" s="537"/>
      <c r="AB13" s="538"/>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40"/>
      <c r="DC13" s="537"/>
      <c r="DD13" s="483"/>
      <c r="DE13" s="483"/>
      <c r="DF13" s="483"/>
      <c r="DG13" s="483"/>
      <c r="DH13" s="483"/>
      <c r="DI13" s="483"/>
      <c r="DJ13" s="483"/>
      <c r="DK13" s="483"/>
      <c r="DL13" s="483"/>
      <c r="DM13" s="483"/>
      <c r="DN13" s="483"/>
      <c r="DO13" s="483"/>
      <c r="DP13" s="483"/>
      <c r="DQ13" s="483"/>
      <c r="DR13" s="483"/>
      <c r="DS13" s="483"/>
      <c r="DT13" s="483"/>
      <c r="DU13" s="483"/>
      <c r="DV13" s="483"/>
      <c r="DW13" s="483"/>
      <c r="DX13" s="483"/>
      <c r="DY13" s="483"/>
      <c r="DZ13" s="483"/>
      <c r="EA13" s="483"/>
      <c r="EB13" s="483"/>
      <c r="EC13" s="483"/>
    </row>
    <row r="14" spans="1:133" ht="18" customHeight="1" x14ac:dyDescent="0.25">
      <c r="A14" s="477" t="s">
        <v>414</v>
      </c>
      <c r="B14" s="478" t="s">
        <v>415</v>
      </c>
      <c r="C14" s="533">
        <v>82626.360389128167</v>
      </c>
      <c r="D14" s="533">
        <v>83567.312453427832</v>
      </c>
      <c r="E14" s="533">
        <v>81757.699899994375</v>
      </c>
      <c r="F14" s="534">
        <v>78884.335197591121</v>
      </c>
      <c r="G14" s="533">
        <v>78272.290446320214</v>
      </c>
      <c r="H14" s="535">
        <v>75122.342548932065</v>
      </c>
      <c r="I14" s="533">
        <v>75086.610615830927</v>
      </c>
      <c r="J14" s="533">
        <v>79052.611168353935</v>
      </c>
      <c r="K14" s="533">
        <v>78442.486392192557</v>
      </c>
      <c r="L14" s="533">
        <v>77506.998995166694</v>
      </c>
      <c r="M14" s="534">
        <v>75068.16541095679</v>
      </c>
      <c r="N14" s="533">
        <v>78846.624319984214</v>
      </c>
      <c r="O14" s="533">
        <v>78192.37447742169</v>
      </c>
      <c r="P14" s="533">
        <v>79939.833705522149</v>
      </c>
      <c r="Q14" s="533">
        <v>79577.839826028052</v>
      </c>
      <c r="R14" s="533">
        <v>75443.570082636477</v>
      </c>
      <c r="S14" s="533">
        <v>73435.359609997497</v>
      </c>
      <c r="T14" s="533">
        <v>73111.319912955354</v>
      </c>
      <c r="U14" s="533">
        <v>72806.98069229089</v>
      </c>
      <c r="V14" s="533">
        <v>71631.351229818058</v>
      </c>
      <c r="W14" s="533">
        <v>71491.119043442348</v>
      </c>
      <c r="X14" s="533">
        <v>74327.344918298666</v>
      </c>
      <c r="Y14" s="533">
        <v>79945.004682946223</v>
      </c>
      <c r="Z14" s="533">
        <v>80173.080006361197</v>
      </c>
      <c r="AA14" s="533">
        <v>81236.374323242344</v>
      </c>
      <c r="AB14" s="534">
        <v>79670.135959241612</v>
      </c>
      <c r="AC14" s="533">
        <v>82412.880946665406</v>
      </c>
      <c r="AD14" s="533">
        <v>81030.313924400878</v>
      </c>
      <c r="AE14" s="533">
        <v>80479.601918408633</v>
      </c>
      <c r="AF14" s="533">
        <v>83925.043083417695</v>
      </c>
      <c r="AG14" s="533">
        <v>83452.727416757654</v>
      </c>
      <c r="AH14" s="533">
        <v>84871.637613946776</v>
      </c>
      <c r="AI14" s="533">
        <v>85970.033963058435</v>
      </c>
      <c r="AJ14" s="533">
        <v>74046.562791216333</v>
      </c>
      <c r="AK14" s="533">
        <v>81163.989926882714</v>
      </c>
      <c r="AL14" s="533">
        <v>91316.80742407497</v>
      </c>
      <c r="AM14" s="533">
        <v>96539.980371974438</v>
      </c>
      <c r="AN14" s="533">
        <v>85873.866492769506</v>
      </c>
      <c r="AO14" s="533">
        <v>81844.776786486545</v>
      </c>
      <c r="AP14" s="533">
        <v>79127.07622286542</v>
      </c>
      <c r="AQ14" s="533">
        <v>76678.124097262553</v>
      </c>
      <c r="AR14" s="533">
        <v>75556.470414682422</v>
      </c>
      <c r="AS14" s="533">
        <v>93979.843620965083</v>
      </c>
      <c r="AT14" s="533">
        <v>77661.819176369565</v>
      </c>
      <c r="AU14" s="533">
        <v>78211.744231205434</v>
      </c>
      <c r="AV14" s="533">
        <v>79222.317912360319</v>
      </c>
      <c r="AW14" s="533">
        <v>85033.590933520463</v>
      </c>
      <c r="AX14" s="533">
        <v>86563.229182468756</v>
      </c>
      <c r="AY14" s="533">
        <v>96730.023722333659</v>
      </c>
      <c r="AZ14" s="533">
        <v>105153.85390564824</v>
      </c>
      <c r="BA14" s="533">
        <v>103493.59486433576</v>
      </c>
      <c r="BB14" s="533">
        <v>100474.35102567454</v>
      </c>
      <c r="BC14" s="533">
        <v>102914.6563340412</v>
      </c>
      <c r="BD14" s="533">
        <v>106043.44249806491</v>
      </c>
      <c r="BE14" s="533">
        <v>111036.16839818955</v>
      </c>
      <c r="BF14" s="533">
        <v>111749.17520217151</v>
      </c>
      <c r="BG14" s="533">
        <v>121874.9351728171</v>
      </c>
      <c r="BH14" s="533">
        <v>123758.83719426092</v>
      </c>
      <c r="BI14" s="533">
        <v>129716.99442449595</v>
      </c>
      <c r="BJ14" s="533">
        <v>148053.71745124331</v>
      </c>
      <c r="BK14" s="533">
        <v>144583.08279840273</v>
      </c>
      <c r="BL14" s="533">
        <v>139212.11305088253</v>
      </c>
      <c r="BM14" s="533">
        <v>140677.9113324655</v>
      </c>
      <c r="BN14" s="533">
        <v>146843.16248045588</v>
      </c>
      <c r="BO14" s="533">
        <v>143749.85896578743</v>
      </c>
      <c r="BP14" s="533">
        <v>143582.35501178046</v>
      </c>
      <c r="BQ14" s="533">
        <v>140529.94717886351</v>
      </c>
      <c r="BR14" s="533">
        <v>132222.59223122144</v>
      </c>
      <c r="BS14" s="533">
        <v>128383.79347015778</v>
      </c>
      <c r="BT14" s="533">
        <v>129312.30198168219</v>
      </c>
      <c r="BU14" s="533">
        <v>127890.33080152266</v>
      </c>
      <c r="BV14" s="533">
        <v>120646.17313871859</v>
      </c>
      <c r="BW14" s="533">
        <v>130881.52481520401</v>
      </c>
      <c r="BX14" s="533">
        <v>134800.38709182254</v>
      </c>
      <c r="BY14" s="533">
        <v>136678.66558510187</v>
      </c>
      <c r="BZ14" s="533">
        <v>133408.66838813169</v>
      </c>
      <c r="CA14" s="533">
        <v>134942.43902747094</v>
      </c>
      <c r="CB14" s="533">
        <v>127668.48975939756</v>
      </c>
      <c r="CC14" s="533">
        <v>124817.16336947604</v>
      </c>
      <c r="CD14" s="533">
        <v>136694.46976323763</v>
      </c>
      <c r="CE14" s="533">
        <v>131440.71090583361</v>
      </c>
      <c r="CF14" s="533">
        <v>134575.68138529616</v>
      </c>
      <c r="CG14" s="533">
        <v>138333.95997681268</v>
      </c>
      <c r="CH14" s="533">
        <v>134417.71675145789</v>
      </c>
      <c r="CI14" s="533">
        <v>144801.20404873413</v>
      </c>
      <c r="CJ14" s="533">
        <v>137015.58247171863</v>
      </c>
      <c r="CK14" s="533">
        <v>142202.88458265382</v>
      </c>
      <c r="CL14" s="533">
        <v>144769.32789235353</v>
      </c>
      <c r="CM14" s="533">
        <v>146232.46112448504</v>
      </c>
      <c r="CN14" s="533">
        <v>153178.67398663203</v>
      </c>
      <c r="CO14" s="533">
        <v>133503.22152563324</v>
      </c>
      <c r="CP14" s="533">
        <v>138177.67327067017</v>
      </c>
      <c r="CQ14" s="533">
        <v>142999.52260843097</v>
      </c>
      <c r="CR14" s="533">
        <v>151331.4072328991</v>
      </c>
      <c r="CS14" s="533">
        <v>150923.370790405</v>
      </c>
      <c r="CT14" s="533">
        <v>152572.23217010536</v>
      </c>
      <c r="CU14" s="533">
        <v>148990.09043479088</v>
      </c>
      <c r="CV14" s="533">
        <v>159291.67256344034</v>
      </c>
      <c r="CW14" s="533">
        <v>157710.66728859462</v>
      </c>
      <c r="CX14" s="533">
        <v>161924.4571730243</v>
      </c>
      <c r="CY14" s="533">
        <v>150105.813795828</v>
      </c>
      <c r="CZ14" s="533">
        <v>156624.60616534439</v>
      </c>
      <c r="DA14" s="533">
        <v>150203.52151299853</v>
      </c>
      <c r="DB14" s="536">
        <v>154812.61306433793</v>
      </c>
      <c r="DC14" s="533">
        <v>154510.75644848877</v>
      </c>
      <c r="DD14" s="479">
        <v>158914.36183453017</v>
      </c>
      <c r="DE14" s="479">
        <v>154662.6408893498</v>
      </c>
      <c r="DF14" s="479">
        <v>160714.9066653242</v>
      </c>
      <c r="DG14" s="479">
        <v>165991.31300809968</v>
      </c>
      <c r="DH14" s="479">
        <v>164523.2408908722</v>
      </c>
      <c r="DI14" s="479">
        <v>164859.22231090552</v>
      </c>
      <c r="DJ14" s="479">
        <v>186593.34441569331</v>
      </c>
      <c r="DK14" s="479">
        <v>181124.09066837584</v>
      </c>
      <c r="DL14" s="479">
        <v>185369.45025990976</v>
      </c>
      <c r="DM14" s="479">
        <v>180213.06043365065</v>
      </c>
      <c r="DN14" s="479">
        <v>178840.26760046624</v>
      </c>
      <c r="DO14" s="479">
        <v>177832.56071818969</v>
      </c>
      <c r="DP14" s="479">
        <v>191431.43215407434</v>
      </c>
      <c r="DQ14" s="479">
        <v>189223.78239331194</v>
      </c>
      <c r="DR14" s="479">
        <v>193790.76717026031</v>
      </c>
      <c r="DS14" s="479">
        <v>195021.94126679032</v>
      </c>
      <c r="DT14" s="479">
        <v>195040.06864089551</v>
      </c>
      <c r="DU14" s="479">
        <v>196305.84967890318</v>
      </c>
      <c r="DV14" s="479">
        <v>193268.22725921357</v>
      </c>
      <c r="DW14" s="479">
        <v>194138.76765916825</v>
      </c>
      <c r="DX14" s="479">
        <v>196441.08652668531</v>
      </c>
      <c r="DY14" s="479">
        <v>186148.37170284352</v>
      </c>
      <c r="DZ14" s="479">
        <v>189949.26986904343</v>
      </c>
      <c r="EA14" s="479">
        <v>189461.04298773842</v>
      </c>
      <c r="EB14" s="479">
        <v>198791.77479575129</v>
      </c>
      <c r="EC14" s="479">
        <v>198021.62108300874</v>
      </c>
    </row>
    <row r="15" spans="1:133" ht="18" customHeight="1" x14ac:dyDescent="0.25">
      <c r="A15" s="481"/>
      <c r="B15" s="482"/>
      <c r="C15" s="537"/>
      <c r="D15" s="537"/>
      <c r="E15" s="537"/>
      <c r="F15" s="538"/>
      <c r="G15" s="537"/>
      <c r="H15" s="539"/>
      <c r="I15" s="537"/>
      <c r="J15" s="537"/>
      <c r="K15" s="537"/>
      <c r="L15" s="537"/>
      <c r="M15" s="538"/>
      <c r="N15" s="537"/>
      <c r="O15" s="537"/>
      <c r="P15" s="537"/>
      <c r="Q15" s="537"/>
      <c r="R15" s="537"/>
      <c r="S15" s="537"/>
      <c r="T15" s="537"/>
      <c r="U15" s="537"/>
      <c r="V15" s="537"/>
      <c r="W15" s="537"/>
      <c r="X15" s="537"/>
      <c r="Y15" s="537"/>
      <c r="Z15" s="537"/>
      <c r="AA15" s="537"/>
      <c r="AB15" s="538"/>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40"/>
      <c r="DC15" s="537"/>
      <c r="DD15" s="483"/>
      <c r="DE15" s="483"/>
      <c r="DF15" s="483"/>
      <c r="DG15" s="483"/>
      <c r="DH15" s="483"/>
      <c r="DI15" s="483"/>
      <c r="DJ15" s="483"/>
      <c r="DK15" s="483"/>
      <c r="DL15" s="483"/>
      <c r="DM15" s="483"/>
      <c r="DN15" s="483"/>
      <c r="DO15" s="483"/>
      <c r="DP15" s="483"/>
      <c r="DQ15" s="483"/>
      <c r="DR15" s="483"/>
      <c r="DS15" s="483"/>
      <c r="DT15" s="483"/>
      <c r="DU15" s="483"/>
      <c r="DV15" s="483"/>
      <c r="DW15" s="483"/>
      <c r="DX15" s="483"/>
      <c r="DY15" s="483"/>
      <c r="DZ15" s="483"/>
      <c r="EA15" s="483"/>
      <c r="EB15" s="483"/>
      <c r="EC15" s="483"/>
    </row>
    <row r="16" spans="1:133" ht="18" customHeight="1" x14ac:dyDescent="0.25">
      <c r="A16" s="477" t="s">
        <v>416</v>
      </c>
      <c r="B16" s="478" t="s">
        <v>200</v>
      </c>
      <c r="C16" s="533">
        <v>179764.18146169593</v>
      </c>
      <c r="D16" s="533">
        <v>179591.61172792967</v>
      </c>
      <c r="E16" s="533">
        <v>180400.63368034217</v>
      </c>
      <c r="F16" s="534">
        <v>190932.37516618377</v>
      </c>
      <c r="G16" s="533">
        <v>188730.85419042656</v>
      </c>
      <c r="H16" s="535">
        <v>192952.9797188151</v>
      </c>
      <c r="I16" s="533">
        <v>195300.45640721545</v>
      </c>
      <c r="J16" s="533">
        <v>191302.08613044658</v>
      </c>
      <c r="K16" s="533">
        <v>188755.17446339058</v>
      </c>
      <c r="L16" s="533">
        <v>191139.48148165486</v>
      </c>
      <c r="M16" s="534">
        <v>199822.1173350476</v>
      </c>
      <c r="N16" s="533">
        <v>200946.74230554287</v>
      </c>
      <c r="O16" s="533">
        <v>201150.54437579276</v>
      </c>
      <c r="P16" s="533">
        <v>206000.09023063336</v>
      </c>
      <c r="Q16" s="533">
        <v>211691.52381715903</v>
      </c>
      <c r="R16" s="533">
        <v>215910.97425066982</v>
      </c>
      <c r="S16" s="533">
        <v>220003.52132813956</v>
      </c>
      <c r="T16" s="533">
        <v>227908.96346601471</v>
      </c>
      <c r="U16" s="533">
        <v>232633.69410979754</v>
      </c>
      <c r="V16" s="533">
        <v>237287.73676774194</v>
      </c>
      <c r="W16" s="533">
        <v>242373.00131097407</v>
      </c>
      <c r="X16" s="533">
        <v>256451.18042543554</v>
      </c>
      <c r="Y16" s="533">
        <v>260758.93102484845</v>
      </c>
      <c r="Z16" s="533">
        <v>267888.69959609298</v>
      </c>
      <c r="AA16" s="533">
        <v>278542.66735049873</v>
      </c>
      <c r="AB16" s="534">
        <v>276414.0546749708</v>
      </c>
      <c r="AC16" s="533">
        <v>278190.94833163772</v>
      </c>
      <c r="AD16" s="533">
        <v>285376.88376735453</v>
      </c>
      <c r="AE16" s="533">
        <v>294626.79030478245</v>
      </c>
      <c r="AF16" s="533">
        <v>305220.11318666465</v>
      </c>
      <c r="AG16" s="533">
        <v>305414.48065076885</v>
      </c>
      <c r="AH16" s="533">
        <v>316464.27412598266</v>
      </c>
      <c r="AI16" s="533">
        <v>321488.08190471033</v>
      </c>
      <c r="AJ16" s="533">
        <v>324718.76942076941</v>
      </c>
      <c r="AK16" s="533">
        <v>334334.91390119802</v>
      </c>
      <c r="AL16" s="533">
        <v>353784.7891928301</v>
      </c>
      <c r="AM16" s="533">
        <v>344918.27478603664</v>
      </c>
      <c r="AN16" s="533">
        <v>351080.79259677895</v>
      </c>
      <c r="AO16" s="533">
        <v>366799.36755449406</v>
      </c>
      <c r="AP16" s="533">
        <v>378298.36246365175</v>
      </c>
      <c r="AQ16" s="533">
        <v>405673.81507120864</v>
      </c>
      <c r="AR16" s="533">
        <v>407645.48360256373</v>
      </c>
      <c r="AS16" s="533">
        <v>406034.25630723045</v>
      </c>
      <c r="AT16" s="533">
        <v>406375.12004752737</v>
      </c>
      <c r="AU16" s="533">
        <v>407599.22215343959</v>
      </c>
      <c r="AV16" s="533">
        <v>392946.15722075611</v>
      </c>
      <c r="AW16" s="533">
        <v>387571.1121437776</v>
      </c>
      <c r="AX16" s="533">
        <v>382553.5277641057</v>
      </c>
      <c r="AY16" s="533">
        <v>378714.36046257848</v>
      </c>
      <c r="AZ16" s="533">
        <v>384547.53966456914</v>
      </c>
      <c r="BA16" s="533">
        <v>392966.88784112025</v>
      </c>
      <c r="BB16" s="533">
        <v>390396.04204216122</v>
      </c>
      <c r="BC16" s="533">
        <v>374723.27415283828</v>
      </c>
      <c r="BD16" s="533">
        <v>368585.876975864</v>
      </c>
      <c r="BE16" s="533">
        <v>369234.04283372802</v>
      </c>
      <c r="BF16" s="533">
        <v>367004.62905803765</v>
      </c>
      <c r="BG16" s="533">
        <v>373325.19938802731</v>
      </c>
      <c r="BH16" s="533">
        <v>368662.33569503558</v>
      </c>
      <c r="BI16" s="533">
        <v>374090.97362944548</v>
      </c>
      <c r="BJ16" s="533">
        <v>400651.4841397191</v>
      </c>
      <c r="BK16" s="533">
        <v>411413.14709731407</v>
      </c>
      <c r="BL16" s="533">
        <v>410272.1869251008</v>
      </c>
      <c r="BM16" s="533">
        <v>419210.44856338523</v>
      </c>
      <c r="BN16" s="533">
        <v>414383.54595580377</v>
      </c>
      <c r="BO16" s="533">
        <v>411871.50668126525</v>
      </c>
      <c r="BP16" s="533">
        <v>414354.97821152146</v>
      </c>
      <c r="BQ16" s="533">
        <v>427334.60872403492</v>
      </c>
      <c r="BR16" s="533">
        <v>422538.62061731407</v>
      </c>
      <c r="BS16" s="533">
        <v>427846.11300471361</v>
      </c>
      <c r="BT16" s="533">
        <v>431186.02208875871</v>
      </c>
      <c r="BU16" s="533">
        <v>428538.19527020393</v>
      </c>
      <c r="BV16" s="533">
        <v>445161.06554927357</v>
      </c>
      <c r="BW16" s="533">
        <v>453707.34446915303</v>
      </c>
      <c r="BX16" s="533">
        <v>458523.23958994192</v>
      </c>
      <c r="BY16" s="533">
        <v>467036.74765025225</v>
      </c>
      <c r="BZ16" s="533">
        <v>474422.99957642856</v>
      </c>
      <c r="CA16" s="533">
        <v>475904.6376257154</v>
      </c>
      <c r="CB16" s="533">
        <v>484559.66586078994</v>
      </c>
      <c r="CC16" s="533">
        <v>496998.63777517405</v>
      </c>
      <c r="CD16" s="533">
        <v>500608.26110202086</v>
      </c>
      <c r="CE16" s="533">
        <v>488704.15101132356</v>
      </c>
      <c r="CF16" s="533">
        <v>489964.81371050281</v>
      </c>
      <c r="CG16" s="533">
        <v>490261.90212582826</v>
      </c>
      <c r="CH16" s="533">
        <v>501158.97295709484</v>
      </c>
      <c r="CI16" s="533">
        <v>520940.20937516302</v>
      </c>
      <c r="CJ16" s="533">
        <v>513303.51404687302</v>
      </c>
      <c r="CK16" s="533">
        <v>505733.67093811667</v>
      </c>
      <c r="CL16" s="533">
        <v>510038.05878588563</v>
      </c>
      <c r="CM16" s="533">
        <v>525115.37969341618</v>
      </c>
      <c r="CN16" s="533">
        <v>535255.1564709571</v>
      </c>
      <c r="CO16" s="533">
        <v>534442.85094956658</v>
      </c>
      <c r="CP16" s="533">
        <v>528829.43426212191</v>
      </c>
      <c r="CQ16" s="533">
        <v>535822.38178457937</v>
      </c>
      <c r="CR16" s="533">
        <v>525131.19322032225</v>
      </c>
      <c r="CS16" s="533">
        <v>534376.31631043565</v>
      </c>
      <c r="CT16" s="533">
        <v>535363.84443642141</v>
      </c>
      <c r="CU16" s="533">
        <v>538156.66287378431</v>
      </c>
      <c r="CV16" s="533">
        <v>543695.71162569243</v>
      </c>
      <c r="CW16" s="533">
        <v>551922.62491460016</v>
      </c>
      <c r="CX16" s="533">
        <v>544505.03973308753</v>
      </c>
      <c r="CY16" s="533">
        <v>543406.81317608012</v>
      </c>
      <c r="CZ16" s="533">
        <v>550613.79821316188</v>
      </c>
      <c r="DA16" s="533">
        <v>544218.35939599189</v>
      </c>
      <c r="DB16" s="536">
        <v>541476.82614647131</v>
      </c>
      <c r="DC16" s="533">
        <v>540511.9295587606</v>
      </c>
      <c r="DD16" s="479">
        <v>536325.59287506342</v>
      </c>
      <c r="DE16" s="479">
        <v>548346.18336922873</v>
      </c>
      <c r="DF16" s="479">
        <v>554961.94959534938</v>
      </c>
      <c r="DG16" s="479">
        <v>555541.68647027446</v>
      </c>
      <c r="DH16" s="479">
        <v>551407.83008341584</v>
      </c>
      <c r="DI16" s="479">
        <v>559635.56540659163</v>
      </c>
      <c r="DJ16" s="479">
        <v>567764.7493229385</v>
      </c>
      <c r="DK16" s="479">
        <v>577360.62525041972</v>
      </c>
      <c r="DL16" s="479">
        <v>597778.73576408345</v>
      </c>
      <c r="DM16" s="479">
        <v>601127.98774454615</v>
      </c>
      <c r="DN16" s="479">
        <v>598807.04844054591</v>
      </c>
      <c r="DO16" s="479">
        <v>607309.91115209053</v>
      </c>
      <c r="DP16" s="479">
        <v>629017.37941753818</v>
      </c>
      <c r="DQ16" s="479">
        <v>603128.00661805132</v>
      </c>
      <c r="DR16" s="479">
        <v>591534.31124457461</v>
      </c>
      <c r="DS16" s="479">
        <v>589177.01463473414</v>
      </c>
      <c r="DT16" s="479">
        <v>591060.57150027121</v>
      </c>
      <c r="DU16" s="479">
        <v>596530.32150683634</v>
      </c>
      <c r="DV16" s="479">
        <v>589162.88695245946</v>
      </c>
      <c r="DW16" s="479">
        <v>583676.50255087845</v>
      </c>
      <c r="DX16" s="479">
        <v>592190.21301049972</v>
      </c>
      <c r="DY16" s="479">
        <v>583037.49134851317</v>
      </c>
      <c r="DZ16" s="479">
        <v>580538.74677174375</v>
      </c>
      <c r="EA16" s="479">
        <v>577878.6116803122</v>
      </c>
      <c r="EB16" s="479">
        <v>569064.15444825648</v>
      </c>
      <c r="EC16" s="479">
        <v>558579.95778214163</v>
      </c>
    </row>
    <row r="17" spans="1:133" ht="18" customHeight="1" x14ac:dyDescent="0.25">
      <c r="A17" s="481"/>
      <c r="B17" s="482"/>
      <c r="C17" s="537"/>
      <c r="D17" s="537"/>
      <c r="E17" s="537"/>
      <c r="F17" s="538"/>
      <c r="G17" s="537"/>
      <c r="H17" s="539"/>
      <c r="I17" s="537"/>
      <c r="J17" s="537"/>
      <c r="K17" s="537"/>
      <c r="L17" s="537"/>
      <c r="M17" s="538"/>
      <c r="N17" s="537"/>
      <c r="O17" s="537"/>
      <c r="P17" s="537"/>
      <c r="Q17" s="537"/>
      <c r="R17" s="537"/>
      <c r="S17" s="537"/>
      <c r="T17" s="537"/>
      <c r="U17" s="537"/>
      <c r="V17" s="537"/>
      <c r="W17" s="537"/>
      <c r="X17" s="537"/>
      <c r="Y17" s="537"/>
      <c r="Z17" s="537"/>
      <c r="AA17" s="537"/>
      <c r="AB17" s="538"/>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40"/>
      <c r="DC17" s="537"/>
      <c r="DD17" s="483"/>
      <c r="DE17" s="483"/>
      <c r="DF17" s="483"/>
      <c r="DG17" s="483"/>
      <c r="DH17" s="483"/>
      <c r="DI17" s="483"/>
      <c r="DJ17" s="483"/>
      <c r="DK17" s="483"/>
      <c r="DL17" s="483"/>
      <c r="DM17" s="483"/>
      <c r="DN17" s="483"/>
      <c r="DO17" s="483"/>
      <c r="DP17" s="483"/>
      <c r="DQ17" s="483"/>
      <c r="DR17" s="483"/>
      <c r="DS17" s="483"/>
      <c r="DT17" s="483"/>
      <c r="DU17" s="483"/>
      <c r="DV17" s="483"/>
      <c r="DW17" s="483"/>
      <c r="DX17" s="483"/>
      <c r="DY17" s="483"/>
      <c r="DZ17" s="483"/>
      <c r="EA17" s="483"/>
      <c r="EB17" s="483"/>
      <c r="EC17" s="483"/>
    </row>
    <row r="18" spans="1:133" ht="18" customHeight="1" x14ac:dyDescent="0.25">
      <c r="A18" s="477" t="s">
        <v>417</v>
      </c>
      <c r="B18" s="478" t="s">
        <v>418</v>
      </c>
      <c r="C18" s="533">
        <v>5282.042762257528</v>
      </c>
      <c r="D18" s="533">
        <v>6123.5235808214493</v>
      </c>
      <c r="E18" s="533">
        <v>6153.1801983783034</v>
      </c>
      <c r="F18" s="534">
        <v>6063.0566770590876</v>
      </c>
      <c r="G18" s="533">
        <v>6273.5712235014062</v>
      </c>
      <c r="H18" s="535">
        <v>6431.3921764998713</v>
      </c>
      <c r="I18" s="533">
        <v>6675.5342359677488</v>
      </c>
      <c r="J18" s="533">
        <v>6123.3352067205733</v>
      </c>
      <c r="K18" s="533">
        <v>6391.2170966939248</v>
      </c>
      <c r="L18" s="533">
        <v>6609.6105331083254</v>
      </c>
      <c r="M18" s="534">
        <v>6482.459391530756</v>
      </c>
      <c r="N18" s="533">
        <v>6162.9194693860054</v>
      </c>
      <c r="O18" s="533">
        <v>7050.0320425050813</v>
      </c>
      <c r="P18" s="533">
        <v>7810.9919800473563</v>
      </c>
      <c r="Q18" s="533">
        <v>8162.7798835411477</v>
      </c>
      <c r="R18" s="533">
        <v>8339.9352781056496</v>
      </c>
      <c r="S18" s="533">
        <v>8775.1399464384449</v>
      </c>
      <c r="T18" s="533">
        <v>9056.0215949071808</v>
      </c>
      <c r="U18" s="533">
        <v>9113.2825619745945</v>
      </c>
      <c r="V18" s="533">
        <v>8864.1059087831745</v>
      </c>
      <c r="W18" s="533">
        <v>8836.9800189444995</v>
      </c>
      <c r="X18" s="533">
        <v>9046.9744280820723</v>
      </c>
      <c r="Y18" s="533">
        <v>8892.6326690806345</v>
      </c>
      <c r="Z18" s="533">
        <v>9159.700990851059</v>
      </c>
      <c r="AA18" s="533">
        <v>9714.1885484408103</v>
      </c>
      <c r="AB18" s="534">
        <v>9721.5077135713418</v>
      </c>
      <c r="AC18" s="533">
        <v>9637.4572681773534</v>
      </c>
      <c r="AD18" s="533">
        <v>9905.6636775367569</v>
      </c>
      <c r="AE18" s="533">
        <v>10070.92471456089</v>
      </c>
      <c r="AF18" s="533">
        <v>9905.6309114562446</v>
      </c>
      <c r="AG18" s="533">
        <v>9492.5063277130303</v>
      </c>
      <c r="AH18" s="533">
        <v>9140.6115855565113</v>
      </c>
      <c r="AI18" s="533">
        <v>9097.9581863881867</v>
      </c>
      <c r="AJ18" s="533">
        <v>9049.2120614765481</v>
      </c>
      <c r="AK18" s="533">
        <v>9451.7013272666081</v>
      </c>
      <c r="AL18" s="533">
        <v>9903.4702497332273</v>
      </c>
      <c r="AM18" s="533">
        <v>10266.522122360468</v>
      </c>
      <c r="AN18" s="533">
        <v>10138.398130109386</v>
      </c>
      <c r="AO18" s="533">
        <v>10258.146089774506</v>
      </c>
      <c r="AP18" s="533">
        <v>10123.111599918151</v>
      </c>
      <c r="AQ18" s="533">
        <v>10381.543188819252</v>
      </c>
      <c r="AR18" s="533">
        <v>10247.739571464119</v>
      </c>
      <c r="AS18" s="533">
        <v>10020.429651028317</v>
      </c>
      <c r="AT18" s="533">
        <v>10457.706461113652</v>
      </c>
      <c r="AU18" s="533">
        <v>10427.419027896141</v>
      </c>
      <c r="AV18" s="533">
        <v>10321.16999048943</v>
      </c>
      <c r="AW18" s="533">
        <v>10757.798135475576</v>
      </c>
      <c r="AX18" s="533">
        <v>10905.522944980214</v>
      </c>
      <c r="AY18" s="533">
        <v>11138.713318420934</v>
      </c>
      <c r="AZ18" s="533">
        <v>10946.915813885547</v>
      </c>
      <c r="BA18" s="533">
        <v>11002.011173572051</v>
      </c>
      <c r="BB18" s="533">
        <v>11322.968254376423</v>
      </c>
      <c r="BC18" s="533">
        <v>11229.967388345669</v>
      </c>
      <c r="BD18" s="533">
        <v>10773.805149697238</v>
      </c>
      <c r="BE18" s="533">
        <v>10544.653757608021</v>
      </c>
      <c r="BF18" s="533">
        <v>10624.524407957028</v>
      </c>
      <c r="BG18" s="533">
        <v>10114.274971665242</v>
      </c>
      <c r="BH18" s="533">
        <v>10400.813354384767</v>
      </c>
      <c r="BI18" s="533">
        <v>10340.646852045124</v>
      </c>
      <c r="BJ18" s="533">
        <v>10667.759708783247</v>
      </c>
      <c r="BK18" s="533">
        <v>10824.915072189777</v>
      </c>
      <c r="BL18" s="533">
        <v>10531.243095866486</v>
      </c>
      <c r="BM18" s="533">
        <v>10469.677174365628</v>
      </c>
      <c r="BN18" s="533">
        <v>10644.814493983091</v>
      </c>
      <c r="BO18" s="533">
        <v>10490.394928120415</v>
      </c>
      <c r="BP18" s="533">
        <v>10669.389382399033</v>
      </c>
      <c r="BQ18" s="533">
        <v>11197.725749705383</v>
      </c>
      <c r="BR18" s="533">
        <v>11143.212660116214</v>
      </c>
      <c r="BS18" s="533">
        <v>14201.062500297105</v>
      </c>
      <c r="BT18" s="533">
        <v>14189.63483859886</v>
      </c>
      <c r="BU18" s="533">
        <v>14068.346302054286</v>
      </c>
      <c r="BV18" s="533">
        <v>14326.580397842639</v>
      </c>
      <c r="BW18" s="533">
        <v>14744.866356662254</v>
      </c>
      <c r="BX18" s="533">
        <v>14606.023406897541</v>
      </c>
      <c r="BY18" s="533">
        <v>14364.851775402482</v>
      </c>
      <c r="BZ18" s="533">
        <v>15612.987536650087</v>
      </c>
      <c r="CA18" s="533">
        <v>15428.354063499448</v>
      </c>
      <c r="CB18" s="533">
        <v>15535.647640264111</v>
      </c>
      <c r="CC18" s="533">
        <v>12876.78512332525</v>
      </c>
      <c r="CD18" s="533">
        <v>12373.018670679581</v>
      </c>
      <c r="CE18" s="533">
        <v>12863.420396478494</v>
      </c>
      <c r="CF18" s="533">
        <v>14295.046985859741</v>
      </c>
      <c r="CG18" s="533">
        <v>14965.028151925204</v>
      </c>
      <c r="CH18" s="533">
        <v>15129.693912540921</v>
      </c>
      <c r="CI18" s="533">
        <v>15533.467592170398</v>
      </c>
      <c r="CJ18" s="533">
        <v>13880.737775192189</v>
      </c>
      <c r="CK18" s="533">
        <v>14211.997956327354</v>
      </c>
      <c r="CL18" s="533">
        <v>13462.792695712837</v>
      </c>
      <c r="CM18" s="533">
        <v>13994.288435268953</v>
      </c>
      <c r="CN18" s="533">
        <v>13732.079233812961</v>
      </c>
      <c r="CO18" s="533">
        <v>14474.851702859765</v>
      </c>
      <c r="CP18" s="533">
        <v>13976.891304580611</v>
      </c>
      <c r="CQ18" s="533">
        <v>13932.548674511505</v>
      </c>
      <c r="CR18" s="533">
        <v>14698.590223126781</v>
      </c>
      <c r="CS18" s="533">
        <v>15642.891883911605</v>
      </c>
      <c r="CT18" s="533">
        <v>17394.078206901158</v>
      </c>
      <c r="CU18" s="533">
        <v>16355.407337861781</v>
      </c>
      <c r="CV18" s="533">
        <v>15652.446757701458</v>
      </c>
      <c r="CW18" s="533">
        <v>14599.792227274063</v>
      </c>
      <c r="CX18" s="533">
        <v>15009.438083744617</v>
      </c>
      <c r="CY18" s="533">
        <v>15872.7082222155</v>
      </c>
      <c r="CZ18" s="533">
        <v>15703.22625433937</v>
      </c>
      <c r="DA18" s="533">
        <v>15337.347954661607</v>
      </c>
      <c r="DB18" s="536">
        <v>15291.423040849417</v>
      </c>
      <c r="DC18" s="533">
        <v>15304.248521302898</v>
      </c>
      <c r="DD18" s="479">
        <v>15759.424104716456</v>
      </c>
      <c r="DE18" s="479">
        <v>16177.778753034627</v>
      </c>
      <c r="DF18" s="479">
        <v>18564.249199538408</v>
      </c>
      <c r="DG18" s="479">
        <v>15253.110492563517</v>
      </c>
      <c r="DH18" s="479">
        <v>17082.90853554559</v>
      </c>
      <c r="DI18" s="479">
        <v>16302.846908310043</v>
      </c>
      <c r="DJ18" s="479">
        <v>15563.607062005365</v>
      </c>
      <c r="DK18" s="479">
        <v>16127.239367514321</v>
      </c>
      <c r="DL18" s="479">
        <v>16372.538336519376</v>
      </c>
      <c r="DM18" s="479">
        <v>16507.220103531832</v>
      </c>
      <c r="DN18" s="479">
        <v>17830.325853343511</v>
      </c>
      <c r="DO18" s="479">
        <v>19259.351471781585</v>
      </c>
      <c r="DP18" s="479">
        <v>20947.837714979414</v>
      </c>
      <c r="DQ18" s="479">
        <v>20465.635504927839</v>
      </c>
      <c r="DR18" s="479">
        <v>20703.958174622268</v>
      </c>
      <c r="DS18" s="479">
        <v>20111.126631450825</v>
      </c>
      <c r="DT18" s="479">
        <v>21710.957675521498</v>
      </c>
      <c r="DU18" s="479">
        <v>20334.326570698406</v>
      </c>
      <c r="DV18" s="479">
        <v>18601.364167273114</v>
      </c>
      <c r="DW18" s="479">
        <v>18057.246372143814</v>
      </c>
      <c r="DX18" s="479">
        <v>15697.480629492082</v>
      </c>
      <c r="DY18" s="479">
        <v>13814.217948901587</v>
      </c>
      <c r="DZ18" s="479">
        <v>12326.391391638854</v>
      </c>
      <c r="EA18" s="479">
        <v>11600.343902727231</v>
      </c>
      <c r="EB18" s="479">
        <v>11619.961575383069</v>
      </c>
      <c r="EC18" s="479">
        <v>11438.159127339672</v>
      </c>
    </row>
    <row r="19" spans="1:133" ht="18" customHeight="1" x14ac:dyDescent="0.25">
      <c r="A19" s="481"/>
      <c r="B19" s="486"/>
      <c r="C19" s="537"/>
      <c r="D19" s="537"/>
      <c r="E19" s="537"/>
      <c r="F19" s="538"/>
      <c r="G19" s="537"/>
      <c r="H19" s="539"/>
      <c r="I19" s="537"/>
      <c r="J19" s="537"/>
      <c r="K19" s="537"/>
      <c r="L19" s="537"/>
      <c r="M19" s="538"/>
      <c r="N19" s="537"/>
      <c r="O19" s="537"/>
      <c r="P19" s="537"/>
      <c r="Q19" s="537"/>
      <c r="R19" s="537"/>
      <c r="S19" s="537"/>
      <c r="T19" s="537"/>
      <c r="U19" s="537"/>
      <c r="V19" s="537"/>
      <c r="W19" s="537"/>
      <c r="X19" s="537"/>
      <c r="Y19" s="537"/>
      <c r="Z19" s="537"/>
      <c r="AA19" s="537"/>
      <c r="AB19" s="538"/>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40"/>
      <c r="DC19" s="537"/>
      <c r="DD19" s="483"/>
      <c r="DE19" s="483"/>
      <c r="DF19" s="483"/>
      <c r="DG19" s="483"/>
      <c r="DH19" s="483"/>
      <c r="DI19" s="483"/>
      <c r="DJ19" s="483"/>
      <c r="DK19" s="483"/>
      <c r="DL19" s="483"/>
      <c r="DM19" s="483"/>
      <c r="DN19" s="483"/>
      <c r="DO19" s="483"/>
      <c r="DP19" s="483"/>
      <c r="DQ19" s="483"/>
      <c r="DR19" s="483"/>
      <c r="DS19" s="483"/>
      <c r="DT19" s="483"/>
      <c r="DU19" s="483"/>
      <c r="DV19" s="483"/>
      <c r="DW19" s="483"/>
      <c r="DX19" s="483"/>
      <c r="DY19" s="483"/>
      <c r="DZ19" s="483"/>
      <c r="EA19" s="483"/>
      <c r="EB19" s="483"/>
      <c r="EC19" s="483"/>
    </row>
    <row r="20" spans="1:133" ht="18" customHeight="1" x14ac:dyDescent="0.25">
      <c r="A20" s="477" t="s">
        <v>419</v>
      </c>
      <c r="B20" s="478" t="s">
        <v>420</v>
      </c>
      <c r="C20" s="533">
        <v>0</v>
      </c>
      <c r="D20" s="533">
        <v>0</v>
      </c>
      <c r="E20" s="533">
        <v>0</v>
      </c>
      <c r="F20" s="534">
        <v>0</v>
      </c>
      <c r="G20" s="533">
        <v>0</v>
      </c>
      <c r="H20" s="535">
        <v>0</v>
      </c>
      <c r="I20" s="533">
        <v>0</v>
      </c>
      <c r="J20" s="533">
        <v>0</v>
      </c>
      <c r="K20" s="533">
        <v>0</v>
      </c>
      <c r="L20" s="533">
        <v>0</v>
      </c>
      <c r="M20" s="534">
        <v>0</v>
      </c>
      <c r="N20" s="533">
        <v>0</v>
      </c>
      <c r="O20" s="533">
        <v>0</v>
      </c>
      <c r="P20" s="533">
        <v>0</v>
      </c>
      <c r="Q20" s="533">
        <v>0</v>
      </c>
      <c r="R20" s="533">
        <v>0</v>
      </c>
      <c r="S20" s="533">
        <v>0</v>
      </c>
      <c r="T20" s="533">
        <v>0</v>
      </c>
      <c r="U20" s="533">
        <v>0</v>
      </c>
      <c r="V20" s="533">
        <v>0</v>
      </c>
      <c r="W20" s="533">
        <v>0</v>
      </c>
      <c r="X20" s="533">
        <v>0</v>
      </c>
      <c r="Y20" s="533">
        <v>0</v>
      </c>
      <c r="Z20" s="533">
        <v>0</v>
      </c>
      <c r="AA20" s="533">
        <v>0</v>
      </c>
      <c r="AB20" s="534">
        <v>0</v>
      </c>
      <c r="AC20" s="533">
        <v>0</v>
      </c>
      <c r="AD20" s="533">
        <v>0</v>
      </c>
      <c r="AE20" s="533">
        <v>0</v>
      </c>
      <c r="AF20" s="533">
        <v>0</v>
      </c>
      <c r="AG20" s="533">
        <v>0</v>
      </c>
      <c r="AH20" s="533">
        <v>0</v>
      </c>
      <c r="AI20" s="533">
        <v>0</v>
      </c>
      <c r="AJ20" s="533">
        <v>0</v>
      </c>
      <c r="AK20" s="533">
        <v>0</v>
      </c>
      <c r="AL20" s="533">
        <v>0</v>
      </c>
      <c r="AM20" s="533">
        <v>0</v>
      </c>
      <c r="AN20" s="533">
        <v>0</v>
      </c>
      <c r="AO20" s="533">
        <v>0</v>
      </c>
      <c r="AP20" s="533">
        <v>0</v>
      </c>
      <c r="AQ20" s="533">
        <v>0</v>
      </c>
      <c r="AR20" s="533">
        <v>0</v>
      </c>
      <c r="AS20" s="533">
        <v>0</v>
      </c>
      <c r="AT20" s="533">
        <v>0</v>
      </c>
      <c r="AU20" s="533">
        <v>0</v>
      </c>
      <c r="AV20" s="533">
        <v>0</v>
      </c>
      <c r="AW20" s="533">
        <v>0</v>
      </c>
      <c r="AX20" s="533">
        <v>0</v>
      </c>
      <c r="AY20" s="533">
        <v>0</v>
      </c>
      <c r="AZ20" s="533">
        <v>0</v>
      </c>
      <c r="BA20" s="533">
        <v>0</v>
      </c>
      <c r="BB20" s="533">
        <v>0</v>
      </c>
      <c r="BC20" s="533">
        <v>0</v>
      </c>
      <c r="BD20" s="533">
        <v>0</v>
      </c>
      <c r="BE20" s="533">
        <v>0</v>
      </c>
      <c r="BF20" s="533">
        <v>0</v>
      </c>
      <c r="BG20" s="533">
        <v>0</v>
      </c>
      <c r="BH20" s="533">
        <v>0</v>
      </c>
      <c r="BI20" s="533">
        <v>0</v>
      </c>
      <c r="BJ20" s="533">
        <v>0</v>
      </c>
      <c r="BK20" s="533">
        <v>0</v>
      </c>
      <c r="BL20" s="533">
        <v>0</v>
      </c>
      <c r="BM20" s="533">
        <v>0</v>
      </c>
      <c r="BN20" s="533">
        <v>0</v>
      </c>
      <c r="BO20" s="533">
        <v>0</v>
      </c>
      <c r="BP20" s="533">
        <v>0</v>
      </c>
      <c r="BQ20" s="533">
        <v>0</v>
      </c>
      <c r="BR20" s="533">
        <v>0</v>
      </c>
      <c r="BS20" s="533">
        <v>0</v>
      </c>
      <c r="BT20" s="533">
        <v>0</v>
      </c>
      <c r="BU20" s="533">
        <v>0</v>
      </c>
      <c r="BV20" s="533">
        <v>0</v>
      </c>
      <c r="BW20" s="533">
        <v>0</v>
      </c>
      <c r="BX20" s="533">
        <v>0</v>
      </c>
      <c r="BY20" s="533">
        <v>0</v>
      </c>
      <c r="BZ20" s="533">
        <v>0</v>
      </c>
      <c r="CA20" s="533">
        <v>0</v>
      </c>
      <c r="CB20" s="533">
        <v>0</v>
      </c>
      <c r="CC20" s="533">
        <v>0</v>
      </c>
      <c r="CD20" s="533">
        <v>0</v>
      </c>
      <c r="CE20" s="533">
        <v>0</v>
      </c>
      <c r="CF20" s="533">
        <v>0</v>
      </c>
      <c r="CG20" s="533">
        <v>0</v>
      </c>
      <c r="CH20" s="533">
        <v>0</v>
      </c>
      <c r="CI20" s="533">
        <v>0</v>
      </c>
      <c r="CJ20" s="533">
        <v>0</v>
      </c>
      <c r="CK20" s="533">
        <v>0</v>
      </c>
      <c r="CL20" s="533">
        <v>0</v>
      </c>
      <c r="CM20" s="533">
        <v>0</v>
      </c>
      <c r="CN20" s="533">
        <v>0</v>
      </c>
      <c r="CO20" s="533">
        <v>0</v>
      </c>
      <c r="CP20" s="533">
        <v>0</v>
      </c>
      <c r="CQ20" s="533">
        <v>0</v>
      </c>
      <c r="CR20" s="533">
        <v>0</v>
      </c>
      <c r="CS20" s="533">
        <v>0</v>
      </c>
      <c r="CT20" s="533">
        <v>0</v>
      </c>
      <c r="CU20" s="533">
        <v>0</v>
      </c>
      <c r="CV20" s="533">
        <v>0</v>
      </c>
      <c r="CW20" s="533">
        <v>0</v>
      </c>
      <c r="CX20" s="533">
        <v>0</v>
      </c>
      <c r="CY20" s="533">
        <v>0</v>
      </c>
      <c r="CZ20" s="533">
        <v>0</v>
      </c>
      <c r="DA20" s="533">
        <v>0</v>
      </c>
      <c r="DB20" s="536">
        <v>0</v>
      </c>
      <c r="DC20" s="533">
        <v>0</v>
      </c>
      <c r="DD20" s="479">
        <v>0</v>
      </c>
      <c r="DE20" s="479">
        <v>0</v>
      </c>
      <c r="DF20" s="479">
        <v>0</v>
      </c>
      <c r="DG20" s="479">
        <v>0</v>
      </c>
      <c r="DH20" s="479">
        <v>0</v>
      </c>
      <c r="DI20" s="479">
        <v>0</v>
      </c>
      <c r="DJ20" s="479">
        <v>0</v>
      </c>
      <c r="DK20" s="479">
        <v>0</v>
      </c>
      <c r="DL20" s="479">
        <v>0</v>
      </c>
      <c r="DM20" s="479">
        <v>0</v>
      </c>
      <c r="DN20" s="479">
        <v>0</v>
      </c>
      <c r="DO20" s="479">
        <v>0</v>
      </c>
      <c r="DP20" s="479">
        <v>0</v>
      </c>
      <c r="DQ20" s="479">
        <v>0</v>
      </c>
      <c r="DR20" s="479">
        <v>0</v>
      </c>
      <c r="DS20" s="479">
        <v>0</v>
      </c>
      <c r="DT20" s="479">
        <v>0</v>
      </c>
      <c r="DU20" s="479">
        <v>0</v>
      </c>
      <c r="DV20" s="479">
        <v>0</v>
      </c>
      <c r="DW20" s="479">
        <v>0</v>
      </c>
      <c r="DX20" s="479">
        <v>0</v>
      </c>
      <c r="DY20" s="479">
        <v>0</v>
      </c>
      <c r="DZ20" s="479">
        <v>0</v>
      </c>
      <c r="EA20" s="479">
        <v>0</v>
      </c>
      <c r="EB20" s="479">
        <v>0</v>
      </c>
      <c r="EC20" s="479">
        <v>0</v>
      </c>
    </row>
    <row r="21" spans="1:133" ht="18" customHeight="1" x14ac:dyDescent="0.25">
      <c r="A21" s="481"/>
      <c r="B21" s="482"/>
      <c r="C21" s="537"/>
      <c r="D21" s="537"/>
      <c r="E21" s="537"/>
      <c r="F21" s="538"/>
      <c r="G21" s="537"/>
      <c r="H21" s="539"/>
      <c r="I21" s="537"/>
      <c r="J21" s="537"/>
      <c r="K21" s="537"/>
      <c r="L21" s="537"/>
      <c r="M21" s="538"/>
      <c r="N21" s="537"/>
      <c r="O21" s="537"/>
      <c r="P21" s="537"/>
      <c r="Q21" s="537"/>
      <c r="R21" s="537"/>
      <c r="S21" s="537"/>
      <c r="T21" s="537"/>
      <c r="U21" s="537"/>
      <c r="V21" s="537"/>
      <c r="W21" s="537"/>
      <c r="X21" s="537"/>
      <c r="Y21" s="537"/>
      <c r="Z21" s="537"/>
      <c r="AA21" s="537"/>
      <c r="AB21" s="538"/>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40"/>
      <c r="DC21" s="537"/>
      <c r="DD21" s="483"/>
      <c r="DE21" s="483"/>
      <c r="DF21" s="483"/>
      <c r="DG21" s="483"/>
      <c r="DH21" s="483"/>
      <c r="DI21" s="483"/>
      <c r="DJ21" s="483"/>
      <c r="DK21" s="483"/>
      <c r="DL21" s="483"/>
      <c r="DM21" s="483"/>
      <c r="DN21" s="483"/>
      <c r="DO21" s="483"/>
      <c r="DP21" s="483"/>
      <c r="DQ21" s="483"/>
      <c r="DR21" s="483"/>
      <c r="DS21" s="483"/>
      <c r="DT21" s="483"/>
      <c r="DU21" s="483"/>
      <c r="DV21" s="483"/>
      <c r="DW21" s="483"/>
      <c r="DX21" s="483"/>
      <c r="DY21" s="483"/>
      <c r="DZ21" s="483"/>
      <c r="EA21" s="483"/>
      <c r="EB21" s="483"/>
      <c r="EC21" s="483"/>
    </row>
    <row r="22" spans="1:133" ht="18" customHeight="1" x14ac:dyDescent="0.25">
      <c r="A22" s="477" t="s">
        <v>421</v>
      </c>
      <c r="B22" s="478" t="s">
        <v>422</v>
      </c>
      <c r="C22" s="533">
        <v>26183.901282920295</v>
      </c>
      <c r="D22" s="533">
        <v>30920.629340638301</v>
      </c>
      <c r="E22" s="533">
        <v>30127.544491920886</v>
      </c>
      <c r="F22" s="534">
        <v>27572.021538983245</v>
      </c>
      <c r="G22" s="533">
        <v>33933.736539922735</v>
      </c>
      <c r="H22" s="535">
        <v>32760.140197956243</v>
      </c>
      <c r="I22" s="533">
        <v>30932.200626476388</v>
      </c>
      <c r="J22" s="533">
        <v>36789.194293661276</v>
      </c>
      <c r="K22" s="533">
        <v>38716.69300264043</v>
      </c>
      <c r="L22" s="533">
        <v>35113.899233169977</v>
      </c>
      <c r="M22" s="534">
        <v>38261.367843577915</v>
      </c>
      <c r="N22" s="533">
        <v>35373.730196793753</v>
      </c>
      <c r="O22" s="533">
        <v>30702.881672898991</v>
      </c>
      <c r="P22" s="533">
        <v>24608.514195546501</v>
      </c>
      <c r="Q22" s="533">
        <v>23590.456271051909</v>
      </c>
      <c r="R22" s="533">
        <v>26051.634146052649</v>
      </c>
      <c r="S22" s="533">
        <v>23754.468337843799</v>
      </c>
      <c r="T22" s="533">
        <v>26204.682153106383</v>
      </c>
      <c r="U22" s="533">
        <v>20675.033267786333</v>
      </c>
      <c r="V22" s="533">
        <v>22950.153968386727</v>
      </c>
      <c r="W22" s="533">
        <v>23418.528605273306</v>
      </c>
      <c r="X22" s="533">
        <v>25423.366629636468</v>
      </c>
      <c r="Y22" s="533">
        <v>29513.872719127681</v>
      </c>
      <c r="Z22" s="533">
        <v>23818.396172333396</v>
      </c>
      <c r="AA22" s="533">
        <v>34451.741724165789</v>
      </c>
      <c r="AB22" s="534">
        <v>33222.715717653664</v>
      </c>
      <c r="AC22" s="533">
        <v>30110.290967177945</v>
      </c>
      <c r="AD22" s="533">
        <v>28922.717702781105</v>
      </c>
      <c r="AE22" s="533">
        <v>34532.161147931627</v>
      </c>
      <c r="AF22" s="533">
        <v>30103.844928940875</v>
      </c>
      <c r="AG22" s="533">
        <v>26603.276718278383</v>
      </c>
      <c r="AH22" s="533">
        <v>26714.359443100075</v>
      </c>
      <c r="AI22" s="533">
        <v>40370.62161006096</v>
      </c>
      <c r="AJ22" s="533">
        <v>42571.506750741144</v>
      </c>
      <c r="AK22" s="533">
        <v>34963.558149141951</v>
      </c>
      <c r="AL22" s="533">
        <v>38700.580017500237</v>
      </c>
      <c r="AM22" s="533">
        <v>38769.383876147826</v>
      </c>
      <c r="AN22" s="533">
        <v>38750.924156272849</v>
      </c>
      <c r="AO22" s="533">
        <v>41982.447517360888</v>
      </c>
      <c r="AP22" s="533">
        <v>37091.78975061958</v>
      </c>
      <c r="AQ22" s="533">
        <v>57479.341437148803</v>
      </c>
      <c r="AR22" s="533">
        <v>42436.091494125823</v>
      </c>
      <c r="AS22" s="533">
        <v>48467.510631874728</v>
      </c>
      <c r="AT22" s="533">
        <v>43766.19374855388</v>
      </c>
      <c r="AU22" s="533">
        <v>43751.220261671922</v>
      </c>
      <c r="AV22" s="533">
        <v>43168.524312416805</v>
      </c>
      <c r="AW22" s="533">
        <v>54777.149352958186</v>
      </c>
      <c r="AX22" s="533">
        <v>56565.334847755534</v>
      </c>
      <c r="AY22" s="533">
        <v>70806.799089933018</v>
      </c>
      <c r="AZ22" s="533">
        <v>90527.344397130335</v>
      </c>
      <c r="BA22" s="533">
        <v>96028.651392077169</v>
      </c>
      <c r="BB22" s="533">
        <v>76118.656717261925</v>
      </c>
      <c r="BC22" s="533">
        <v>80474.430639867147</v>
      </c>
      <c r="BD22" s="533">
        <v>77218.847195249997</v>
      </c>
      <c r="BE22" s="533">
        <v>98721.071718576917</v>
      </c>
      <c r="BF22" s="533">
        <v>111246.1864692542</v>
      </c>
      <c r="BG22" s="533">
        <v>123630.10038815008</v>
      </c>
      <c r="BH22" s="533">
        <v>137628.01191243459</v>
      </c>
      <c r="BI22" s="533">
        <v>145174.68787323617</v>
      </c>
      <c r="BJ22" s="533">
        <v>179768.03997429187</v>
      </c>
      <c r="BK22" s="533">
        <v>170478.7823330292</v>
      </c>
      <c r="BL22" s="533">
        <v>161000.1806050069</v>
      </c>
      <c r="BM22" s="533">
        <v>164772.99928111248</v>
      </c>
      <c r="BN22" s="533">
        <v>180117.91477136695</v>
      </c>
      <c r="BO22" s="533">
        <v>196966.81957067244</v>
      </c>
      <c r="BP22" s="533">
        <v>164974.35568354317</v>
      </c>
      <c r="BQ22" s="533">
        <v>205532.71512867292</v>
      </c>
      <c r="BR22" s="533">
        <v>233615.43440302191</v>
      </c>
      <c r="BS22" s="533">
        <v>237429.01184841729</v>
      </c>
      <c r="BT22" s="533">
        <v>229439.60619730927</v>
      </c>
      <c r="BU22" s="533">
        <v>264086.64914514747</v>
      </c>
      <c r="BV22" s="533">
        <v>227132.10828651127</v>
      </c>
      <c r="BW22" s="533">
        <v>243937.36260248709</v>
      </c>
      <c r="BX22" s="533">
        <v>234468.511852241</v>
      </c>
      <c r="BY22" s="533">
        <v>223431.57729376826</v>
      </c>
      <c r="BZ22" s="533">
        <v>280749.98540102836</v>
      </c>
      <c r="CA22" s="533">
        <v>259276.10367702376</v>
      </c>
      <c r="CB22" s="533">
        <v>238813.20075755485</v>
      </c>
      <c r="CC22" s="533">
        <v>291326.19892175758</v>
      </c>
      <c r="CD22" s="533">
        <v>332228.6903683822</v>
      </c>
      <c r="CE22" s="533">
        <v>366057.60420105705</v>
      </c>
      <c r="CF22" s="533">
        <v>332692.92225448351</v>
      </c>
      <c r="CG22" s="533">
        <v>306885.93879038072</v>
      </c>
      <c r="CH22" s="533">
        <v>326897.43717744708</v>
      </c>
      <c r="CI22" s="533">
        <v>345977.21981359209</v>
      </c>
      <c r="CJ22" s="533">
        <v>356196.03470418812</v>
      </c>
      <c r="CK22" s="533">
        <v>345138.7756166319</v>
      </c>
      <c r="CL22" s="533">
        <v>352278.96527660429</v>
      </c>
      <c r="CM22" s="533">
        <v>331072.12614123517</v>
      </c>
      <c r="CN22" s="533">
        <v>288516.44618739793</v>
      </c>
      <c r="CO22" s="533">
        <v>281109.40385980502</v>
      </c>
      <c r="CP22" s="533">
        <v>298079.43139751867</v>
      </c>
      <c r="CQ22" s="533">
        <v>298951.46021708444</v>
      </c>
      <c r="CR22" s="533">
        <v>308166.34326273529</v>
      </c>
      <c r="CS22" s="533">
        <v>284867.13106017641</v>
      </c>
      <c r="CT22" s="533">
        <v>297357.83912524022</v>
      </c>
      <c r="CU22" s="533">
        <v>295323.93049225374</v>
      </c>
      <c r="CV22" s="533">
        <v>314515.56371994573</v>
      </c>
      <c r="CW22" s="533">
        <v>370297.8490114939</v>
      </c>
      <c r="CX22" s="533">
        <v>363107.71730177087</v>
      </c>
      <c r="CY22" s="533">
        <v>312843.50544339872</v>
      </c>
      <c r="CZ22" s="533">
        <v>290773.28742760501</v>
      </c>
      <c r="DA22" s="533">
        <v>245961.29706358048</v>
      </c>
      <c r="DB22" s="536">
        <v>228788.83545939447</v>
      </c>
      <c r="DC22" s="533">
        <v>236889.84815945203</v>
      </c>
      <c r="DD22" s="479">
        <v>224507.99969644891</v>
      </c>
      <c r="DE22" s="479">
        <v>216242.61411776507</v>
      </c>
      <c r="DF22" s="479">
        <v>210178.16381137507</v>
      </c>
      <c r="DG22" s="479">
        <v>199296.28029635065</v>
      </c>
      <c r="DH22" s="479">
        <v>162926.06365316006</v>
      </c>
      <c r="DI22" s="479">
        <v>137350.36057499834</v>
      </c>
      <c r="DJ22" s="479">
        <v>168027.54636504498</v>
      </c>
      <c r="DK22" s="479">
        <v>151683.13655269722</v>
      </c>
      <c r="DL22" s="479">
        <v>140420.28511015893</v>
      </c>
      <c r="DM22" s="479">
        <v>146732.48401225373</v>
      </c>
      <c r="DN22" s="479">
        <v>145309.89309986381</v>
      </c>
      <c r="DO22" s="479">
        <v>146940.14293640625</v>
      </c>
      <c r="DP22" s="479">
        <v>181061.12408194668</v>
      </c>
      <c r="DQ22" s="479">
        <v>183160.03853034083</v>
      </c>
      <c r="DR22" s="479">
        <v>174470.07187032959</v>
      </c>
      <c r="DS22" s="479">
        <v>146450.01639286181</v>
      </c>
      <c r="DT22" s="479">
        <v>138211.80318640507</v>
      </c>
      <c r="DU22" s="479">
        <v>138841.27612053964</v>
      </c>
      <c r="DV22" s="479">
        <v>157659.00386504576</v>
      </c>
      <c r="DW22" s="479">
        <v>134233.95268593746</v>
      </c>
      <c r="DX22" s="479">
        <v>133075.68389919461</v>
      </c>
      <c r="DY22" s="479">
        <v>149892.21979515898</v>
      </c>
      <c r="DZ22" s="479">
        <v>166946.90620761373</v>
      </c>
      <c r="EA22" s="479">
        <v>206445.59285607078</v>
      </c>
      <c r="EB22" s="479">
        <v>133461.54425450499</v>
      </c>
      <c r="EC22" s="479">
        <v>81449.778673306471</v>
      </c>
    </row>
    <row r="23" spans="1:133" ht="18" customHeight="1" x14ac:dyDescent="0.25">
      <c r="A23" s="481"/>
      <c r="B23" s="482"/>
      <c r="C23" s="537"/>
      <c r="D23" s="537"/>
      <c r="E23" s="537"/>
      <c r="F23" s="538"/>
      <c r="G23" s="537"/>
      <c r="H23" s="539"/>
      <c r="I23" s="537"/>
      <c r="J23" s="537"/>
      <c r="K23" s="537"/>
      <c r="L23" s="537"/>
      <c r="M23" s="538"/>
      <c r="N23" s="537"/>
      <c r="O23" s="537"/>
      <c r="P23" s="537"/>
      <c r="Q23" s="537"/>
      <c r="R23" s="537"/>
      <c r="S23" s="537"/>
      <c r="T23" s="537"/>
      <c r="U23" s="537"/>
      <c r="V23" s="537"/>
      <c r="W23" s="537"/>
      <c r="X23" s="537"/>
      <c r="Y23" s="537"/>
      <c r="Z23" s="537"/>
      <c r="AA23" s="537"/>
      <c r="AB23" s="538"/>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40"/>
      <c r="DC23" s="537"/>
      <c r="DD23" s="483"/>
      <c r="DE23" s="483"/>
      <c r="DF23" s="483"/>
      <c r="DG23" s="483"/>
      <c r="DH23" s="483"/>
      <c r="DI23" s="483"/>
      <c r="DJ23" s="483"/>
      <c r="DK23" s="483"/>
      <c r="DL23" s="483"/>
      <c r="DM23" s="483"/>
      <c r="DN23" s="483"/>
      <c r="DO23" s="483"/>
      <c r="DP23" s="483"/>
      <c r="DQ23" s="483"/>
      <c r="DR23" s="483"/>
      <c r="DS23" s="483"/>
      <c r="DT23" s="483"/>
      <c r="DU23" s="483"/>
      <c r="DV23" s="483"/>
      <c r="DW23" s="483"/>
      <c r="DX23" s="483"/>
      <c r="DY23" s="483"/>
      <c r="DZ23" s="483"/>
      <c r="EA23" s="483"/>
      <c r="EB23" s="483"/>
      <c r="EC23" s="483"/>
    </row>
    <row r="24" spans="1:133" ht="18" customHeight="1" x14ac:dyDescent="0.25">
      <c r="A24" s="477" t="s">
        <v>423</v>
      </c>
      <c r="B24" s="478" t="s">
        <v>424</v>
      </c>
      <c r="C24" s="533">
        <v>5586.798867614908</v>
      </c>
      <c r="D24" s="533">
        <v>5670.2383501161712</v>
      </c>
      <c r="E24" s="533">
        <v>6117.0573349504757</v>
      </c>
      <c r="F24" s="534">
        <v>7474.1806698326081</v>
      </c>
      <c r="G24" s="533">
        <v>6266.8263476957054</v>
      </c>
      <c r="H24" s="535">
        <v>6063.7564736961303</v>
      </c>
      <c r="I24" s="533">
        <v>6666.9401175171824</v>
      </c>
      <c r="J24" s="533">
        <v>6579.056281183487</v>
      </c>
      <c r="K24" s="533">
        <v>7008.9555369945765</v>
      </c>
      <c r="L24" s="533">
        <v>6820.9021825312575</v>
      </c>
      <c r="M24" s="534">
        <v>7631.3581200062245</v>
      </c>
      <c r="N24" s="533">
        <v>7806.0112989903628</v>
      </c>
      <c r="O24" s="533">
        <v>8382.2791541429269</v>
      </c>
      <c r="P24" s="533">
        <v>5165.1919955896801</v>
      </c>
      <c r="Q24" s="533">
        <v>5723.0687758585036</v>
      </c>
      <c r="R24" s="533">
        <v>7551.9510162780534</v>
      </c>
      <c r="S24" s="533">
        <v>7663.7134439486545</v>
      </c>
      <c r="T24" s="533">
        <v>8255.4748656612992</v>
      </c>
      <c r="U24" s="533">
        <v>7438.1685543321464</v>
      </c>
      <c r="V24" s="533">
        <v>6960.562159441788</v>
      </c>
      <c r="W24" s="533">
        <v>7857.1388660158736</v>
      </c>
      <c r="X24" s="533">
        <v>8484.5331707902569</v>
      </c>
      <c r="Y24" s="533">
        <v>11530.962587584701</v>
      </c>
      <c r="Z24" s="533">
        <v>12922.31894454308</v>
      </c>
      <c r="AA24" s="533">
        <v>13641.58370018477</v>
      </c>
      <c r="AB24" s="534">
        <v>11192.800028664689</v>
      </c>
      <c r="AC24" s="533">
        <v>11547.884203073783</v>
      </c>
      <c r="AD24" s="533">
        <v>10500.761405279829</v>
      </c>
      <c r="AE24" s="533">
        <v>11355.924284038227</v>
      </c>
      <c r="AF24" s="533">
        <v>10284.080548874359</v>
      </c>
      <c r="AG24" s="533">
        <v>10027.130049652962</v>
      </c>
      <c r="AH24" s="533">
        <v>10673.026815798956</v>
      </c>
      <c r="AI24" s="533">
        <v>11371.503905600166</v>
      </c>
      <c r="AJ24" s="533">
        <v>12145.767563427276</v>
      </c>
      <c r="AK24" s="533">
        <v>11209.264290815925</v>
      </c>
      <c r="AL24" s="533">
        <v>11222.241155054264</v>
      </c>
      <c r="AM24" s="533">
        <v>15181.785867937439</v>
      </c>
      <c r="AN24" s="533">
        <v>12850.536794886611</v>
      </c>
      <c r="AO24" s="533">
        <v>10483.63429309343</v>
      </c>
      <c r="AP24" s="533">
        <v>11581.603150539095</v>
      </c>
      <c r="AQ24" s="533">
        <v>14172.875508021096</v>
      </c>
      <c r="AR24" s="533">
        <v>11941.791449044793</v>
      </c>
      <c r="AS24" s="533">
        <v>12288.775715904736</v>
      </c>
      <c r="AT24" s="533">
        <v>9553.3905783131268</v>
      </c>
      <c r="AU24" s="533">
        <v>10175.363463764746</v>
      </c>
      <c r="AV24" s="533">
        <v>11673.019489467513</v>
      </c>
      <c r="AW24" s="533">
        <v>10714.075941908723</v>
      </c>
      <c r="AX24" s="533">
        <v>10561.569703707139</v>
      </c>
      <c r="AY24" s="533">
        <v>10127.180403858782</v>
      </c>
      <c r="AZ24" s="533">
        <v>8916.3755402082861</v>
      </c>
      <c r="BA24" s="533">
        <v>9591.3565887875484</v>
      </c>
      <c r="BB24" s="533">
        <v>8824.9289822759856</v>
      </c>
      <c r="BC24" s="533">
        <v>8438.262072096717</v>
      </c>
      <c r="BD24" s="533">
        <v>8294.6577118151545</v>
      </c>
      <c r="BE24" s="533">
        <v>10294.380814194436</v>
      </c>
      <c r="BF24" s="533">
        <v>10135.351869342354</v>
      </c>
      <c r="BG24" s="533">
        <v>9562.9213973704991</v>
      </c>
      <c r="BH24" s="533">
        <v>7538.2620045354715</v>
      </c>
      <c r="BI24" s="533">
        <v>6656.081488824997</v>
      </c>
      <c r="BJ24" s="533">
        <v>5651.6614854600657</v>
      </c>
      <c r="BK24" s="533">
        <v>8234.2420163253446</v>
      </c>
      <c r="BL24" s="533">
        <v>11081.159814091725</v>
      </c>
      <c r="BM24" s="533">
        <v>7295.7186112800837</v>
      </c>
      <c r="BN24" s="533">
        <v>6789.8075006472918</v>
      </c>
      <c r="BO24" s="533">
        <v>9774.654724436692</v>
      </c>
      <c r="BP24" s="533">
        <v>11503.842018809039</v>
      </c>
      <c r="BQ24" s="533">
        <v>11520.901851768776</v>
      </c>
      <c r="BR24" s="533">
        <v>11830.500007035427</v>
      </c>
      <c r="BS24" s="533">
        <v>10787.077786941991</v>
      </c>
      <c r="BT24" s="533">
        <v>22353.30464532099</v>
      </c>
      <c r="BU24" s="533">
        <v>21263.833247622191</v>
      </c>
      <c r="BV24" s="533">
        <v>16977.151872741804</v>
      </c>
      <c r="BW24" s="533">
        <v>15160.294477557121</v>
      </c>
      <c r="BX24" s="533">
        <v>14739.210506365067</v>
      </c>
      <c r="BY24" s="533">
        <v>6759.9391974346472</v>
      </c>
      <c r="BZ24" s="533">
        <v>16885.390142336248</v>
      </c>
      <c r="CA24" s="533">
        <v>16904.848590467151</v>
      </c>
      <c r="CB24" s="533">
        <v>18464.724621975449</v>
      </c>
      <c r="CC24" s="533">
        <v>20310.023745208211</v>
      </c>
      <c r="CD24" s="533">
        <v>18136.786126254097</v>
      </c>
      <c r="CE24" s="533">
        <v>17796.881000042162</v>
      </c>
      <c r="CF24" s="533">
        <v>17003.577548785706</v>
      </c>
      <c r="CG24" s="533">
        <v>18239.700907009203</v>
      </c>
      <c r="CH24" s="533">
        <v>24046.779311109243</v>
      </c>
      <c r="CI24" s="533">
        <v>23259.807723009948</v>
      </c>
      <c r="CJ24" s="533">
        <v>22427.249946578446</v>
      </c>
      <c r="CK24" s="533">
        <v>21077.458555829788</v>
      </c>
      <c r="CL24" s="533">
        <v>20634.046926593754</v>
      </c>
      <c r="CM24" s="533">
        <v>19142.322849267592</v>
      </c>
      <c r="CN24" s="533">
        <v>17976.597196121158</v>
      </c>
      <c r="CO24" s="533">
        <v>26161.113849849502</v>
      </c>
      <c r="CP24" s="533">
        <v>25694.24424716974</v>
      </c>
      <c r="CQ24" s="533">
        <v>25123.26334604172</v>
      </c>
      <c r="CR24" s="533">
        <v>22664.22862983244</v>
      </c>
      <c r="CS24" s="533">
        <v>22719.158965007482</v>
      </c>
      <c r="CT24" s="533">
        <v>20410.115132084626</v>
      </c>
      <c r="CU24" s="533">
        <v>21952.648839768572</v>
      </c>
      <c r="CV24" s="533">
        <v>24187.179030909549</v>
      </c>
      <c r="CW24" s="533">
        <v>24962.343440261437</v>
      </c>
      <c r="CX24" s="533">
        <v>24430.691481260808</v>
      </c>
      <c r="CY24" s="533">
        <v>21228.153566194575</v>
      </c>
      <c r="CZ24" s="533">
        <v>13460.171899606245</v>
      </c>
      <c r="DA24" s="533">
        <v>13161.578803034829</v>
      </c>
      <c r="DB24" s="536">
        <v>13353.000956889064</v>
      </c>
      <c r="DC24" s="533">
        <v>14770.634525825522</v>
      </c>
      <c r="DD24" s="479">
        <v>12678.348490215165</v>
      </c>
      <c r="DE24" s="479">
        <v>13485.476447141784</v>
      </c>
      <c r="DF24" s="479">
        <v>13662.931185628504</v>
      </c>
      <c r="DG24" s="479">
        <v>15004.016252179814</v>
      </c>
      <c r="DH24" s="479">
        <v>14023.320203671998</v>
      </c>
      <c r="DI24" s="479">
        <v>15319.539279424494</v>
      </c>
      <c r="DJ24" s="479">
        <v>16957.73530230056</v>
      </c>
      <c r="DK24" s="479">
        <v>15008.632237125699</v>
      </c>
      <c r="DL24" s="479">
        <v>15821.082106714151</v>
      </c>
      <c r="DM24" s="479">
        <v>15077.025632343046</v>
      </c>
      <c r="DN24" s="479">
        <v>16562.16890410905</v>
      </c>
      <c r="DO24" s="479">
        <v>16069.248289282239</v>
      </c>
      <c r="DP24" s="479">
        <v>16932.623271443455</v>
      </c>
      <c r="DQ24" s="479">
        <v>17208.980758727099</v>
      </c>
      <c r="DR24" s="479">
        <v>16335.134598107172</v>
      </c>
      <c r="DS24" s="479">
        <v>16552.709291795978</v>
      </c>
      <c r="DT24" s="479">
        <v>17269.646363716402</v>
      </c>
      <c r="DU24" s="479">
        <v>18124.614860250902</v>
      </c>
      <c r="DV24" s="479">
        <v>18155.998308868511</v>
      </c>
      <c r="DW24" s="479">
        <v>17374.882932840217</v>
      </c>
      <c r="DX24" s="479">
        <v>18973.176565185389</v>
      </c>
      <c r="DY24" s="479">
        <v>18559.519151743913</v>
      </c>
      <c r="DZ24" s="479">
        <v>19409.80626710242</v>
      </c>
      <c r="EA24" s="479">
        <v>20028.275508855979</v>
      </c>
      <c r="EB24" s="479">
        <v>16733.812368923645</v>
      </c>
      <c r="EC24" s="479">
        <v>18443.991323393631</v>
      </c>
    </row>
    <row r="25" spans="1:133" ht="18" customHeight="1" x14ac:dyDescent="0.25">
      <c r="A25" s="481"/>
      <c r="B25" s="482"/>
      <c r="C25" s="537"/>
      <c r="D25" s="537"/>
      <c r="E25" s="537"/>
      <c r="F25" s="538"/>
      <c r="G25" s="537"/>
      <c r="H25" s="539"/>
      <c r="I25" s="537"/>
      <c r="J25" s="537"/>
      <c r="K25" s="537"/>
      <c r="L25" s="537"/>
      <c r="M25" s="538"/>
      <c r="N25" s="537"/>
      <c r="O25" s="537"/>
      <c r="P25" s="537"/>
      <c r="Q25" s="537"/>
      <c r="R25" s="537"/>
      <c r="S25" s="537"/>
      <c r="T25" s="537"/>
      <c r="U25" s="537"/>
      <c r="V25" s="537"/>
      <c r="W25" s="537"/>
      <c r="X25" s="537"/>
      <c r="Y25" s="537"/>
      <c r="Z25" s="537"/>
      <c r="AA25" s="537"/>
      <c r="AB25" s="538"/>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40"/>
      <c r="DC25" s="537"/>
      <c r="DD25" s="483"/>
      <c r="DE25" s="483"/>
      <c r="DF25" s="483"/>
      <c r="DG25" s="483"/>
      <c r="DH25" s="483"/>
      <c r="DI25" s="483"/>
      <c r="DJ25" s="483"/>
      <c r="DK25" s="483"/>
      <c r="DL25" s="483"/>
      <c r="DM25" s="483"/>
      <c r="DN25" s="483"/>
      <c r="DO25" s="483"/>
      <c r="DP25" s="483"/>
      <c r="DQ25" s="483"/>
      <c r="DR25" s="483"/>
      <c r="DS25" s="483"/>
      <c r="DT25" s="483"/>
      <c r="DU25" s="483"/>
      <c r="DV25" s="483"/>
      <c r="DW25" s="483"/>
      <c r="DX25" s="483"/>
      <c r="DY25" s="483"/>
      <c r="DZ25" s="483"/>
      <c r="EA25" s="483"/>
      <c r="EB25" s="483"/>
      <c r="EC25" s="483"/>
    </row>
    <row r="26" spans="1:133" ht="18" customHeight="1" x14ac:dyDescent="0.25">
      <c r="A26" s="477" t="s">
        <v>425</v>
      </c>
      <c r="B26" s="478" t="s">
        <v>426</v>
      </c>
      <c r="C26" s="533">
        <v>10215.371715636911</v>
      </c>
      <c r="D26" s="533">
        <v>10230.386176877602</v>
      </c>
      <c r="E26" s="533">
        <v>10264.534151124984</v>
      </c>
      <c r="F26" s="534">
        <v>10292.840694966148</v>
      </c>
      <c r="G26" s="533">
        <v>10359.952542342509</v>
      </c>
      <c r="H26" s="535">
        <v>10372.829824412309</v>
      </c>
      <c r="I26" s="533">
        <v>10483.290079899974</v>
      </c>
      <c r="J26" s="533">
        <v>10492.661873524687</v>
      </c>
      <c r="K26" s="533">
        <v>10513.580191881219</v>
      </c>
      <c r="L26" s="533">
        <v>10547.697643533049</v>
      </c>
      <c r="M26" s="534">
        <v>10566.463638046363</v>
      </c>
      <c r="N26" s="533">
        <v>10727.152068725743</v>
      </c>
      <c r="O26" s="533">
        <v>10865.093985192434</v>
      </c>
      <c r="P26" s="533">
        <v>10887.929830016839</v>
      </c>
      <c r="Q26" s="533">
        <v>10915.478152448781</v>
      </c>
      <c r="R26" s="533">
        <v>10964.996223353954</v>
      </c>
      <c r="S26" s="533">
        <v>11007.866502909934</v>
      </c>
      <c r="T26" s="533">
        <v>11010.610413217419</v>
      </c>
      <c r="U26" s="533">
        <v>11076.806146190253</v>
      </c>
      <c r="V26" s="533">
        <v>11105.093902010241</v>
      </c>
      <c r="W26" s="533">
        <v>11117.860938733025</v>
      </c>
      <c r="X26" s="533">
        <v>11158.444612866819</v>
      </c>
      <c r="Y26" s="533">
        <v>11210.363676150844</v>
      </c>
      <c r="Z26" s="533">
        <v>11272.935388662529</v>
      </c>
      <c r="AA26" s="533">
        <v>11409.284636318876</v>
      </c>
      <c r="AB26" s="534">
        <v>11422.076131039485</v>
      </c>
      <c r="AC26" s="533">
        <v>11444.44480959927</v>
      </c>
      <c r="AD26" s="533">
        <v>11532.252476586686</v>
      </c>
      <c r="AE26" s="533">
        <v>11590.240126935367</v>
      </c>
      <c r="AF26" s="533">
        <v>11673.571102098638</v>
      </c>
      <c r="AG26" s="533">
        <v>11761.047168821962</v>
      </c>
      <c r="AH26" s="533">
        <v>11763.811328135618</v>
      </c>
      <c r="AI26" s="533">
        <v>11806.061369881943</v>
      </c>
      <c r="AJ26" s="533">
        <v>11816.139712376122</v>
      </c>
      <c r="AK26" s="533">
        <v>11890.545455707794</v>
      </c>
      <c r="AL26" s="533">
        <v>11921.049115748849</v>
      </c>
      <c r="AM26" s="533">
        <v>11991.176862374597</v>
      </c>
      <c r="AN26" s="533">
        <v>12033.192013161477</v>
      </c>
      <c r="AO26" s="533">
        <v>12206.364103932192</v>
      </c>
      <c r="AP26" s="533">
        <v>12245.542505985177</v>
      </c>
      <c r="AQ26" s="533">
        <v>12337.511775198873</v>
      </c>
      <c r="AR26" s="533">
        <v>12388.003471182003</v>
      </c>
      <c r="AS26" s="533">
        <v>13072.915050843339</v>
      </c>
      <c r="AT26" s="533">
        <v>13232.176902227937</v>
      </c>
      <c r="AU26" s="533">
        <v>13097.938985023256</v>
      </c>
      <c r="AV26" s="533">
        <v>13260.289285591152</v>
      </c>
      <c r="AW26" s="533">
        <v>13403.191097281138</v>
      </c>
      <c r="AX26" s="533">
        <v>13544.565267320062</v>
      </c>
      <c r="AY26" s="533">
        <v>13614.289342267039</v>
      </c>
      <c r="AZ26" s="533">
        <v>13729.554368000301</v>
      </c>
      <c r="BA26" s="533">
        <v>13814.866305836849</v>
      </c>
      <c r="BB26" s="533">
        <v>13823.782985256501</v>
      </c>
      <c r="BC26" s="533">
        <v>14031.010314083316</v>
      </c>
      <c r="BD26" s="533">
        <v>14127.162151959725</v>
      </c>
      <c r="BE26" s="533">
        <v>14227.102351594973</v>
      </c>
      <c r="BF26" s="533">
        <v>14202.525275436403</v>
      </c>
      <c r="BG26" s="533">
        <v>14302.397524761791</v>
      </c>
      <c r="BH26" s="533">
        <v>14389.834409854073</v>
      </c>
      <c r="BI26" s="533">
        <v>14673.937178870799</v>
      </c>
      <c r="BJ26" s="533">
        <v>14995.416754536564</v>
      </c>
      <c r="BK26" s="533">
        <v>15409.890920938726</v>
      </c>
      <c r="BL26" s="533">
        <v>15414.545802328117</v>
      </c>
      <c r="BM26" s="533">
        <v>15554.16291438724</v>
      </c>
      <c r="BN26" s="533">
        <v>15894.255435636198</v>
      </c>
      <c r="BO26" s="533">
        <v>15918.77249047435</v>
      </c>
      <c r="BP26" s="533">
        <v>17467.182184771249</v>
      </c>
      <c r="BQ26" s="533">
        <v>17739.609993181337</v>
      </c>
      <c r="BR26" s="533">
        <v>17793.811540942119</v>
      </c>
      <c r="BS26" s="533">
        <v>17828.298934435472</v>
      </c>
      <c r="BT26" s="533">
        <v>18001.626249843775</v>
      </c>
      <c r="BU26" s="533">
        <v>18001.995798082295</v>
      </c>
      <c r="BV26" s="533">
        <v>18130.633536210713</v>
      </c>
      <c r="BW26" s="533">
        <v>18376.006039425818</v>
      </c>
      <c r="BX26" s="533">
        <v>18603.568490555725</v>
      </c>
      <c r="BY26" s="533">
        <v>18828.461346276672</v>
      </c>
      <c r="BZ26" s="533">
        <v>18979.960087374864</v>
      </c>
      <c r="CA26" s="533">
        <v>19084.166463022997</v>
      </c>
      <c r="CB26" s="533">
        <v>19207.484316991893</v>
      </c>
      <c r="CC26" s="533">
        <v>19517.614369597417</v>
      </c>
      <c r="CD26" s="533">
        <v>19533.764193612762</v>
      </c>
      <c r="CE26" s="533">
        <v>19537.005283991602</v>
      </c>
      <c r="CF26" s="533">
        <v>19557.575459742613</v>
      </c>
      <c r="CG26" s="533">
        <v>19579.441299077534</v>
      </c>
      <c r="CH26" s="533">
        <v>20428.375245526004</v>
      </c>
      <c r="CI26" s="533">
        <v>20556.179191954445</v>
      </c>
      <c r="CJ26" s="533">
        <v>19193.325564116065</v>
      </c>
      <c r="CK26" s="533">
        <v>18991.125073870578</v>
      </c>
      <c r="CL26" s="533">
        <v>19013.707845548543</v>
      </c>
      <c r="CM26" s="533">
        <v>19070.792677045647</v>
      </c>
      <c r="CN26" s="533">
        <v>19076.525389458013</v>
      </c>
      <c r="CO26" s="533">
        <v>19357.708645800292</v>
      </c>
      <c r="CP26" s="533">
        <v>19415.312732245835</v>
      </c>
      <c r="CQ26" s="533">
        <v>19468.269430811728</v>
      </c>
      <c r="CR26" s="533">
        <v>19521.315935019076</v>
      </c>
      <c r="CS26" s="533">
        <v>19464.659475675766</v>
      </c>
      <c r="CT26" s="533">
        <v>19530.660201881532</v>
      </c>
      <c r="CU26" s="533">
        <v>19486.743338668759</v>
      </c>
      <c r="CV26" s="533">
        <v>19488.230982296118</v>
      </c>
      <c r="CW26" s="533">
        <v>19530.093976924174</v>
      </c>
      <c r="CX26" s="533">
        <v>19541.220467600302</v>
      </c>
      <c r="CY26" s="533">
        <v>19515.603282422369</v>
      </c>
      <c r="CZ26" s="533">
        <v>19492.077551158658</v>
      </c>
      <c r="DA26" s="533">
        <v>19635.664827378263</v>
      </c>
      <c r="DB26" s="536">
        <v>19751.275374700119</v>
      </c>
      <c r="DC26" s="533">
        <v>19729.127296518513</v>
      </c>
      <c r="DD26" s="479">
        <v>19607.286023135839</v>
      </c>
      <c r="DE26" s="479">
        <v>19587.437834158958</v>
      </c>
      <c r="DF26" s="479">
        <v>19604.578768136802</v>
      </c>
      <c r="DG26" s="479">
        <v>19760.417300341342</v>
      </c>
      <c r="DH26" s="479">
        <v>19807.134491682395</v>
      </c>
      <c r="DI26" s="479">
        <v>19939.181298837218</v>
      </c>
      <c r="DJ26" s="479">
        <v>21242.825142080525</v>
      </c>
      <c r="DK26" s="479">
        <v>21291.988727455933</v>
      </c>
      <c r="DL26" s="479">
        <v>21308.232183883953</v>
      </c>
      <c r="DM26" s="479">
        <v>21391.700425447307</v>
      </c>
      <c r="DN26" s="479">
        <v>21433.171974494453</v>
      </c>
      <c r="DO26" s="479">
        <v>21456.870752559953</v>
      </c>
      <c r="DP26" s="479">
        <v>21668.754415733652</v>
      </c>
      <c r="DQ26" s="479">
        <v>21622.057773304194</v>
      </c>
      <c r="DR26" s="479">
        <v>21685.943097820887</v>
      </c>
      <c r="DS26" s="479">
        <v>21654.382337864117</v>
      </c>
      <c r="DT26" s="479">
        <v>21652.354661916699</v>
      </c>
      <c r="DU26" s="479">
        <v>21565.339877045353</v>
      </c>
      <c r="DV26" s="479">
        <v>21583.975443358457</v>
      </c>
      <c r="DW26" s="479">
        <v>21685.509638595511</v>
      </c>
      <c r="DX26" s="479">
        <v>21727.813776798685</v>
      </c>
      <c r="DY26" s="479">
        <v>21752.445103661114</v>
      </c>
      <c r="DZ26" s="479">
        <v>21786.789514354197</v>
      </c>
      <c r="EA26" s="479">
        <v>21817.799961170836</v>
      </c>
      <c r="EB26" s="479">
        <v>21919.752609938234</v>
      </c>
      <c r="EC26" s="479">
        <v>21864.317014434211</v>
      </c>
    </row>
    <row r="27" spans="1:133" ht="18" customHeight="1" x14ac:dyDescent="0.25">
      <c r="A27" s="481"/>
      <c r="B27" s="482"/>
      <c r="C27" s="502"/>
      <c r="D27" s="502"/>
      <c r="E27" s="502"/>
      <c r="F27" s="541"/>
      <c r="G27" s="502"/>
      <c r="H27" s="542"/>
      <c r="I27" s="502"/>
      <c r="J27" s="502"/>
      <c r="K27" s="502"/>
      <c r="L27" s="502"/>
      <c r="M27" s="541"/>
      <c r="N27" s="502"/>
      <c r="O27" s="502"/>
      <c r="P27" s="502"/>
      <c r="Q27" s="502"/>
      <c r="R27" s="502"/>
      <c r="S27" s="502"/>
      <c r="T27" s="502"/>
      <c r="U27" s="502"/>
      <c r="V27" s="502"/>
      <c r="W27" s="502"/>
      <c r="X27" s="502"/>
      <c r="Y27" s="502"/>
      <c r="Z27" s="502"/>
      <c r="AA27" s="502"/>
      <c r="AB27" s="541"/>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02"/>
      <c r="BZ27" s="502"/>
      <c r="CA27" s="502"/>
      <c r="CB27" s="502"/>
      <c r="CC27" s="502"/>
      <c r="CD27" s="502"/>
      <c r="CE27" s="502"/>
      <c r="CF27" s="502"/>
      <c r="CG27" s="502"/>
      <c r="CH27" s="502"/>
      <c r="CI27" s="502"/>
      <c r="CJ27" s="502"/>
      <c r="CK27" s="502"/>
      <c r="CL27" s="502"/>
      <c r="CM27" s="502"/>
      <c r="CN27" s="502"/>
      <c r="CO27" s="502"/>
      <c r="CP27" s="502"/>
      <c r="CQ27" s="502"/>
      <c r="CR27" s="502"/>
      <c r="CS27" s="502"/>
      <c r="CT27" s="502"/>
      <c r="CU27" s="502"/>
      <c r="CV27" s="502"/>
      <c r="CW27" s="502"/>
      <c r="CX27" s="502"/>
      <c r="CY27" s="502"/>
      <c r="CZ27" s="502"/>
      <c r="DA27" s="502"/>
      <c r="DB27" s="543"/>
      <c r="DC27" s="502"/>
      <c r="DD27" s="484"/>
      <c r="DE27" s="484"/>
      <c r="DF27" s="484"/>
      <c r="DG27" s="484"/>
      <c r="DH27" s="484"/>
      <c r="DI27" s="484"/>
      <c r="DJ27" s="484"/>
      <c r="DK27" s="484"/>
      <c r="DL27" s="484"/>
      <c r="DM27" s="484"/>
      <c r="DN27" s="484"/>
      <c r="DO27" s="484"/>
      <c r="DP27" s="484"/>
      <c r="DQ27" s="484"/>
      <c r="DR27" s="484"/>
      <c r="DS27" s="484"/>
      <c r="DT27" s="484"/>
      <c r="DU27" s="484"/>
      <c r="DV27" s="484"/>
      <c r="DW27" s="484"/>
      <c r="DX27" s="484"/>
      <c r="DY27" s="484"/>
      <c r="DZ27" s="484"/>
      <c r="EA27" s="484"/>
      <c r="EB27" s="484"/>
      <c r="EC27" s="484"/>
    </row>
    <row r="28" spans="1:133" ht="18" customHeight="1" x14ac:dyDescent="0.25">
      <c r="A28" s="477"/>
      <c r="B28" s="478" t="s">
        <v>427</v>
      </c>
      <c r="C28" s="533">
        <v>445837.09647377668</v>
      </c>
      <c r="D28" s="533">
        <v>432333.73571372771</v>
      </c>
      <c r="E28" s="533">
        <v>444953.021719618</v>
      </c>
      <c r="F28" s="534">
        <v>460740.797100208</v>
      </c>
      <c r="G28" s="533">
        <v>463204.56965047109</v>
      </c>
      <c r="H28" s="535">
        <v>481466.10547432484</v>
      </c>
      <c r="I28" s="533">
        <v>468596.08483181143</v>
      </c>
      <c r="J28" s="533">
        <v>478494.19773629768</v>
      </c>
      <c r="K28" s="533">
        <v>507625.95996665611</v>
      </c>
      <c r="L28" s="533">
        <v>511206.35459318251</v>
      </c>
      <c r="M28" s="534">
        <v>507494.99652799591</v>
      </c>
      <c r="N28" s="533">
        <v>535662.87708218186</v>
      </c>
      <c r="O28" s="533">
        <v>523850.27109396091</v>
      </c>
      <c r="P28" s="533">
        <v>533426.28475085355</v>
      </c>
      <c r="Q28" s="533">
        <v>544859.49148365168</v>
      </c>
      <c r="R28" s="533">
        <v>574613.75507576729</v>
      </c>
      <c r="S28" s="533">
        <v>577716.91733799619</v>
      </c>
      <c r="T28" s="533">
        <v>606513.96390440303</v>
      </c>
      <c r="U28" s="533">
        <v>630119.83825675095</v>
      </c>
      <c r="V28" s="533">
        <v>601954.21949290158</v>
      </c>
      <c r="W28" s="533">
        <v>605510.99257776886</v>
      </c>
      <c r="X28" s="533">
        <v>624077.8429934188</v>
      </c>
      <c r="Y28" s="533">
        <v>630561.20148484898</v>
      </c>
      <c r="Z28" s="533">
        <v>632246.8301334742</v>
      </c>
      <c r="AA28" s="533">
        <v>663094.43448228785</v>
      </c>
      <c r="AB28" s="534">
        <v>681753.16319898376</v>
      </c>
      <c r="AC28" s="533">
        <v>696077.90731930907</v>
      </c>
      <c r="AD28" s="533">
        <v>703609.67573219968</v>
      </c>
      <c r="AE28" s="533">
        <v>706823.47694429208</v>
      </c>
      <c r="AF28" s="533">
        <v>746138.07708744076</v>
      </c>
      <c r="AG28" s="533">
        <v>723735.24594093079</v>
      </c>
      <c r="AH28" s="533">
        <v>752758.66746484721</v>
      </c>
      <c r="AI28" s="533">
        <v>748659.13151196076</v>
      </c>
      <c r="AJ28" s="533">
        <v>733354.18060780887</v>
      </c>
      <c r="AK28" s="533">
        <v>719659.48504551011</v>
      </c>
      <c r="AL28" s="533">
        <v>760499.45805457234</v>
      </c>
      <c r="AM28" s="533">
        <v>773252.44279980345</v>
      </c>
      <c r="AN28" s="533">
        <v>790615.52522057283</v>
      </c>
      <c r="AO28" s="533">
        <v>780986.27990754228</v>
      </c>
      <c r="AP28" s="533">
        <v>763856.00000544579</v>
      </c>
      <c r="AQ28" s="533">
        <v>819322.53242127271</v>
      </c>
      <c r="AR28" s="533">
        <v>803124.72039461497</v>
      </c>
      <c r="AS28" s="533">
        <v>805990.07822780788</v>
      </c>
      <c r="AT28" s="533">
        <v>805323.12107065471</v>
      </c>
      <c r="AU28" s="533">
        <v>814898.81246116548</v>
      </c>
      <c r="AV28" s="533">
        <v>807733.62320407038</v>
      </c>
      <c r="AW28" s="533">
        <v>808480.43114297767</v>
      </c>
      <c r="AX28" s="533">
        <v>802925.72630353528</v>
      </c>
      <c r="AY28" s="533">
        <v>815049.49751336011</v>
      </c>
      <c r="AZ28" s="533">
        <v>830130.71492082509</v>
      </c>
      <c r="BA28" s="533">
        <v>833451.49451934209</v>
      </c>
      <c r="BB28" s="533">
        <v>815832.35192114545</v>
      </c>
      <c r="BC28" s="533">
        <v>815339.29482031474</v>
      </c>
      <c r="BD28" s="533">
        <v>803883.86273341451</v>
      </c>
      <c r="BE28" s="533">
        <v>850342.74366137758</v>
      </c>
      <c r="BF28" s="533">
        <v>871292.62662857072</v>
      </c>
      <c r="BG28" s="533">
        <v>892721.17988169985</v>
      </c>
      <c r="BH28" s="533">
        <v>913488.39506494999</v>
      </c>
      <c r="BI28" s="533">
        <v>913833.09111405583</v>
      </c>
      <c r="BJ28" s="533">
        <v>1025679.536498626</v>
      </c>
      <c r="BK28" s="533">
        <v>1012035.3333537687</v>
      </c>
      <c r="BL28" s="533">
        <v>954121.8702531025</v>
      </c>
      <c r="BM28" s="533">
        <v>992296.62678549578</v>
      </c>
      <c r="BN28" s="533">
        <v>1012404.2143416627</v>
      </c>
      <c r="BO28" s="533">
        <v>1033298.9768457131</v>
      </c>
      <c r="BP28" s="533">
        <v>1013985.1951367562</v>
      </c>
      <c r="BQ28" s="533">
        <v>1062227.4364246663</v>
      </c>
      <c r="BR28" s="533">
        <v>1078181.8811107341</v>
      </c>
      <c r="BS28" s="533">
        <v>1086441.5921246554</v>
      </c>
      <c r="BT28" s="533">
        <v>1053578.3831137409</v>
      </c>
      <c r="BU28" s="533">
        <v>1119531.2698923787</v>
      </c>
      <c r="BV28" s="533">
        <v>1047041.8605892357</v>
      </c>
      <c r="BW28" s="533">
        <v>1112462.9753643072</v>
      </c>
      <c r="BX28" s="533">
        <v>1086642.1355792715</v>
      </c>
      <c r="BY28" s="533">
        <v>1064583.9672836566</v>
      </c>
      <c r="BZ28" s="533">
        <v>1149757.9767060231</v>
      </c>
      <c r="CA28" s="533">
        <v>1131968.1532232948</v>
      </c>
      <c r="CB28" s="533">
        <v>1161633.9910748196</v>
      </c>
      <c r="CC28" s="533">
        <v>1173013.0120503074</v>
      </c>
      <c r="CD28" s="533">
        <v>1187141.9559349895</v>
      </c>
      <c r="CE28" s="533">
        <v>1225161.3176913552</v>
      </c>
      <c r="CF28" s="533">
        <v>1246006.7917110873</v>
      </c>
      <c r="CG28" s="533">
        <v>1223903.2171566193</v>
      </c>
      <c r="CH28" s="533">
        <v>1265080.4399644835</v>
      </c>
      <c r="CI28" s="533">
        <v>1255390.1417702762</v>
      </c>
      <c r="CJ28" s="533">
        <v>1288833.6472028114</v>
      </c>
      <c r="CK28" s="533">
        <v>1243570.2529158853</v>
      </c>
      <c r="CL28" s="533">
        <v>1266162.93294876</v>
      </c>
      <c r="CM28" s="533">
        <v>1268818.4173134633</v>
      </c>
      <c r="CN28" s="533">
        <v>1242486.2931615503</v>
      </c>
      <c r="CO28" s="533">
        <v>1247268.4042528283</v>
      </c>
      <c r="CP28" s="533">
        <v>1276910.0596202502</v>
      </c>
      <c r="CQ28" s="533">
        <v>1242745.0389626659</v>
      </c>
      <c r="CR28" s="533">
        <v>1286030.2886551188</v>
      </c>
      <c r="CS28" s="533">
        <v>1275459.3828027775</v>
      </c>
      <c r="CT28" s="533">
        <v>1313411.5677378445</v>
      </c>
      <c r="CU28" s="533">
        <v>1291167.5221564772</v>
      </c>
      <c r="CV28" s="533">
        <v>1346276.3006019872</v>
      </c>
      <c r="CW28" s="533">
        <v>1381765.5424566211</v>
      </c>
      <c r="CX28" s="533">
        <v>1368264.0546607585</v>
      </c>
      <c r="CY28" s="533">
        <v>1297898.6516665544</v>
      </c>
      <c r="CZ28" s="533">
        <v>1289388.2688265848</v>
      </c>
      <c r="DA28" s="533">
        <v>1279102.6584210282</v>
      </c>
      <c r="DB28" s="536">
        <v>1232006.7647038517</v>
      </c>
      <c r="DC28" s="533">
        <v>1250530.9795248106</v>
      </c>
      <c r="DD28" s="479">
        <v>1253499.1503665627</v>
      </c>
      <c r="DE28" s="479">
        <v>1241453.8564013725</v>
      </c>
      <c r="DF28" s="479">
        <v>1220656.4641478569</v>
      </c>
      <c r="DG28" s="479">
        <v>1206897.0256864668</v>
      </c>
      <c r="DH28" s="479">
        <v>1187508.3202913532</v>
      </c>
      <c r="DI28" s="479">
        <v>1175902.7189649842</v>
      </c>
      <c r="DJ28" s="479">
        <v>1265345.0616839735</v>
      </c>
      <c r="DK28" s="479">
        <v>1297840.1542073183</v>
      </c>
      <c r="DL28" s="479">
        <v>1272957.379959096</v>
      </c>
      <c r="DM28" s="479">
        <v>1296645.3336650047</v>
      </c>
      <c r="DN28" s="479">
        <v>1316971.345367579</v>
      </c>
      <c r="DO28" s="479">
        <v>1320248.5974736311</v>
      </c>
      <c r="DP28" s="479">
        <v>1438560.6870783381</v>
      </c>
      <c r="DQ28" s="479">
        <v>1428986.1897241478</v>
      </c>
      <c r="DR28" s="479">
        <v>1367422.4588625773</v>
      </c>
      <c r="DS28" s="479">
        <v>1325959.7541241148</v>
      </c>
      <c r="DT28" s="479">
        <v>1324255.2700593418</v>
      </c>
      <c r="DU28" s="479">
        <v>1307768.6246629816</v>
      </c>
      <c r="DV28" s="479">
        <v>1320906.6483448821</v>
      </c>
      <c r="DW28" s="479">
        <v>1318820.3451453056</v>
      </c>
      <c r="DX28" s="479">
        <v>1319632.1895462538</v>
      </c>
      <c r="DY28" s="479">
        <v>1340837.251124382</v>
      </c>
      <c r="DZ28" s="479">
        <v>1381656.3673761573</v>
      </c>
      <c r="EA28" s="479">
        <v>1428036.6277727294</v>
      </c>
      <c r="EB28" s="479">
        <v>1315411.0629157955</v>
      </c>
      <c r="EC28" s="479">
        <v>1274241.4897702816</v>
      </c>
    </row>
    <row r="29" spans="1:133" ht="16.5" thickBot="1" x14ac:dyDescent="0.3">
      <c r="A29" s="487"/>
      <c r="B29" s="488"/>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5"/>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7"/>
      <c r="DC29" s="544"/>
      <c r="DD29" s="548"/>
      <c r="DE29" s="548"/>
      <c r="DF29" s="548"/>
      <c r="DG29" s="548"/>
      <c r="DH29" s="548"/>
      <c r="DI29" s="548"/>
      <c r="DJ29" s="548"/>
      <c r="DK29" s="548"/>
      <c r="DL29" s="548"/>
      <c r="DM29" s="548"/>
      <c r="DN29" s="548"/>
      <c r="DO29" s="548"/>
      <c r="DP29" s="548"/>
      <c r="DQ29" s="548"/>
      <c r="DR29" s="548"/>
      <c r="DS29" s="548"/>
      <c r="DT29" s="548"/>
      <c r="DU29" s="548"/>
      <c r="DV29" s="548"/>
      <c r="DW29" s="548"/>
      <c r="DX29" s="548"/>
      <c r="DY29" s="548"/>
      <c r="DZ29" s="548"/>
      <c r="EA29" s="548"/>
      <c r="EB29" s="548"/>
      <c r="EC29" s="548"/>
    </row>
    <row r="30" spans="1:133" s="172" customFormat="1" ht="16.5" hidden="1" thickTop="1" x14ac:dyDescent="0.25">
      <c r="A30" s="549"/>
      <c r="B30" s="549"/>
      <c r="C30" s="550"/>
      <c r="D30" s="550"/>
      <c r="E30" s="550"/>
      <c r="F30" s="550"/>
      <c r="G30" s="550"/>
      <c r="H30" s="551"/>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494"/>
      <c r="AW30" s="550"/>
      <c r="AX30" s="550"/>
      <c r="AY30" s="550"/>
      <c r="AZ30" s="550"/>
      <c r="BA30" s="550"/>
      <c r="BB30" s="550"/>
      <c r="BC30" s="550"/>
      <c r="BD30" s="550"/>
      <c r="BE30" s="550"/>
      <c r="BF30" s="550"/>
      <c r="BG30" s="550"/>
      <c r="BH30" s="550"/>
      <c r="BI30" s="550"/>
      <c r="BJ30" s="550"/>
      <c r="BK30" s="550"/>
      <c r="BL30" s="550"/>
      <c r="BM30" s="550"/>
      <c r="BN30" s="550"/>
      <c r="BO30" s="550"/>
      <c r="BP30" s="550"/>
      <c r="BQ30" s="550"/>
      <c r="BR30" s="550"/>
      <c r="BS30" s="550"/>
      <c r="BT30" s="550"/>
      <c r="BU30" s="550"/>
      <c r="BV30" s="550"/>
      <c r="BW30" s="550"/>
      <c r="BX30" s="550"/>
      <c r="BY30" s="550"/>
      <c r="BZ30" s="550"/>
      <c r="CA30" s="550"/>
      <c r="CB30" s="550"/>
      <c r="CC30" s="550"/>
      <c r="CD30" s="550"/>
      <c r="CE30" s="550"/>
      <c r="CF30" s="550"/>
      <c r="CG30" s="550"/>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494"/>
      <c r="DD30" s="550"/>
      <c r="DE30" s="550"/>
      <c r="DF30" s="550"/>
      <c r="DG30" s="550"/>
      <c r="DH30" s="550"/>
      <c r="DI30" s="550"/>
      <c r="DJ30" s="550"/>
      <c r="DK30" s="550"/>
      <c r="DL30" s="550"/>
      <c r="DM30" s="550"/>
      <c r="DN30" s="550"/>
      <c r="DO30" s="550"/>
      <c r="DP30" s="550"/>
      <c r="DQ30" s="550"/>
      <c r="DR30" s="550"/>
      <c r="DS30" s="550"/>
      <c r="DT30" s="550"/>
      <c r="DU30" s="550"/>
      <c r="DV30" s="550"/>
      <c r="DW30" s="550"/>
      <c r="DX30" s="550"/>
      <c r="DY30" s="550"/>
      <c r="DZ30" s="550"/>
      <c r="EA30" s="550"/>
      <c r="EB30" s="550"/>
      <c r="EC30" s="550"/>
    </row>
    <row r="31" spans="1:133" s="172" customFormat="1" ht="16.5" thickTop="1" x14ac:dyDescent="0.25">
      <c r="A31" s="550"/>
      <c r="B31" s="550"/>
      <c r="C31" s="550"/>
      <c r="D31" s="550"/>
      <c r="E31" s="550"/>
      <c r="F31" s="550"/>
      <c r="G31" s="550"/>
      <c r="H31" s="552"/>
      <c r="I31" s="550"/>
      <c r="J31" s="550"/>
      <c r="K31" s="550"/>
      <c r="L31" s="550"/>
      <c r="M31" s="550"/>
      <c r="N31" s="550"/>
      <c r="O31" s="550"/>
      <c r="P31" s="550"/>
      <c r="Q31" s="550"/>
      <c r="R31" s="550"/>
      <c r="S31" s="550"/>
      <c r="T31" s="550"/>
      <c r="U31" s="550"/>
      <c r="V31" s="550"/>
      <c r="W31" s="550"/>
      <c r="X31" s="550"/>
      <c r="Y31" s="550"/>
      <c r="Z31" s="550"/>
      <c r="AA31" s="550"/>
      <c r="AB31" s="550"/>
      <c r="AC31" s="550"/>
      <c r="AD31" s="550"/>
      <c r="AE31" s="550"/>
      <c r="AF31" s="550"/>
      <c r="AG31" s="550"/>
      <c r="AH31" s="550"/>
      <c r="AI31" s="550"/>
      <c r="AJ31" s="550"/>
      <c r="AK31" s="550"/>
      <c r="AL31" s="550"/>
      <c r="AM31" s="550"/>
      <c r="AN31" s="550"/>
      <c r="AO31" s="550"/>
      <c r="AP31" s="550"/>
      <c r="AQ31" s="550"/>
      <c r="AR31" s="550"/>
      <c r="AS31" s="550"/>
      <c r="AT31" s="550"/>
      <c r="AU31" s="550"/>
      <c r="AV31" s="494"/>
      <c r="AW31" s="550"/>
      <c r="AX31" s="550"/>
      <c r="AY31" s="550"/>
      <c r="AZ31" s="550"/>
      <c r="BA31" s="550"/>
      <c r="BB31" s="550"/>
      <c r="BC31" s="550"/>
      <c r="BD31" s="550"/>
      <c r="BE31" s="550"/>
      <c r="BF31" s="550"/>
      <c r="BG31" s="550"/>
      <c r="BH31" s="550"/>
      <c r="BI31" s="550"/>
      <c r="BJ31" s="550"/>
      <c r="BK31" s="550"/>
      <c r="BL31" s="550"/>
      <c r="BM31" s="550"/>
      <c r="BN31" s="550"/>
      <c r="BO31" s="550"/>
      <c r="BP31" s="550"/>
      <c r="BQ31" s="550"/>
      <c r="BR31" s="550"/>
      <c r="BS31" s="550"/>
      <c r="BT31" s="550"/>
      <c r="BU31" s="550"/>
      <c r="BV31" s="550"/>
      <c r="BW31" s="550"/>
      <c r="BX31" s="550"/>
      <c r="BY31" s="550"/>
      <c r="BZ31" s="550"/>
      <c r="CA31" s="550"/>
      <c r="CB31" s="550"/>
      <c r="CC31" s="550"/>
      <c r="CD31" s="550"/>
      <c r="CE31" s="550"/>
      <c r="CF31" s="550"/>
      <c r="CG31" s="550"/>
      <c r="CH31" s="550"/>
      <c r="CI31" s="550"/>
      <c r="CJ31" s="550"/>
      <c r="CK31" s="550"/>
      <c r="CL31" s="550"/>
      <c r="CM31" s="550"/>
      <c r="CN31" s="550"/>
      <c r="CO31" s="550"/>
      <c r="CP31" s="550"/>
      <c r="CQ31" s="550"/>
      <c r="CR31" s="550"/>
      <c r="CS31" s="550"/>
      <c r="CT31" s="550"/>
      <c r="CU31" s="550"/>
      <c r="CV31" s="550"/>
      <c r="CW31" s="550"/>
      <c r="CX31" s="550"/>
      <c r="CY31" s="550"/>
      <c r="CZ31" s="550"/>
      <c r="DA31" s="550"/>
      <c r="DB31" s="550"/>
      <c r="DC31" s="494"/>
      <c r="DD31" s="550"/>
      <c r="DE31" s="550"/>
      <c r="DF31" s="550"/>
      <c r="DG31" s="550"/>
      <c r="DH31" s="550"/>
      <c r="DI31" s="550"/>
      <c r="DJ31" s="550"/>
      <c r="DK31" s="550"/>
      <c r="DL31" s="550"/>
      <c r="DM31" s="550"/>
      <c r="DN31" s="550"/>
      <c r="DO31" s="550"/>
      <c r="DP31" s="550"/>
      <c r="DQ31" s="550"/>
      <c r="DR31" s="550"/>
      <c r="DS31" s="550"/>
      <c r="DT31" s="550"/>
      <c r="DU31" s="550"/>
      <c r="DV31" s="550"/>
      <c r="DW31" s="550"/>
      <c r="DX31" s="550"/>
      <c r="DY31" s="550"/>
      <c r="DZ31" s="550"/>
      <c r="EA31" s="550"/>
      <c r="EB31" s="550"/>
      <c r="EC31" s="550"/>
    </row>
    <row r="32" spans="1:133" s="172" customFormat="1" ht="16.5" thickBot="1" x14ac:dyDescent="0.3">
      <c r="A32" s="553"/>
      <c r="B32" s="553"/>
      <c r="C32" s="553"/>
      <c r="D32" s="553"/>
      <c r="E32" s="553"/>
      <c r="F32" s="553"/>
      <c r="G32" s="553"/>
      <c r="H32" s="554"/>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553"/>
      <c r="AO32" s="553"/>
      <c r="AP32" s="553"/>
      <c r="AQ32" s="553"/>
      <c r="AR32" s="553"/>
      <c r="AS32" s="553"/>
      <c r="AT32" s="553"/>
      <c r="AU32" s="553"/>
      <c r="AV32" s="555"/>
      <c r="AW32" s="553"/>
      <c r="AX32" s="553"/>
      <c r="AY32" s="553"/>
      <c r="AZ32" s="553"/>
      <c r="BA32" s="553"/>
      <c r="BB32" s="553"/>
      <c r="BC32" s="553"/>
      <c r="BD32" s="553"/>
      <c r="BE32" s="553"/>
      <c r="BF32" s="553"/>
      <c r="BG32" s="553"/>
      <c r="BH32" s="553"/>
      <c r="BI32" s="553"/>
      <c r="BJ32" s="553"/>
      <c r="BK32" s="553"/>
      <c r="BL32" s="553"/>
      <c r="BM32" s="553"/>
      <c r="BN32" s="553"/>
      <c r="BO32" s="553"/>
      <c r="BP32" s="553"/>
      <c r="BQ32" s="553"/>
      <c r="BR32" s="553"/>
      <c r="BS32" s="553"/>
      <c r="BT32" s="553"/>
      <c r="BU32" s="553"/>
      <c r="BV32" s="553"/>
      <c r="BW32" s="553"/>
      <c r="BX32" s="553"/>
      <c r="BY32" s="553"/>
      <c r="BZ32" s="553"/>
      <c r="CA32" s="553"/>
      <c r="CB32" s="553"/>
      <c r="CC32" s="553"/>
      <c r="CD32" s="553"/>
      <c r="CE32" s="553"/>
      <c r="CF32" s="553"/>
      <c r="CG32" s="553"/>
      <c r="CH32" s="553"/>
      <c r="CI32" s="553"/>
      <c r="CJ32" s="553"/>
      <c r="CK32" s="553"/>
      <c r="CL32" s="553"/>
      <c r="CM32" s="553"/>
      <c r="CN32" s="553"/>
      <c r="CO32" s="553"/>
      <c r="CP32" s="553"/>
      <c r="CQ32" s="553"/>
      <c r="CR32" s="553"/>
      <c r="CS32" s="553"/>
      <c r="CT32" s="553"/>
      <c r="CU32" s="553"/>
      <c r="CV32" s="553"/>
      <c r="CW32" s="553"/>
      <c r="CX32" s="553"/>
      <c r="CY32" s="553"/>
      <c r="CZ32" s="553"/>
      <c r="DA32" s="553"/>
      <c r="DB32" s="553"/>
      <c r="DC32" s="494"/>
      <c r="DD32" s="553"/>
      <c r="DE32" s="553"/>
      <c r="DF32" s="553"/>
      <c r="DG32" s="553"/>
      <c r="DH32" s="553"/>
      <c r="DI32" s="553"/>
      <c r="DJ32" s="553"/>
      <c r="DK32" s="553"/>
      <c r="DL32" s="553"/>
      <c r="DM32" s="553"/>
      <c r="DN32" s="553"/>
      <c r="DO32" s="553"/>
      <c r="DP32" s="553"/>
      <c r="DQ32" s="553"/>
      <c r="DR32" s="553"/>
      <c r="DS32" s="553"/>
      <c r="DT32" s="553"/>
      <c r="DU32" s="553"/>
      <c r="DV32" s="553"/>
      <c r="DW32" s="553"/>
      <c r="DX32" s="553"/>
      <c r="DY32" s="553"/>
      <c r="DZ32" s="553"/>
      <c r="EA32" s="553"/>
      <c r="EB32" s="553"/>
      <c r="EC32" s="553"/>
    </row>
    <row r="33" spans="1:133" ht="24" customHeight="1" thickTop="1" thickBot="1" x14ac:dyDescent="0.3">
      <c r="A33" s="463" t="s">
        <v>400</v>
      </c>
      <c r="B33" s="464" t="s">
        <v>428</v>
      </c>
      <c r="C33" s="497">
        <v>38504</v>
      </c>
      <c r="D33" s="497">
        <v>38534</v>
      </c>
      <c r="E33" s="497">
        <v>38565</v>
      </c>
      <c r="F33" s="556">
        <v>38596</v>
      </c>
      <c r="G33" s="497">
        <v>38626</v>
      </c>
      <c r="H33" s="557">
        <v>38657</v>
      </c>
      <c r="I33" s="497">
        <v>38687</v>
      </c>
      <c r="J33" s="497">
        <v>38718</v>
      </c>
      <c r="K33" s="497">
        <v>38749</v>
      </c>
      <c r="L33" s="497">
        <v>38777</v>
      </c>
      <c r="M33" s="556">
        <v>38808</v>
      </c>
      <c r="N33" s="497">
        <v>38838</v>
      </c>
      <c r="O33" s="497">
        <v>38869</v>
      </c>
      <c r="P33" s="497">
        <v>38899</v>
      </c>
      <c r="Q33" s="497">
        <v>38930</v>
      </c>
      <c r="R33" s="497">
        <v>38961</v>
      </c>
      <c r="S33" s="497">
        <v>38991</v>
      </c>
      <c r="T33" s="497">
        <v>39022</v>
      </c>
      <c r="U33" s="497">
        <v>39052</v>
      </c>
      <c r="V33" s="497">
        <v>39083</v>
      </c>
      <c r="W33" s="497">
        <v>39114</v>
      </c>
      <c r="X33" s="497">
        <v>39142</v>
      </c>
      <c r="Y33" s="497">
        <v>39173</v>
      </c>
      <c r="Z33" s="497">
        <v>39203</v>
      </c>
      <c r="AA33" s="497">
        <v>39234</v>
      </c>
      <c r="AB33" s="495">
        <v>39264</v>
      </c>
      <c r="AC33" s="495">
        <v>39295</v>
      </c>
      <c r="AD33" s="496">
        <v>39326</v>
      </c>
      <c r="AE33" s="497">
        <v>39356</v>
      </c>
      <c r="AF33" s="497">
        <v>39387</v>
      </c>
      <c r="AG33" s="497">
        <v>39417</v>
      </c>
      <c r="AH33" s="497">
        <v>39448</v>
      </c>
      <c r="AI33" s="497">
        <v>39479</v>
      </c>
      <c r="AJ33" s="497">
        <v>39508</v>
      </c>
      <c r="AK33" s="497">
        <v>39539</v>
      </c>
      <c r="AL33" s="497">
        <v>39569</v>
      </c>
      <c r="AM33" s="497">
        <v>39600</v>
      </c>
      <c r="AN33" s="497">
        <v>39630</v>
      </c>
      <c r="AO33" s="497">
        <v>39661</v>
      </c>
      <c r="AP33" s="557">
        <v>39692</v>
      </c>
      <c r="AQ33" s="557">
        <v>39722</v>
      </c>
      <c r="AR33" s="497">
        <v>39753</v>
      </c>
      <c r="AS33" s="497">
        <v>39783</v>
      </c>
      <c r="AT33" s="497">
        <v>39814</v>
      </c>
      <c r="AU33" s="497">
        <v>39845</v>
      </c>
      <c r="AV33" s="497" t="s">
        <v>462</v>
      </c>
      <c r="AW33" s="497">
        <v>39904</v>
      </c>
      <c r="AX33" s="497">
        <v>39934</v>
      </c>
      <c r="AY33" s="497">
        <v>39965</v>
      </c>
      <c r="AZ33" s="497">
        <v>39995</v>
      </c>
      <c r="BA33" s="497">
        <v>40026</v>
      </c>
      <c r="BB33" s="497">
        <v>40057</v>
      </c>
      <c r="BC33" s="497">
        <v>40087</v>
      </c>
      <c r="BD33" s="497">
        <v>40118</v>
      </c>
      <c r="BE33" s="497">
        <v>40148</v>
      </c>
      <c r="BF33" s="497">
        <v>40179</v>
      </c>
      <c r="BG33" s="497">
        <v>40210</v>
      </c>
      <c r="BH33" s="497">
        <v>40238</v>
      </c>
      <c r="BI33" s="497">
        <v>40269</v>
      </c>
      <c r="BJ33" s="497">
        <v>40299</v>
      </c>
      <c r="BK33" s="497">
        <v>40330</v>
      </c>
      <c r="BL33" s="497">
        <v>40360</v>
      </c>
      <c r="BM33" s="497">
        <v>40391</v>
      </c>
      <c r="BN33" s="497">
        <v>40422</v>
      </c>
      <c r="BO33" s="497">
        <v>40452</v>
      </c>
      <c r="BP33" s="497">
        <v>40483</v>
      </c>
      <c r="BQ33" s="497">
        <v>40513</v>
      </c>
      <c r="BR33" s="497">
        <v>40544</v>
      </c>
      <c r="BS33" s="497">
        <v>40575</v>
      </c>
      <c r="BT33" s="497">
        <v>40603</v>
      </c>
      <c r="BU33" s="497">
        <v>40634</v>
      </c>
      <c r="BV33" s="497">
        <v>40664</v>
      </c>
      <c r="BW33" s="497">
        <v>40695</v>
      </c>
      <c r="BX33" s="497">
        <v>40725</v>
      </c>
      <c r="BY33" s="497">
        <v>40756</v>
      </c>
      <c r="BZ33" s="497">
        <v>40787</v>
      </c>
      <c r="CA33" s="497">
        <v>40817</v>
      </c>
      <c r="CB33" s="497">
        <v>40848</v>
      </c>
      <c r="CC33" s="497">
        <v>40878</v>
      </c>
      <c r="CD33" s="497">
        <v>40909</v>
      </c>
      <c r="CE33" s="497">
        <v>40940</v>
      </c>
      <c r="CF33" s="497">
        <v>40969</v>
      </c>
      <c r="CG33" s="497">
        <v>41000</v>
      </c>
      <c r="CH33" s="497">
        <v>41030</v>
      </c>
      <c r="CI33" s="497">
        <v>41061</v>
      </c>
      <c r="CJ33" s="497">
        <v>41091</v>
      </c>
      <c r="CK33" s="497">
        <v>41122</v>
      </c>
      <c r="CL33" s="497">
        <v>41153</v>
      </c>
      <c r="CM33" s="497">
        <v>41183</v>
      </c>
      <c r="CN33" s="497">
        <v>41214</v>
      </c>
      <c r="CO33" s="497">
        <v>41244</v>
      </c>
      <c r="CP33" s="497">
        <v>41275</v>
      </c>
      <c r="CQ33" s="497">
        <v>41306</v>
      </c>
      <c r="CR33" s="497">
        <v>41334</v>
      </c>
      <c r="CS33" s="467">
        <v>41365</v>
      </c>
      <c r="CT33" s="467">
        <v>41395</v>
      </c>
      <c r="CU33" s="467">
        <v>41426</v>
      </c>
      <c r="CV33" s="467">
        <v>41456</v>
      </c>
      <c r="CW33" s="467">
        <v>41487</v>
      </c>
      <c r="CX33" s="467">
        <v>41518</v>
      </c>
      <c r="CY33" s="467">
        <v>41548</v>
      </c>
      <c r="CZ33" s="467">
        <v>41579</v>
      </c>
      <c r="DA33" s="467">
        <v>41609</v>
      </c>
      <c r="DB33" s="526">
        <v>41640</v>
      </c>
      <c r="DC33" s="465">
        <v>41671</v>
      </c>
      <c r="DD33" s="465">
        <v>41699</v>
      </c>
      <c r="DE33" s="465">
        <v>41730</v>
      </c>
      <c r="DF33" s="465">
        <v>41760</v>
      </c>
      <c r="DG33" s="465">
        <v>41791</v>
      </c>
      <c r="DH33" s="465">
        <v>41821</v>
      </c>
      <c r="DI33" s="465">
        <v>41852</v>
      </c>
      <c r="DJ33" s="465">
        <f>DJ4</f>
        <v>41883</v>
      </c>
      <c r="DK33" s="465">
        <v>41913</v>
      </c>
      <c r="DL33" s="465">
        <v>41944</v>
      </c>
      <c r="DM33" s="465">
        <v>41974</v>
      </c>
      <c r="DN33" s="465">
        <v>42005</v>
      </c>
      <c r="DO33" s="465">
        <v>42036</v>
      </c>
      <c r="DP33" s="465">
        <v>42064</v>
      </c>
      <c r="DQ33" s="465">
        <v>42095</v>
      </c>
      <c r="DR33" s="465">
        <v>42125</v>
      </c>
      <c r="DS33" s="465">
        <v>42156</v>
      </c>
      <c r="DT33" s="465">
        <v>42186</v>
      </c>
      <c r="DU33" s="465">
        <v>42217</v>
      </c>
      <c r="DV33" s="465">
        <v>42248</v>
      </c>
      <c r="DW33" s="465">
        <v>42278</v>
      </c>
      <c r="DX33" s="465">
        <v>42309</v>
      </c>
      <c r="DY33" s="465">
        <v>42339</v>
      </c>
      <c r="DZ33" s="465">
        <v>42370</v>
      </c>
      <c r="EA33" s="465">
        <v>42401</v>
      </c>
      <c r="EB33" s="465">
        <v>42430</v>
      </c>
      <c r="EC33" s="465">
        <v>42461</v>
      </c>
    </row>
    <row r="34" spans="1:133" ht="18" customHeight="1" thickTop="1" x14ac:dyDescent="0.25">
      <c r="A34" s="481"/>
      <c r="B34" s="500"/>
      <c r="C34" s="502"/>
      <c r="D34" s="502"/>
      <c r="E34" s="502"/>
      <c r="F34" s="541"/>
      <c r="G34" s="502"/>
      <c r="H34" s="542"/>
      <c r="I34" s="502"/>
      <c r="J34" s="502"/>
      <c r="K34" s="502"/>
      <c r="L34" s="502"/>
      <c r="M34" s="541"/>
      <c r="N34" s="502"/>
      <c r="O34" s="502"/>
      <c r="P34" s="502"/>
      <c r="Q34" s="502"/>
      <c r="R34" s="502"/>
      <c r="S34" s="502"/>
      <c r="T34" s="502"/>
      <c r="U34" s="502"/>
      <c r="V34" s="502"/>
      <c r="W34" s="502"/>
      <c r="X34" s="502"/>
      <c r="Y34" s="502"/>
      <c r="Z34" s="502"/>
      <c r="AA34" s="502"/>
      <c r="AB34" s="484"/>
      <c r="AC34" s="484"/>
      <c r="AD34" s="501"/>
      <c r="AE34" s="502"/>
      <c r="AF34" s="502"/>
      <c r="AG34" s="502"/>
      <c r="AH34" s="502"/>
      <c r="AI34" s="502"/>
      <c r="AJ34" s="502"/>
      <c r="AK34" s="502"/>
      <c r="AL34" s="502"/>
      <c r="AM34" s="502"/>
      <c r="AN34" s="502"/>
      <c r="AO34" s="502"/>
      <c r="AP34" s="558"/>
      <c r="AQ34" s="559"/>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41"/>
      <c r="DC34" s="502"/>
      <c r="DD34" s="484"/>
      <c r="DE34" s="484"/>
      <c r="DF34" s="484"/>
      <c r="DG34" s="484"/>
      <c r="DH34" s="484"/>
      <c r="DI34" s="484"/>
      <c r="DJ34" s="484"/>
      <c r="DK34" s="484"/>
      <c r="DL34" s="484"/>
      <c r="DM34" s="484"/>
      <c r="DN34" s="484"/>
      <c r="DO34" s="484"/>
      <c r="DP34" s="484"/>
      <c r="DQ34" s="484"/>
      <c r="DR34" s="484"/>
      <c r="DS34" s="484"/>
      <c r="DT34" s="484"/>
      <c r="DU34" s="484"/>
      <c r="DV34" s="484"/>
      <c r="DW34" s="484"/>
      <c r="DX34" s="484"/>
      <c r="DY34" s="484"/>
      <c r="DZ34" s="484"/>
      <c r="EA34" s="484"/>
      <c r="EB34" s="484"/>
      <c r="EC34" s="484"/>
    </row>
    <row r="35" spans="1:133" ht="18" customHeight="1" x14ac:dyDescent="0.25">
      <c r="A35" s="477" t="s">
        <v>429</v>
      </c>
      <c r="B35" s="478" t="s">
        <v>430</v>
      </c>
      <c r="C35" s="533">
        <v>0</v>
      </c>
      <c r="D35" s="533">
        <v>0</v>
      </c>
      <c r="E35" s="533">
        <v>0</v>
      </c>
      <c r="F35" s="534">
        <v>0</v>
      </c>
      <c r="G35" s="533">
        <v>0</v>
      </c>
      <c r="H35" s="535">
        <v>0</v>
      </c>
      <c r="I35" s="533">
        <v>0</v>
      </c>
      <c r="J35" s="533">
        <v>0</v>
      </c>
      <c r="K35" s="533">
        <v>0</v>
      </c>
      <c r="L35" s="533">
        <v>0</v>
      </c>
      <c r="M35" s="534">
        <v>0</v>
      </c>
      <c r="N35" s="533">
        <v>0</v>
      </c>
      <c r="O35" s="533">
        <v>0</v>
      </c>
      <c r="P35" s="533">
        <v>0</v>
      </c>
      <c r="Q35" s="533">
        <v>0</v>
      </c>
      <c r="R35" s="533">
        <v>0</v>
      </c>
      <c r="S35" s="533">
        <v>0</v>
      </c>
      <c r="T35" s="533">
        <v>0</v>
      </c>
      <c r="U35" s="533">
        <v>0</v>
      </c>
      <c r="V35" s="533">
        <v>0</v>
      </c>
      <c r="W35" s="533">
        <v>0</v>
      </c>
      <c r="X35" s="533">
        <v>0</v>
      </c>
      <c r="Y35" s="533">
        <v>0</v>
      </c>
      <c r="Z35" s="533">
        <v>0</v>
      </c>
      <c r="AA35" s="533">
        <v>0</v>
      </c>
      <c r="AB35" s="479">
        <v>0</v>
      </c>
      <c r="AC35" s="479">
        <v>0</v>
      </c>
      <c r="AD35" s="560">
        <v>0</v>
      </c>
      <c r="AE35" s="533">
        <v>0</v>
      </c>
      <c r="AF35" s="533">
        <v>0</v>
      </c>
      <c r="AG35" s="533">
        <v>0</v>
      </c>
      <c r="AH35" s="533">
        <v>0</v>
      </c>
      <c r="AI35" s="533">
        <v>0</v>
      </c>
      <c r="AJ35" s="533">
        <v>0</v>
      </c>
      <c r="AK35" s="533">
        <v>0</v>
      </c>
      <c r="AL35" s="533">
        <v>0</v>
      </c>
      <c r="AM35" s="533">
        <v>0</v>
      </c>
      <c r="AN35" s="533">
        <v>0</v>
      </c>
      <c r="AO35" s="533">
        <v>0</v>
      </c>
      <c r="AP35" s="535">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3">
        <v>0</v>
      </c>
      <c r="CD35" s="533">
        <v>0</v>
      </c>
      <c r="CE35" s="533">
        <v>0</v>
      </c>
      <c r="CF35" s="533">
        <v>0</v>
      </c>
      <c r="CG35" s="533">
        <v>0</v>
      </c>
      <c r="CH35" s="533">
        <v>0</v>
      </c>
      <c r="CI35" s="533">
        <v>0</v>
      </c>
      <c r="CJ35" s="533">
        <v>0</v>
      </c>
      <c r="CK35" s="533">
        <v>0</v>
      </c>
      <c r="CL35" s="533">
        <v>0</v>
      </c>
      <c r="CM35" s="533">
        <v>0</v>
      </c>
      <c r="CN35" s="533">
        <v>0</v>
      </c>
      <c r="CO35" s="533">
        <v>0</v>
      </c>
      <c r="CP35" s="533">
        <v>0</v>
      </c>
      <c r="CQ35" s="533">
        <v>0</v>
      </c>
      <c r="CR35" s="533">
        <v>0</v>
      </c>
      <c r="CS35" s="533">
        <v>0</v>
      </c>
      <c r="CT35" s="533">
        <v>0</v>
      </c>
      <c r="CU35" s="533">
        <v>0</v>
      </c>
      <c r="CV35" s="533">
        <v>0</v>
      </c>
      <c r="CW35" s="533">
        <v>0</v>
      </c>
      <c r="CX35" s="533">
        <v>0</v>
      </c>
      <c r="CY35" s="533">
        <v>0</v>
      </c>
      <c r="CZ35" s="533">
        <v>0</v>
      </c>
      <c r="DA35" s="533">
        <v>0</v>
      </c>
      <c r="DB35" s="534">
        <v>0</v>
      </c>
      <c r="DC35" s="533">
        <v>0</v>
      </c>
      <c r="DD35" s="479">
        <v>0</v>
      </c>
      <c r="DE35" s="479">
        <v>0</v>
      </c>
      <c r="DF35" s="479">
        <v>0</v>
      </c>
      <c r="DG35" s="479">
        <v>0</v>
      </c>
      <c r="DH35" s="479">
        <v>0</v>
      </c>
      <c r="DI35" s="479">
        <v>0</v>
      </c>
      <c r="DJ35" s="479">
        <v>0</v>
      </c>
      <c r="DK35" s="479">
        <v>0</v>
      </c>
      <c r="DL35" s="479">
        <v>0</v>
      </c>
      <c r="DM35" s="479">
        <v>0</v>
      </c>
      <c r="DN35" s="479">
        <v>0</v>
      </c>
      <c r="DO35" s="479">
        <v>0</v>
      </c>
      <c r="DP35" s="479">
        <v>0</v>
      </c>
      <c r="DQ35" s="479">
        <v>0</v>
      </c>
      <c r="DR35" s="479">
        <v>0</v>
      </c>
      <c r="DS35" s="479">
        <v>0</v>
      </c>
      <c r="DT35" s="479">
        <v>0</v>
      </c>
      <c r="DU35" s="479">
        <v>0</v>
      </c>
      <c r="DV35" s="479">
        <v>0</v>
      </c>
      <c r="DW35" s="479">
        <v>0</v>
      </c>
      <c r="DX35" s="479">
        <v>0</v>
      </c>
      <c r="DY35" s="479">
        <v>0</v>
      </c>
      <c r="DZ35" s="479">
        <v>0</v>
      </c>
      <c r="EA35" s="479">
        <v>0</v>
      </c>
      <c r="EB35" s="479">
        <v>0</v>
      </c>
      <c r="EC35" s="479">
        <v>0</v>
      </c>
    </row>
    <row r="36" spans="1:133" ht="18" customHeight="1" x14ac:dyDescent="0.25">
      <c r="A36" s="481"/>
      <c r="B36" s="482"/>
      <c r="C36" s="561"/>
      <c r="D36" s="561"/>
      <c r="E36" s="561"/>
      <c r="F36" s="562"/>
      <c r="G36" s="561"/>
      <c r="H36" s="563"/>
      <c r="I36" s="561"/>
      <c r="J36" s="561"/>
      <c r="K36" s="561"/>
      <c r="L36" s="561"/>
      <c r="M36" s="562"/>
      <c r="N36" s="561"/>
      <c r="O36" s="561"/>
      <c r="P36" s="561"/>
      <c r="Q36" s="561"/>
      <c r="R36" s="561"/>
      <c r="S36" s="561"/>
      <c r="T36" s="561"/>
      <c r="U36" s="561"/>
      <c r="V36" s="561"/>
      <c r="W36" s="561"/>
      <c r="X36" s="561"/>
      <c r="Y36" s="561"/>
      <c r="Z36" s="561"/>
      <c r="AA36" s="561"/>
      <c r="AB36" s="564"/>
      <c r="AC36" s="564"/>
      <c r="AD36" s="565"/>
      <c r="AE36" s="561"/>
      <c r="AF36" s="561"/>
      <c r="AG36" s="561"/>
      <c r="AH36" s="561"/>
      <c r="AI36" s="561"/>
      <c r="AJ36" s="561"/>
      <c r="AK36" s="561"/>
      <c r="AL36" s="561"/>
      <c r="AM36" s="561"/>
      <c r="AN36" s="561"/>
      <c r="AO36" s="561"/>
      <c r="AP36" s="563"/>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2"/>
      <c r="DC36" s="561"/>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row>
    <row r="37" spans="1:133" ht="18" customHeight="1" x14ac:dyDescent="0.25">
      <c r="A37" s="477" t="s">
        <v>431</v>
      </c>
      <c r="B37" s="478" t="s">
        <v>432</v>
      </c>
      <c r="C37" s="533">
        <v>234659.69403894403</v>
      </c>
      <c r="D37" s="533">
        <v>216175.19586837472</v>
      </c>
      <c r="E37" s="533">
        <v>211764.41111288907</v>
      </c>
      <c r="F37" s="534">
        <v>221465.78791758599</v>
      </c>
      <c r="G37" s="533">
        <v>224608.9356504812</v>
      </c>
      <c r="H37" s="535">
        <v>239909.87763746487</v>
      </c>
      <c r="I37" s="533">
        <v>239646.34070809974</v>
      </c>
      <c r="J37" s="533">
        <v>238338.66339117137</v>
      </c>
      <c r="K37" s="533">
        <v>248027.07543167711</v>
      </c>
      <c r="L37" s="533">
        <v>254690.49543574249</v>
      </c>
      <c r="M37" s="534">
        <v>252200.82457217603</v>
      </c>
      <c r="N37" s="533">
        <v>272025.98400048987</v>
      </c>
      <c r="O37" s="533">
        <v>268854.55419032736</v>
      </c>
      <c r="P37" s="533">
        <v>278782.71408496238</v>
      </c>
      <c r="Q37" s="533">
        <v>280471.41074241279</v>
      </c>
      <c r="R37" s="533">
        <v>293880.7609238014</v>
      </c>
      <c r="S37" s="533">
        <v>293445.59651270462</v>
      </c>
      <c r="T37" s="533">
        <v>300335.28877690592</v>
      </c>
      <c r="U37" s="533">
        <v>332611.45733350061</v>
      </c>
      <c r="V37" s="533">
        <v>317224.21581634658</v>
      </c>
      <c r="W37" s="533">
        <v>315181.57413066446</v>
      </c>
      <c r="X37" s="533">
        <v>326094.42682655377</v>
      </c>
      <c r="Y37" s="533">
        <v>319702.46339459461</v>
      </c>
      <c r="Z37" s="533">
        <v>323621.08355374425</v>
      </c>
      <c r="AA37" s="533">
        <v>338937.63883494784</v>
      </c>
      <c r="AB37" s="479">
        <v>353336.5422096292</v>
      </c>
      <c r="AC37" s="479">
        <v>353882.80572901608</v>
      </c>
      <c r="AD37" s="560">
        <v>366083.89025436051</v>
      </c>
      <c r="AE37" s="533">
        <v>370093.14308066678</v>
      </c>
      <c r="AF37" s="533">
        <v>399561.7213328908</v>
      </c>
      <c r="AG37" s="533">
        <v>379737.88683241926</v>
      </c>
      <c r="AH37" s="533">
        <v>411194.66793957032</v>
      </c>
      <c r="AI37" s="533">
        <v>397223.14289778227</v>
      </c>
      <c r="AJ37" s="533">
        <v>384169.97294688132</v>
      </c>
      <c r="AK37" s="533">
        <v>377174.68478434451</v>
      </c>
      <c r="AL37" s="533">
        <v>410510.27517716476</v>
      </c>
      <c r="AM37" s="533">
        <v>422030.17171740218</v>
      </c>
      <c r="AN37" s="533">
        <v>443527.54864500556</v>
      </c>
      <c r="AO37" s="533">
        <v>428875.21669784852</v>
      </c>
      <c r="AP37" s="535">
        <v>417176.54811964394</v>
      </c>
      <c r="AQ37" s="533">
        <v>423618.02341971477</v>
      </c>
      <c r="AR37" s="533">
        <v>426464.59191861574</v>
      </c>
      <c r="AS37" s="533">
        <v>424511.53807556687</v>
      </c>
      <c r="AT37" s="533">
        <v>427247.51999296376</v>
      </c>
      <c r="AU37" s="533">
        <v>433762.4309569624</v>
      </c>
      <c r="AV37" s="533">
        <v>432392.10580331174</v>
      </c>
      <c r="AW37" s="533">
        <v>436033.26220642292</v>
      </c>
      <c r="AX37" s="533">
        <v>444352.23222694744</v>
      </c>
      <c r="AY37" s="533">
        <v>443588.38556634827</v>
      </c>
      <c r="AZ37" s="533">
        <v>445938.03909327474</v>
      </c>
      <c r="BA37" s="533">
        <v>438897.14458783186</v>
      </c>
      <c r="BB37" s="533">
        <v>449019.71883277124</v>
      </c>
      <c r="BC37" s="533">
        <v>450118.61442587705</v>
      </c>
      <c r="BD37" s="533">
        <v>458977.55439943925</v>
      </c>
      <c r="BE37" s="533">
        <v>475005.09013855131</v>
      </c>
      <c r="BF37" s="533">
        <v>496207.4781419682</v>
      </c>
      <c r="BG37" s="533">
        <v>499650.38501589181</v>
      </c>
      <c r="BH37" s="533">
        <v>506961.32125285175</v>
      </c>
      <c r="BI37" s="533">
        <v>489458.60403758596</v>
      </c>
      <c r="BJ37" s="533">
        <v>540403.6664803077</v>
      </c>
      <c r="BK37" s="533">
        <v>539627.74108805577</v>
      </c>
      <c r="BL37" s="533">
        <v>499477.13734697399</v>
      </c>
      <c r="BM37" s="533">
        <v>522569.20318933739</v>
      </c>
      <c r="BN37" s="533">
        <v>524735.91168733768</v>
      </c>
      <c r="BO37" s="533">
        <v>527943.01764599676</v>
      </c>
      <c r="BP37" s="533">
        <v>536907.13099979574</v>
      </c>
      <c r="BQ37" s="533">
        <v>551166.79520525085</v>
      </c>
      <c r="BR37" s="533">
        <v>550701.18278368236</v>
      </c>
      <c r="BS37" s="533">
        <v>545565.77315005905</v>
      </c>
      <c r="BT37" s="533">
        <v>515001.21588360041</v>
      </c>
      <c r="BU37" s="533">
        <v>532835.66349772399</v>
      </c>
      <c r="BV37" s="533">
        <v>524226.72519518377</v>
      </c>
      <c r="BW37" s="533">
        <v>554777.40849484433</v>
      </c>
      <c r="BX37" s="533">
        <v>541700.17485049961</v>
      </c>
      <c r="BY37" s="533">
        <v>526591.92248697625</v>
      </c>
      <c r="BZ37" s="533">
        <v>531311.32376258308</v>
      </c>
      <c r="CA37" s="533">
        <v>533460.52811905509</v>
      </c>
      <c r="CB37" s="533">
        <v>586067.89265765238</v>
      </c>
      <c r="CC37" s="533">
        <v>534238.79294144385</v>
      </c>
      <c r="CD37" s="533">
        <v>507796.3275038898</v>
      </c>
      <c r="CE37" s="533">
        <v>512584.53890575701</v>
      </c>
      <c r="CF37" s="533">
        <v>561741.24902321748</v>
      </c>
      <c r="CG37" s="533">
        <v>562306.72069987259</v>
      </c>
      <c r="CH37" s="533">
        <v>584855.07110065152</v>
      </c>
      <c r="CI37" s="533">
        <v>524250.73919347208</v>
      </c>
      <c r="CJ37" s="533">
        <v>552672.69958258374</v>
      </c>
      <c r="CK37" s="533">
        <v>513021.73634108133</v>
      </c>
      <c r="CL37" s="533">
        <v>536776.43787019444</v>
      </c>
      <c r="CM37" s="533">
        <v>557673.69960811757</v>
      </c>
      <c r="CN37" s="533">
        <v>560643.82684219722</v>
      </c>
      <c r="CO37" s="533">
        <v>569687.37195696007</v>
      </c>
      <c r="CP37" s="533">
        <v>588004.29224349442</v>
      </c>
      <c r="CQ37" s="533">
        <v>535780.92056944687</v>
      </c>
      <c r="CR37" s="533">
        <v>559723.79300845868</v>
      </c>
      <c r="CS37" s="533">
        <v>567925.65217496315</v>
      </c>
      <c r="CT37" s="533">
        <v>598789.51832252787</v>
      </c>
      <c r="CU37" s="533">
        <v>557277.61588895507</v>
      </c>
      <c r="CV37" s="533">
        <v>578559.71001712186</v>
      </c>
      <c r="CW37" s="533">
        <v>559746.8203944827</v>
      </c>
      <c r="CX37" s="533">
        <v>550238.95830118586</v>
      </c>
      <c r="CY37" s="533">
        <v>545236.29805016099</v>
      </c>
      <c r="CZ37" s="533">
        <v>553291.20568241563</v>
      </c>
      <c r="DA37" s="533">
        <v>583252.91517353465</v>
      </c>
      <c r="DB37" s="534">
        <v>553022.65208661626</v>
      </c>
      <c r="DC37" s="533">
        <v>559771.34370822145</v>
      </c>
      <c r="DD37" s="479">
        <v>553491.42038008315</v>
      </c>
      <c r="DE37" s="479">
        <v>573957.51528629591</v>
      </c>
      <c r="DF37" s="479">
        <v>560744.91627057199</v>
      </c>
      <c r="DG37" s="479">
        <v>557394.02702450589</v>
      </c>
      <c r="DH37" s="479">
        <v>566822.74556921225</v>
      </c>
      <c r="DI37" s="479">
        <v>581937.94413236226</v>
      </c>
      <c r="DJ37" s="479">
        <v>613985.46626536548</v>
      </c>
      <c r="DK37" s="479">
        <v>660319.32411076443</v>
      </c>
      <c r="DL37" s="479">
        <v>630103.45047033764</v>
      </c>
      <c r="DM37" s="479">
        <v>646384.59526169603</v>
      </c>
      <c r="DN37" s="479">
        <v>666097.65610268235</v>
      </c>
      <c r="DO37" s="479">
        <v>670969.61597904598</v>
      </c>
      <c r="DP37" s="479">
        <v>733338.03979124303</v>
      </c>
      <c r="DQ37" s="479">
        <v>745556.66133858007</v>
      </c>
      <c r="DR37" s="479">
        <v>710292.15220082365</v>
      </c>
      <c r="DS37" s="479">
        <v>703515.06338518811</v>
      </c>
      <c r="DT37" s="479">
        <v>710020.91052893177</v>
      </c>
      <c r="DU37" s="479">
        <v>698427.3080688318</v>
      </c>
      <c r="DV37" s="479">
        <v>691490.4204966299</v>
      </c>
      <c r="DW37" s="479">
        <v>713071.00244979048</v>
      </c>
      <c r="DX37" s="479">
        <v>695088.31535056024</v>
      </c>
      <c r="DY37" s="479">
        <v>715032.33594996913</v>
      </c>
      <c r="DZ37" s="479">
        <v>715203.12124128593</v>
      </c>
      <c r="EA37" s="479">
        <v>722977.41376037989</v>
      </c>
      <c r="EB37" s="479">
        <v>692495.68296723824</v>
      </c>
      <c r="EC37" s="479">
        <v>711072.44591590809</v>
      </c>
    </row>
    <row r="38" spans="1:133" ht="18" customHeight="1" x14ac:dyDescent="0.25">
      <c r="A38" s="481" t="s">
        <v>433</v>
      </c>
      <c r="B38" s="482" t="s">
        <v>434</v>
      </c>
      <c r="C38" s="502">
        <v>85971.344917090784</v>
      </c>
      <c r="D38" s="502">
        <v>56233.825152112688</v>
      </c>
      <c r="E38" s="502">
        <v>60252.107619653412</v>
      </c>
      <c r="F38" s="541">
        <v>64917.25499278737</v>
      </c>
      <c r="G38" s="502">
        <v>67143.919556244378</v>
      </c>
      <c r="H38" s="542">
        <v>70429.597058082552</v>
      </c>
      <c r="I38" s="502">
        <v>73115.848879623896</v>
      </c>
      <c r="J38" s="502">
        <v>70584.508932084369</v>
      </c>
      <c r="K38" s="502">
        <v>72388.476477591976</v>
      </c>
      <c r="L38" s="502">
        <v>71006.542502962737</v>
      </c>
      <c r="M38" s="541">
        <v>64762.956991548017</v>
      </c>
      <c r="N38" s="502">
        <v>71376.843475018992</v>
      </c>
      <c r="O38" s="502">
        <v>70370.849442147213</v>
      </c>
      <c r="P38" s="502">
        <v>77834.490277323697</v>
      </c>
      <c r="Q38" s="502">
        <v>75479.578502125776</v>
      </c>
      <c r="R38" s="502">
        <v>75715.975696240974</v>
      </c>
      <c r="S38" s="502">
        <v>76501.098940951473</v>
      </c>
      <c r="T38" s="502">
        <v>83317.123458625007</v>
      </c>
      <c r="U38" s="502">
        <v>94783.297528469324</v>
      </c>
      <c r="V38" s="502">
        <v>97807.679188481052</v>
      </c>
      <c r="W38" s="502">
        <v>102541.53625631204</v>
      </c>
      <c r="X38" s="502">
        <v>104937.78384865716</v>
      </c>
      <c r="Y38" s="502">
        <v>102759.74497819504</v>
      </c>
      <c r="Z38" s="502">
        <v>98156.099633431339</v>
      </c>
      <c r="AA38" s="502">
        <v>108098.47599634138</v>
      </c>
      <c r="AB38" s="484">
        <v>113433.44803029559</v>
      </c>
      <c r="AC38" s="484">
        <v>107036.0017067583</v>
      </c>
      <c r="AD38" s="501">
        <v>123742.79734739376</v>
      </c>
      <c r="AE38" s="502">
        <v>120595.07091522172</v>
      </c>
      <c r="AF38" s="502">
        <v>136796.36000051288</v>
      </c>
      <c r="AG38" s="502">
        <v>126670.48808545167</v>
      </c>
      <c r="AH38" s="502">
        <v>132787.34762984278</v>
      </c>
      <c r="AI38" s="502">
        <v>121694.13096946044</v>
      </c>
      <c r="AJ38" s="502">
        <v>119716.94916424096</v>
      </c>
      <c r="AK38" s="502">
        <v>115913.87573404826</v>
      </c>
      <c r="AL38" s="502">
        <v>120037.92474904569</v>
      </c>
      <c r="AM38" s="502">
        <v>136102.50982904684</v>
      </c>
      <c r="AN38" s="502">
        <v>137760.12289358673</v>
      </c>
      <c r="AO38" s="502">
        <v>132653.62250465617</v>
      </c>
      <c r="AP38" s="542">
        <v>130313.38993089984</v>
      </c>
      <c r="AQ38" s="502">
        <v>140758.29932319175</v>
      </c>
      <c r="AR38" s="502">
        <v>141554.31136313253</v>
      </c>
      <c r="AS38" s="502">
        <v>143107.30549762354</v>
      </c>
      <c r="AT38" s="502">
        <v>150046.43147167374</v>
      </c>
      <c r="AU38" s="502">
        <v>155851.9510543645</v>
      </c>
      <c r="AV38" s="502">
        <v>160566.56518537708</v>
      </c>
      <c r="AW38" s="502">
        <v>158720.16497322492</v>
      </c>
      <c r="AX38" s="502">
        <v>164232.75667122781</v>
      </c>
      <c r="AY38" s="502">
        <v>170748.1548239853</v>
      </c>
      <c r="AZ38" s="502">
        <v>171344.24881251989</v>
      </c>
      <c r="BA38" s="502">
        <v>164099.5067574085</v>
      </c>
      <c r="BB38" s="502">
        <v>172846.76150691375</v>
      </c>
      <c r="BC38" s="502">
        <v>172189.43734370044</v>
      </c>
      <c r="BD38" s="502">
        <v>174265.05114018475</v>
      </c>
      <c r="BE38" s="502">
        <v>191048.92176675834</v>
      </c>
      <c r="BF38" s="502">
        <v>179915.97869980364</v>
      </c>
      <c r="BG38" s="502">
        <v>192180.69027072741</v>
      </c>
      <c r="BH38" s="502">
        <v>208788.97038426899</v>
      </c>
      <c r="BI38" s="502">
        <v>194250.10949376694</v>
      </c>
      <c r="BJ38" s="502">
        <v>208407.65075018074</v>
      </c>
      <c r="BK38" s="502">
        <v>208555.91568728545</v>
      </c>
      <c r="BL38" s="502">
        <v>182576.24376396686</v>
      </c>
      <c r="BM38" s="502">
        <v>191037.94546439327</v>
      </c>
      <c r="BN38" s="502">
        <v>204607.59015881389</v>
      </c>
      <c r="BO38" s="502">
        <v>200360.84813562041</v>
      </c>
      <c r="BP38" s="502">
        <v>209518.89747008457</v>
      </c>
      <c r="BQ38" s="502">
        <v>209295.6548992754</v>
      </c>
      <c r="BR38" s="502">
        <v>209637.39292402792</v>
      </c>
      <c r="BS38" s="502">
        <v>210767.21309718012</v>
      </c>
      <c r="BT38" s="502">
        <v>207308.49139739011</v>
      </c>
      <c r="BU38" s="502">
        <v>192464.96509982963</v>
      </c>
      <c r="BV38" s="502">
        <v>188726.39556423103</v>
      </c>
      <c r="BW38" s="502">
        <v>205308.35758070156</v>
      </c>
      <c r="BX38" s="502">
        <v>188313.19618431921</v>
      </c>
      <c r="BY38" s="502">
        <v>200419.60044157729</v>
      </c>
      <c r="BZ38" s="502">
        <v>198422.70198409588</v>
      </c>
      <c r="CA38" s="502">
        <v>201743.29043449453</v>
      </c>
      <c r="CB38" s="502">
        <v>214088.36141710865</v>
      </c>
      <c r="CC38" s="502">
        <v>205537.91356101009</v>
      </c>
      <c r="CD38" s="502">
        <v>205231.05536734877</v>
      </c>
      <c r="CE38" s="502">
        <v>206772.43078668762</v>
      </c>
      <c r="CF38" s="502">
        <v>259119.8327835619</v>
      </c>
      <c r="CG38" s="502">
        <v>256831.62678008329</v>
      </c>
      <c r="CH38" s="502">
        <v>266347.0832634134</v>
      </c>
      <c r="CI38" s="502">
        <v>185562.90634465666</v>
      </c>
      <c r="CJ38" s="502">
        <v>229789.48133857647</v>
      </c>
      <c r="CK38" s="502">
        <v>191664.32839531542</v>
      </c>
      <c r="CL38" s="502">
        <v>195659.65666632872</v>
      </c>
      <c r="CM38" s="502">
        <v>206437.66452216063</v>
      </c>
      <c r="CN38" s="502">
        <v>226858.78085671514</v>
      </c>
      <c r="CO38" s="502">
        <v>232397.77744178093</v>
      </c>
      <c r="CP38" s="502">
        <v>253266.41093040814</v>
      </c>
      <c r="CQ38" s="502">
        <v>205912.76219806424</v>
      </c>
      <c r="CR38" s="502">
        <v>228974.53216202161</v>
      </c>
      <c r="CS38" s="502">
        <v>209603.3922520495</v>
      </c>
      <c r="CT38" s="502">
        <v>236948.74495882238</v>
      </c>
      <c r="CU38" s="502">
        <v>226473.41388209624</v>
      </c>
      <c r="CV38" s="502">
        <v>249298.55269370315</v>
      </c>
      <c r="CW38" s="502">
        <v>232142.11169179843</v>
      </c>
      <c r="CX38" s="502">
        <v>219823.81216103063</v>
      </c>
      <c r="CY38" s="502">
        <v>215430.08009683026</v>
      </c>
      <c r="CZ38" s="502">
        <v>211132.13329911508</v>
      </c>
      <c r="DA38" s="502">
        <v>242832.98239723389</v>
      </c>
      <c r="DB38" s="541">
        <v>227138.3075219765</v>
      </c>
      <c r="DC38" s="502">
        <v>228630.83169578706</v>
      </c>
      <c r="DD38" s="484">
        <v>213634.22806992469</v>
      </c>
      <c r="DE38" s="484">
        <v>229625.01475195846</v>
      </c>
      <c r="DF38" s="484">
        <v>225075.36073976403</v>
      </c>
      <c r="DG38" s="484">
        <v>228962.60459457073</v>
      </c>
      <c r="DH38" s="484">
        <v>231670.43968625861</v>
      </c>
      <c r="DI38" s="484">
        <v>246604.26970415618</v>
      </c>
      <c r="DJ38" s="484">
        <v>257148.33085572478</v>
      </c>
      <c r="DK38" s="484">
        <v>258265.77502031249</v>
      </c>
      <c r="DL38" s="484">
        <v>236540.50958382024</v>
      </c>
      <c r="DM38" s="484">
        <v>246027.30395213159</v>
      </c>
      <c r="DN38" s="484">
        <v>266623.00285208237</v>
      </c>
      <c r="DO38" s="484">
        <v>271457.37271150126</v>
      </c>
      <c r="DP38" s="484">
        <v>316116.81090445758</v>
      </c>
      <c r="DQ38" s="484">
        <v>300166.50758820149</v>
      </c>
      <c r="DR38" s="484">
        <v>307377.53370310925</v>
      </c>
      <c r="DS38" s="484">
        <v>303181.43465204397</v>
      </c>
      <c r="DT38" s="484">
        <v>331130.31653619237</v>
      </c>
      <c r="DU38" s="484">
        <v>322523.15917334607</v>
      </c>
      <c r="DV38" s="484">
        <v>301145.0877967382</v>
      </c>
      <c r="DW38" s="484">
        <v>313292.87928460108</v>
      </c>
      <c r="DX38" s="484">
        <v>311591.52106263599</v>
      </c>
      <c r="DY38" s="484">
        <v>319648.37259481556</v>
      </c>
      <c r="DZ38" s="484">
        <v>323716.42503841536</v>
      </c>
      <c r="EA38" s="484">
        <v>323181.44238302106</v>
      </c>
      <c r="EB38" s="484">
        <v>309144.50124674872</v>
      </c>
      <c r="EC38" s="484">
        <v>318281.7585259492</v>
      </c>
    </row>
    <row r="39" spans="1:133" ht="18" customHeight="1" x14ac:dyDescent="0.25">
      <c r="A39" s="481" t="s">
        <v>435</v>
      </c>
      <c r="B39" s="482" t="s">
        <v>436</v>
      </c>
      <c r="C39" s="502">
        <v>54400.528669586383</v>
      </c>
      <c r="D39" s="502">
        <v>55364.274366902224</v>
      </c>
      <c r="E39" s="502">
        <v>55639.341153203575</v>
      </c>
      <c r="F39" s="541">
        <v>55400.051997011295</v>
      </c>
      <c r="G39" s="502">
        <v>55956.954722805021</v>
      </c>
      <c r="H39" s="542">
        <v>56840.563047609801</v>
      </c>
      <c r="I39" s="502">
        <v>61573.888278799903</v>
      </c>
      <c r="J39" s="502">
        <v>61944.044900555833</v>
      </c>
      <c r="K39" s="502">
        <v>60282.061866071745</v>
      </c>
      <c r="L39" s="502">
        <v>60001.938827791513</v>
      </c>
      <c r="M39" s="541">
        <v>59565.267557923187</v>
      </c>
      <c r="N39" s="502">
        <v>59878.755720878507</v>
      </c>
      <c r="O39" s="502">
        <v>59587.053869274074</v>
      </c>
      <c r="P39" s="502">
        <v>59891.241805268444</v>
      </c>
      <c r="Q39" s="502">
        <v>60626.7885813256</v>
      </c>
      <c r="R39" s="502">
        <v>60767.220737865784</v>
      </c>
      <c r="S39" s="502">
        <v>60415.820147000821</v>
      </c>
      <c r="T39" s="502">
        <v>61586.906304190656</v>
      </c>
      <c r="U39" s="502">
        <v>62599.835470608399</v>
      </c>
      <c r="V39" s="502">
        <v>62895.402994507524</v>
      </c>
      <c r="W39" s="502">
        <v>62483.209530251705</v>
      </c>
      <c r="X39" s="502">
        <v>64255.548407683818</v>
      </c>
      <c r="Y39" s="502">
        <v>64146.111472228316</v>
      </c>
      <c r="Z39" s="502">
        <v>63089.251396373067</v>
      </c>
      <c r="AA39" s="502">
        <v>64975.695544614791</v>
      </c>
      <c r="AB39" s="484">
        <v>64347.89121238899</v>
      </c>
      <c r="AC39" s="484">
        <v>64375.640232194375</v>
      </c>
      <c r="AD39" s="501">
        <v>60488.432433147507</v>
      </c>
      <c r="AE39" s="502">
        <v>60547.323256152595</v>
      </c>
      <c r="AF39" s="502">
        <v>61707.846358855764</v>
      </c>
      <c r="AG39" s="502">
        <v>64378.411101923419</v>
      </c>
      <c r="AH39" s="502">
        <v>65492.301477635163</v>
      </c>
      <c r="AI39" s="502">
        <v>66806.924188420977</v>
      </c>
      <c r="AJ39" s="502">
        <v>67364.613696445856</v>
      </c>
      <c r="AK39" s="502">
        <v>68138.949241235692</v>
      </c>
      <c r="AL39" s="502">
        <v>69474.656294007742</v>
      </c>
      <c r="AM39" s="502">
        <v>71536.807506456826</v>
      </c>
      <c r="AN39" s="502">
        <v>71809.005361727483</v>
      </c>
      <c r="AO39" s="502">
        <v>71692.353631457197</v>
      </c>
      <c r="AP39" s="542">
        <v>71737.249900530805</v>
      </c>
      <c r="AQ39" s="502">
        <v>71634.280990498009</v>
      </c>
      <c r="AR39" s="502">
        <v>72763.013375277253</v>
      </c>
      <c r="AS39" s="502">
        <v>74461.475554076096</v>
      </c>
      <c r="AT39" s="502">
        <v>75426.886915028444</v>
      </c>
      <c r="AU39" s="502">
        <v>77231.233966992717</v>
      </c>
      <c r="AV39" s="502">
        <v>78054.229033778131</v>
      </c>
      <c r="AW39" s="502">
        <v>76942.839660309852</v>
      </c>
      <c r="AX39" s="502">
        <v>77890.048011581457</v>
      </c>
      <c r="AY39" s="502">
        <v>79850.903656925875</v>
      </c>
      <c r="AZ39" s="502">
        <v>79165.770342182339</v>
      </c>
      <c r="BA39" s="502">
        <v>80157.056187432972</v>
      </c>
      <c r="BB39" s="502">
        <v>80849.701402894949</v>
      </c>
      <c r="BC39" s="502">
        <v>81435.915950394556</v>
      </c>
      <c r="BD39" s="502">
        <v>82172.476357644482</v>
      </c>
      <c r="BE39" s="502">
        <v>84955.931884040008</v>
      </c>
      <c r="BF39" s="502">
        <v>86780.895415744293</v>
      </c>
      <c r="BG39" s="502">
        <v>86679.885774395167</v>
      </c>
      <c r="BH39" s="502">
        <v>90095.703588188597</v>
      </c>
      <c r="BI39" s="502">
        <v>90536.809949928269</v>
      </c>
      <c r="BJ39" s="502">
        <v>90575.994403637</v>
      </c>
      <c r="BK39" s="502">
        <v>91748.274416918852</v>
      </c>
      <c r="BL39" s="502">
        <v>92060.186697136931</v>
      </c>
      <c r="BM39" s="502">
        <v>97087.547902479142</v>
      </c>
      <c r="BN39" s="502">
        <v>97906.103841024829</v>
      </c>
      <c r="BO39" s="502">
        <v>101434.61169554139</v>
      </c>
      <c r="BP39" s="502">
        <v>101123.66756027237</v>
      </c>
      <c r="BQ39" s="502">
        <v>106092.38565132562</v>
      </c>
      <c r="BR39" s="502">
        <v>105645.75919517616</v>
      </c>
      <c r="BS39" s="502">
        <v>108541.91109058767</v>
      </c>
      <c r="BT39" s="502">
        <v>109764.90313074383</v>
      </c>
      <c r="BU39" s="502">
        <v>111109.19982382633</v>
      </c>
      <c r="BV39" s="502">
        <v>108147.26253067369</v>
      </c>
      <c r="BW39" s="502">
        <v>109641.49560026948</v>
      </c>
      <c r="BX39" s="502">
        <v>109949.87924548757</v>
      </c>
      <c r="BY39" s="502">
        <v>111791.87626614004</v>
      </c>
      <c r="BZ39" s="502">
        <v>109474.13295116654</v>
      </c>
      <c r="CA39" s="502">
        <v>111216.87319373609</v>
      </c>
      <c r="CB39" s="502">
        <v>110466.43381189738</v>
      </c>
      <c r="CC39" s="502">
        <v>114390.79918076626</v>
      </c>
      <c r="CD39" s="502">
        <v>114256.5248765157</v>
      </c>
      <c r="CE39" s="502">
        <v>116466.64534877401</v>
      </c>
      <c r="CF39" s="502">
        <v>117348.12161286043</v>
      </c>
      <c r="CG39" s="502">
        <v>116101.49212862931</v>
      </c>
      <c r="CH39" s="502">
        <v>115942.23068925895</v>
      </c>
      <c r="CI39" s="502">
        <v>118172.59114663849</v>
      </c>
      <c r="CJ39" s="502">
        <v>117726.37465966129</v>
      </c>
      <c r="CK39" s="502">
        <v>117107.00132037385</v>
      </c>
      <c r="CL39" s="502">
        <v>119779.96587761395</v>
      </c>
      <c r="CM39" s="502">
        <v>118344.60796049522</v>
      </c>
      <c r="CN39" s="502">
        <v>120014.26986700304</v>
      </c>
      <c r="CO39" s="502">
        <v>123816.0621219145</v>
      </c>
      <c r="CP39" s="502">
        <v>126635.25233325535</v>
      </c>
      <c r="CQ39" s="502">
        <v>128365.5417969883</v>
      </c>
      <c r="CR39" s="502">
        <v>130565.69419018028</v>
      </c>
      <c r="CS39" s="502">
        <v>131592.52027657311</v>
      </c>
      <c r="CT39" s="502">
        <v>133121.24345724127</v>
      </c>
      <c r="CU39" s="502">
        <v>132527.0276874722</v>
      </c>
      <c r="CV39" s="502">
        <v>134624.90774467567</v>
      </c>
      <c r="CW39" s="502">
        <v>132923.2425201025</v>
      </c>
      <c r="CX39" s="502">
        <v>133269.36557409514</v>
      </c>
      <c r="CY39" s="502">
        <v>132397.86067295936</v>
      </c>
      <c r="CZ39" s="502">
        <v>133468.72723748072</v>
      </c>
      <c r="DA39" s="502">
        <v>137528.10247430843</v>
      </c>
      <c r="DB39" s="541">
        <v>140038.33822951984</v>
      </c>
      <c r="DC39" s="502">
        <v>141774.73722577392</v>
      </c>
      <c r="DD39" s="484">
        <v>143291.81615050504</v>
      </c>
      <c r="DE39" s="484">
        <v>143243.67365461134</v>
      </c>
      <c r="DF39" s="484">
        <v>143464.94964542842</v>
      </c>
      <c r="DG39" s="484">
        <v>145296.10716874371</v>
      </c>
      <c r="DH39" s="484">
        <v>147472.32937258342</v>
      </c>
      <c r="DI39" s="484">
        <v>146971.75347642964</v>
      </c>
      <c r="DJ39" s="484">
        <v>147677.37833846637</v>
      </c>
      <c r="DK39" s="484">
        <v>151123.45918545491</v>
      </c>
      <c r="DL39" s="484">
        <v>150200.82488915251</v>
      </c>
      <c r="DM39" s="484">
        <v>152069.46091498414</v>
      </c>
      <c r="DN39" s="484">
        <v>156589.17491571535</v>
      </c>
      <c r="DO39" s="484">
        <v>158186.82927135911</v>
      </c>
      <c r="DP39" s="484">
        <v>158908.66400969806</v>
      </c>
      <c r="DQ39" s="484">
        <v>159040.44520475014</v>
      </c>
      <c r="DR39" s="484">
        <v>160076.19502334966</v>
      </c>
      <c r="DS39" s="484">
        <v>162517.91728332927</v>
      </c>
      <c r="DT39" s="484">
        <v>163255.39931644851</v>
      </c>
      <c r="DU39" s="484">
        <v>163579.17282670224</v>
      </c>
      <c r="DV39" s="484">
        <v>165685.12877288598</v>
      </c>
      <c r="DW39" s="484">
        <v>166668.74407388852</v>
      </c>
      <c r="DX39" s="484">
        <v>166743.27841081459</v>
      </c>
      <c r="DY39" s="484">
        <v>172591.10093354</v>
      </c>
      <c r="DZ39" s="484">
        <v>178522.21454626217</v>
      </c>
      <c r="EA39" s="484">
        <v>180177.82228734173</v>
      </c>
      <c r="EB39" s="484">
        <v>177735.44966014454</v>
      </c>
      <c r="EC39" s="484">
        <v>177303.02479477949</v>
      </c>
    </row>
    <row r="40" spans="1:133" ht="18" customHeight="1" x14ac:dyDescent="0.25">
      <c r="A40" s="481" t="s">
        <v>437</v>
      </c>
      <c r="B40" s="482" t="s">
        <v>438</v>
      </c>
      <c r="C40" s="502">
        <v>94287.820452266882</v>
      </c>
      <c r="D40" s="502">
        <v>104577.0963493598</v>
      </c>
      <c r="E40" s="502">
        <v>95872.962340032071</v>
      </c>
      <c r="F40" s="541">
        <v>101148.48092778733</v>
      </c>
      <c r="G40" s="502">
        <v>101508.06137143182</v>
      </c>
      <c r="H40" s="542">
        <v>112639.71753177252</v>
      </c>
      <c r="I40" s="502">
        <v>104956.60354967593</v>
      </c>
      <c r="J40" s="502">
        <v>105810.10955853116</v>
      </c>
      <c r="K40" s="502">
        <v>115356.53708801339</v>
      </c>
      <c r="L40" s="502">
        <v>123682.01410498825</v>
      </c>
      <c r="M40" s="541">
        <v>127872.60002270482</v>
      </c>
      <c r="N40" s="502">
        <v>140770.38480459238</v>
      </c>
      <c r="O40" s="502">
        <v>138896.65087890608</v>
      </c>
      <c r="P40" s="502">
        <v>141056.98200237026</v>
      </c>
      <c r="Q40" s="502">
        <v>144365.04365896143</v>
      </c>
      <c r="R40" s="502">
        <v>157397.56448969463</v>
      </c>
      <c r="S40" s="502">
        <v>156528.6774247523</v>
      </c>
      <c r="T40" s="502">
        <v>155431.25901409026</v>
      </c>
      <c r="U40" s="502">
        <v>175228.32433442285</v>
      </c>
      <c r="V40" s="502">
        <v>156521.13363335803</v>
      </c>
      <c r="W40" s="502">
        <v>150156.82834410068</v>
      </c>
      <c r="X40" s="502">
        <v>156901.09457021282</v>
      </c>
      <c r="Y40" s="502">
        <v>152796.60694417122</v>
      </c>
      <c r="Z40" s="502">
        <v>162375.73252393981</v>
      </c>
      <c r="AA40" s="502">
        <v>165863.46729399165</v>
      </c>
      <c r="AB40" s="484">
        <v>175555.20296694463</v>
      </c>
      <c r="AC40" s="484">
        <v>182471.16379006344</v>
      </c>
      <c r="AD40" s="501">
        <v>181852.66047381921</v>
      </c>
      <c r="AE40" s="502">
        <v>188950.74890929248</v>
      </c>
      <c r="AF40" s="502">
        <v>201057.51497352219</v>
      </c>
      <c r="AG40" s="502">
        <v>188688.98764504417</v>
      </c>
      <c r="AH40" s="502">
        <v>212915.01883209238</v>
      </c>
      <c r="AI40" s="502">
        <v>208722.08773990086</v>
      </c>
      <c r="AJ40" s="502">
        <v>197088.41008619449</v>
      </c>
      <c r="AK40" s="502">
        <v>193121.85980906058</v>
      </c>
      <c r="AL40" s="502">
        <v>220997.69413411134</v>
      </c>
      <c r="AM40" s="502">
        <v>214390.85438189853</v>
      </c>
      <c r="AN40" s="502">
        <v>233958.42038969134</v>
      </c>
      <c r="AO40" s="502">
        <v>224529.24056173515</v>
      </c>
      <c r="AP40" s="542">
        <v>215125.90828821334</v>
      </c>
      <c r="AQ40" s="502">
        <v>211225.44310602502</v>
      </c>
      <c r="AR40" s="502">
        <v>212147.26718020593</v>
      </c>
      <c r="AS40" s="502">
        <v>206942.75702386725</v>
      </c>
      <c r="AT40" s="502">
        <v>201774.20160626154</v>
      </c>
      <c r="AU40" s="502">
        <v>200679.2459356052</v>
      </c>
      <c r="AV40" s="502">
        <v>193771.31158415653</v>
      </c>
      <c r="AW40" s="502">
        <v>200370.25757288816</v>
      </c>
      <c r="AX40" s="502">
        <v>202229.42754413813</v>
      </c>
      <c r="AY40" s="502">
        <v>192989.32708543708</v>
      </c>
      <c r="AZ40" s="502">
        <v>195428.01993857251</v>
      </c>
      <c r="BA40" s="502">
        <v>194640.58164299041</v>
      </c>
      <c r="BB40" s="502">
        <v>195323.25592296253</v>
      </c>
      <c r="BC40" s="502">
        <v>196493.26113178206</v>
      </c>
      <c r="BD40" s="502">
        <v>202540.02690160999</v>
      </c>
      <c r="BE40" s="502">
        <v>199000.23648775299</v>
      </c>
      <c r="BF40" s="502">
        <v>229510.60402642027</v>
      </c>
      <c r="BG40" s="502">
        <v>220789.80897076923</v>
      </c>
      <c r="BH40" s="502">
        <v>208076.64728039413</v>
      </c>
      <c r="BI40" s="502">
        <v>204671.68459389074</v>
      </c>
      <c r="BJ40" s="502">
        <v>241420.02132649004</v>
      </c>
      <c r="BK40" s="502">
        <v>239323.55098385151</v>
      </c>
      <c r="BL40" s="502">
        <v>224840.70688587023</v>
      </c>
      <c r="BM40" s="502">
        <v>234443.70982246494</v>
      </c>
      <c r="BN40" s="502">
        <v>222222.21768749892</v>
      </c>
      <c r="BO40" s="502">
        <v>226147.55781483496</v>
      </c>
      <c r="BP40" s="502">
        <v>226264.56596943885</v>
      </c>
      <c r="BQ40" s="502">
        <v>235778.75465464976</v>
      </c>
      <c r="BR40" s="502">
        <v>235418.03066447837</v>
      </c>
      <c r="BS40" s="502">
        <v>226256.64896229125</v>
      </c>
      <c r="BT40" s="502">
        <v>197927.8213554665</v>
      </c>
      <c r="BU40" s="502">
        <v>229261.49857406798</v>
      </c>
      <c r="BV40" s="502">
        <v>227353.06710027903</v>
      </c>
      <c r="BW40" s="502">
        <v>239827.55531387328</v>
      </c>
      <c r="BX40" s="502">
        <v>243437.09942069286</v>
      </c>
      <c r="BY40" s="502">
        <v>214380.44577925894</v>
      </c>
      <c r="BZ40" s="502">
        <v>223414.48882732069</v>
      </c>
      <c r="CA40" s="502">
        <v>220500.36449082446</v>
      </c>
      <c r="CB40" s="502">
        <v>261513.09742864638</v>
      </c>
      <c r="CC40" s="502">
        <v>214310.08019966743</v>
      </c>
      <c r="CD40" s="502">
        <v>188308.74726002532</v>
      </c>
      <c r="CE40" s="502">
        <v>189345.46277029542</v>
      </c>
      <c r="CF40" s="502">
        <v>185273.29462679522</v>
      </c>
      <c r="CG40" s="502">
        <v>189373.60179116006</v>
      </c>
      <c r="CH40" s="502">
        <v>202565.75714797919</v>
      </c>
      <c r="CI40" s="502">
        <v>220515.24170217689</v>
      </c>
      <c r="CJ40" s="502">
        <v>205156.843584346</v>
      </c>
      <c r="CK40" s="502">
        <v>204250.40662539203</v>
      </c>
      <c r="CL40" s="502">
        <v>221336.81532625176</v>
      </c>
      <c r="CM40" s="502">
        <v>232891.42712546178</v>
      </c>
      <c r="CN40" s="502">
        <v>213770.77611847903</v>
      </c>
      <c r="CO40" s="502">
        <v>213473.53239326467</v>
      </c>
      <c r="CP40" s="502">
        <v>208102.62897983094</v>
      </c>
      <c r="CQ40" s="502">
        <v>201502.61657439434</v>
      </c>
      <c r="CR40" s="502">
        <v>200183.56665625676</v>
      </c>
      <c r="CS40" s="502">
        <v>226729.73964634049</v>
      </c>
      <c r="CT40" s="502">
        <v>228719.52990646422</v>
      </c>
      <c r="CU40" s="502">
        <v>198277.17431938666</v>
      </c>
      <c r="CV40" s="502">
        <v>194636.24957874304</v>
      </c>
      <c r="CW40" s="502">
        <v>194681.46618258173</v>
      </c>
      <c r="CX40" s="502">
        <v>197145.78056606013</v>
      </c>
      <c r="CY40" s="502">
        <v>197408.35728037133</v>
      </c>
      <c r="CZ40" s="502">
        <v>208690.3451458198</v>
      </c>
      <c r="DA40" s="502">
        <v>202891.83030199236</v>
      </c>
      <c r="DB40" s="541">
        <v>185846.00633511992</v>
      </c>
      <c r="DC40" s="502">
        <v>189365.77478666042</v>
      </c>
      <c r="DD40" s="484">
        <v>196565.37615965336</v>
      </c>
      <c r="DE40" s="484">
        <v>201088.82687972608</v>
      </c>
      <c r="DF40" s="484">
        <v>192204.60588537948</v>
      </c>
      <c r="DG40" s="484">
        <v>183135.3152611914</v>
      </c>
      <c r="DH40" s="484">
        <v>187679.97651037018</v>
      </c>
      <c r="DI40" s="484">
        <v>188361.92095177644</v>
      </c>
      <c r="DJ40" s="484">
        <v>209159.75707117439</v>
      </c>
      <c r="DK40" s="484">
        <v>250930.08990499703</v>
      </c>
      <c r="DL40" s="484">
        <v>243362.1159973648</v>
      </c>
      <c r="DM40" s="484">
        <v>248287.83039458032</v>
      </c>
      <c r="DN40" s="484">
        <v>242885.4783348846</v>
      </c>
      <c r="DO40" s="484">
        <v>241325.41399618567</v>
      </c>
      <c r="DP40" s="484">
        <v>258312.5648770874</v>
      </c>
      <c r="DQ40" s="484">
        <v>286349.70854562853</v>
      </c>
      <c r="DR40" s="484">
        <v>242838.4234743648</v>
      </c>
      <c r="DS40" s="484">
        <v>237815.71144981481</v>
      </c>
      <c r="DT40" s="484">
        <v>215635.19467629082</v>
      </c>
      <c r="DU40" s="484">
        <v>212324.97606878352</v>
      </c>
      <c r="DV40" s="484">
        <v>224660.20392700573</v>
      </c>
      <c r="DW40" s="484">
        <v>233109.37909130086</v>
      </c>
      <c r="DX40" s="484">
        <v>216753.51587710963</v>
      </c>
      <c r="DY40" s="484">
        <v>222792.86242161354</v>
      </c>
      <c r="DZ40" s="484">
        <v>212964.48165660835</v>
      </c>
      <c r="EA40" s="484">
        <v>219618.14909001708</v>
      </c>
      <c r="EB40" s="484">
        <v>205615.73206034504</v>
      </c>
      <c r="EC40" s="484">
        <v>215487.66259517943</v>
      </c>
    </row>
    <row r="41" spans="1:133" ht="18" customHeight="1" x14ac:dyDescent="0.25">
      <c r="A41" s="481"/>
      <c r="B41" s="482"/>
      <c r="C41" s="561"/>
      <c r="D41" s="561"/>
      <c r="E41" s="561"/>
      <c r="F41" s="562"/>
      <c r="G41" s="561"/>
      <c r="H41" s="563"/>
      <c r="I41" s="561"/>
      <c r="J41" s="561"/>
      <c r="K41" s="561"/>
      <c r="L41" s="561"/>
      <c r="M41" s="562"/>
      <c r="N41" s="561"/>
      <c r="O41" s="561"/>
      <c r="P41" s="561"/>
      <c r="Q41" s="561"/>
      <c r="R41" s="561"/>
      <c r="S41" s="561"/>
      <c r="T41" s="561"/>
      <c r="U41" s="561"/>
      <c r="V41" s="561"/>
      <c r="W41" s="561"/>
      <c r="X41" s="561"/>
      <c r="Y41" s="561"/>
      <c r="Z41" s="561"/>
      <c r="AA41" s="561"/>
      <c r="AB41" s="564"/>
      <c r="AC41" s="564"/>
      <c r="AD41" s="565"/>
      <c r="AE41" s="561"/>
      <c r="AF41" s="561"/>
      <c r="AG41" s="561"/>
      <c r="AH41" s="561"/>
      <c r="AI41" s="561"/>
      <c r="AJ41" s="561"/>
      <c r="AK41" s="561"/>
      <c r="AL41" s="561"/>
      <c r="AM41" s="561"/>
      <c r="AN41" s="561"/>
      <c r="AO41" s="561"/>
      <c r="AP41" s="563"/>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2"/>
      <c r="DC41" s="561"/>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row>
    <row r="42" spans="1:133" ht="18" customHeight="1" x14ac:dyDescent="0.25">
      <c r="A42" s="477" t="s">
        <v>439</v>
      </c>
      <c r="B42" s="478" t="s">
        <v>463</v>
      </c>
      <c r="C42" s="533">
        <v>79765.276904138809</v>
      </c>
      <c r="D42" s="533">
        <v>79967.410702004039</v>
      </c>
      <c r="E42" s="533">
        <v>87087.243426584799</v>
      </c>
      <c r="F42" s="534">
        <v>73044.369587758076</v>
      </c>
      <c r="G42" s="533">
        <v>71843.676961905177</v>
      </c>
      <c r="H42" s="535">
        <v>76855.320632432165</v>
      </c>
      <c r="I42" s="533">
        <v>65549.468615949008</v>
      </c>
      <c r="J42" s="533">
        <v>70275.629942715372</v>
      </c>
      <c r="K42" s="533">
        <v>87567.0888157554</v>
      </c>
      <c r="L42" s="533">
        <v>84459.916743367197</v>
      </c>
      <c r="M42" s="534">
        <v>72764.413440688426</v>
      </c>
      <c r="N42" s="533">
        <v>70503.75853036005</v>
      </c>
      <c r="O42" s="533">
        <v>76667.060736824948</v>
      </c>
      <c r="P42" s="533">
        <v>77687.959336328538</v>
      </c>
      <c r="Q42" s="533">
        <v>82385.915205344529</v>
      </c>
      <c r="R42" s="533">
        <v>92749.85354358601</v>
      </c>
      <c r="S42" s="533">
        <v>95816.953004968294</v>
      </c>
      <c r="T42" s="533">
        <v>114289.32764905741</v>
      </c>
      <c r="U42" s="533">
        <v>110903.36644446875</v>
      </c>
      <c r="V42" s="533">
        <v>99207.18051620826</v>
      </c>
      <c r="W42" s="533">
        <v>105754.68178356488</v>
      </c>
      <c r="X42" s="533">
        <v>104827.53763616453</v>
      </c>
      <c r="Y42" s="533">
        <v>110934.91226938496</v>
      </c>
      <c r="Z42" s="533">
        <v>102759.79144794009</v>
      </c>
      <c r="AA42" s="533">
        <v>98923.121529141485</v>
      </c>
      <c r="AB42" s="479">
        <v>118714.51810307619</v>
      </c>
      <c r="AC42" s="479">
        <v>126293.64632557079</v>
      </c>
      <c r="AD42" s="560">
        <v>121037.76603003999</v>
      </c>
      <c r="AE42" s="533">
        <v>120203.4452519273</v>
      </c>
      <c r="AF42" s="533">
        <v>130917.30386894089</v>
      </c>
      <c r="AG42" s="533">
        <v>128755.64373231758</v>
      </c>
      <c r="AH42" s="533">
        <v>127494.17995051914</v>
      </c>
      <c r="AI42" s="533">
        <v>121614.8977947208</v>
      </c>
      <c r="AJ42" s="533">
        <v>121374.17272757026</v>
      </c>
      <c r="AK42" s="533">
        <v>121245.55692541685</v>
      </c>
      <c r="AL42" s="533">
        <v>125715.8314842267</v>
      </c>
      <c r="AM42" s="533">
        <v>118244.25003298787</v>
      </c>
      <c r="AN42" s="533">
        <v>117212.48076780257</v>
      </c>
      <c r="AO42" s="533">
        <v>115672.75149286803</v>
      </c>
      <c r="AP42" s="535">
        <v>114884.63602585379</v>
      </c>
      <c r="AQ42" s="533">
        <v>132406.11192133528</v>
      </c>
      <c r="AR42" s="533">
        <v>130914.48236359948</v>
      </c>
      <c r="AS42" s="533">
        <v>127215.33379495694</v>
      </c>
      <c r="AT42" s="533">
        <v>131031.17545787591</v>
      </c>
      <c r="AU42" s="533">
        <v>130316.18179927678</v>
      </c>
      <c r="AV42" s="533">
        <v>127882.30706865035</v>
      </c>
      <c r="AW42" s="533">
        <v>122229.63531764597</v>
      </c>
      <c r="AX42" s="533">
        <v>115642.45262289631</v>
      </c>
      <c r="AY42" s="533">
        <v>107161.36249109264</v>
      </c>
      <c r="AZ42" s="533">
        <v>102850.93817663024</v>
      </c>
      <c r="BA42" s="533">
        <v>101241.58873449743</v>
      </c>
      <c r="BB42" s="533">
        <v>100274.73091660098</v>
      </c>
      <c r="BC42" s="533">
        <v>97780.963334996835</v>
      </c>
      <c r="BD42" s="533">
        <v>81273.484218125493</v>
      </c>
      <c r="BE42" s="533">
        <v>88621.315787191081</v>
      </c>
      <c r="BF42" s="533">
        <v>77297.092702450056</v>
      </c>
      <c r="BG42" s="533">
        <v>79089.253614043846</v>
      </c>
      <c r="BH42" s="533">
        <v>83122.902193598362</v>
      </c>
      <c r="BI42" s="533">
        <v>84052.810510052193</v>
      </c>
      <c r="BJ42" s="533">
        <v>94750.238114067353</v>
      </c>
      <c r="BK42" s="533">
        <v>90401.985543636343</v>
      </c>
      <c r="BL42" s="533">
        <v>89466.324889127834</v>
      </c>
      <c r="BM42" s="533">
        <v>91991.965473635762</v>
      </c>
      <c r="BN42" s="533">
        <v>97061.119938809148</v>
      </c>
      <c r="BO42" s="533">
        <v>97647.389052327489</v>
      </c>
      <c r="BP42" s="533">
        <v>97170.767423416284</v>
      </c>
      <c r="BQ42" s="533">
        <v>93078.299111545362</v>
      </c>
      <c r="BR42" s="533">
        <v>90803.647548600173</v>
      </c>
      <c r="BS42" s="533">
        <v>94643.934117033234</v>
      </c>
      <c r="BT42" s="533">
        <v>93368.750672365466</v>
      </c>
      <c r="BU42" s="533">
        <v>106296.27607477637</v>
      </c>
      <c r="BV42" s="533">
        <v>92358.264727035101</v>
      </c>
      <c r="BW42" s="533">
        <v>101569.58453890198</v>
      </c>
      <c r="BX42" s="533">
        <v>89719.113192073593</v>
      </c>
      <c r="BY42" s="533">
        <v>95074.664889065607</v>
      </c>
      <c r="BZ42" s="533">
        <v>94964.272509438859</v>
      </c>
      <c r="CA42" s="533">
        <v>89698.061318250737</v>
      </c>
      <c r="CB42" s="533">
        <v>91372.490921219607</v>
      </c>
      <c r="CC42" s="533">
        <v>92147.623095796516</v>
      </c>
      <c r="CD42" s="533">
        <v>90050.220268082776</v>
      </c>
      <c r="CE42" s="533">
        <v>91075.261272679389</v>
      </c>
      <c r="CF42" s="533">
        <v>101681.26298286632</v>
      </c>
      <c r="CG42" s="533">
        <v>101179.48049114493</v>
      </c>
      <c r="CH42" s="533">
        <v>95118.34019615539</v>
      </c>
      <c r="CI42" s="533">
        <v>116017.17781168569</v>
      </c>
      <c r="CJ42" s="533">
        <v>113726.71426223117</v>
      </c>
      <c r="CK42" s="533">
        <v>123471.75982604103</v>
      </c>
      <c r="CL42" s="533">
        <v>111975.05836369986</v>
      </c>
      <c r="CM42" s="533">
        <v>116983.76417824649</v>
      </c>
      <c r="CN42" s="533">
        <v>124060.95251983829</v>
      </c>
      <c r="CO42" s="533">
        <v>138284.47903468707</v>
      </c>
      <c r="CP42" s="533">
        <v>140803.9072916829</v>
      </c>
      <c r="CQ42" s="533">
        <v>161712.30887755004</v>
      </c>
      <c r="CR42" s="533">
        <v>167581.23557573417</v>
      </c>
      <c r="CS42" s="533">
        <v>147051.21076608059</v>
      </c>
      <c r="CT42" s="533">
        <v>155049.63566150406</v>
      </c>
      <c r="CU42" s="533">
        <v>171454.34550845166</v>
      </c>
      <c r="CV42" s="533">
        <v>178245.13433747628</v>
      </c>
      <c r="CW42" s="533">
        <v>175782.12514214052</v>
      </c>
      <c r="CX42" s="533">
        <v>179223.73909794833</v>
      </c>
      <c r="CY42" s="533">
        <v>168129.70568572829</v>
      </c>
      <c r="CZ42" s="533">
        <v>165153.39071027178</v>
      </c>
      <c r="DA42" s="533">
        <v>191362.21869076963</v>
      </c>
      <c r="DB42" s="534">
        <v>188251.47207899802</v>
      </c>
      <c r="DC42" s="533">
        <v>191707.39875481132</v>
      </c>
      <c r="DD42" s="479">
        <v>196366.3238836402</v>
      </c>
      <c r="DE42" s="479">
        <v>175050.53255274924</v>
      </c>
      <c r="DF42" s="479">
        <v>144667.74779506697</v>
      </c>
      <c r="DG42" s="479">
        <v>150935.72076391854</v>
      </c>
      <c r="DH42" s="479">
        <v>151281.43438928691</v>
      </c>
      <c r="DI42" s="479">
        <v>148029.51089766072</v>
      </c>
      <c r="DJ42" s="479">
        <v>157150.58000814478</v>
      </c>
      <c r="DK42" s="479">
        <v>166996.61918452039</v>
      </c>
      <c r="DL42" s="479">
        <v>167127.02487469258</v>
      </c>
      <c r="DM42" s="479">
        <v>182803.84118875148</v>
      </c>
      <c r="DN42" s="479">
        <v>184310.60341610783</v>
      </c>
      <c r="DO42" s="479">
        <v>175146.16713026352</v>
      </c>
      <c r="DP42" s="479">
        <v>186419.45243703705</v>
      </c>
      <c r="DQ42" s="479">
        <v>171618.71434534225</v>
      </c>
      <c r="DR42" s="479">
        <v>172122.76363828316</v>
      </c>
      <c r="DS42" s="479">
        <v>169878.73336244439</v>
      </c>
      <c r="DT42" s="479">
        <v>160218.91803533613</v>
      </c>
      <c r="DU42" s="479">
        <v>163409.84678562387</v>
      </c>
      <c r="DV42" s="479">
        <v>172254.30454651202</v>
      </c>
      <c r="DW42" s="479">
        <v>169342.69798503455</v>
      </c>
      <c r="DX42" s="479">
        <v>181971.2319290119</v>
      </c>
      <c r="DY42" s="479">
        <v>180755.07171304678</v>
      </c>
      <c r="DZ42" s="479">
        <v>173858.82655907582</v>
      </c>
      <c r="EA42" s="479">
        <v>171562.22009855707</v>
      </c>
      <c r="EB42" s="479">
        <v>167952.77035520671</v>
      </c>
      <c r="EC42" s="479">
        <v>167625.23278363369</v>
      </c>
    </row>
    <row r="43" spans="1:133" ht="18" customHeight="1" x14ac:dyDescent="0.25">
      <c r="A43" s="481" t="s">
        <v>441</v>
      </c>
      <c r="B43" s="482" t="s">
        <v>434</v>
      </c>
      <c r="C43" s="502">
        <v>14022.406912736789</v>
      </c>
      <c r="D43" s="502">
        <v>8614.9470122550247</v>
      </c>
      <c r="E43" s="502">
        <v>9046.7667947900245</v>
      </c>
      <c r="F43" s="541">
        <v>8253.3560588930486</v>
      </c>
      <c r="G43" s="502">
        <v>8243.8970227649188</v>
      </c>
      <c r="H43" s="542">
        <v>14222.774405428938</v>
      </c>
      <c r="I43" s="502">
        <v>9773.4685437383559</v>
      </c>
      <c r="J43" s="502">
        <v>8464.5785294334873</v>
      </c>
      <c r="K43" s="502">
        <v>8618.9981428776773</v>
      </c>
      <c r="L43" s="502">
        <v>9444.8388877828729</v>
      </c>
      <c r="M43" s="541">
        <v>9352.6658480040496</v>
      </c>
      <c r="N43" s="502">
        <v>9078.0655663321577</v>
      </c>
      <c r="O43" s="502">
        <v>9420.9177350316659</v>
      </c>
      <c r="P43" s="502">
        <v>10747.092222015226</v>
      </c>
      <c r="Q43" s="502">
        <v>14520.159524510929</v>
      </c>
      <c r="R43" s="502">
        <v>9940.9567935336254</v>
      </c>
      <c r="S43" s="502">
        <v>9042.513792779213</v>
      </c>
      <c r="T43" s="502">
        <v>10115.515018228756</v>
      </c>
      <c r="U43" s="502">
        <v>12509.075686262247</v>
      </c>
      <c r="V43" s="502">
        <v>11245.30357559086</v>
      </c>
      <c r="W43" s="502">
        <v>14003.45279651268</v>
      </c>
      <c r="X43" s="502">
        <v>18899.759292994506</v>
      </c>
      <c r="Y43" s="502">
        <v>13431.485647756885</v>
      </c>
      <c r="Z43" s="502">
        <v>15170.056879267389</v>
      </c>
      <c r="AA43" s="502">
        <v>10903.721625545246</v>
      </c>
      <c r="AB43" s="484">
        <v>12601.798013215197</v>
      </c>
      <c r="AC43" s="484">
        <v>13189.485964766453</v>
      </c>
      <c r="AD43" s="501">
        <v>12791.372044648373</v>
      </c>
      <c r="AE43" s="502">
        <v>13848.728520148679</v>
      </c>
      <c r="AF43" s="502">
        <v>13393.74429745303</v>
      </c>
      <c r="AG43" s="502">
        <v>15584.490835189528</v>
      </c>
      <c r="AH43" s="502">
        <v>15672.617301569955</v>
      </c>
      <c r="AI43" s="502">
        <v>19535.938542123793</v>
      </c>
      <c r="AJ43" s="502">
        <v>20531.594387396995</v>
      </c>
      <c r="AK43" s="502">
        <v>18384.805904107274</v>
      </c>
      <c r="AL43" s="502">
        <v>17368.271259703048</v>
      </c>
      <c r="AM43" s="502">
        <v>19673.09198335043</v>
      </c>
      <c r="AN43" s="502">
        <v>17490.392421126409</v>
      </c>
      <c r="AO43" s="502">
        <v>15789.829679464565</v>
      </c>
      <c r="AP43" s="542">
        <v>14897.063393489851</v>
      </c>
      <c r="AQ43" s="502">
        <v>17855.386396686707</v>
      </c>
      <c r="AR43" s="502">
        <v>19704.477664288788</v>
      </c>
      <c r="AS43" s="502">
        <v>19322.249388112468</v>
      </c>
      <c r="AT43" s="502">
        <v>19671.520938299513</v>
      </c>
      <c r="AU43" s="502">
        <v>21946.174337752516</v>
      </c>
      <c r="AV43" s="502">
        <v>22545.557014126411</v>
      </c>
      <c r="AW43" s="502">
        <v>22877.404338369684</v>
      </c>
      <c r="AX43" s="502">
        <v>25594.387499068926</v>
      </c>
      <c r="AY43" s="502">
        <v>24263.926402553021</v>
      </c>
      <c r="AZ43" s="502">
        <v>22543.248311728195</v>
      </c>
      <c r="BA43" s="502">
        <v>21234.901128839534</v>
      </c>
      <c r="BB43" s="502">
        <v>30290.441198478788</v>
      </c>
      <c r="BC43" s="502">
        <v>24337.911634397216</v>
      </c>
      <c r="BD43" s="502">
        <v>23016.085451020259</v>
      </c>
      <c r="BE43" s="502">
        <v>26127.521209808598</v>
      </c>
      <c r="BF43" s="502">
        <v>23921.084562984011</v>
      </c>
      <c r="BG43" s="502">
        <v>22208.752819936391</v>
      </c>
      <c r="BH43" s="502">
        <v>23156.253562813843</v>
      </c>
      <c r="BI43" s="502">
        <v>23121.383518245995</v>
      </c>
      <c r="BJ43" s="502">
        <v>24590.031698467454</v>
      </c>
      <c r="BK43" s="502">
        <v>23916.522247080891</v>
      </c>
      <c r="BL43" s="502">
        <v>23742.905440807965</v>
      </c>
      <c r="BM43" s="502">
        <v>24232.956685809291</v>
      </c>
      <c r="BN43" s="502">
        <v>26599.446508762252</v>
      </c>
      <c r="BO43" s="502">
        <v>29024.633317296066</v>
      </c>
      <c r="BP43" s="502">
        <v>27333.616765043411</v>
      </c>
      <c r="BQ43" s="502">
        <v>25716.207911377434</v>
      </c>
      <c r="BR43" s="502">
        <v>23815.733355021974</v>
      </c>
      <c r="BS43" s="502">
        <v>32057.999938223969</v>
      </c>
      <c r="BT43" s="502">
        <v>29087.255709827485</v>
      </c>
      <c r="BU43" s="502">
        <v>27682.723648223953</v>
      </c>
      <c r="BV43" s="502">
        <v>30605.533021761774</v>
      </c>
      <c r="BW43" s="502">
        <v>36707.213049972961</v>
      </c>
      <c r="BX43" s="502">
        <v>26209.195973646965</v>
      </c>
      <c r="BY43" s="502">
        <v>31883.152481903373</v>
      </c>
      <c r="BZ43" s="502">
        <v>31121.353675311264</v>
      </c>
      <c r="CA43" s="502">
        <v>26986.049667186711</v>
      </c>
      <c r="CB43" s="502">
        <v>27895.361200375159</v>
      </c>
      <c r="CC43" s="502">
        <v>27362.065229344491</v>
      </c>
      <c r="CD43" s="502">
        <v>27991.529754028328</v>
      </c>
      <c r="CE43" s="502">
        <v>30636.40264493529</v>
      </c>
      <c r="CF43" s="502">
        <v>32196.376471926222</v>
      </c>
      <c r="CG43" s="502">
        <v>29295.707543649169</v>
      </c>
      <c r="CH43" s="502">
        <v>31266.113443101447</v>
      </c>
      <c r="CI43" s="502">
        <v>32754.518333397475</v>
      </c>
      <c r="CJ43" s="502">
        <v>32771.984399307403</v>
      </c>
      <c r="CK43" s="502">
        <v>36520.885242843011</v>
      </c>
      <c r="CL43" s="502">
        <v>39405.925889257967</v>
      </c>
      <c r="CM43" s="502">
        <v>42509.915601848712</v>
      </c>
      <c r="CN43" s="502">
        <v>46812.632762614085</v>
      </c>
      <c r="CO43" s="502">
        <v>60404.274066625963</v>
      </c>
      <c r="CP43" s="502">
        <v>64176.642027490969</v>
      </c>
      <c r="CQ43" s="502">
        <v>53141.293309574496</v>
      </c>
      <c r="CR43" s="502">
        <v>57676.282520363959</v>
      </c>
      <c r="CS43" s="502">
        <v>61432.946588381412</v>
      </c>
      <c r="CT43" s="502">
        <v>59701.520731146054</v>
      </c>
      <c r="CU43" s="502">
        <v>67057.075566061321</v>
      </c>
      <c r="CV43" s="502">
        <v>69678.713956968146</v>
      </c>
      <c r="CW43" s="502">
        <v>73191.201505279183</v>
      </c>
      <c r="CX43" s="502">
        <v>68507.625070388312</v>
      </c>
      <c r="CY43" s="502">
        <v>65102.157469224556</v>
      </c>
      <c r="CZ43" s="502">
        <v>58334.616814234541</v>
      </c>
      <c r="DA43" s="502">
        <v>70770.248914523996</v>
      </c>
      <c r="DB43" s="541">
        <v>73227.274624757047</v>
      </c>
      <c r="DC43" s="502">
        <v>71740.712668774038</v>
      </c>
      <c r="DD43" s="484">
        <v>72942.46736347671</v>
      </c>
      <c r="DE43" s="484">
        <v>74106.670448174133</v>
      </c>
      <c r="DF43" s="484">
        <v>66679.538178442323</v>
      </c>
      <c r="DG43" s="484">
        <v>69867.393448514107</v>
      </c>
      <c r="DH43" s="484">
        <v>70233.084989007068</v>
      </c>
      <c r="DI43" s="484">
        <v>68132.574227126781</v>
      </c>
      <c r="DJ43" s="484">
        <v>74753.346603898739</v>
      </c>
      <c r="DK43" s="484">
        <v>83741.408117402083</v>
      </c>
      <c r="DL43" s="484">
        <v>79873.032783677103</v>
      </c>
      <c r="DM43" s="484">
        <v>93625.138333523224</v>
      </c>
      <c r="DN43" s="484">
        <v>95612.710791466394</v>
      </c>
      <c r="DO43" s="484">
        <v>88961.765299336839</v>
      </c>
      <c r="DP43" s="484">
        <v>91097.140368477529</v>
      </c>
      <c r="DQ43" s="484">
        <v>81832.147113959189</v>
      </c>
      <c r="DR43" s="484">
        <v>83314.444418574029</v>
      </c>
      <c r="DS43" s="484">
        <v>85980.003633500368</v>
      </c>
      <c r="DT43" s="484">
        <v>92959.890334712472</v>
      </c>
      <c r="DU43" s="484">
        <v>89618.045780981032</v>
      </c>
      <c r="DV43" s="484">
        <v>94141.075339449162</v>
      </c>
      <c r="DW43" s="484">
        <v>90695.36943860192</v>
      </c>
      <c r="DX43" s="484">
        <v>100064.86712297922</v>
      </c>
      <c r="DY43" s="484">
        <v>103826.92591982184</v>
      </c>
      <c r="DZ43" s="484">
        <v>99195.810213302728</v>
      </c>
      <c r="EA43" s="484">
        <v>101137.56674668306</v>
      </c>
      <c r="EB43" s="484">
        <v>100406.23506734286</v>
      </c>
      <c r="EC43" s="484">
        <v>100706.06956148602</v>
      </c>
    </row>
    <row r="44" spans="1:133" ht="18" customHeight="1" x14ac:dyDescent="0.25">
      <c r="A44" s="481" t="s">
        <v>442</v>
      </c>
      <c r="B44" s="482" t="s">
        <v>436</v>
      </c>
      <c r="C44" s="502">
        <v>3495.6415684986182</v>
      </c>
      <c r="D44" s="502">
        <v>3384.107689595849</v>
      </c>
      <c r="E44" s="502">
        <v>3271.6331236176302</v>
      </c>
      <c r="F44" s="541">
        <v>3272.7762917866294</v>
      </c>
      <c r="G44" s="502">
        <v>3255.0807226595352</v>
      </c>
      <c r="H44" s="542">
        <v>3742.6917097622304</v>
      </c>
      <c r="I44" s="502">
        <v>3647.9320380894683</v>
      </c>
      <c r="J44" s="502">
        <v>3230.8517671701861</v>
      </c>
      <c r="K44" s="502">
        <v>3662.8683849574359</v>
      </c>
      <c r="L44" s="502">
        <v>3848.8774807486584</v>
      </c>
      <c r="M44" s="541">
        <v>4134.721223380081</v>
      </c>
      <c r="N44" s="502">
        <v>3827.4946287044336</v>
      </c>
      <c r="O44" s="502">
        <v>4255.0011438979927</v>
      </c>
      <c r="P44" s="502">
        <v>4395.8558839348952</v>
      </c>
      <c r="Q44" s="502">
        <v>4170.1062686102305</v>
      </c>
      <c r="R44" s="502">
        <v>5002.1153473357035</v>
      </c>
      <c r="S44" s="502">
        <v>4347.658543524788</v>
      </c>
      <c r="T44" s="502">
        <v>4186.6316760905156</v>
      </c>
      <c r="U44" s="502">
        <v>4344.949446737709</v>
      </c>
      <c r="V44" s="502">
        <v>4129.9172620029522</v>
      </c>
      <c r="W44" s="502">
        <v>4392.8096184761398</v>
      </c>
      <c r="X44" s="502">
        <v>4095.4837599173816</v>
      </c>
      <c r="Y44" s="502">
        <v>4256.1719938747665</v>
      </c>
      <c r="Z44" s="502">
        <v>4183.4421946075481</v>
      </c>
      <c r="AA44" s="502">
        <v>4617.6160151286349</v>
      </c>
      <c r="AB44" s="484">
        <v>4614.5771849940811</v>
      </c>
      <c r="AC44" s="484">
        <v>4710.6523175544962</v>
      </c>
      <c r="AD44" s="501">
        <v>4157.6511166712844</v>
      </c>
      <c r="AE44" s="502">
        <v>4019.7912762942342</v>
      </c>
      <c r="AF44" s="502">
        <v>4161.2685977659812</v>
      </c>
      <c r="AG44" s="502">
        <v>4160.5040427488939</v>
      </c>
      <c r="AH44" s="502">
        <v>4837.0598256773301</v>
      </c>
      <c r="AI44" s="502">
        <v>4985.6069986008079</v>
      </c>
      <c r="AJ44" s="502">
        <v>5438.6799747489231</v>
      </c>
      <c r="AK44" s="502">
        <v>5310.7663303224208</v>
      </c>
      <c r="AL44" s="502">
        <v>5005.8586778588924</v>
      </c>
      <c r="AM44" s="502">
        <v>5291.6350886730352</v>
      </c>
      <c r="AN44" s="502">
        <v>4997.2479176020934</v>
      </c>
      <c r="AO44" s="502">
        <v>5598.6997302054842</v>
      </c>
      <c r="AP44" s="542">
        <v>4923.9416743037127</v>
      </c>
      <c r="AQ44" s="502">
        <v>4948.6041173017156</v>
      </c>
      <c r="AR44" s="502">
        <v>5083.326256160818</v>
      </c>
      <c r="AS44" s="502">
        <v>5066.4971476266437</v>
      </c>
      <c r="AT44" s="502">
        <v>5618.949444723492</v>
      </c>
      <c r="AU44" s="502">
        <v>5602.6020136190482</v>
      </c>
      <c r="AV44" s="502">
        <v>5770.8321336090139</v>
      </c>
      <c r="AW44" s="502">
        <v>5857.5384242466353</v>
      </c>
      <c r="AX44" s="502">
        <v>6028.7026773694788</v>
      </c>
      <c r="AY44" s="502">
        <v>6878.0023383476537</v>
      </c>
      <c r="AZ44" s="502">
        <v>7604.0455844604112</v>
      </c>
      <c r="BA44" s="502">
        <v>7893.7426159151346</v>
      </c>
      <c r="BB44" s="502">
        <v>7561.4192315683313</v>
      </c>
      <c r="BC44" s="502">
        <v>7715.2243616121796</v>
      </c>
      <c r="BD44" s="502">
        <v>7596.9742925374294</v>
      </c>
      <c r="BE44" s="502">
        <v>7545.8616838301859</v>
      </c>
      <c r="BF44" s="502">
        <v>7440.8625507930419</v>
      </c>
      <c r="BG44" s="502">
        <v>7823.5347870919741</v>
      </c>
      <c r="BH44" s="502">
        <v>7708.0265372259964</v>
      </c>
      <c r="BI44" s="502">
        <v>8489.0008841432118</v>
      </c>
      <c r="BJ44" s="502">
        <v>8506.3998487766876</v>
      </c>
      <c r="BK44" s="502">
        <v>8605.045459682482</v>
      </c>
      <c r="BL44" s="502">
        <v>8698.2606262574591</v>
      </c>
      <c r="BM44" s="502">
        <v>9280.4259172492548</v>
      </c>
      <c r="BN44" s="502">
        <v>9294.2342306476767</v>
      </c>
      <c r="BO44" s="502">
        <v>9635.5659515614152</v>
      </c>
      <c r="BP44" s="502">
        <v>9475.1206773081976</v>
      </c>
      <c r="BQ44" s="502">
        <v>9125.2985669564332</v>
      </c>
      <c r="BR44" s="502">
        <v>9288.7431539777772</v>
      </c>
      <c r="BS44" s="502">
        <v>9422.6555083620933</v>
      </c>
      <c r="BT44" s="502">
        <v>10264.134516770358</v>
      </c>
      <c r="BU44" s="502">
        <v>10721.405525402562</v>
      </c>
      <c r="BV44" s="502">
        <v>10046.549590326807</v>
      </c>
      <c r="BW44" s="502">
        <v>9537.0308950808067</v>
      </c>
      <c r="BX44" s="502">
        <v>9847.4090509647467</v>
      </c>
      <c r="BY44" s="502">
        <v>10097.346815957313</v>
      </c>
      <c r="BZ44" s="502">
        <v>10154.280731005787</v>
      </c>
      <c r="CA44" s="502">
        <v>10522.355121407993</v>
      </c>
      <c r="CB44" s="502">
        <v>10352.366136982795</v>
      </c>
      <c r="CC44" s="502">
        <v>10037.617270339781</v>
      </c>
      <c r="CD44" s="502">
        <v>10567.819826471554</v>
      </c>
      <c r="CE44" s="502">
        <v>10469.568391697207</v>
      </c>
      <c r="CF44" s="502">
        <v>10415.538359530783</v>
      </c>
      <c r="CG44" s="502">
        <v>11376.6833224169</v>
      </c>
      <c r="CH44" s="502">
        <v>10830.176198437317</v>
      </c>
      <c r="CI44" s="502">
        <v>10910.724934795169</v>
      </c>
      <c r="CJ44" s="502">
        <v>10828.158954843757</v>
      </c>
      <c r="CK44" s="502">
        <v>10776.328819657454</v>
      </c>
      <c r="CL44" s="502">
        <v>10680.105423668449</v>
      </c>
      <c r="CM44" s="502">
        <v>11095.252952426592</v>
      </c>
      <c r="CN44" s="502">
        <v>11140.947177616612</v>
      </c>
      <c r="CO44" s="502">
        <v>11379.951547673976</v>
      </c>
      <c r="CP44" s="502">
        <v>11595.072669347646</v>
      </c>
      <c r="CQ44" s="502">
        <v>11868.461831969422</v>
      </c>
      <c r="CR44" s="502">
        <v>11867.282196275353</v>
      </c>
      <c r="CS44" s="502">
        <v>12115.10142639816</v>
      </c>
      <c r="CT44" s="502">
        <v>12149.83826369694</v>
      </c>
      <c r="CU44" s="502">
        <v>12328.263682215664</v>
      </c>
      <c r="CV44" s="502">
        <v>12747.634636687382</v>
      </c>
      <c r="CW44" s="502">
        <v>12930.971464633123</v>
      </c>
      <c r="CX44" s="502">
        <v>13206.402540258914</v>
      </c>
      <c r="CY44" s="502">
        <v>13024.60011847623</v>
      </c>
      <c r="CZ44" s="502">
        <v>12826.45625597953</v>
      </c>
      <c r="DA44" s="502">
        <v>12993.682354884986</v>
      </c>
      <c r="DB44" s="541">
        <v>12442.048648592074</v>
      </c>
      <c r="DC44" s="502">
        <v>12863.078460785933</v>
      </c>
      <c r="DD44" s="484">
        <v>13154.226620819973</v>
      </c>
      <c r="DE44" s="484">
        <v>13366.470651808098</v>
      </c>
      <c r="DF44" s="484">
        <v>13702.425117124852</v>
      </c>
      <c r="DG44" s="484">
        <v>14383.121785474061</v>
      </c>
      <c r="DH44" s="484">
        <v>14947.903045389963</v>
      </c>
      <c r="DI44" s="484">
        <v>14766.185860499636</v>
      </c>
      <c r="DJ44" s="484">
        <v>14810.461342452931</v>
      </c>
      <c r="DK44" s="484">
        <v>14898.210738568056</v>
      </c>
      <c r="DL44" s="484">
        <v>14956.459656182262</v>
      </c>
      <c r="DM44" s="484">
        <v>14559.627373831481</v>
      </c>
      <c r="DN44" s="484">
        <v>14669.690969162668</v>
      </c>
      <c r="DO44" s="484">
        <v>14935.023783121873</v>
      </c>
      <c r="DP44" s="484">
        <v>15314.528794097789</v>
      </c>
      <c r="DQ44" s="484">
        <v>14985.673115780344</v>
      </c>
      <c r="DR44" s="484">
        <v>23051.163311469336</v>
      </c>
      <c r="DS44" s="484">
        <v>16149.542283132785</v>
      </c>
      <c r="DT44" s="484">
        <v>15885.939104603836</v>
      </c>
      <c r="DU44" s="484">
        <v>16220.436141178368</v>
      </c>
      <c r="DV44" s="484">
        <v>17418.158168435188</v>
      </c>
      <c r="DW44" s="484">
        <v>16770.777906887495</v>
      </c>
      <c r="DX44" s="484">
        <v>18146.22986509898</v>
      </c>
      <c r="DY44" s="484">
        <v>16802.751870402852</v>
      </c>
      <c r="DZ44" s="484">
        <v>17270.32506874813</v>
      </c>
      <c r="EA44" s="484">
        <v>16815.000822994087</v>
      </c>
      <c r="EB44" s="484">
        <v>16884.164750755248</v>
      </c>
      <c r="EC44" s="484">
        <v>16462.376780928622</v>
      </c>
    </row>
    <row r="45" spans="1:133" ht="18" customHeight="1" x14ac:dyDescent="0.25">
      <c r="A45" s="481" t="s">
        <v>443</v>
      </c>
      <c r="B45" s="482" t="s">
        <v>438</v>
      </c>
      <c r="C45" s="502">
        <v>62247.228422903398</v>
      </c>
      <c r="D45" s="502">
        <v>67968.356000153159</v>
      </c>
      <c r="E45" s="502">
        <v>74768.843508177146</v>
      </c>
      <c r="F45" s="541">
        <v>61518.2372370784</v>
      </c>
      <c r="G45" s="502">
        <v>60344.699216480716</v>
      </c>
      <c r="H45" s="542">
        <v>58889.854517240994</v>
      </c>
      <c r="I45" s="502">
        <v>52128.068034121192</v>
      </c>
      <c r="J45" s="502">
        <v>58580.199646111701</v>
      </c>
      <c r="K45" s="502">
        <v>75285.222287920289</v>
      </c>
      <c r="L45" s="502">
        <v>71166.200374835666</v>
      </c>
      <c r="M45" s="541">
        <v>59277.026369304294</v>
      </c>
      <c r="N45" s="502">
        <v>57598.198335323454</v>
      </c>
      <c r="O45" s="502">
        <v>62991.141857895294</v>
      </c>
      <c r="P45" s="502">
        <v>62545.011230378419</v>
      </c>
      <c r="Q45" s="502">
        <v>63695.649412223378</v>
      </c>
      <c r="R45" s="502">
        <v>77806.781402716675</v>
      </c>
      <c r="S45" s="502">
        <v>82426.780668664287</v>
      </c>
      <c r="T45" s="502">
        <v>99987.180954738142</v>
      </c>
      <c r="U45" s="502">
        <v>94049.341311468786</v>
      </c>
      <c r="V45" s="502">
        <v>83831.959678614439</v>
      </c>
      <c r="W45" s="502">
        <v>87358.419368576069</v>
      </c>
      <c r="X45" s="502">
        <v>81832.294583252646</v>
      </c>
      <c r="Y45" s="502">
        <v>93247.254627753311</v>
      </c>
      <c r="Z45" s="502">
        <v>83406.29237406516</v>
      </c>
      <c r="AA45" s="502">
        <v>83401.783888467602</v>
      </c>
      <c r="AB45" s="484">
        <v>101498.14290486691</v>
      </c>
      <c r="AC45" s="484">
        <v>108393.50804324985</v>
      </c>
      <c r="AD45" s="501">
        <v>104088.74286872032</v>
      </c>
      <c r="AE45" s="502">
        <v>102334.92545548439</v>
      </c>
      <c r="AF45" s="502">
        <v>113362.29097372187</v>
      </c>
      <c r="AG45" s="502">
        <v>109010.64885437915</v>
      </c>
      <c r="AH45" s="502">
        <v>106984.50282327186</v>
      </c>
      <c r="AI45" s="502">
        <v>97093.3522539962</v>
      </c>
      <c r="AJ45" s="502">
        <v>95403.898365424335</v>
      </c>
      <c r="AK45" s="502">
        <v>97549.984690987156</v>
      </c>
      <c r="AL45" s="502">
        <v>103341.70154666476</v>
      </c>
      <c r="AM45" s="502">
        <v>93279.522960964401</v>
      </c>
      <c r="AN45" s="502">
        <v>94724.840429074073</v>
      </c>
      <c r="AO45" s="502">
        <v>94284.222083197979</v>
      </c>
      <c r="AP45" s="542">
        <v>95063.630958060225</v>
      </c>
      <c r="AQ45" s="502">
        <v>109602.12140734686</v>
      </c>
      <c r="AR45" s="502">
        <v>106126.67844314988</v>
      </c>
      <c r="AS45" s="502">
        <v>102826.58725921782</v>
      </c>
      <c r="AT45" s="502">
        <v>105740.7050748529</v>
      </c>
      <c r="AU45" s="502">
        <v>102767.40544790521</v>
      </c>
      <c r="AV45" s="502">
        <v>99565.91792091493</v>
      </c>
      <c r="AW45" s="502">
        <v>93494.692555029644</v>
      </c>
      <c r="AX45" s="502">
        <v>84019.362446457904</v>
      </c>
      <c r="AY45" s="502">
        <v>76019.433750191965</v>
      </c>
      <c r="AZ45" s="502">
        <v>72703.644280441629</v>
      </c>
      <c r="BA45" s="502">
        <v>72112.944989742769</v>
      </c>
      <c r="BB45" s="502">
        <v>62422.87048655386</v>
      </c>
      <c r="BC45" s="502">
        <v>65727.827338987438</v>
      </c>
      <c r="BD45" s="502">
        <v>50660.424474567801</v>
      </c>
      <c r="BE45" s="502">
        <v>54947.932893552294</v>
      </c>
      <c r="BF45" s="502">
        <v>45935.145588673004</v>
      </c>
      <c r="BG45" s="502">
        <v>49056.966007015486</v>
      </c>
      <c r="BH45" s="502">
        <v>52258.62209355853</v>
      </c>
      <c r="BI45" s="502">
        <v>52442.426107662985</v>
      </c>
      <c r="BJ45" s="502">
        <v>61653.806566823208</v>
      </c>
      <c r="BK45" s="502">
        <v>57880.417836872963</v>
      </c>
      <c r="BL45" s="502">
        <v>57025.158822062411</v>
      </c>
      <c r="BM45" s="502">
        <v>58478.582870577207</v>
      </c>
      <c r="BN45" s="502">
        <v>61167.439199399218</v>
      </c>
      <c r="BO45" s="502">
        <v>58987.189783469999</v>
      </c>
      <c r="BP45" s="502">
        <v>60362.029981064683</v>
      </c>
      <c r="BQ45" s="502">
        <v>58236.792633211495</v>
      </c>
      <c r="BR45" s="502">
        <v>57699.17103960042</v>
      </c>
      <c r="BS45" s="502">
        <v>53163.27867044718</v>
      </c>
      <c r="BT45" s="502">
        <v>54017.360445767627</v>
      </c>
      <c r="BU45" s="502">
        <v>67892.146901149856</v>
      </c>
      <c r="BV45" s="502">
        <v>51706.182114946525</v>
      </c>
      <c r="BW45" s="502">
        <v>55325.340593848217</v>
      </c>
      <c r="BX45" s="502">
        <v>53662.508167461885</v>
      </c>
      <c r="BY45" s="502">
        <v>53094.165591204917</v>
      </c>
      <c r="BZ45" s="502">
        <v>53688.638103121797</v>
      </c>
      <c r="CA45" s="502">
        <v>52189.656529656029</v>
      </c>
      <c r="CB45" s="502">
        <v>53124.763583861662</v>
      </c>
      <c r="CC45" s="502">
        <v>54747.940596112247</v>
      </c>
      <c r="CD45" s="502">
        <v>51490.870687582887</v>
      </c>
      <c r="CE45" s="502">
        <v>49969.290236046894</v>
      </c>
      <c r="CF45" s="502">
        <v>59069.348151409307</v>
      </c>
      <c r="CG45" s="502">
        <v>60507.089625078857</v>
      </c>
      <c r="CH45" s="502">
        <v>53022.050554616624</v>
      </c>
      <c r="CI45" s="502">
        <v>72351.934543493044</v>
      </c>
      <c r="CJ45" s="502">
        <v>70126.570908080001</v>
      </c>
      <c r="CK45" s="502">
        <v>76174.545763540562</v>
      </c>
      <c r="CL45" s="502">
        <v>61889.027050773446</v>
      </c>
      <c r="CM45" s="502">
        <v>63378.595623971189</v>
      </c>
      <c r="CN45" s="502">
        <v>66107.372579607589</v>
      </c>
      <c r="CO45" s="502">
        <v>66500.253420387133</v>
      </c>
      <c r="CP45" s="502">
        <v>65032.192594844288</v>
      </c>
      <c r="CQ45" s="502">
        <v>96702.553736006128</v>
      </c>
      <c r="CR45" s="502">
        <v>98037.670859094855</v>
      </c>
      <c r="CS45" s="502">
        <v>73503.162751301032</v>
      </c>
      <c r="CT45" s="502">
        <v>83198.27666666107</v>
      </c>
      <c r="CU45" s="502">
        <v>92069.006260174676</v>
      </c>
      <c r="CV45" s="502">
        <v>95818.785743820757</v>
      </c>
      <c r="CW45" s="502">
        <v>89659.952172228208</v>
      </c>
      <c r="CX45" s="502">
        <v>97509.711487301101</v>
      </c>
      <c r="CY45" s="502">
        <v>90002.948098027482</v>
      </c>
      <c r="CZ45" s="502">
        <v>93992.317640057707</v>
      </c>
      <c r="DA45" s="502">
        <v>107598.28742136063</v>
      </c>
      <c r="DB45" s="541">
        <v>102582.1488056489</v>
      </c>
      <c r="DC45" s="502">
        <v>107103.60762525133</v>
      </c>
      <c r="DD45" s="484">
        <v>110269.62989934352</v>
      </c>
      <c r="DE45" s="484">
        <v>87577.391452767013</v>
      </c>
      <c r="DF45" s="484">
        <v>64285.784499499816</v>
      </c>
      <c r="DG45" s="484">
        <v>66685.205529930347</v>
      </c>
      <c r="DH45" s="484">
        <v>66100.446354889864</v>
      </c>
      <c r="DI45" s="484">
        <v>65130.750810034297</v>
      </c>
      <c r="DJ45" s="484">
        <v>67586.772061793105</v>
      </c>
      <c r="DK45" s="484">
        <v>68357.000328550246</v>
      </c>
      <c r="DL45" s="484">
        <v>72297.532434833207</v>
      </c>
      <c r="DM45" s="484">
        <v>74619.07548139678</v>
      </c>
      <c r="DN45" s="484">
        <v>74028.201655478784</v>
      </c>
      <c r="DO45" s="484">
        <v>71249.378047804828</v>
      </c>
      <c r="DP45" s="484">
        <v>80007.783274461734</v>
      </c>
      <c r="DQ45" s="484">
        <v>74800.894115602729</v>
      </c>
      <c r="DR45" s="484">
        <v>65757.155908239787</v>
      </c>
      <c r="DS45" s="484">
        <v>67749.187445811243</v>
      </c>
      <c r="DT45" s="484">
        <v>51373.088596019828</v>
      </c>
      <c r="DU45" s="484">
        <v>57571.364863464463</v>
      </c>
      <c r="DV45" s="484">
        <v>60695.07103862767</v>
      </c>
      <c r="DW45" s="484">
        <v>61876.550639545152</v>
      </c>
      <c r="DX45" s="484">
        <v>63760.134940933698</v>
      </c>
      <c r="DY45" s="484">
        <v>60125.393922822106</v>
      </c>
      <c r="DZ45" s="484">
        <v>57392.691277024955</v>
      </c>
      <c r="EA45" s="484">
        <v>53609.652528879931</v>
      </c>
      <c r="EB45" s="484">
        <v>50662.370537108589</v>
      </c>
      <c r="EC45" s="484">
        <v>50456.786441219054</v>
      </c>
    </row>
    <row r="46" spans="1:133" ht="18" customHeight="1" x14ac:dyDescent="0.25">
      <c r="A46" s="481"/>
      <c r="B46" s="482"/>
      <c r="C46" s="561"/>
      <c r="D46" s="561"/>
      <c r="E46" s="561"/>
      <c r="F46" s="562"/>
      <c r="G46" s="561"/>
      <c r="H46" s="563"/>
      <c r="I46" s="561"/>
      <c r="J46" s="561"/>
      <c r="K46" s="561"/>
      <c r="L46" s="561"/>
      <c r="M46" s="562"/>
      <c r="N46" s="561"/>
      <c r="O46" s="561"/>
      <c r="P46" s="561"/>
      <c r="Q46" s="561"/>
      <c r="R46" s="561"/>
      <c r="S46" s="561"/>
      <c r="T46" s="561"/>
      <c r="U46" s="561"/>
      <c r="V46" s="561"/>
      <c r="W46" s="561"/>
      <c r="X46" s="561"/>
      <c r="Y46" s="561"/>
      <c r="Z46" s="561"/>
      <c r="AA46" s="561"/>
      <c r="AB46" s="564"/>
      <c r="AC46" s="564"/>
      <c r="AD46" s="565"/>
      <c r="AE46" s="561"/>
      <c r="AF46" s="561"/>
      <c r="AG46" s="561"/>
      <c r="AH46" s="561"/>
      <c r="AI46" s="561"/>
      <c r="AJ46" s="561"/>
      <c r="AK46" s="561"/>
      <c r="AL46" s="561"/>
      <c r="AM46" s="561"/>
      <c r="AN46" s="561"/>
      <c r="AO46" s="561"/>
      <c r="AP46" s="563"/>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2"/>
      <c r="DC46" s="561"/>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row>
    <row r="47" spans="1:133" ht="18" customHeight="1" x14ac:dyDescent="0.25">
      <c r="A47" s="477" t="s">
        <v>444</v>
      </c>
      <c r="B47" s="478" t="s">
        <v>445</v>
      </c>
      <c r="C47" s="533">
        <v>0</v>
      </c>
      <c r="D47" s="533">
        <v>0</v>
      </c>
      <c r="E47" s="533">
        <v>0</v>
      </c>
      <c r="F47" s="534">
        <v>640</v>
      </c>
      <c r="G47" s="533">
        <v>641.45043299999998</v>
      </c>
      <c r="H47" s="535">
        <v>645.547281</v>
      </c>
      <c r="I47" s="533">
        <v>649.20652900000005</v>
      </c>
      <c r="J47" s="533">
        <v>653.63230299999998</v>
      </c>
      <c r="K47" s="533">
        <v>657.68341124999995</v>
      </c>
      <c r="L47" s="533">
        <v>661.35194488888897</v>
      </c>
      <c r="M47" s="534">
        <v>665.86065039111111</v>
      </c>
      <c r="N47" s="533">
        <v>669.84978488888896</v>
      </c>
      <c r="O47" s="533">
        <v>674.2577973333332</v>
      </c>
      <c r="P47" s="533">
        <v>678.7132693333333</v>
      </c>
      <c r="Q47" s="533">
        <v>682.77766222222226</v>
      </c>
      <c r="R47" s="533">
        <v>687.27664888888887</v>
      </c>
      <c r="S47" s="533">
        <v>691.67521777777779</v>
      </c>
      <c r="T47" s="533">
        <v>696.04463911111111</v>
      </c>
      <c r="U47" s="533">
        <v>700.3977608888888</v>
      </c>
      <c r="V47" s="533">
        <v>705.16844533333324</v>
      </c>
      <c r="W47" s="533">
        <v>709.62047199999995</v>
      </c>
      <c r="X47" s="533">
        <v>713.57458666666673</v>
      </c>
      <c r="Y47" s="533">
        <v>718.28701333333322</v>
      </c>
      <c r="Z47" s="533">
        <v>722.73404000000005</v>
      </c>
      <c r="AA47" s="533">
        <v>727.37966488888901</v>
      </c>
      <c r="AB47" s="479">
        <v>732.07468422222223</v>
      </c>
      <c r="AC47" s="479">
        <v>736.60560799999996</v>
      </c>
      <c r="AD47" s="560">
        <v>741.70598488888891</v>
      </c>
      <c r="AE47" s="533">
        <v>745.98991466666678</v>
      </c>
      <c r="AF47" s="533">
        <v>751.37571733333323</v>
      </c>
      <c r="AG47" s="533">
        <v>755.84376266666675</v>
      </c>
      <c r="AH47" s="533">
        <v>760.67616143111127</v>
      </c>
      <c r="AI47" s="533">
        <v>765.69630222222224</v>
      </c>
      <c r="AJ47" s="533">
        <v>770.24621955555574</v>
      </c>
      <c r="AK47" s="533">
        <v>774.85213511111112</v>
      </c>
      <c r="AL47" s="533">
        <v>779.80511733333321</v>
      </c>
      <c r="AM47" s="533">
        <v>784.78973333333329</v>
      </c>
      <c r="AN47" s="533">
        <v>789.65365511111122</v>
      </c>
      <c r="AO47" s="533">
        <v>794.70007911111111</v>
      </c>
      <c r="AP47" s="535">
        <v>728.36991866666665</v>
      </c>
      <c r="AQ47" s="533">
        <v>732.87450985714293</v>
      </c>
      <c r="AR47" s="533">
        <v>737.86018647619039</v>
      </c>
      <c r="AS47" s="533">
        <v>742.11921833333327</v>
      </c>
      <c r="AT47" s="533">
        <v>747.47372047619046</v>
      </c>
      <c r="AU47" s="533">
        <v>751.7882111904762</v>
      </c>
      <c r="AV47" s="533">
        <v>756.12759071428559</v>
      </c>
      <c r="AW47" s="533">
        <v>761.15437252380946</v>
      </c>
      <c r="AX47" s="533">
        <v>845.79487733333326</v>
      </c>
      <c r="AY47" s="533">
        <v>851.45723822222226</v>
      </c>
      <c r="AZ47" s="533">
        <v>856.89538755555566</v>
      </c>
      <c r="BA47" s="533">
        <v>862.36826933333327</v>
      </c>
      <c r="BB47" s="533">
        <v>6.75</v>
      </c>
      <c r="BC47" s="533">
        <v>0</v>
      </c>
      <c r="BD47" s="533">
        <v>0</v>
      </c>
      <c r="BE47" s="533">
        <v>0</v>
      </c>
      <c r="BF47" s="533">
        <v>0</v>
      </c>
      <c r="BG47" s="533">
        <v>0</v>
      </c>
      <c r="BH47" s="533">
        <v>0</v>
      </c>
      <c r="BI47" s="533">
        <v>0</v>
      </c>
      <c r="BJ47" s="533">
        <v>0</v>
      </c>
      <c r="BK47" s="533">
        <v>0</v>
      </c>
      <c r="BL47" s="533">
        <v>0</v>
      </c>
      <c r="BM47" s="533">
        <v>0</v>
      </c>
      <c r="BN47" s="533">
        <v>0</v>
      </c>
      <c r="BO47" s="533">
        <v>0</v>
      </c>
      <c r="BP47" s="533">
        <v>0</v>
      </c>
      <c r="BQ47" s="533">
        <v>0</v>
      </c>
      <c r="BR47" s="533">
        <v>0</v>
      </c>
      <c r="BS47" s="533">
        <v>0</v>
      </c>
      <c r="BT47" s="533">
        <v>0</v>
      </c>
      <c r="BU47" s="533">
        <v>0</v>
      </c>
      <c r="BV47" s="533">
        <v>0</v>
      </c>
      <c r="BW47" s="533">
        <v>0</v>
      </c>
      <c r="BX47" s="533">
        <v>0</v>
      </c>
      <c r="BY47" s="533">
        <v>0</v>
      </c>
      <c r="BZ47" s="533">
        <v>0</v>
      </c>
      <c r="CA47" s="533">
        <v>0</v>
      </c>
      <c r="CB47" s="533">
        <v>0</v>
      </c>
      <c r="CC47" s="533">
        <v>0</v>
      </c>
      <c r="CD47" s="533">
        <v>0</v>
      </c>
      <c r="CE47" s="533">
        <v>0</v>
      </c>
      <c r="CF47" s="533">
        <v>0</v>
      </c>
      <c r="CG47" s="533">
        <v>0</v>
      </c>
      <c r="CH47" s="533">
        <v>0</v>
      </c>
      <c r="CI47" s="533">
        <v>0</v>
      </c>
      <c r="CJ47" s="533">
        <v>0</v>
      </c>
      <c r="CK47" s="533">
        <v>0</v>
      </c>
      <c r="CL47" s="533">
        <v>0</v>
      </c>
      <c r="CM47" s="533">
        <v>0</v>
      </c>
      <c r="CN47" s="533">
        <v>0</v>
      </c>
      <c r="CO47" s="533">
        <v>0</v>
      </c>
      <c r="CP47" s="533">
        <v>0</v>
      </c>
      <c r="CQ47" s="533">
        <v>0</v>
      </c>
      <c r="CR47" s="533">
        <v>0</v>
      </c>
      <c r="CS47" s="533">
        <v>0</v>
      </c>
      <c r="CT47" s="533">
        <v>0</v>
      </c>
      <c r="CU47" s="533">
        <v>0</v>
      </c>
      <c r="CV47" s="533">
        <v>0</v>
      </c>
      <c r="CW47" s="533">
        <v>0</v>
      </c>
      <c r="CX47" s="533">
        <v>0</v>
      </c>
      <c r="CY47" s="533">
        <v>0</v>
      </c>
      <c r="CZ47" s="533">
        <v>0</v>
      </c>
      <c r="DA47" s="533">
        <v>0</v>
      </c>
      <c r="DB47" s="534">
        <v>0</v>
      </c>
      <c r="DC47" s="533">
        <v>0</v>
      </c>
      <c r="DD47" s="479">
        <v>0</v>
      </c>
      <c r="DE47" s="479">
        <v>0</v>
      </c>
      <c r="DF47" s="479">
        <v>0</v>
      </c>
      <c r="DG47" s="479">
        <v>0</v>
      </c>
      <c r="DH47" s="479">
        <v>0</v>
      </c>
      <c r="DI47" s="479">
        <v>0</v>
      </c>
      <c r="DJ47" s="479">
        <v>0</v>
      </c>
      <c r="DK47" s="479">
        <v>0</v>
      </c>
      <c r="DL47" s="479">
        <v>0</v>
      </c>
      <c r="DM47" s="479">
        <v>0</v>
      </c>
      <c r="DN47" s="479">
        <v>0</v>
      </c>
      <c r="DO47" s="479">
        <v>0</v>
      </c>
      <c r="DP47" s="479">
        <v>0</v>
      </c>
      <c r="DQ47" s="479">
        <v>0</v>
      </c>
      <c r="DR47" s="479">
        <v>0</v>
      </c>
      <c r="DS47" s="479">
        <v>0</v>
      </c>
      <c r="DT47" s="479">
        <v>0</v>
      </c>
      <c r="DU47" s="479">
        <v>0</v>
      </c>
      <c r="DV47" s="479">
        <v>0</v>
      </c>
      <c r="DW47" s="479">
        <v>0</v>
      </c>
      <c r="DX47" s="479">
        <v>0</v>
      </c>
      <c r="DY47" s="479">
        <v>0</v>
      </c>
      <c r="DZ47" s="479">
        <v>0</v>
      </c>
      <c r="EA47" s="479">
        <v>0</v>
      </c>
      <c r="EB47" s="479">
        <v>0</v>
      </c>
      <c r="EC47" s="479">
        <v>0</v>
      </c>
    </row>
    <row r="48" spans="1:133" ht="18" customHeight="1" x14ac:dyDescent="0.25">
      <c r="A48" s="481"/>
      <c r="B48" s="482"/>
      <c r="C48" s="561"/>
      <c r="D48" s="561"/>
      <c r="E48" s="561"/>
      <c r="F48" s="562"/>
      <c r="G48" s="561"/>
      <c r="H48" s="563"/>
      <c r="I48" s="561"/>
      <c r="J48" s="561"/>
      <c r="K48" s="561"/>
      <c r="L48" s="561"/>
      <c r="M48" s="562"/>
      <c r="N48" s="561"/>
      <c r="O48" s="561"/>
      <c r="P48" s="561"/>
      <c r="Q48" s="561"/>
      <c r="R48" s="561"/>
      <c r="S48" s="561"/>
      <c r="T48" s="561"/>
      <c r="U48" s="561"/>
      <c r="V48" s="561"/>
      <c r="W48" s="561"/>
      <c r="X48" s="561"/>
      <c r="Y48" s="561"/>
      <c r="Z48" s="561"/>
      <c r="AA48" s="561"/>
      <c r="AB48" s="564"/>
      <c r="AC48" s="564"/>
      <c r="AD48" s="565"/>
      <c r="AE48" s="561"/>
      <c r="AF48" s="561"/>
      <c r="AG48" s="561"/>
      <c r="AH48" s="561"/>
      <c r="AI48" s="561"/>
      <c r="AJ48" s="561"/>
      <c r="AK48" s="561"/>
      <c r="AL48" s="561"/>
      <c r="AM48" s="561"/>
      <c r="AN48" s="561"/>
      <c r="AO48" s="561"/>
      <c r="AP48" s="563"/>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1"/>
      <c r="CL48" s="561"/>
      <c r="CM48" s="561"/>
      <c r="CN48" s="561"/>
      <c r="CO48" s="561"/>
      <c r="CP48" s="561"/>
      <c r="CQ48" s="561"/>
      <c r="CR48" s="561"/>
      <c r="CS48" s="561"/>
      <c r="CT48" s="561"/>
      <c r="CU48" s="561"/>
      <c r="CV48" s="561"/>
      <c r="CW48" s="561"/>
      <c r="CX48" s="561"/>
      <c r="CY48" s="561"/>
      <c r="CZ48" s="561"/>
      <c r="DA48" s="561"/>
      <c r="DB48" s="562"/>
      <c r="DC48" s="561"/>
      <c r="DD48" s="564"/>
      <c r="DE48" s="564"/>
      <c r="DF48" s="564"/>
      <c r="DG48" s="564"/>
      <c r="DH48" s="564"/>
      <c r="DI48" s="564"/>
      <c r="DJ48" s="564"/>
      <c r="DK48" s="564"/>
      <c r="DL48" s="564"/>
      <c r="DM48" s="564"/>
      <c r="DN48" s="564"/>
      <c r="DO48" s="564"/>
      <c r="DP48" s="564"/>
      <c r="DQ48" s="564"/>
      <c r="DR48" s="564"/>
      <c r="DS48" s="564"/>
      <c r="DT48" s="564"/>
      <c r="DU48" s="564"/>
      <c r="DV48" s="564"/>
      <c r="DW48" s="564"/>
      <c r="DX48" s="564"/>
      <c r="DY48" s="564"/>
      <c r="DZ48" s="564"/>
      <c r="EA48" s="564"/>
      <c r="EB48" s="564"/>
      <c r="EC48" s="564"/>
    </row>
    <row r="49" spans="1:133" ht="18" customHeight="1" x14ac:dyDescent="0.25">
      <c r="A49" s="477" t="s">
        <v>446</v>
      </c>
      <c r="B49" s="478" t="s">
        <v>464</v>
      </c>
      <c r="C49" s="533">
        <v>15045.104009906456</v>
      </c>
      <c r="D49" s="533">
        <v>15252.978748947929</v>
      </c>
      <c r="E49" s="533">
        <v>14711.615015608641</v>
      </c>
      <c r="F49" s="534">
        <v>15128.616880714215</v>
      </c>
      <c r="G49" s="533">
        <v>14891.179142584029</v>
      </c>
      <c r="H49" s="535">
        <v>14558.258925055829</v>
      </c>
      <c r="I49" s="533">
        <v>14563.787617767368</v>
      </c>
      <c r="J49" s="533">
        <v>14504.884331448271</v>
      </c>
      <c r="K49" s="533">
        <v>14425.921092075629</v>
      </c>
      <c r="L49" s="533">
        <v>14546.105650958574</v>
      </c>
      <c r="M49" s="534">
        <v>15015.970978897403</v>
      </c>
      <c r="N49" s="533">
        <v>15507.595212671948</v>
      </c>
      <c r="O49" s="533">
        <v>15298.666244432159</v>
      </c>
      <c r="P49" s="533">
        <v>15557.857242265172</v>
      </c>
      <c r="Q49" s="533">
        <v>16249.518714156577</v>
      </c>
      <c r="R49" s="533">
        <v>16221.679590776088</v>
      </c>
      <c r="S49" s="533">
        <v>16375.520447394349</v>
      </c>
      <c r="T49" s="533">
        <v>17146.927347804998</v>
      </c>
      <c r="U49" s="533">
        <v>16287.99025579686</v>
      </c>
      <c r="V49" s="533">
        <v>16407.077835298907</v>
      </c>
      <c r="W49" s="533">
        <v>16153.566005627621</v>
      </c>
      <c r="X49" s="533">
        <v>16168.172849911318</v>
      </c>
      <c r="Y49" s="533">
        <v>16324.499575686385</v>
      </c>
      <c r="Z49" s="533">
        <v>16037.98887025656</v>
      </c>
      <c r="AA49" s="533">
        <v>16109.635298681034</v>
      </c>
      <c r="AB49" s="479">
        <v>16448.862086199537</v>
      </c>
      <c r="AC49" s="479">
        <v>16347.284165805198</v>
      </c>
      <c r="AD49" s="560">
        <v>16776.565731781753</v>
      </c>
      <c r="AE49" s="533">
        <v>17030.416845457345</v>
      </c>
      <c r="AF49" s="533">
        <v>17262.416318660165</v>
      </c>
      <c r="AG49" s="533">
        <v>16470.308618465773</v>
      </c>
      <c r="AH49" s="533">
        <v>16870.045072464822</v>
      </c>
      <c r="AI49" s="533">
        <v>16513.908916179549</v>
      </c>
      <c r="AJ49" s="533">
        <v>898.7989082405112</v>
      </c>
      <c r="AK49" s="533">
        <v>861.77151291528889</v>
      </c>
      <c r="AL49" s="533">
        <v>1099.5592490304</v>
      </c>
      <c r="AM49" s="533">
        <v>1019.0865931771667</v>
      </c>
      <c r="AN49" s="533">
        <v>976.96264977928899</v>
      </c>
      <c r="AO49" s="533">
        <v>1040.5004410800223</v>
      </c>
      <c r="AP49" s="535">
        <v>1081.1939011959334</v>
      </c>
      <c r="AQ49" s="533">
        <v>1189.3598429879239</v>
      </c>
      <c r="AR49" s="533">
        <v>1243.2708294678093</v>
      </c>
      <c r="AS49" s="533">
        <v>1279.8613689733668</v>
      </c>
      <c r="AT49" s="533">
        <v>1271.5996806622595</v>
      </c>
      <c r="AU49" s="533">
        <v>1199.1619262505569</v>
      </c>
      <c r="AV49" s="533">
        <v>1155.0305887734644</v>
      </c>
      <c r="AW49" s="533">
        <v>1139.6961893274311</v>
      </c>
      <c r="AX49" s="533">
        <v>1259.9482977386983</v>
      </c>
      <c r="AY49" s="533">
        <v>1238.3272744853004</v>
      </c>
      <c r="AZ49" s="533">
        <v>878.95489068434142</v>
      </c>
      <c r="BA49" s="533">
        <v>956.08903745806265</v>
      </c>
      <c r="BB49" s="533">
        <v>783.97270425570832</v>
      </c>
      <c r="BC49" s="533">
        <v>854.14120872096305</v>
      </c>
      <c r="BD49" s="533">
        <v>883.47022197736339</v>
      </c>
      <c r="BE49" s="533">
        <v>918.97752635636073</v>
      </c>
      <c r="BF49" s="533">
        <v>1006.803345868023</v>
      </c>
      <c r="BG49" s="533">
        <v>1541.7032591520708</v>
      </c>
      <c r="BH49" s="533">
        <v>1157.0924238882374</v>
      </c>
      <c r="BI49" s="533">
        <v>1220.1777750274027</v>
      </c>
      <c r="BJ49" s="533">
        <v>1247.2652278087021</v>
      </c>
      <c r="BK49" s="533">
        <v>1237.6344496282929</v>
      </c>
      <c r="BL49" s="533">
        <v>1219.0656411219168</v>
      </c>
      <c r="BM49" s="533">
        <v>1157.2090045506454</v>
      </c>
      <c r="BN49" s="533">
        <v>1256.4355875570463</v>
      </c>
      <c r="BO49" s="533">
        <v>1254.3869285360436</v>
      </c>
      <c r="BP49" s="533">
        <v>1302.1468264104776</v>
      </c>
      <c r="BQ49" s="533">
        <v>1217.2545327702653</v>
      </c>
      <c r="BR49" s="533">
        <v>1302.3310317796659</v>
      </c>
      <c r="BS49" s="533">
        <v>1204.6501408748975</v>
      </c>
      <c r="BT49" s="533">
        <v>1237.765141539488</v>
      </c>
      <c r="BU49" s="533">
        <v>1313.8005488732629</v>
      </c>
      <c r="BV49" s="533">
        <v>1182.4475531745416</v>
      </c>
      <c r="BW49" s="533">
        <v>1119.8991953549641</v>
      </c>
      <c r="BX49" s="533">
        <v>993.62369071162891</v>
      </c>
      <c r="BY49" s="533">
        <v>6420.4863756678606</v>
      </c>
      <c r="BZ49" s="533">
        <v>6486.7428962633339</v>
      </c>
      <c r="CA49" s="533">
        <v>6651.4769204397489</v>
      </c>
      <c r="CB49" s="533">
        <v>7714.8385189486571</v>
      </c>
      <c r="CC49" s="533">
        <v>7528.5721509488194</v>
      </c>
      <c r="CD49" s="533">
        <v>7609.5393174411147</v>
      </c>
      <c r="CE49" s="533">
        <v>7647.6678899913604</v>
      </c>
      <c r="CF49" s="533">
        <v>7764.8705142639292</v>
      </c>
      <c r="CG49" s="533">
        <v>7612.2662415359828</v>
      </c>
      <c r="CH49" s="533">
        <v>7669.7182570720006</v>
      </c>
      <c r="CI49" s="533">
        <v>8095.0391335804443</v>
      </c>
      <c r="CJ49" s="533">
        <v>7865.4789433237111</v>
      </c>
      <c r="CK49" s="533">
        <v>7890.0037322446178</v>
      </c>
      <c r="CL49" s="533">
        <v>8008.3467121284702</v>
      </c>
      <c r="CM49" s="533">
        <v>8646.3296934415921</v>
      </c>
      <c r="CN49" s="533">
        <v>7840.0146798454643</v>
      </c>
      <c r="CO49" s="533">
        <v>7766.9697828987692</v>
      </c>
      <c r="CP49" s="533">
        <v>8058.7182430322773</v>
      </c>
      <c r="CQ49" s="533">
        <v>8234.571529147137</v>
      </c>
      <c r="CR49" s="533">
        <v>8001.7661182826023</v>
      </c>
      <c r="CS49" s="533">
        <v>7978.7580518328195</v>
      </c>
      <c r="CT49" s="533">
        <v>8064.0392681820485</v>
      </c>
      <c r="CU49" s="533">
        <v>9343.9465719759646</v>
      </c>
      <c r="CV49" s="533">
        <v>9396.7240134001313</v>
      </c>
      <c r="CW49" s="533">
        <v>13780.199132482079</v>
      </c>
      <c r="CX49" s="533">
        <v>13694.15438558099</v>
      </c>
      <c r="CY49" s="533">
        <v>13561.030678638792</v>
      </c>
      <c r="CZ49" s="533">
        <v>13631.460155642533</v>
      </c>
      <c r="DA49" s="533">
        <v>13272.061651796099</v>
      </c>
      <c r="DB49" s="534">
        <v>13437.867494984626</v>
      </c>
      <c r="DC49" s="533">
        <v>13376.222837683907</v>
      </c>
      <c r="DD49" s="479">
        <v>14909.119321448543</v>
      </c>
      <c r="DE49" s="479">
        <v>15045.142499000014</v>
      </c>
      <c r="DF49" s="479">
        <v>17030.176292038144</v>
      </c>
      <c r="DG49" s="479">
        <v>17013.154985804216</v>
      </c>
      <c r="DH49" s="479">
        <v>17248.484776916484</v>
      </c>
      <c r="DI49" s="479">
        <v>17246.213901513034</v>
      </c>
      <c r="DJ49" s="479">
        <v>17316.854302356103</v>
      </c>
      <c r="DK49" s="479">
        <v>13829.275139381234</v>
      </c>
      <c r="DL49" s="479">
        <v>13926.674153755353</v>
      </c>
      <c r="DM49" s="479">
        <v>14026.051920884778</v>
      </c>
      <c r="DN49" s="479">
        <v>13993.503242497189</v>
      </c>
      <c r="DO49" s="479">
        <v>14008.446436449878</v>
      </c>
      <c r="DP49" s="479">
        <v>14807.128672268238</v>
      </c>
      <c r="DQ49" s="479">
        <v>15648.52590588326</v>
      </c>
      <c r="DR49" s="479">
        <v>15683.09577426965</v>
      </c>
      <c r="DS49" s="479">
        <v>11138.615411240744</v>
      </c>
      <c r="DT49" s="479">
        <v>11454.582084452775</v>
      </c>
      <c r="DU49" s="479">
        <v>11493.657605587368</v>
      </c>
      <c r="DV49" s="479">
        <v>11211.318724714867</v>
      </c>
      <c r="DW49" s="479">
        <v>11287.294820702169</v>
      </c>
      <c r="DX49" s="479">
        <v>11872.181735896005</v>
      </c>
      <c r="DY49" s="479">
        <v>11711.225934468555</v>
      </c>
      <c r="DZ49" s="479">
        <v>11793.018830789541</v>
      </c>
      <c r="EA49" s="479">
        <v>11415.004431410907</v>
      </c>
      <c r="EB49" s="479">
        <v>11288.538802566312</v>
      </c>
      <c r="EC49" s="479">
        <v>11216.184830299879</v>
      </c>
    </row>
    <row r="50" spans="1:133" ht="18" customHeight="1" x14ac:dyDescent="0.25">
      <c r="A50" s="481"/>
      <c r="B50" s="482"/>
      <c r="C50" s="561"/>
      <c r="D50" s="561"/>
      <c r="E50" s="561"/>
      <c r="F50" s="562"/>
      <c r="G50" s="561"/>
      <c r="H50" s="563"/>
      <c r="I50" s="561"/>
      <c r="J50" s="561"/>
      <c r="K50" s="561"/>
      <c r="L50" s="561"/>
      <c r="M50" s="562"/>
      <c r="N50" s="561"/>
      <c r="O50" s="561"/>
      <c r="P50" s="561"/>
      <c r="Q50" s="561"/>
      <c r="R50" s="561"/>
      <c r="S50" s="561"/>
      <c r="T50" s="561"/>
      <c r="U50" s="561"/>
      <c r="V50" s="561"/>
      <c r="W50" s="561"/>
      <c r="X50" s="561"/>
      <c r="Y50" s="561"/>
      <c r="Z50" s="561"/>
      <c r="AA50" s="561"/>
      <c r="AB50" s="564"/>
      <c r="AC50" s="564"/>
      <c r="AD50" s="565"/>
      <c r="AE50" s="561"/>
      <c r="AF50" s="561"/>
      <c r="AG50" s="561"/>
      <c r="AH50" s="561"/>
      <c r="AI50" s="561"/>
      <c r="AJ50" s="561"/>
      <c r="AK50" s="561"/>
      <c r="AL50" s="561"/>
      <c r="AM50" s="561"/>
      <c r="AN50" s="561"/>
      <c r="AO50" s="561"/>
      <c r="AP50" s="563"/>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2"/>
      <c r="DC50" s="561"/>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row>
    <row r="51" spans="1:133" ht="18" customHeight="1" x14ac:dyDescent="0.25">
      <c r="A51" s="477" t="s">
        <v>448</v>
      </c>
      <c r="B51" s="478" t="s">
        <v>200</v>
      </c>
      <c r="C51" s="533">
        <v>35962.566492851707</v>
      </c>
      <c r="D51" s="533">
        <v>36047.247638540102</v>
      </c>
      <c r="E51" s="533">
        <v>40055.369662550002</v>
      </c>
      <c r="F51" s="534">
        <v>62545.449858789812</v>
      </c>
      <c r="G51" s="533">
        <v>61521.622535666756</v>
      </c>
      <c r="H51" s="535">
        <v>61688.049821202643</v>
      </c>
      <c r="I51" s="533">
        <v>63421.862605252652</v>
      </c>
      <c r="J51" s="533">
        <v>58046.991185005681</v>
      </c>
      <c r="K51" s="533">
        <v>57973.69648324071</v>
      </c>
      <c r="L51" s="533">
        <v>60203.708133559703</v>
      </c>
      <c r="M51" s="534">
        <v>65426.4796115231</v>
      </c>
      <c r="N51" s="533">
        <v>78673.467658129332</v>
      </c>
      <c r="O51" s="533">
        <v>70567.197684792132</v>
      </c>
      <c r="P51" s="533">
        <v>76711.859913460154</v>
      </c>
      <c r="Q51" s="533">
        <v>79979.510756816089</v>
      </c>
      <c r="R51" s="533">
        <v>79406.007274125222</v>
      </c>
      <c r="S51" s="533">
        <v>82165.883102839463</v>
      </c>
      <c r="T51" s="533">
        <v>80242.833787359632</v>
      </c>
      <c r="U51" s="533">
        <v>83540.849317996428</v>
      </c>
      <c r="V51" s="533">
        <v>79696.402888408556</v>
      </c>
      <c r="W51" s="533">
        <v>79567.471654235444</v>
      </c>
      <c r="X51" s="533">
        <v>85069.407294803168</v>
      </c>
      <c r="Y51" s="533">
        <v>84447.056269586552</v>
      </c>
      <c r="Z51" s="533">
        <v>92817.018383313305</v>
      </c>
      <c r="AA51" s="533">
        <v>101010.93956742428</v>
      </c>
      <c r="AB51" s="479">
        <v>88342.746327380097</v>
      </c>
      <c r="AC51" s="479">
        <v>95186.035077020599</v>
      </c>
      <c r="AD51" s="560">
        <v>98647.157131900211</v>
      </c>
      <c r="AE51" s="533">
        <v>90767.511630535693</v>
      </c>
      <c r="AF51" s="533">
        <v>94524.30180789427</v>
      </c>
      <c r="AG51" s="533">
        <v>96353.952614318085</v>
      </c>
      <c r="AH51" s="533">
        <v>93002.819960796507</v>
      </c>
      <c r="AI51" s="533">
        <v>95275.208135796347</v>
      </c>
      <c r="AJ51" s="533">
        <v>113846.18673518443</v>
      </c>
      <c r="AK51" s="533">
        <v>107867.48619321738</v>
      </c>
      <c r="AL51" s="533">
        <v>103883.11312931647</v>
      </c>
      <c r="AM51" s="533">
        <v>110430.82575458733</v>
      </c>
      <c r="AN51" s="533">
        <v>110296.63057014832</v>
      </c>
      <c r="AO51" s="533">
        <v>113056.44000953666</v>
      </c>
      <c r="AP51" s="535">
        <v>110144.41993119227</v>
      </c>
      <c r="AQ51" s="533">
        <v>117621.27661261051</v>
      </c>
      <c r="AR51" s="533">
        <v>113844.19452376643</v>
      </c>
      <c r="AS51" s="533">
        <v>113294.07001886387</v>
      </c>
      <c r="AT51" s="533">
        <v>111395.10706235934</v>
      </c>
      <c r="AU51" s="533">
        <v>115308.10069647095</v>
      </c>
      <c r="AV51" s="533">
        <v>111398.07069252883</v>
      </c>
      <c r="AW51" s="533">
        <v>100937.22505486327</v>
      </c>
      <c r="AX51" s="533">
        <v>93400.628797954254</v>
      </c>
      <c r="AY51" s="533">
        <v>100043.83392820758</v>
      </c>
      <c r="AZ51" s="533">
        <v>99134.083252809345</v>
      </c>
      <c r="BA51" s="533">
        <v>101844.4196391663</v>
      </c>
      <c r="BB51" s="533">
        <v>100538.68695301708</v>
      </c>
      <c r="BC51" s="533">
        <v>98881.368748775945</v>
      </c>
      <c r="BD51" s="533">
        <v>96802.770846622763</v>
      </c>
      <c r="BE51" s="533">
        <v>97366.981828807155</v>
      </c>
      <c r="BF51" s="533">
        <v>97634.780596991317</v>
      </c>
      <c r="BG51" s="533">
        <v>98777.374928488731</v>
      </c>
      <c r="BH51" s="533">
        <v>93544.604256837498</v>
      </c>
      <c r="BI51" s="533">
        <v>106001.47421916109</v>
      </c>
      <c r="BJ51" s="533">
        <v>113525.19723679972</v>
      </c>
      <c r="BK51" s="533">
        <v>111533.84294250495</v>
      </c>
      <c r="BL51" s="533">
        <v>107174.75919483912</v>
      </c>
      <c r="BM51" s="533">
        <v>116501.97382611193</v>
      </c>
      <c r="BN51" s="533">
        <v>114185.4848369986</v>
      </c>
      <c r="BO51" s="533">
        <v>109207.38924208454</v>
      </c>
      <c r="BP51" s="533">
        <v>107171.47727467383</v>
      </c>
      <c r="BQ51" s="533">
        <v>104573.68900444418</v>
      </c>
      <c r="BR51" s="533">
        <v>96957.262221144178</v>
      </c>
      <c r="BS51" s="533">
        <v>99549.681186230169</v>
      </c>
      <c r="BT51" s="533">
        <v>95201.744867472356</v>
      </c>
      <c r="BU51" s="533">
        <v>108202.79067884848</v>
      </c>
      <c r="BV51" s="533">
        <v>88347.719657662921</v>
      </c>
      <c r="BW51" s="533">
        <v>97589.187535341931</v>
      </c>
      <c r="BX51" s="533">
        <v>106610.16797599531</v>
      </c>
      <c r="BY51" s="533">
        <v>107471.00272447885</v>
      </c>
      <c r="BZ51" s="533">
        <v>120269.41229128296</v>
      </c>
      <c r="CA51" s="533">
        <v>124812.08406462213</v>
      </c>
      <c r="CB51" s="533">
        <v>115376.34357163229</v>
      </c>
      <c r="CC51" s="533">
        <v>126547.22138109068</v>
      </c>
      <c r="CD51" s="533">
        <v>129726.98171063828</v>
      </c>
      <c r="CE51" s="533">
        <v>126810.45317664245</v>
      </c>
      <c r="CF51" s="533">
        <v>118944.61823429578</v>
      </c>
      <c r="CG51" s="533">
        <v>120933.5126386109</v>
      </c>
      <c r="CH51" s="533">
        <v>115321.43736625831</v>
      </c>
      <c r="CI51" s="533">
        <v>123967.17674122185</v>
      </c>
      <c r="CJ51" s="533">
        <v>125589.61681330105</v>
      </c>
      <c r="CK51" s="533">
        <v>120505.41746863989</v>
      </c>
      <c r="CL51" s="533">
        <v>124545.01312996067</v>
      </c>
      <c r="CM51" s="533">
        <v>121155.52296169617</v>
      </c>
      <c r="CN51" s="533">
        <v>126459.0658912825</v>
      </c>
      <c r="CO51" s="533">
        <v>107001.17720612646</v>
      </c>
      <c r="CP51" s="533">
        <v>97603.806936848632</v>
      </c>
      <c r="CQ51" s="533">
        <v>91123.91195614844</v>
      </c>
      <c r="CR51" s="533">
        <v>95543.993191614529</v>
      </c>
      <c r="CS51" s="533">
        <v>116386.28994843544</v>
      </c>
      <c r="CT51" s="533">
        <v>109099.31597717798</v>
      </c>
      <c r="CU51" s="533">
        <v>110622.51123700409</v>
      </c>
      <c r="CV51" s="533">
        <v>117430.26440940885</v>
      </c>
      <c r="CW51" s="533">
        <v>112740.90255428242</v>
      </c>
      <c r="CX51" s="533">
        <v>111525.34966167415</v>
      </c>
      <c r="CY51" s="533">
        <v>112364.75353793841</v>
      </c>
      <c r="CZ51" s="533">
        <v>126726.73731473685</v>
      </c>
      <c r="DA51" s="533">
        <v>107072.47576452541</v>
      </c>
      <c r="DB51" s="534">
        <v>109264.55519348106</v>
      </c>
      <c r="DC51" s="533">
        <v>107970.2152729956</v>
      </c>
      <c r="DD51" s="479">
        <v>121555.18868738304</v>
      </c>
      <c r="DE51" s="479">
        <v>119357.11448620106</v>
      </c>
      <c r="DF51" s="479">
        <v>144265.40478854501</v>
      </c>
      <c r="DG51" s="479">
        <v>136132.29066817605</v>
      </c>
      <c r="DH51" s="479">
        <v>141682.67083581345</v>
      </c>
      <c r="DI51" s="479">
        <v>142062.2305789798</v>
      </c>
      <c r="DJ51" s="479">
        <v>155067.26901309058</v>
      </c>
      <c r="DK51" s="479">
        <v>152145.68327591635</v>
      </c>
      <c r="DL51" s="479">
        <v>165766.31891202388</v>
      </c>
      <c r="DM51" s="479">
        <v>152005.88698461329</v>
      </c>
      <c r="DN51" s="479">
        <v>148735.94492130954</v>
      </c>
      <c r="DO51" s="479">
        <v>150142.79876158308</v>
      </c>
      <c r="DP51" s="479">
        <v>150958.65872596204</v>
      </c>
      <c r="DQ51" s="479">
        <v>143063.69320429995</v>
      </c>
      <c r="DR51" s="479">
        <v>130276.74065187693</v>
      </c>
      <c r="DS51" s="479">
        <v>124120.69378467565</v>
      </c>
      <c r="DT51" s="479">
        <v>133699.62802583008</v>
      </c>
      <c r="DU51" s="479">
        <v>122665.20342826509</v>
      </c>
      <c r="DV51" s="479">
        <v>114977.08362362623</v>
      </c>
      <c r="DW51" s="479">
        <v>113893.58673334449</v>
      </c>
      <c r="DX51" s="479">
        <v>115940.79852691677</v>
      </c>
      <c r="DY51" s="479">
        <v>106898.41301056616</v>
      </c>
      <c r="DZ51" s="479">
        <v>123921.55523635012</v>
      </c>
      <c r="EA51" s="479">
        <v>133299.13702885929</v>
      </c>
      <c r="EB51" s="479">
        <v>131921.62653253449</v>
      </c>
      <c r="EC51" s="479">
        <v>122851.4938720979</v>
      </c>
    </row>
    <row r="52" spans="1:133" ht="18" customHeight="1" x14ac:dyDescent="0.25">
      <c r="A52" s="481"/>
      <c r="B52" s="504"/>
      <c r="C52" s="561"/>
      <c r="D52" s="561"/>
      <c r="E52" s="561"/>
      <c r="F52" s="562"/>
      <c r="G52" s="561"/>
      <c r="H52" s="563"/>
      <c r="I52" s="561"/>
      <c r="J52" s="561"/>
      <c r="K52" s="561"/>
      <c r="L52" s="561"/>
      <c r="M52" s="562"/>
      <c r="N52" s="561"/>
      <c r="O52" s="561"/>
      <c r="P52" s="561"/>
      <c r="Q52" s="561"/>
      <c r="R52" s="561"/>
      <c r="S52" s="561"/>
      <c r="T52" s="561"/>
      <c r="U52" s="561"/>
      <c r="V52" s="561"/>
      <c r="W52" s="561"/>
      <c r="X52" s="561"/>
      <c r="Y52" s="561"/>
      <c r="Z52" s="561"/>
      <c r="AA52" s="561"/>
      <c r="AB52" s="564"/>
      <c r="AC52" s="564"/>
      <c r="AD52" s="565"/>
      <c r="AE52" s="561"/>
      <c r="AF52" s="561"/>
      <c r="AG52" s="561"/>
      <c r="AH52" s="561"/>
      <c r="AI52" s="561"/>
      <c r="AJ52" s="561"/>
      <c r="AK52" s="561"/>
      <c r="AL52" s="561"/>
      <c r="AM52" s="561"/>
      <c r="AN52" s="561"/>
      <c r="AO52" s="561"/>
      <c r="AP52" s="563"/>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2"/>
      <c r="DC52" s="561"/>
      <c r="DD52" s="564"/>
      <c r="DE52" s="564"/>
      <c r="DF52" s="564"/>
      <c r="DG52" s="564"/>
      <c r="DH52" s="564"/>
      <c r="DI52" s="564"/>
      <c r="DJ52" s="564"/>
      <c r="DK52" s="564"/>
      <c r="DL52" s="564"/>
      <c r="DM52" s="564"/>
      <c r="DN52" s="564"/>
      <c r="DO52" s="564"/>
      <c r="DP52" s="564"/>
      <c r="DQ52" s="564"/>
      <c r="DR52" s="564"/>
      <c r="DS52" s="564"/>
      <c r="DT52" s="564"/>
      <c r="DU52" s="564"/>
      <c r="DV52" s="564"/>
      <c r="DW52" s="564"/>
      <c r="DX52" s="564"/>
      <c r="DY52" s="564"/>
      <c r="DZ52" s="564"/>
      <c r="EA52" s="564"/>
      <c r="EB52" s="564"/>
      <c r="EC52" s="564"/>
    </row>
    <row r="53" spans="1:133" ht="18" customHeight="1" x14ac:dyDescent="0.25">
      <c r="A53" s="477" t="s">
        <v>449</v>
      </c>
      <c r="B53" s="478" t="s">
        <v>420</v>
      </c>
      <c r="C53" s="533">
        <v>0</v>
      </c>
      <c r="D53" s="533">
        <v>0</v>
      </c>
      <c r="E53" s="533">
        <v>0</v>
      </c>
      <c r="F53" s="534">
        <v>0</v>
      </c>
      <c r="G53" s="533">
        <v>0</v>
      </c>
      <c r="H53" s="535">
        <v>0</v>
      </c>
      <c r="I53" s="533">
        <v>0</v>
      </c>
      <c r="J53" s="533">
        <v>0</v>
      </c>
      <c r="K53" s="533">
        <v>0</v>
      </c>
      <c r="L53" s="533">
        <v>0</v>
      </c>
      <c r="M53" s="534">
        <v>0</v>
      </c>
      <c r="N53" s="533">
        <v>0</v>
      </c>
      <c r="O53" s="533">
        <v>0</v>
      </c>
      <c r="P53" s="533">
        <v>0</v>
      </c>
      <c r="Q53" s="533">
        <v>0</v>
      </c>
      <c r="R53" s="533">
        <v>0</v>
      </c>
      <c r="S53" s="533">
        <v>0</v>
      </c>
      <c r="T53" s="533">
        <v>0</v>
      </c>
      <c r="U53" s="533">
        <v>0</v>
      </c>
      <c r="V53" s="533">
        <v>0</v>
      </c>
      <c r="W53" s="533">
        <v>0</v>
      </c>
      <c r="X53" s="533">
        <v>0</v>
      </c>
      <c r="Y53" s="533">
        <v>0</v>
      </c>
      <c r="Z53" s="533">
        <v>0</v>
      </c>
      <c r="AA53" s="533">
        <v>0</v>
      </c>
      <c r="AB53" s="479">
        <v>0</v>
      </c>
      <c r="AC53" s="479">
        <v>0</v>
      </c>
      <c r="AD53" s="560">
        <v>0</v>
      </c>
      <c r="AE53" s="533">
        <v>0</v>
      </c>
      <c r="AF53" s="533">
        <v>0</v>
      </c>
      <c r="AG53" s="533">
        <v>0</v>
      </c>
      <c r="AH53" s="533">
        <v>0</v>
      </c>
      <c r="AI53" s="533">
        <v>0</v>
      </c>
      <c r="AJ53" s="533">
        <v>0</v>
      </c>
      <c r="AK53" s="533">
        <v>0</v>
      </c>
      <c r="AL53" s="533">
        <v>0</v>
      </c>
      <c r="AM53" s="533">
        <v>0</v>
      </c>
      <c r="AN53" s="533">
        <v>0</v>
      </c>
      <c r="AO53" s="533">
        <v>0</v>
      </c>
      <c r="AP53" s="535">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3">
        <v>0</v>
      </c>
      <c r="CD53" s="533">
        <v>0</v>
      </c>
      <c r="CE53" s="533">
        <v>0</v>
      </c>
      <c r="CF53" s="533">
        <v>0</v>
      </c>
      <c r="CG53" s="533">
        <v>0</v>
      </c>
      <c r="CH53" s="533">
        <v>0</v>
      </c>
      <c r="CI53" s="533">
        <v>0</v>
      </c>
      <c r="CJ53" s="533">
        <v>0</v>
      </c>
      <c r="CK53" s="533">
        <v>0</v>
      </c>
      <c r="CL53" s="533">
        <v>0</v>
      </c>
      <c r="CM53" s="533">
        <v>0</v>
      </c>
      <c r="CN53" s="533">
        <v>0</v>
      </c>
      <c r="CO53" s="533">
        <v>0</v>
      </c>
      <c r="CP53" s="533">
        <v>0</v>
      </c>
      <c r="CQ53" s="533">
        <v>0</v>
      </c>
      <c r="CR53" s="533">
        <v>0</v>
      </c>
      <c r="CS53" s="533">
        <v>0</v>
      </c>
      <c r="CT53" s="533">
        <v>0</v>
      </c>
      <c r="CU53" s="533">
        <v>0</v>
      </c>
      <c r="CV53" s="533">
        <v>0</v>
      </c>
      <c r="CW53" s="533">
        <v>0</v>
      </c>
      <c r="CX53" s="533">
        <v>0</v>
      </c>
      <c r="CY53" s="533">
        <v>0</v>
      </c>
      <c r="CZ53" s="533">
        <v>0</v>
      </c>
      <c r="DA53" s="533">
        <v>0</v>
      </c>
      <c r="DB53" s="534">
        <v>0</v>
      </c>
      <c r="DC53" s="533">
        <v>0</v>
      </c>
      <c r="DD53" s="479">
        <v>0</v>
      </c>
      <c r="DE53" s="479">
        <v>0</v>
      </c>
      <c r="DF53" s="479">
        <v>0</v>
      </c>
      <c r="DG53" s="479">
        <v>0</v>
      </c>
      <c r="DH53" s="479">
        <v>0</v>
      </c>
      <c r="DI53" s="479">
        <v>0</v>
      </c>
      <c r="DJ53" s="479">
        <v>0</v>
      </c>
      <c r="DK53" s="479">
        <v>0</v>
      </c>
      <c r="DL53" s="479">
        <v>0</v>
      </c>
      <c r="DM53" s="479">
        <v>0</v>
      </c>
      <c r="DN53" s="479">
        <v>0</v>
      </c>
      <c r="DO53" s="479">
        <v>0</v>
      </c>
      <c r="DP53" s="479">
        <v>0</v>
      </c>
      <c r="DQ53" s="479">
        <v>0</v>
      </c>
      <c r="DR53" s="479">
        <v>0</v>
      </c>
      <c r="DS53" s="479">
        <v>0</v>
      </c>
      <c r="DT53" s="479">
        <v>0</v>
      </c>
      <c r="DU53" s="479">
        <v>0</v>
      </c>
      <c r="DV53" s="479">
        <v>0</v>
      </c>
      <c r="DW53" s="479">
        <v>0</v>
      </c>
      <c r="DX53" s="479">
        <v>0</v>
      </c>
      <c r="DY53" s="479">
        <v>0</v>
      </c>
      <c r="DZ53" s="479">
        <v>0</v>
      </c>
      <c r="EA53" s="479">
        <v>0</v>
      </c>
      <c r="EB53" s="479">
        <v>0</v>
      </c>
      <c r="EC53" s="479">
        <v>0</v>
      </c>
    </row>
    <row r="54" spans="1:133" ht="18" customHeight="1" x14ac:dyDescent="0.25">
      <c r="A54" s="481"/>
      <c r="B54" s="482"/>
      <c r="C54" s="561"/>
      <c r="D54" s="561"/>
      <c r="E54" s="561"/>
      <c r="F54" s="562"/>
      <c r="G54" s="561"/>
      <c r="H54" s="563"/>
      <c r="I54" s="561"/>
      <c r="J54" s="561"/>
      <c r="K54" s="561"/>
      <c r="L54" s="561"/>
      <c r="M54" s="562"/>
      <c r="N54" s="561"/>
      <c r="O54" s="561"/>
      <c r="P54" s="561"/>
      <c r="Q54" s="561"/>
      <c r="R54" s="561"/>
      <c r="S54" s="561"/>
      <c r="T54" s="561"/>
      <c r="U54" s="561"/>
      <c r="V54" s="561"/>
      <c r="W54" s="561"/>
      <c r="X54" s="561"/>
      <c r="Y54" s="561"/>
      <c r="Z54" s="561"/>
      <c r="AA54" s="561"/>
      <c r="AB54" s="564"/>
      <c r="AC54" s="564"/>
      <c r="AD54" s="565"/>
      <c r="AE54" s="561"/>
      <c r="AF54" s="561"/>
      <c r="AG54" s="561"/>
      <c r="AH54" s="561"/>
      <c r="AI54" s="561"/>
      <c r="AJ54" s="561"/>
      <c r="AK54" s="561"/>
      <c r="AL54" s="561"/>
      <c r="AM54" s="561"/>
      <c r="AN54" s="561"/>
      <c r="AO54" s="561"/>
      <c r="AP54" s="563"/>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2"/>
      <c r="DC54" s="561"/>
      <c r="DD54" s="564"/>
      <c r="DE54" s="564"/>
      <c r="DF54" s="564"/>
      <c r="DG54" s="564"/>
      <c r="DH54" s="564"/>
      <c r="DI54" s="564"/>
      <c r="DJ54" s="564"/>
      <c r="DK54" s="564"/>
      <c r="DL54" s="564"/>
      <c r="DM54" s="564"/>
      <c r="DN54" s="564"/>
      <c r="DO54" s="564"/>
      <c r="DP54" s="564"/>
      <c r="DQ54" s="564"/>
      <c r="DR54" s="564"/>
      <c r="DS54" s="564"/>
      <c r="DT54" s="564"/>
      <c r="DU54" s="564"/>
      <c r="DV54" s="564"/>
      <c r="DW54" s="564"/>
      <c r="DX54" s="564"/>
      <c r="DY54" s="564"/>
      <c r="DZ54" s="564"/>
      <c r="EA54" s="564"/>
      <c r="EB54" s="564"/>
      <c r="EC54" s="564"/>
    </row>
    <row r="55" spans="1:133" ht="18" customHeight="1" x14ac:dyDescent="0.25">
      <c r="A55" s="477" t="s">
        <v>450</v>
      </c>
      <c r="B55" s="478" t="s">
        <v>422</v>
      </c>
      <c r="C55" s="533">
        <v>29432.767018766863</v>
      </c>
      <c r="D55" s="533">
        <v>34260.080803627447</v>
      </c>
      <c r="E55" s="533">
        <v>33736.445753137697</v>
      </c>
      <c r="F55" s="534">
        <v>30869.665977368513</v>
      </c>
      <c r="G55" s="533">
        <v>33148.508443650164</v>
      </c>
      <c r="H55" s="535">
        <v>32103.114393552522</v>
      </c>
      <c r="I55" s="533">
        <v>30169.13539053157</v>
      </c>
      <c r="J55" s="533">
        <v>39529.378811924573</v>
      </c>
      <c r="K55" s="533">
        <v>40813.964159177995</v>
      </c>
      <c r="L55" s="533">
        <v>38298.472398335762</v>
      </c>
      <c r="M55" s="534">
        <v>42561.914226997869</v>
      </c>
      <c r="N55" s="533">
        <v>39547.513947527019</v>
      </c>
      <c r="O55" s="533">
        <v>34322.485455183065</v>
      </c>
      <c r="P55" s="533">
        <v>23458.447846964125</v>
      </c>
      <c r="Q55" s="533">
        <v>22783.893341378978</v>
      </c>
      <c r="R55" s="533">
        <v>28642.687883647355</v>
      </c>
      <c r="S55" s="533">
        <v>25554.180948222551</v>
      </c>
      <c r="T55" s="533">
        <v>28986.653275119956</v>
      </c>
      <c r="U55" s="533">
        <v>23144.521802052503</v>
      </c>
      <c r="V55" s="533">
        <v>24778.631760438147</v>
      </c>
      <c r="W55" s="533">
        <v>25578.83426078095</v>
      </c>
      <c r="X55" s="533">
        <v>28469.195348005636</v>
      </c>
      <c r="Y55" s="533">
        <v>35207.911461794189</v>
      </c>
      <c r="Z55" s="533">
        <v>29022.884805908736</v>
      </c>
      <c r="AA55" s="533">
        <v>39967.940543216449</v>
      </c>
      <c r="AB55" s="479">
        <v>38952.669907664116</v>
      </c>
      <c r="AC55" s="479">
        <v>35611.417045563867</v>
      </c>
      <c r="AD55" s="560">
        <v>33834.882104414784</v>
      </c>
      <c r="AE55" s="533">
        <v>39070.798615132757</v>
      </c>
      <c r="AF55" s="533">
        <v>34309.875560910383</v>
      </c>
      <c r="AG55" s="533">
        <v>30761.533252157133</v>
      </c>
      <c r="AH55" s="533">
        <v>30209.616689337126</v>
      </c>
      <c r="AI55" s="533">
        <v>44387.928754471606</v>
      </c>
      <c r="AJ55" s="533">
        <v>40145.866677087492</v>
      </c>
      <c r="AK55" s="533">
        <v>37941.127663167666</v>
      </c>
      <c r="AL55" s="533">
        <v>40551.299268888004</v>
      </c>
      <c r="AM55" s="533">
        <v>43238.137322506242</v>
      </c>
      <c r="AN55" s="533">
        <v>42618.980175564284</v>
      </c>
      <c r="AO55" s="533">
        <v>44457.242976324567</v>
      </c>
      <c r="AP55" s="535">
        <v>39691.1360705482</v>
      </c>
      <c r="AQ55" s="533">
        <v>59777.699357459212</v>
      </c>
      <c r="AR55" s="533">
        <v>44315.485858984328</v>
      </c>
      <c r="AS55" s="533">
        <v>50022.483865121387</v>
      </c>
      <c r="AT55" s="533">
        <v>45071.427850664673</v>
      </c>
      <c r="AU55" s="533">
        <v>44825.023681978993</v>
      </c>
      <c r="AV55" s="533">
        <v>45723.11009277204</v>
      </c>
      <c r="AW55" s="533">
        <v>56623.470659186809</v>
      </c>
      <c r="AX55" s="533">
        <v>58954.183824958382</v>
      </c>
      <c r="AY55" s="533">
        <v>71511.057699533572</v>
      </c>
      <c r="AZ55" s="533">
        <v>90538.775278142028</v>
      </c>
      <c r="BA55" s="533">
        <v>96306.272537237586</v>
      </c>
      <c r="BB55" s="533">
        <v>77032.912200377803</v>
      </c>
      <c r="BC55" s="533">
        <v>81370.840048575323</v>
      </c>
      <c r="BD55" s="533">
        <v>78336.510964634406</v>
      </c>
      <c r="BE55" s="533">
        <v>99663.735643111504</v>
      </c>
      <c r="BF55" s="533">
        <v>111707.05893216262</v>
      </c>
      <c r="BG55" s="533">
        <v>123272.0779647421</v>
      </c>
      <c r="BH55" s="533">
        <v>137833.12623258727</v>
      </c>
      <c r="BI55" s="533">
        <v>143953.15384429533</v>
      </c>
      <c r="BJ55" s="533">
        <v>178862.29597032876</v>
      </c>
      <c r="BK55" s="533">
        <v>169154.96589423789</v>
      </c>
      <c r="BL55" s="533">
        <v>160607.1231365795</v>
      </c>
      <c r="BM55" s="533">
        <v>164575.23255486466</v>
      </c>
      <c r="BN55" s="533">
        <v>179484.48929827844</v>
      </c>
      <c r="BO55" s="533">
        <v>196442.74826099002</v>
      </c>
      <c r="BP55" s="533">
        <v>164531.17855713627</v>
      </c>
      <c r="BQ55" s="533">
        <v>204934.24004247849</v>
      </c>
      <c r="BR55" s="533">
        <v>232314.69118893062</v>
      </c>
      <c r="BS55" s="533">
        <v>236566.50196854505</v>
      </c>
      <c r="BT55" s="533">
        <v>228442.52946675199</v>
      </c>
      <c r="BU55" s="533">
        <v>262787.18552714447</v>
      </c>
      <c r="BV55" s="533">
        <v>225701.43862436843</v>
      </c>
      <c r="BW55" s="533">
        <v>242684.51972220954</v>
      </c>
      <c r="BX55" s="533">
        <v>233419.56582643723</v>
      </c>
      <c r="BY55" s="533">
        <v>222553.99565980441</v>
      </c>
      <c r="BZ55" s="533">
        <v>280216.22471588483</v>
      </c>
      <c r="CA55" s="533">
        <v>258504.49647729652</v>
      </c>
      <c r="CB55" s="533">
        <v>238443.67931575485</v>
      </c>
      <c r="CC55" s="533">
        <v>291258.19929144433</v>
      </c>
      <c r="CD55" s="533">
        <v>331551.52239167277</v>
      </c>
      <c r="CE55" s="533">
        <v>365150.9206607173</v>
      </c>
      <c r="CF55" s="533">
        <v>331744.64526177425</v>
      </c>
      <c r="CG55" s="533">
        <v>306206.7874403724</v>
      </c>
      <c r="CH55" s="533">
        <v>326287.14330588136</v>
      </c>
      <c r="CI55" s="533">
        <v>345566.76871943782</v>
      </c>
      <c r="CJ55" s="533">
        <v>355620.70449500385</v>
      </c>
      <c r="CK55" s="533">
        <v>344224.6446809328</v>
      </c>
      <c r="CL55" s="533">
        <v>351250.84561238473</v>
      </c>
      <c r="CM55" s="533">
        <v>330178.31108843983</v>
      </c>
      <c r="CN55" s="533">
        <v>287721.32492861018</v>
      </c>
      <c r="CO55" s="533">
        <v>279939.08250933321</v>
      </c>
      <c r="CP55" s="533">
        <v>296836.98913296411</v>
      </c>
      <c r="CQ55" s="533">
        <v>297892.84432366665</v>
      </c>
      <c r="CR55" s="533">
        <v>307347.90835321526</v>
      </c>
      <c r="CS55" s="533">
        <v>284028.29083379696</v>
      </c>
      <c r="CT55" s="533">
        <v>296186.66098618211</v>
      </c>
      <c r="CU55" s="533">
        <v>294401.09124277084</v>
      </c>
      <c r="CV55" s="533">
        <v>313836.05786084075</v>
      </c>
      <c r="CW55" s="533">
        <v>367269.29246765771</v>
      </c>
      <c r="CX55" s="533">
        <v>360956.46484693687</v>
      </c>
      <c r="CY55" s="533">
        <v>310919.57905538724</v>
      </c>
      <c r="CZ55" s="533">
        <v>288355.94132487784</v>
      </c>
      <c r="DA55" s="533">
        <v>244096.76228233028</v>
      </c>
      <c r="DB55" s="534">
        <v>226887.54080734405</v>
      </c>
      <c r="DC55" s="533">
        <v>235220.8493683727</v>
      </c>
      <c r="DD55" s="479">
        <v>223332.05145226975</v>
      </c>
      <c r="DE55" s="479">
        <v>213015.07227861648</v>
      </c>
      <c r="DF55" s="479">
        <v>208067.28408345862</v>
      </c>
      <c r="DG55" s="479">
        <v>198664.07230677677</v>
      </c>
      <c r="DH55" s="479">
        <v>163011.89731705171</v>
      </c>
      <c r="DI55" s="479">
        <v>136937.24142526506</v>
      </c>
      <c r="DJ55" s="479">
        <v>168231.58288372419</v>
      </c>
      <c r="DK55" s="479">
        <v>151653.23715752174</v>
      </c>
      <c r="DL55" s="479">
        <v>139977.31040497901</v>
      </c>
      <c r="DM55" s="479">
        <v>147077.22059171399</v>
      </c>
      <c r="DN55" s="479">
        <v>146627.91770260001</v>
      </c>
      <c r="DO55" s="479">
        <v>148457.33312874945</v>
      </c>
      <c r="DP55" s="479">
        <v>181837.55940702357</v>
      </c>
      <c r="DQ55" s="479">
        <v>182150.91998237191</v>
      </c>
      <c r="DR55" s="479">
        <v>173382.35923417661</v>
      </c>
      <c r="DS55" s="479">
        <v>144842.61480010487</v>
      </c>
      <c r="DT55" s="479">
        <v>136691.45247165122</v>
      </c>
      <c r="DU55" s="479">
        <v>136396.17829938509</v>
      </c>
      <c r="DV55" s="479">
        <v>155476.07297999755</v>
      </c>
      <c r="DW55" s="479">
        <v>133018.6432050424</v>
      </c>
      <c r="DX55" s="479">
        <v>132037.4436814787</v>
      </c>
      <c r="DY55" s="479">
        <v>149999.05563883213</v>
      </c>
      <c r="DZ55" s="479">
        <v>165742.32393762539</v>
      </c>
      <c r="EA55" s="479">
        <v>205225.69487357917</v>
      </c>
      <c r="EB55" s="479">
        <v>132487.54496389805</v>
      </c>
      <c r="EC55" s="479">
        <v>80813.698965197778</v>
      </c>
    </row>
    <row r="56" spans="1:133" ht="18" customHeight="1" x14ac:dyDescent="0.25">
      <c r="A56" s="481"/>
      <c r="B56" s="482"/>
      <c r="C56" s="561"/>
      <c r="D56" s="561"/>
      <c r="E56" s="561"/>
      <c r="F56" s="562"/>
      <c r="G56" s="561"/>
      <c r="H56" s="563"/>
      <c r="I56" s="561"/>
      <c r="J56" s="561"/>
      <c r="K56" s="561"/>
      <c r="L56" s="561"/>
      <c r="M56" s="562"/>
      <c r="N56" s="561"/>
      <c r="O56" s="561"/>
      <c r="P56" s="561"/>
      <c r="Q56" s="561"/>
      <c r="R56" s="561"/>
      <c r="S56" s="561"/>
      <c r="T56" s="561"/>
      <c r="U56" s="561"/>
      <c r="V56" s="561"/>
      <c r="W56" s="561"/>
      <c r="X56" s="561"/>
      <c r="Y56" s="561"/>
      <c r="Z56" s="561"/>
      <c r="AA56" s="561"/>
      <c r="AB56" s="564"/>
      <c r="AC56" s="564"/>
      <c r="AD56" s="565"/>
      <c r="AE56" s="561"/>
      <c r="AF56" s="561"/>
      <c r="AG56" s="561"/>
      <c r="AH56" s="561"/>
      <c r="AI56" s="561"/>
      <c r="AJ56" s="561"/>
      <c r="AK56" s="561"/>
      <c r="AL56" s="561"/>
      <c r="AM56" s="561"/>
      <c r="AN56" s="561"/>
      <c r="AO56" s="561"/>
      <c r="AP56" s="563"/>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2"/>
      <c r="DC56" s="561"/>
      <c r="DD56" s="564"/>
      <c r="DE56" s="564"/>
      <c r="DF56" s="564"/>
      <c r="DG56" s="564"/>
      <c r="DH56" s="564"/>
      <c r="DI56" s="564"/>
      <c r="DJ56" s="564"/>
      <c r="DK56" s="564"/>
      <c r="DL56" s="564"/>
      <c r="DM56" s="564"/>
      <c r="DN56" s="564"/>
      <c r="DO56" s="564"/>
      <c r="DP56" s="564"/>
      <c r="DQ56" s="564"/>
      <c r="DR56" s="564"/>
      <c r="DS56" s="564"/>
      <c r="DT56" s="564"/>
      <c r="DU56" s="564"/>
      <c r="DV56" s="564"/>
      <c r="DW56" s="564"/>
      <c r="DX56" s="564"/>
      <c r="DY56" s="564"/>
      <c r="DZ56" s="564"/>
      <c r="EA56" s="564"/>
      <c r="EB56" s="564"/>
      <c r="EC56" s="564"/>
    </row>
    <row r="57" spans="1:133" ht="18" customHeight="1" x14ac:dyDescent="0.25">
      <c r="A57" s="477" t="s">
        <v>451</v>
      </c>
      <c r="B57" s="478" t="s">
        <v>452</v>
      </c>
      <c r="C57" s="533">
        <v>15267.319428778475</v>
      </c>
      <c r="D57" s="533">
        <v>14343.021972617598</v>
      </c>
      <c r="E57" s="533">
        <v>20872.677782157156</v>
      </c>
      <c r="F57" s="534">
        <v>20389.014050729656</v>
      </c>
      <c r="G57" s="533">
        <v>19640.499325109929</v>
      </c>
      <c r="H57" s="535">
        <v>18089.973323858543</v>
      </c>
      <c r="I57" s="533">
        <v>16669.010885876269</v>
      </c>
      <c r="J57" s="533">
        <v>18124.824061199026</v>
      </c>
      <c r="K57" s="533">
        <v>18873.044963116732</v>
      </c>
      <c r="L57" s="533">
        <v>19124.219224243214</v>
      </c>
      <c r="M57" s="534">
        <v>18837.016835935974</v>
      </c>
      <c r="N57" s="533">
        <v>19325.915542433235</v>
      </c>
      <c r="O57" s="533">
        <v>18575.986356368594</v>
      </c>
      <c r="P57" s="533">
        <v>20152.628623151741</v>
      </c>
      <c r="Q57" s="533">
        <v>20305.578140484475</v>
      </c>
      <c r="R57" s="533">
        <v>21596.825310943765</v>
      </c>
      <c r="S57" s="533">
        <v>20532.267003248064</v>
      </c>
      <c r="T57" s="533">
        <v>20268.062098349725</v>
      </c>
      <c r="U57" s="533">
        <v>19288.396582400928</v>
      </c>
      <c r="V57" s="533">
        <v>18976.86221272808</v>
      </c>
      <c r="W57" s="533">
        <v>20689.007931866116</v>
      </c>
      <c r="X57" s="533">
        <v>20645.295218005682</v>
      </c>
      <c r="Y57" s="533">
        <v>20352.962638096036</v>
      </c>
      <c r="Z57" s="533">
        <v>23643.29471844207</v>
      </c>
      <c r="AA57" s="533">
        <v>22905.951523263288</v>
      </c>
      <c r="AB57" s="479">
        <v>20249.59155576069</v>
      </c>
      <c r="AC57" s="479">
        <v>23040.174051936956</v>
      </c>
      <c r="AD57" s="560">
        <v>21357.550504467519</v>
      </c>
      <c r="AE57" s="533">
        <v>22385.664081063565</v>
      </c>
      <c r="AF57" s="533">
        <v>21857.97138406842</v>
      </c>
      <c r="AG57" s="533">
        <v>24401.977950487693</v>
      </c>
      <c r="AH57" s="533">
        <v>24450.432137882355</v>
      </c>
      <c r="AI57" s="533">
        <v>23828.829155827618</v>
      </c>
      <c r="AJ57" s="533">
        <v>22864.456987456208</v>
      </c>
      <c r="AK57" s="533">
        <v>22982.403122046027</v>
      </c>
      <c r="AL57" s="533">
        <v>24510.855743288423</v>
      </c>
      <c r="AM57" s="533">
        <v>23136.423495206152</v>
      </c>
      <c r="AN57" s="533">
        <v>22819.278932513374</v>
      </c>
      <c r="AO57" s="533">
        <v>21572.182807726083</v>
      </c>
      <c r="AP57" s="535">
        <v>25307.976553561417</v>
      </c>
      <c r="AQ57" s="533">
        <v>25873.819248272492</v>
      </c>
      <c r="AR57" s="533">
        <v>26306.642876667771</v>
      </c>
      <c r="AS57" s="533">
        <v>28065.589145305854</v>
      </c>
      <c r="AT57" s="533">
        <v>26478.844533658801</v>
      </c>
      <c r="AU57" s="533">
        <v>24949.469385341887</v>
      </c>
      <c r="AV57" s="533">
        <v>23883.709469500889</v>
      </c>
      <c r="AW57" s="533">
        <v>26353.788022679335</v>
      </c>
      <c r="AX57" s="533">
        <v>24206.169627596111</v>
      </c>
      <c r="AY57" s="533">
        <v>26071.671281241695</v>
      </c>
      <c r="AZ57" s="533">
        <v>24794.608585212714</v>
      </c>
      <c r="BA57" s="533">
        <v>27897.600262071908</v>
      </c>
      <c r="BB57" s="533">
        <v>24899.482809756439</v>
      </c>
      <c r="BC57" s="533">
        <v>23202.232431801625</v>
      </c>
      <c r="BD57" s="533">
        <v>24492.972622940262</v>
      </c>
      <c r="BE57" s="533">
        <v>23948.498158967559</v>
      </c>
      <c r="BF57" s="533">
        <v>22741.12025448737</v>
      </c>
      <c r="BG57" s="533">
        <v>24214.409577413047</v>
      </c>
      <c r="BH57" s="533">
        <v>24052.947747934111</v>
      </c>
      <c r="BI57" s="533">
        <v>22537.491184867667</v>
      </c>
      <c r="BJ57" s="533">
        <v>27194.724778050237</v>
      </c>
      <c r="BK57" s="533">
        <v>28096.352777361084</v>
      </c>
      <c r="BL57" s="533">
        <v>26073.995821931683</v>
      </c>
      <c r="BM57" s="533">
        <v>24270.177303191751</v>
      </c>
      <c r="BN57" s="533">
        <v>24691.797324641815</v>
      </c>
      <c r="BO57" s="533">
        <v>28859.221784267142</v>
      </c>
      <c r="BP57" s="533">
        <v>29867.963037637437</v>
      </c>
      <c r="BQ57" s="533">
        <v>29721.935154606908</v>
      </c>
      <c r="BR57" s="533">
        <v>27731.858226046617</v>
      </c>
      <c r="BS57" s="533">
        <v>29872.922732982748</v>
      </c>
      <c r="BT57" s="533">
        <v>40877.051391227593</v>
      </c>
      <c r="BU57" s="533">
        <v>28719.587202759521</v>
      </c>
      <c r="BV57" s="533">
        <v>35701.788247716657</v>
      </c>
      <c r="BW57" s="533">
        <v>33590.921945418268</v>
      </c>
      <c r="BX57" s="533">
        <v>33042.181637707392</v>
      </c>
      <c r="BY57" s="533">
        <v>25415.818564687404</v>
      </c>
      <c r="BZ57" s="533">
        <v>32703.884118982125</v>
      </c>
      <c r="CA57" s="533">
        <v>34310.203890731515</v>
      </c>
      <c r="CB57" s="533">
        <v>36113.679310384672</v>
      </c>
      <c r="CC57" s="533">
        <v>36668.381342116809</v>
      </c>
      <c r="CD57" s="533">
        <v>35134.658194978365</v>
      </c>
      <c r="CE57" s="533">
        <v>35733.680333697637</v>
      </c>
      <c r="CF57" s="533">
        <v>35975.883321555055</v>
      </c>
      <c r="CG57" s="533">
        <v>36790.584043890194</v>
      </c>
      <c r="CH57" s="533">
        <v>43492.621522104775</v>
      </c>
      <c r="CI57" s="533">
        <v>43118.030359693512</v>
      </c>
      <c r="CJ57" s="533">
        <v>38381.407417294249</v>
      </c>
      <c r="CK57" s="533">
        <v>38719.490625863407</v>
      </c>
      <c r="CL57" s="533">
        <v>37651.54298678926</v>
      </c>
      <c r="CM57" s="533">
        <v>37293.391317548041</v>
      </c>
      <c r="CN57" s="533">
        <v>38053.030994902947</v>
      </c>
      <c r="CO57" s="533">
        <v>43996.639292102496</v>
      </c>
      <c r="CP57" s="533">
        <v>44179.369376595627</v>
      </c>
      <c r="CQ57" s="533">
        <v>44129.17715056079</v>
      </c>
      <c r="CR57" s="533">
        <v>42192.217092565326</v>
      </c>
      <c r="CS57" s="533">
        <v>45550.917966060391</v>
      </c>
      <c r="CT57" s="533">
        <v>40617.606085972766</v>
      </c>
      <c r="CU57" s="533">
        <v>41413.220075621422</v>
      </c>
      <c r="CV57" s="533">
        <v>41335.529029774712</v>
      </c>
      <c r="CW57" s="533">
        <v>45190.099311536011</v>
      </c>
      <c r="CX57" s="533">
        <v>46703.760746199885</v>
      </c>
      <c r="CY57" s="533">
        <v>41406.822349984322</v>
      </c>
      <c r="CZ57" s="533">
        <v>35025.066943906393</v>
      </c>
      <c r="DA57" s="533">
        <v>33418.905161721406</v>
      </c>
      <c r="DB57" s="534">
        <v>33172.904775990341</v>
      </c>
      <c r="DC57" s="533">
        <v>33111.246499768902</v>
      </c>
      <c r="DD57" s="479">
        <v>33566.3828525344</v>
      </c>
      <c r="DE57" s="479">
        <v>33898.177599956798</v>
      </c>
      <c r="DF57" s="479">
        <v>33801.564800035361</v>
      </c>
      <c r="DG57" s="479">
        <v>34499.257122426381</v>
      </c>
      <c r="DH57" s="479">
        <v>35748.197024709661</v>
      </c>
      <c r="DI57" s="479">
        <v>36926.930824478841</v>
      </c>
      <c r="DJ57" s="479">
        <v>41334.763034083269</v>
      </c>
      <c r="DK57" s="479">
        <v>40497.376838749471</v>
      </c>
      <c r="DL57" s="479">
        <v>41920.991983145752</v>
      </c>
      <c r="DM57" s="479">
        <v>39239.786968580098</v>
      </c>
      <c r="DN57" s="479">
        <v>39417.284889248898</v>
      </c>
      <c r="DO57" s="479">
        <v>41399.471495985534</v>
      </c>
      <c r="DP57" s="479">
        <v>45280.777594507919</v>
      </c>
      <c r="DQ57" s="479">
        <v>46139.788740199023</v>
      </c>
      <c r="DR57" s="479">
        <v>39525.270753001576</v>
      </c>
      <c r="DS57" s="479">
        <v>42897.156484221006</v>
      </c>
      <c r="DT57" s="479">
        <v>41488.003081888615</v>
      </c>
      <c r="DU57" s="479">
        <v>44569.701118240366</v>
      </c>
      <c r="DV57" s="479">
        <v>45066.944099165659</v>
      </c>
      <c r="DW57" s="479">
        <v>45290.569455343837</v>
      </c>
      <c r="DX57" s="479">
        <v>47986.679214717347</v>
      </c>
      <c r="DY57" s="479">
        <v>43078.09845472499</v>
      </c>
      <c r="DZ57" s="479">
        <v>54737.526170616788</v>
      </c>
      <c r="EA57" s="479">
        <v>46010.843686220418</v>
      </c>
      <c r="EB57" s="479">
        <v>49453.224712881609</v>
      </c>
      <c r="EC57" s="479">
        <v>50575.914805106513</v>
      </c>
    </row>
    <row r="58" spans="1:133" ht="18" customHeight="1" x14ac:dyDescent="0.25">
      <c r="A58" s="481"/>
      <c r="B58" s="482"/>
      <c r="C58" s="561"/>
      <c r="D58" s="561"/>
      <c r="E58" s="561"/>
      <c r="F58" s="562"/>
      <c r="G58" s="561"/>
      <c r="H58" s="563"/>
      <c r="I58" s="561"/>
      <c r="J58" s="561"/>
      <c r="K58" s="561"/>
      <c r="L58" s="561"/>
      <c r="M58" s="562"/>
      <c r="N58" s="561"/>
      <c r="O58" s="561"/>
      <c r="P58" s="561"/>
      <c r="Q58" s="561"/>
      <c r="R58" s="561"/>
      <c r="S58" s="561"/>
      <c r="T58" s="561"/>
      <c r="U58" s="561"/>
      <c r="V58" s="561"/>
      <c r="W58" s="561"/>
      <c r="X58" s="561"/>
      <c r="Y58" s="561"/>
      <c r="Z58" s="561"/>
      <c r="AA58" s="561"/>
      <c r="AB58" s="564"/>
      <c r="AC58" s="564"/>
      <c r="AD58" s="565"/>
      <c r="AE58" s="561"/>
      <c r="AF58" s="561"/>
      <c r="AG58" s="561"/>
      <c r="AH58" s="561"/>
      <c r="AI58" s="561"/>
      <c r="AJ58" s="561"/>
      <c r="AK58" s="561"/>
      <c r="AL58" s="561"/>
      <c r="AM58" s="561"/>
      <c r="AN58" s="561"/>
      <c r="AO58" s="561"/>
      <c r="AP58" s="563"/>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2"/>
      <c r="DC58" s="561"/>
      <c r="DD58" s="564"/>
      <c r="DE58" s="564"/>
      <c r="DF58" s="564"/>
      <c r="DG58" s="564"/>
      <c r="DH58" s="564"/>
      <c r="DI58" s="564"/>
      <c r="DJ58" s="564"/>
      <c r="DK58" s="564"/>
      <c r="DL58" s="564"/>
      <c r="DM58" s="564"/>
      <c r="DN58" s="564"/>
      <c r="DO58" s="564"/>
      <c r="DP58" s="564"/>
      <c r="DQ58" s="564"/>
      <c r="DR58" s="564"/>
      <c r="DS58" s="564"/>
      <c r="DT58" s="564"/>
      <c r="DU58" s="564"/>
      <c r="DV58" s="564"/>
      <c r="DW58" s="564"/>
      <c r="DX58" s="564"/>
      <c r="DY58" s="564"/>
      <c r="DZ58" s="564"/>
      <c r="EA58" s="564"/>
      <c r="EB58" s="564"/>
      <c r="EC58" s="564"/>
    </row>
    <row r="59" spans="1:133" ht="18" customHeight="1" x14ac:dyDescent="0.25">
      <c r="A59" s="477" t="s">
        <v>453</v>
      </c>
      <c r="B59" s="478" t="s">
        <v>418</v>
      </c>
      <c r="C59" s="533">
        <v>35704.368588081408</v>
      </c>
      <c r="D59" s="533">
        <v>36287.800051772996</v>
      </c>
      <c r="E59" s="533">
        <v>36725.258952753698</v>
      </c>
      <c r="F59" s="534">
        <v>36657.892827389129</v>
      </c>
      <c r="G59" s="533">
        <v>36908.697205162935</v>
      </c>
      <c r="H59" s="535">
        <v>37615.963469114278</v>
      </c>
      <c r="I59" s="533">
        <v>37927.272479138337</v>
      </c>
      <c r="J59" s="533">
        <v>39020.193709404259</v>
      </c>
      <c r="K59" s="533">
        <v>39287.485610740951</v>
      </c>
      <c r="L59" s="533">
        <v>39222.085061498794</v>
      </c>
      <c r="M59" s="534">
        <v>40022.516192943491</v>
      </c>
      <c r="N59" s="533">
        <v>39408.792052137745</v>
      </c>
      <c r="O59" s="533">
        <v>38890.06262347773</v>
      </c>
      <c r="P59" s="533">
        <v>40396.104372089401</v>
      </c>
      <c r="Q59" s="533">
        <v>42000.886786275398</v>
      </c>
      <c r="R59" s="533">
        <v>41428.663869112483</v>
      </c>
      <c r="S59" s="533">
        <v>43134.84105007779</v>
      </c>
      <c r="T59" s="533">
        <v>44548.826372607225</v>
      </c>
      <c r="U59" s="533">
        <v>43642.858748323037</v>
      </c>
      <c r="V59" s="533">
        <v>44958.679943900897</v>
      </c>
      <c r="W59" s="533">
        <v>41876.236271404952</v>
      </c>
      <c r="X59" s="533">
        <v>42090.23316457498</v>
      </c>
      <c r="Y59" s="533">
        <v>42873.108794222033</v>
      </c>
      <c r="Z59" s="533">
        <v>43622.034313129567</v>
      </c>
      <c r="AA59" s="533">
        <v>44511.827521145366</v>
      </c>
      <c r="AB59" s="479">
        <v>44976.158320210845</v>
      </c>
      <c r="AC59" s="479">
        <v>44979.939315974334</v>
      </c>
      <c r="AD59" s="560">
        <v>45130.157990354543</v>
      </c>
      <c r="AE59" s="533">
        <v>46526.507524889159</v>
      </c>
      <c r="AF59" s="533">
        <v>46953.111096502696</v>
      </c>
      <c r="AG59" s="533">
        <v>46498.099178341705</v>
      </c>
      <c r="AH59" s="533">
        <v>48776.229552209828</v>
      </c>
      <c r="AI59" s="533">
        <v>49049.519554837862</v>
      </c>
      <c r="AJ59" s="533">
        <v>49284.479405728474</v>
      </c>
      <c r="AK59" s="533">
        <v>50811.602709146318</v>
      </c>
      <c r="AL59" s="533">
        <v>53448.718884642585</v>
      </c>
      <c r="AM59" s="533">
        <v>54368.75815095412</v>
      </c>
      <c r="AN59" s="533">
        <v>52373.989824135751</v>
      </c>
      <c r="AO59" s="533">
        <v>55517.245403996363</v>
      </c>
      <c r="AP59" s="535">
        <v>54841.719482057546</v>
      </c>
      <c r="AQ59" s="533">
        <v>58103.367507876319</v>
      </c>
      <c r="AR59" s="533">
        <v>59298.19183667707</v>
      </c>
      <c r="AS59" s="533">
        <v>60859.082741518061</v>
      </c>
      <c r="AT59" s="533">
        <v>62079.972771916138</v>
      </c>
      <c r="AU59" s="533">
        <v>63786.655804845657</v>
      </c>
      <c r="AV59" s="533">
        <v>64543.161864375077</v>
      </c>
      <c r="AW59" s="533">
        <v>64402.199319373285</v>
      </c>
      <c r="AX59" s="533">
        <v>64264.316030189861</v>
      </c>
      <c r="AY59" s="533">
        <v>64583.402034013052</v>
      </c>
      <c r="AZ59" s="533">
        <v>65138.420256611011</v>
      </c>
      <c r="BA59" s="533">
        <v>65446.011451277212</v>
      </c>
      <c r="BB59" s="533">
        <v>63276.09750421303</v>
      </c>
      <c r="BC59" s="533">
        <v>63131.134601172125</v>
      </c>
      <c r="BD59" s="533">
        <v>63117.099459523968</v>
      </c>
      <c r="BE59" s="533">
        <v>64818.144578716056</v>
      </c>
      <c r="BF59" s="533">
        <v>64698.29265435753</v>
      </c>
      <c r="BG59" s="533">
        <v>66175.975521146291</v>
      </c>
      <c r="BH59" s="533">
        <v>66816.400958400569</v>
      </c>
      <c r="BI59" s="533">
        <v>66609.379543792747</v>
      </c>
      <c r="BJ59" s="533">
        <v>69696.148691288792</v>
      </c>
      <c r="BK59" s="533">
        <v>71982.810638501833</v>
      </c>
      <c r="BL59" s="533">
        <v>70103.464201367489</v>
      </c>
      <c r="BM59" s="533">
        <v>71230.865413964173</v>
      </c>
      <c r="BN59" s="533">
        <v>70988.97564783541</v>
      </c>
      <c r="BO59" s="533">
        <v>71944.823911859654</v>
      </c>
      <c r="BP59" s="533">
        <v>77034.530996147063</v>
      </c>
      <c r="BQ59" s="533">
        <v>77535.22335300289</v>
      </c>
      <c r="BR59" s="533">
        <v>78370.908091345031</v>
      </c>
      <c r="BS59" s="533">
        <v>79038.128808233989</v>
      </c>
      <c r="BT59" s="533">
        <v>79449.325672152947</v>
      </c>
      <c r="BU59" s="533">
        <v>79375.966339647115</v>
      </c>
      <c r="BV59" s="533">
        <v>79523.476564492594</v>
      </c>
      <c r="BW59" s="533">
        <v>81131.453879475695</v>
      </c>
      <c r="BX59" s="533">
        <v>81157.308384578166</v>
      </c>
      <c r="BY59" s="533">
        <v>81056.07656261354</v>
      </c>
      <c r="BZ59" s="533">
        <v>83806.116391159376</v>
      </c>
      <c r="CA59" s="533">
        <v>84531.302411197583</v>
      </c>
      <c r="CB59" s="533">
        <v>86545.066758556524</v>
      </c>
      <c r="CC59" s="533">
        <v>84624.221826456313</v>
      </c>
      <c r="CD59" s="533">
        <v>85272.706527704955</v>
      </c>
      <c r="CE59" s="533">
        <v>86158.795431287654</v>
      </c>
      <c r="CF59" s="533">
        <v>88154.262349991273</v>
      </c>
      <c r="CG59" s="533">
        <v>88873.865580902799</v>
      </c>
      <c r="CH59" s="533">
        <v>92336.108194888089</v>
      </c>
      <c r="CI59" s="533">
        <v>94375.209812524903</v>
      </c>
      <c r="CJ59" s="533">
        <v>94977.025688010966</v>
      </c>
      <c r="CK59" s="533">
        <v>95737.200241493716</v>
      </c>
      <c r="CL59" s="533">
        <v>95955.688272962987</v>
      </c>
      <c r="CM59" s="533">
        <v>96887.39846463174</v>
      </c>
      <c r="CN59" s="533">
        <v>97708.07730387176</v>
      </c>
      <c r="CO59" s="533">
        <v>100592.68447032165</v>
      </c>
      <c r="CP59" s="533">
        <v>101422.9763965329</v>
      </c>
      <c r="CQ59" s="533">
        <v>103871.30455864441</v>
      </c>
      <c r="CR59" s="533">
        <v>105639.37531668847</v>
      </c>
      <c r="CS59" s="533">
        <v>106538.26306164458</v>
      </c>
      <c r="CT59" s="533">
        <v>105604.79143601622</v>
      </c>
      <c r="CU59" s="533">
        <v>106654.79163154114</v>
      </c>
      <c r="CV59" s="533">
        <v>107472.88093376729</v>
      </c>
      <c r="CW59" s="533">
        <v>107256.10345412733</v>
      </c>
      <c r="CX59" s="533">
        <v>105921.62762068295</v>
      </c>
      <c r="CY59" s="533">
        <v>106280.46230867032</v>
      </c>
      <c r="CZ59" s="533">
        <v>107204.46669466681</v>
      </c>
      <c r="DA59" s="533">
        <v>106627.31969479575</v>
      </c>
      <c r="DB59" s="534">
        <v>107969.7722645325</v>
      </c>
      <c r="DC59" s="533">
        <v>109373.7030829463</v>
      </c>
      <c r="DD59" s="479">
        <v>110278.66378914911</v>
      </c>
      <c r="DE59" s="479">
        <v>111130.30169885342</v>
      </c>
      <c r="DF59" s="479">
        <v>112079.37011818557</v>
      </c>
      <c r="DG59" s="479">
        <v>112258.50281467609</v>
      </c>
      <c r="DH59" s="479">
        <v>111712.89038004613</v>
      </c>
      <c r="DI59" s="479">
        <v>112762.64720507254</v>
      </c>
      <c r="DJ59" s="479">
        <v>112258.54617697238</v>
      </c>
      <c r="DK59" s="479">
        <v>112398.63850049663</v>
      </c>
      <c r="DL59" s="479">
        <v>114135.6091599127</v>
      </c>
      <c r="DM59" s="479">
        <v>115107.95074878653</v>
      </c>
      <c r="DN59" s="479">
        <v>117788.43509308822</v>
      </c>
      <c r="DO59" s="479">
        <v>120124.76454229592</v>
      </c>
      <c r="DP59" s="479">
        <v>125919.07044945829</v>
      </c>
      <c r="DQ59" s="479">
        <v>124807.88620599426</v>
      </c>
      <c r="DR59" s="479">
        <v>126140.07660988835</v>
      </c>
      <c r="DS59" s="479">
        <v>129566.87689414147</v>
      </c>
      <c r="DT59" s="479">
        <v>130681.77582981013</v>
      </c>
      <c r="DU59" s="479">
        <v>130806.72935870707</v>
      </c>
      <c r="DV59" s="479">
        <v>130430.50387664296</v>
      </c>
      <c r="DW59" s="479">
        <v>132916.55049480574</v>
      </c>
      <c r="DX59" s="479">
        <v>134735.53910654571</v>
      </c>
      <c r="DY59" s="479">
        <v>133363.05042259637</v>
      </c>
      <c r="DZ59" s="479">
        <v>136399.99540167779</v>
      </c>
      <c r="EA59" s="479">
        <v>137546.31389345188</v>
      </c>
      <c r="EB59" s="479">
        <v>129811.67458126429</v>
      </c>
      <c r="EC59" s="479">
        <v>130086.51859689687</v>
      </c>
    </row>
    <row r="60" spans="1:133" ht="15.75" x14ac:dyDescent="0.25">
      <c r="A60" s="481"/>
      <c r="B60" s="482"/>
      <c r="C60" s="502"/>
      <c r="D60" s="502"/>
      <c r="E60" s="502"/>
      <c r="F60" s="541"/>
      <c r="G60" s="502"/>
      <c r="H60" s="542"/>
      <c r="I60" s="502"/>
      <c r="J60" s="502"/>
      <c r="K60" s="502"/>
      <c r="L60" s="502"/>
      <c r="M60" s="541"/>
      <c r="N60" s="502"/>
      <c r="O60" s="502"/>
      <c r="P60" s="502"/>
      <c r="Q60" s="502"/>
      <c r="R60" s="502"/>
      <c r="S60" s="502"/>
      <c r="T60" s="502"/>
      <c r="U60" s="502"/>
      <c r="V60" s="502"/>
      <c r="W60" s="502"/>
      <c r="X60" s="502"/>
      <c r="Y60" s="502"/>
      <c r="Z60" s="502"/>
      <c r="AA60" s="502"/>
      <c r="AB60" s="484"/>
      <c r="AC60" s="484"/>
      <c r="AD60" s="501"/>
      <c r="AE60" s="502"/>
      <c r="AF60" s="502"/>
      <c r="AG60" s="502"/>
      <c r="AH60" s="502"/>
      <c r="AI60" s="502"/>
      <c r="AJ60" s="502"/>
      <c r="AK60" s="502"/>
      <c r="AL60" s="502"/>
      <c r="AM60" s="502"/>
      <c r="AN60" s="502"/>
      <c r="AO60" s="502"/>
      <c r="AP60" s="54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41"/>
      <c r="DC60" s="502"/>
      <c r="DD60" s="484"/>
      <c r="DE60" s="484"/>
      <c r="DF60" s="484"/>
      <c r="DG60" s="484"/>
      <c r="DH60" s="484"/>
      <c r="DI60" s="484"/>
      <c r="DJ60" s="484"/>
      <c r="DK60" s="484"/>
      <c r="DL60" s="484"/>
      <c r="DM60" s="484"/>
      <c r="DN60" s="484"/>
      <c r="DO60" s="484"/>
      <c r="DP60" s="484"/>
      <c r="DQ60" s="484"/>
      <c r="DR60" s="484"/>
      <c r="DS60" s="484"/>
      <c r="DT60" s="484"/>
      <c r="DU60" s="484"/>
      <c r="DV60" s="484"/>
      <c r="DW60" s="484"/>
      <c r="DX60" s="484"/>
      <c r="DY60" s="484"/>
      <c r="DZ60" s="484"/>
      <c r="EA60" s="484"/>
      <c r="EB60" s="484"/>
      <c r="EC60" s="484"/>
    </row>
    <row r="61" spans="1:133" ht="15.75" x14ac:dyDescent="0.25">
      <c r="A61" s="477"/>
      <c r="B61" s="478" t="s">
        <v>454</v>
      </c>
      <c r="C61" s="533">
        <v>445837.09648146771</v>
      </c>
      <c r="D61" s="533">
        <v>432333.73578588478</v>
      </c>
      <c r="E61" s="533">
        <v>444953.02170568105</v>
      </c>
      <c r="F61" s="534">
        <v>460740.79710033536</v>
      </c>
      <c r="G61" s="533">
        <v>463204.56969756016</v>
      </c>
      <c r="H61" s="535">
        <v>481466.10548368085</v>
      </c>
      <c r="I61" s="533">
        <v>468596.08483161492</v>
      </c>
      <c r="J61" s="533">
        <v>478494.19773586863</v>
      </c>
      <c r="K61" s="533">
        <v>507625.95996703452</v>
      </c>
      <c r="L61" s="533">
        <v>511206.35459259461</v>
      </c>
      <c r="M61" s="534">
        <v>507494.99650955346</v>
      </c>
      <c r="N61" s="533">
        <v>535662.87672863819</v>
      </c>
      <c r="O61" s="533">
        <v>523850.27108873928</v>
      </c>
      <c r="P61" s="533">
        <v>533426.28468855494</v>
      </c>
      <c r="Q61" s="533">
        <v>544859.49134909105</v>
      </c>
      <c r="R61" s="533">
        <v>574613.75504488125</v>
      </c>
      <c r="S61" s="533">
        <v>577716.91728723294</v>
      </c>
      <c r="T61" s="533">
        <v>606513.96394631604</v>
      </c>
      <c r="U61" s="533">
        <v>630119.83824542805</v>
      </c>
      <c r="V61" s="533">
        <v>601954.21941866283</v>
      </c>
      <c r="W61" s="533">
        <v>605510.99251014437</v>
      </c>
      <c r="X61" s="533">
        <v>624077.84292468568</v>
      </c>
      <c r="Y61" s="533">
        <v>630561.20141669817</v>
      </c>
      <c r="Z61" s="533">
        <v>632246.83013273461</v>
      </c>
      <c r="AA61" s="533">
        <v>663094.43448270857</v>
      </c>
      <c r="AB61" s="479">
        <v>681753.16319414286</v>
      </c>
      <c r="AC61" s="479">
        <v>696077.90731888788</v>
      </c>
      <c r="AD61" s="560">
        <v>703609.6757322083</v>
      </c>
      <c r="AE61" s="533">
        <v>706823.47694433935</v>
      </c>
      <c r="AF61" s="533">
        <v>746138.07708720083</v>
      </c>
      <c r="AG61" s="533">
        <v>723735.24594117398</v>
      </c>
      <c r="AH61" s="533">
        <v>752758.66746421135</v>
      </c>
      <c r="AI61" s="533">
        <v>748659.13151183829</v>
      </c>
      <c r="AJ61" s="533">
        <v>733354.18060770433</v>
      </c>
      <c r="AK61" s="533">
        <v>719659.48504536517</v>
      </c>
      <c r="AL61" s="533">
        <v>760499.45805389062</v>
      </c>
      <c r="AM61" s="533">
        <v>773252.44280015444</v>
      </c>
      <c r="AN61" s="533">
        <v>790615.52522006026</v>
      </c>
      <c r="AO61" s="533">
        <v>780986.27990849141</v>
      </c>
      <c r="AP61" s="535">
        <v>763856.00000271969</v>
      </c>
      <c r="AQ61" s="533">
        <v>819322.5324201138</v>
      </c>
      <c r="AR61" s="533">
        <v>803124.72039425466</v>
      </c>
      <c r="AS61" s="533">
        <v>805990.07822863967</v>
      </c>
      <c r="AT61" s="533">
        <v>805323.12107057718</v>
      </c>
      <c r="AU61" s="533">
        <v>814898.81246231764</v>
      </c>
      <c r="AV61" s="533">
        <v>807733.6231706267</v>
      </c>
      <c r="AW61" s="533">
        <v>808480.43114202272</v>
      </c>
      <c r="AX61" s="533">
        <v>802925.72630561446</v>
      </c>
      <c r="AY61" s="533">
        <v>815049.49751314428</v>
      </c>
      <c r="AZ61" s="533">
        <v>830130.71492091997</v>
      </c>
      <c r="BA61" s="533">
        <v>833451.49451887386</v>
      </c>
      <c r="BB61" s="533">
        <v>815832.35192099214</v>
      </c>
      <c r="BC61" s="533">
        <v>815339.29479991982</v>
      </c>
      <c r="BD61" s="533">
        <v>803883.86273326341</v>
      </c>
      <c r="BE61" s="533">
        <v>850342.74366170098</v>
      </c>
      <c r="BF61" s="533">
        <v>871292.62662828504</v>
      </c>
      <c r="BG61" s="533">
        <v>892721.17988087796</v>
      </c>
      <c r="BH61" s="533">
        <v>913488.39506609784</v>
      </c>
      <c r="BI61" s="533">
        <v>913833.09111478226</v>
      </c>
      <c r="BJ61" s="533">
        <v>1025679.5364986513</v>
      </c>
      <c r="BK61" s="533">
        <v>1012035.333333926</v>
      </c>
      <c r="BL61" s="533">
        <v>954121.87023194158</v>
      </c>
      <c r="BM61" s="533">
        <v>992296.62676565617</v>
      </c>
      <c r="BN61" s="533">
        <v>1012404.2143214582</v>
      </c>
      <c r="BO61" s="533">
        <v>1033298.9768260616</v>
      </c>
      <c r="BP61" s="533">
        <v>1013985.1951152171</v>
      </c>
      <c r="BQ61" s="533">
        <v>1062227.4364040988</v>
      </c>
      <c r="BR61" s="533">
        <v>1078181.8810915288</v>
      </c>
      <c r="BS61" s="533">
        <v>1086441.5921039591</v>
      </c>
      <c r="BT61" s="533">
        <v>1053578.3830951103</v>
      </c>
      <c r="BU61" s="533">
        <v>1119531.2698697732</v>
      </c>
      <c r="BV61" s="533">
        <v>1047041.8605696339</v>
      </c>
      <c r="BW61" s="533">
        <v>1112462.9753115466</v>
      </c>
      <c r="BX61" s="533">
        <v>1086642.1355580031</v>
      </c>
      <c r="BY61" s="533">
        <v>1064583.9672632939</v>
      </c>
      <c r="BZ61" s="533">
        <v>1149757.9766855945</v>
      </c>
      <c r="CA61" s="533">
        <v>1131968.1532015936</v>
      </c>
      <c r="CB61" s="533">
        <v>1161633.9910541489</v>
      </c>
      <c r="CC61" s="533">
        <v>1173013.0120292972</v>
      </c>
      <c r="CD61" s="533">
        <v>1187141.955914408</v>
      </c>
      <c r="CE61" s="533">
        <v>1225161.317670773</v>
      </c>
      <c r="CF61" s="533">
        <v>1246006.7916879642</v>
      </c>
      <c r="CG61" s="533">
        <v>1223903.21713633</v>
      </c>
      <c r="CH61" s="533">
        <v>1265080.4399430116</v>
      </c>
      <c r="CI61" s="533">
        <v>1255390.1417716164</v>
      </c>
      <c r="CJ61" s="533">
        <v>1288833.6472017488</v>
      </c>
      <c r="CK61" s="533">
        <v>1243570.2529162969</v>
      </c>
      <c r="CL61" s="533">
        <v>1266162.9329481204</v>
      </c>
      <c r="CM61" s="533">
        <v>1268818.4173121215</v>
      </c>
      <c r="CN61" s="533">
        <v>1242486.2931605482</v>
      </c>
      <c r="CO61" s="533">
        <v>1247268.40425243</v>
      </c>
      <c r="CP61" s="533">
        <v>1276910.0596211508</v>
      </c>
      <c r="CQ61" s="533">
        <v>1242745.0389651642</v>
      </c>
      <c r="CR61" s="533">
        <v>1286030.2886565591</v>
      </c>
      <c r="CS61" s="533">
        <v>1275459.3828028138</v>
      </c>
      <c r="CT61" s="533">
        <v>1313411.567737563</v>
      </c>
      <c r="CU61" s="533">
        <v>1291167.5221563203</v>
      </c>
      <c r="CV61" s="533">
        <v>1346276.3006017897</v>
      </c>
      <c r="CW61" s="533">
        <v>1381765.5424567088</v>
      </c>
      <c r="CX61" s="533">
        <v>1368264.0546602092</v>
      </c>
      <c r="CY61" s="533">
        <v>1297898.6516665085</v>
      </c>
      <c r="CZ61" s="533">
        <v>1289388.268826518</v>
      </c>
      <c r="DA61" s="533">
        <v>1279102.6584194731</v>
      </c>
      <c r="DB61" s="534">
        <v>1232006.7647019469</v>
      </c>
      <c r="DC61" s="533">
        <v>1250530.9795248003</v>
      </c>
      <c r="DD61" s="479">
        <v>1253499.1503665082</v>
      </c>
      <c r="DE61" s="479">
        <v>1241453.8564016731</v>
      </c>
      <c r="DF61" s="479">
        <v>1220656.4641479019</v>
      </c>
      <c r="DG61" s="479">
        <v>1206897.0256862838</v>
      </c>
      <c r="DH61" s="479">
        <v>1187508.3202930365</v>
      </c>
      <c r="DI61" s="479">
        <v>1175902.7189653323</v>
      </c>
      <c r="DJ61" s="479">
        <v>1265345.0616837367</v>
      </c>
      <c r="DK61" s="479">
        <v>1297840.1542073502</v>
      </c>
      <c r="DL61" s="479">
        <v>1272957.3799588468</v>
      </c>
      <c r="DM61" s="479">
        <v>1296645.3336650261</v>
      </c>
      <c r="DN61" s="479">
        <v>1316971.3453675341</v>
      </c>
      <c r="DO61" s="479">
        <v>1320248.5974743732</v>
      </c>
      <c r="DP61" s="479">
        <v>1438560.6870774999</v>
      </c>
      <c r="DQ61" s="479">
        <v>1428986.1897226707</v>
      </c>
      <c r="DR61" s="479">
        <v>1367422.4588623198</v>
      </c>
      <c r="DS61" s="479">
        <v>1325959.7541220165</v>
      </c>
      <c r="DT61" s="479">
        <v>1324255.2700579006</v>
      </c>
      <c r="DU61" s="479">
        <v>1307768.6246646408</v>
      </c>
      <c r="DV61" s="479">
        <v>1320906.6483472895</v>
      </c>
      <c r="DW61" s="479">
        <v>1318820.3451440635</v>
      </c>
      <c r="DX61" s="479">
        <v>1319632.1895451266</v>
      </c>
      <c r="DY61" s="479">
        <v>1340837.2511242039</v>
      </c>
      <c r="DZ61" s="479">
        <v>1381656.3673774214</v>
      </c>
      <c r="EA61" s="479">
        <v>1428036.6277724586</v>
      </c>
      <c r="EB61" s="479">
        <v>1315411.0629155899</v>
      </c>
      <c r="EC61" s="479">
        <v>1274241.489769141</v>
      </c>
    </row>
    <row r="62" spans="1:133" ht="16.5" thickBot="1" x14ac:dyDescent="0.3">
      <c r="A62" s="505"/>
      <c r="B62" s="506"/>
      <c r="C62" s="509"/>
      <c r="D62" s="509"/>
      <c r="E62" s="509"/>
      <c r="F62" s="566"/>
      <c r="G62" s="509"/>
      <c r="H62" s="567"/>
      <c r="I62" s="509"/>
      <c r="J62" s="509"/>
      <c r="K62" s="509"/>
      <c r="L62" s="509"/>
      <c r="M62" s="566"/>
      <c r="N62" s="509"/>
      <c r="O62" s="509"/>
      <c r="P62" s="509"/>
      <c r="Q62" s="509"/>
      <c r="R62" s="509"/>
      <c r="S62" s="509"/>
      <c r="T62" s="509"/>
      <c r="U62" s="509"/>
      <c r="V62" s="509"/>
      <c r="W62" s="509"/>
      <c r="X62" s="509"/>
      <c r="Y62" s="509"/>
      <c r="Z62" s="509"/>
      <c r="AA62" s="509"/>
      <c r="AB62" s="507"/>
      <c r="AC62" s="507"/>
      <c r="AD62" s="508"/>
      <c r="AE62" s="509"/>
      <c r="AF62" s="509"/>
      <c r="AG62" s="509"/>
      <c r="AH62" s="509"/>
      <c r="AI62" s="509"/>
      <c r="AJ62" s="509"/>
      <c r="AK62" s="509"/>
      <c r="AL62" s="509"/>
      <c r="AM62" s="509"/>
      <c r="AN62" s="507"/>
      <c r="AO62" s="507"/>
      <c r="AP62" s="567"/>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66"/>
      <c r="DC62" s="509"/>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row>
    <row r="63" spans="1:133" ht="15.75" thickTop="1" x14ac:dyDescent="0.25">
      <c r="A63" s="259" t="s">
        <v>239</v>
      </c>
      <c r="B63" s="431"/>
      <c r="C63" s="431"/>
      <c r="D63" s="431"/>
      <c r="E63" s="431"/>
      <c r="F63" s="431"/>
      <c r="G63" s="431"/>
      <c r="H63" s="431"/>
      <c r="I63" s="431"/>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row>
    <row r="64" spans="1:133" x14ac:dyDescent="0.25">
      <c r="A64" s="259" t="s">
        <v>465</v>
      </c>
      <c r="B64" s="431"/>
      <c r="C64" s="431"/>
      <c r="D64" s="431"/>
      <c r="E64" s="431"/>
      <c r="F64" s="431"/>
      <c r="G64" s="431"/>
      <c r="H64" s="431"/>
      <c r="I64" s="431"/>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row>
    <row r="65" spans="1:106" x14ac:dyDescent="0.25">
      <c r="A65" s="259" t="s">
        <v>179</v>
      </c>
    </row>
    <row r="66" spans="1:106" ht="15" hidden="1" customHeight="1" x14ac:dyDescent="0.25">
      <c r="C66" s="568">
        <f>([6]sheet1!$N$463+'[7]Cat 2-MUR'!$P$463)/1000000</f>
        <v>445837.09648146777</v>
      </c>
      <c r="D66" s="568">
        <f>[8]Sheet1!$C$433/1000000</f>
        <v>432333.73578588484</v>
      </c>
      <c r="E66" s="568">
        <f>[9]Sheet1!$C$433/1000000</f>
        <v>444953.02170568111</v>
      </c>
      <c r="F66" s="568">
        <f>[10]Sheet1!$C$433/1000000</f>
        <v>460740.79710033548</v>
      </c>
      <c r="G66" s="568">
        <f>[11]Sheet1!$C$433/1000000</f>
        <v>463204.56969756016</v>
      </c>
      <c r="H66" s="568">
        <f>[12]Sheet1!$C$433/1000000</f>
        <v>481466.10548368079</v>
      </c>
      <c r="I66" s="568">
        <f>[13]Sheet1!$C$433/1000000</f>
        <v>468596.08483161498</v>
      </c>
      <c r="J66" s="568">
        <f>[14]Sheet1!$C$433/1000000</f>
        <v>478494.19773586845</v>
      </c>
      <c r="K66" s="568">
        <f>[15]Sheet1!$C$433/1000000</f>
        <v>507625.95996703452</v>
      </c>
      <c r="L66" s="568">
        <f>[16]Sheet1!$C$433/1000000</f>
        <v>511206.35459259461</v>
      </c>
      <c r="M66" s="568">
        <f>[17]Sheet1!$C$433/1000000</f>
        <v>507494.99650955334</v>
      </c>
      <c r="N66" s="568">
        <f>[18]Sheet1!$C$433/1000000</f>
        <v>535662.87672863808</v>
      </c>
      <c r="O66" s="568">
        <f>[19]Sheet1!$C$433/1000000</f>
        <v>523850.27108873933</v>
      </c>
      <c r="P66" s="568">
        <f>[20]Sheet1!$C$433/1000000</f>
        <v>533426.28468855482</v>
      </c>
      <c r="Q66" s="568">
        <f>[21]Sheet1!$C$433/1000000</f>
        <v>544859.49134909117</v>
      </c>
      <c r="R66" s="568">
        <f>[22]Sheet1!$C$433/1000000</f>
        <v>574613.75504488125</v>
      </c>
      <c r="S66" s="568">
        <f>[23]Sheet1!$C$433/1000000</f>
        <v>577716.91728723282</v>
      </c>
      <c r="T66" s="568">
        <f>[24]Sheet1!$C$433/1000000</f>
        <v>606513.96394631593</v>
      </c>
      <c r="U66" s="568">
        <f>[25]Sheet1!$C$433/1000000</f>
        <v>630119.83824542793</v>
      </c>
      <c r="V66" s="568">
        <f>[26]Sheet1!$C$433/1000000</f>
        <v>601954.21941866272</v>
      </c>
      <c r="W66" s="568">
        <f>[27]Sheet1!$C$433/1000000</f>
        <v>605510.99251014437</v>
      </c>
      <c r="X66" s="568">
        <f>[28]Sheet1!$C$433/1000000</f>
        <v>624077.84292468592</v>
      </c>
      <c r="Y66" s="568">
        <f>[29]Sheet1!$C$433/1000000</f>
        <v>630561.20141669805</v>
      </c>
      <c r="Z66" s="568">
        <f>[30]Sheet1!$C$433/1000000</f>
        <v>632246.8301327345</v>
      </c>
      <c r="AA66" s="568">
        <f>[31]Sheet1!$C$433/1000000</f>
        <v>663094.43448270857</v>
      </c>
      <c r="AB66" s="568">
        <f>[32]Sheet1!$C$433/1000000</f>
        <v>681753.16319414286</v>
      </c>
      <c r="AC66" s="568">
        <f>[33]Sheet1!$C$433/1000000</f>
        <v>696077.90731888788</v>
      </c>
      <c r="AD66" s="568">
        <f>[34]Sheet1!$C$433/1000000</f>
        <v>703609.67573220818</v>
      </c>
      <c r="AE66" s="568">
        <f>[35]Sheet1!$C$433/1000000</f>
        <v>706823.47694433935</v>
      </c>
      <c r="AF66" s="568">
        <f>[36]Sheet1!$C$433/1000000</f>
        <v>746138.07708720095</v>
      </c>
      <c r="AG66" s="568">
        <f>[37]Sheet1!$C$433/1000000</f>
        <v>723735.24594117375</v>
      </c>
      <c r="AH66" s="568">
        <f>[38]Sheet1!$C$433/1000000</f>
        <v>752758.66746476921</v>
      </c>
      <c r="AI66" s="568">
        <f>[39]Sheet1!$C$433/1000000</f>
        <v>748659.13151183829</v>
      </c>
    </row>
    <row r="68" spans="1:106" x14ac:dyDescent="0.25">
      <c r="C68" s="568">
        <f t="shared" ref="C68:BN68" si="0">C61-C28</f>
        <v>7.691036444157362E-6</v>
      </c>
      <c r="D68" s="568">
        <f t="shared" si="0"/>
        <v>7.2157068643718958E-5</v>
      </c>
      <c r="E68" s="568">
        <f t="shared" si="0"/>
        <v>-1.3936951290816069E-5</v>
      </c>
      <c r="F68" s="568">
        <f t="shared" si="0"/>
        <v>1.2735836207866669E-7</v>
      </c>
      <c r="G68" s="568">
        <f t="shared" si="0"/>
        <v>4.7089066356420517E-5</v>
      </c>
      <c r="H68" s="568">
        <f t="shared" si="0"/>
        <v>9.3560083769261837E-6</v>
      </c>
      <c r="I68" s="568">
        <f t="shared" si="0"/>
        <v>-1.9650906324386597E-7</v>
      </c>
      <c r="J68" s="568">
        <f t="shared" si="0"/>
        <v>-4.2904866859316826E-7</v>
      </c>
      <c r="K68" s="568">
        <f t="shared" si="0"/>
        <v>3.7840800359845161E-7</v>
      </c>
      <c r="L68" s="568">
        <f t="shared" si="0"/>
        <v>-5.8789737522602081E-7</v>
      </c>
      <c r="M68" s="568">
        <f t="shared" si="0"/>
        <v>-1.84424570761621E-5</v>
      </c>
      <c r="N68" s="568">
        <f t="shared" si="0"/>
        <v>-3.535436699166894E-4</v>
      </c>
      <c r="O68" s="568">
        <f t="shared" si="0"/>
        <v>-5.2216346375644207E-6</v>
      </c>
      <c r="P68" s="568">
        <f t="shared" si="0"/>
        <v>-6.2298611737787724E-5</v>
      </c>
      <c r="Q68" s="568">
        <f t="shared" si="0"/>
        <v>-1.3456062879413366E-4</v>
      </c>
      <c r="R68" s="568">
        <f t="shared" si="0"/>
        <v>-3.0886032618582249E-5</v>
      </c>
      <c r="S68" s="568">
        <f t="shared" si="0"/>
        <v>-5.0763250328600407E-5</v>
      </c>
      <c r="T68" s="568">
        <f t="shared" si="0"/>
        <v>4.1913008317351341E-5</v>
      </c>
      <c r="U68" s="568">
        <f t="shared" si="0"/>
        <v>-1.1322903446853161E-5</v>
      </c>
      <c r="V68" s="568">
        <f t="shared" si="0"/>
        <v>-7.4238749220967293E-5</v>
      </c>
      <c r="W68" s="568">
        <f t="shared" si="0"/>
        <v>-6.7624496296048164E-5</v>
      </c>
      <c r="X68" s="568">
        <f t="shared" si="0"/>
        <v>-6.8733119405806065E-5</v>
      </c>
      <c r="Y68" s="568">
        <f t="shared" si="0"/>
        <v>-6.8150809966027737E-5</v>
      </c>
      <c r="Z68" s="568">
        <f t="shared" si="0"/>
        <v>-7.3958653956651688E-7</v>
      </c>
      <c r="AA68" s="568">
        <f t="shared" si="0"/>
        <v>4.2072497308254242E-7</v>
      </c>
      <c r="AB68" s="568">
        <f t="shared" si="0"/>
        <v>-4.8408983275294304E-6</v>
      </c>
      <c r="AC68" s="568">
        <f t="shared" si="0"/>
        <v>-4.2119063436985016E-7</v>
      </c>
      <c r="AD68" s="568">
        <f t="shared" si="0"/>
        <v>8.6147338151931763E-9</v>
      </c>
      <c r="AE68" s="568">
        <f t="shared" si="0"/>
        <v>4.7264620661735535E-8</v>
      </c>
      <c r="AF68" s="568">
        <f t="shared" si="0"/>
        <v>-2.3993197828531265E-7</v>
      </c>
      <c r="AG68" s="568">
        <f t="shared" si="0"/>
        <v>2.4319160729646683E-7</v>
      </c>
      <c r="AH68" s="568">
        <f t="shared" si="0"/>
        <v>-6.3586048781871796E-7</v>
      </c>
      <c r="AI68" s="568">
        <f t="shared" si="0"/>
        <v>-1.2246891856193542E-7</v>
      </c>
      <c r="AJ68" s="568">
        <f t="shared" si="0"/>
        <v>-1.0454095900058746E-7</v>
      </c>
      <c r="AK68" s="568">
        <f t="shared" si="0"/>
        <v>-1.4493707567453384E-7</v>
      </c>
      <c r="AL68" s="568">
        <f t="shared" si="0"/>
        <v>-6.8172812461853027E-7</v>
      </c>
      <c r="AM68" s="568">
        <f t="shared" si="0"/>
        <v>3.5099219530820847E-7</v>
      </c>
      <c r="AN68" s="568">
        <f t="shared" si="0"/>
        <v>-5.1257666200399399E-7</v>
      </c>
      <c r="AO68" s="568">
        <f t="shared" si="0"/>
        <v>9.4913411885499954E-7</v>
      </c>
      <c r="AP68" s="568">
        <f t="shared" si="0"/>
        <v>-2.7260975912213326E-6</v>
      </c>
      <c r="AQ68" s="568">
        <f t="shared" si="0"/>
        <v>-1.1589145287871361E-6</v>
      </c>
      <c r="AR68" s="568">
        <f t="shared" si="0"/>
        <v>-3.6030542105436325E-7</v>
      </c>
      <c r="AS68" s="568">
        <f t="shared" si="0"/>
        <v>8.3178747445344925E-7</v>
      </c>
      <c r="AT68" s="568">
        <f t="shared" si="0"/>
        <v>-7.7532604336738586E-8</v>
      </c>
      <c r="AU68" s="568">
        <f t="shared" si="0"/>
        <v>1.1521624401211739E-6</v>
      </c>
      <c r="AV68" s="568">
        <f t="shared" si="0"/>
        <v>-3.3443677239120007E-5</v>
      </c>
      <c r="AW68" s="568">
        <f t="shared" si="0"/>
        <v>-9.5495488494634628E-7</v>
      </c>
      <c r="AX68" s="568">
        <f t="shared" si="0"/>
        <v>2.0791776478290558E-6</v>
      </c>
      <c r="AY68" s="568">
        <f t="shared" si="0"/>
        <v>-2.1583400666713715E-7</v>
      </c>
      <c r="AZ68" s="568">
        <f t="shared" si="0"/>
        <v>9.4878487288951874E-8</v>
      </c>
      <c r="BA68" s="568">
        <f t="shared" si="0"/>
        <v>-4.6822242438793182E-7</v>
      </c>
      <c r="BB68" s="568">
        <f t="shared" si="0"/>
        <v>-1.5331897884607315E-7</v>
      </c>
      <c r="BC68" s="568">
        <f t="shared" si="0"/>
        <v>-2.0394916646182537E-5</v>
      </c>
      <c r="BD68" s="568">
        <f t="shared" si="0"/>
        <v>-1.5110708773136139E-7</v>
      </c>
      <c r="BE68" s="568">
        <f t="shared" si="0"/>
        <v>3.2340176403522491E-7</v>
      </c>
      <c r="BF68" s="568">
        <f t="shared" si="0"/>
        <v>-2.8568319976329803E-7</v>
      </c>
      <c r="BG68" s="568">
        <f t="shared" si="0"/>
        <v>-8.2189217209815979E-7</v>
      </c>
      <c r="BH68" s="568">
        <f t="shared" si="0"/>
        <v>1.1478550732135773E-6</v>
      </c>
      <c r="BI68" s="568">
        <f t="shared" si="0"/>
        <v>7.2643160820007324E-7</v>
      </c>
      <c r="BJ68" s="568">
        <f t="shared" si="0"/>
        <v>2.5262124836444855E-8</v>
      </c>
      <c r="BK68" s="568">
        <f t="shared" si="0"/>
        <v>-1.9842642359435558E-5</v>
      </c>
      <c r="BL68" s="568">
        <f t="shared" si="0"/>
        <v>-2.1160929463803768E-5</v>
      </c>
      <c r="BM68" s="568">
        <f t="shared" si="0"/>
        <v>-1.9839615561068058E-5</v>
      </c>
      <c r="BN68" s="568">
        <f t="shared" si="0"/>
        <v>-2.0204461179673672E-5</v>
      </c>
      <c r="BO68" s="568">
        <f t="shared" ref="BO68:CV68" si="1">BO61-BO28</f>
        <v>-1.9651488400995731E-5</v>
      </c>
      <c r="BP68" s="568">
        <f t="shared" si="1"/>
        <v>-2.1539046429097652E-5</v>
      </c>
      <c r="BQ68" s="568">
        <f t="shared" si="1"/>
        <v>-2.0567560568451881E-5</v>
      </c>
      <c r="BR68" s="568">
        <f t="shared" si="1"/>
        <v>-1.920526847243309E-5</v>
      </c>
      <c r="BS68" s="568">
        <f t="shared" si="1"/>
        <v>-2.0696315914392471E-5</v>
      </c>
      <c r="BT68" s="568">
        <f t="shared" si="1"/>
        <v>-1.863064244389534E-5</v>
      </c>
      <c r="BU68" s="568">
        <f t="shared" si="1"/>
        <v>-2.2605527192354202E-5</v>
      </c>
      <c r="BV68" s="568">
        <f t="shared" si="1"/>
        <v>-1.960177905857563E-5</v>
      </c>
      <c r="BW68" s="568">
        <f t="shared" si="1"/>
        <v>-5.2760588005185127E-5</v>
      </c>
      <c r="BX68" s="568">
        <f t="shared" si="1"/>
        <v>-2.1268380805850029E-5</v>
      </c>
      <c r="BY68" s="568">
        <f t="shared" si="1"/>
        <v>-2.0362669602036476E-5</v>
      </c>
      <c r="BZ68" s="568">
        <f t="shared" si="1"/>
        <v>-2.0428560674190521E-5</v>
      </c>
      <c r="CA68" s="568">
        <f t="shared" si="1"/>
        <v>-2.1701212972402573E-5</v>
      </c>
      <c r="CB68" s="568">
        <f t="shared" si="1"/>
        <v>-2.0670704543590546E-5</v>
      </c>
      <c r="CC68" s="568">
        <f t="shared" si="1"/>
        <v>-2.1010171622037888E-5</v>
      </c>
      <c r="CD68" s="568">
        <f t="shared" si="1"/>
        <v>-2.0581530407071114E-5</v>
      </c>
      <c r="CE68" s="568">
        <f t="shared" si="1"/>
        <v>-2.0582228899002075E-5</v>
      </c>
      <c r="CF68" s="568">
        <f t="shared" si="1"/>
        <v>-2.3123109713196754E-5</v>
      </c>
      <c r="CG68" s="568">
        <f t="shared" si="1"/>
        <v>-2.0289327949285507E-5</v>
      </c>
      <c r="CH68" s="568">
        <f t="shared" si="1"/>
        <v>-2.1471874788403511E-5</v>
      </c>
      <c r="CI68" s="568">
        <f t="shared" si="1"/>
        <v>1.3401731848716736E-6</v>
      </c>
      <c r="CJ68" s="568">
        <f t="shared" si="1"/>
        <v>-1.062639057636261E-6</v>
      </c>
      <c r="CK68" s="568">
        <f t="shared" si="1"/>
        <v>4.116445779800415E-7</v>
      </c>
      <c r="CL68" s="568">
        <f t="shared" si="1"/>
        <v>-6.3958577811717987E-7</v>
      </c>
      <c r="CM68" s="568">
        <f t="shared" si="1"/>
        <v>-1.3418029993772507E-6</v>
      </c>
      <c r="CN68" s="568">
        <f t="shared" si="1"/>
        <v>-1.0021030902862549E-6</v>
      </c>
      <c r="CO68" s="568">
        <f t="shared" si="1"/>
        <v>-3.9837323129177094E-7</v>
      </c>
      <c r="CP68" s="568">
        <f t="shared" si="1"/>
        <v>9.0058892965316772E-7</v>
      </c>
      <c r="CQ68" s="568">
        <f t="shared" si="1"/>
        <v>2.4982728064060211E-6</v>
      </c>
      <c r="CR68" s="568">
        <f t="shared" si="1"/>
        <v>1.4402903616428375E-6</v>
      </c>
      <c r="CS68" s="568">
        <f t="shared" si="1"/>
        <v>3.6321580410003662E-8</v>
      </c>
      <c r="CT68" s="568">
        <f t="shared" si="1"/>
        <v>-2.8149224817752838E-7</v>
      </c>
      <c r="CU68" s="568">
        <f t="shared" si="1"/>
        <v>-1.5692785382270813E-7</v>
      </c>
      <c r="CV68" s="568">
        <f t="shared" si="1"/>
        <v>-1.9744038581848145E-7</v>
      </c>
      <c r="CW68" s="568"/>
      <c r="CX68" s="568"/>
      <c r="CY68" s="568"/>
      <c r="CZ68" s="568"/>
      <c r="DA68" s="568"/>
      <c r="DB68" s="568"/>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49</vt:i4>
      </vt:variant>
    </vt:vector>
  </HeadingPairs>
  <TitlesOfParts>
    <vt:vector size="100" baseType="lpstr">
      <vt:lpstr>1 </vt:lpstr>
      <vt:lpstr>2</vt:lpstr>
      <vt:lpstr>3a</vt:lpstr>
      <vt:lpstr>3b</vt:lpstr>
      <vt:lpstr>4a-b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'36'!Print_Area</vt:lpstr>
      <vt:lpstr>'37'!Print_Area</vt:lpstr>
      <vt:lpstr>'38-39'!Print_Area</vt:lpstr>
      <vt:lpstr>'40-41'!Print_Area</vt:lpstr>
      <vt:lpstr>'42-43-44'!Print_Area</vt:lpstr>
      <vt:lpstr>'45-46'!Print_Area</vt:lpstr>
      <vt:lpstr>'47'!Print_Area</vt:lpstr>
      <vt:lpstr>'48a-b'!Print_Area</vt:lpstr>
      <vt:lpstr>'49a-b'!Print_Area</vt:lpstr>
      <vt:lpstr>'4a-b'!Print_Area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Bank of Mauritius</dc:creator>
  <cp:lastModifiedBy>Rajlukshmee Tengur</cp:lastModifiedBy>
  <cp:lastPrinted>2016-06-16T11:33:56Z</cp:lastPrinted>
  <dcterms:created xsi:type="dcterms:W3CDTF">1999-07-05T08:44:27Z</dcterms:created>
  <dcterms:modified xsi:type="dcterms:W3CDTF">2016-06-17T11:21:48Z</dcterms:modified>
</cp:coreProperties>
</file>